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savedrecs" sheetId="1" r:id="rId4"/>
  </sheets>
  <definedNames/>
  <calcPr calcId="999999" calcMode="auto" calcCompleted="1" fullCalcOnLoad="0" forceFullCalc="0"/>
</workbook>
</file>

<file path=xl/sharedStrings.xml><?xml version="1.0" encoding="utf-8"?>
<sst xmlns="http://schemas.openxmlformats.org/spreadsheetml/2006/main" uniqueCount="9329">
  <si>
    <t>Publication Type</t>
  </si>
  <si>
    <t>Authors</t>
  </si>
  <si>
    <t>Book Authors</t>
  </si>
  <si>
    <t>Book Editors</t>
  </si>
  <si>
    <t>Book Group Authors</t>
  </si>
  <si>
    <t>Author Full Names</t>
  </si>
  <si>
    <t>Book Author Full Names</t>
  </si>
  <si>
    <t>Group Authors</t>
  </si>
  <si>
    <t>Article Title</t>
  </si>
  <si>
    <t>Source Title</t>
  </si>
  <si>
    <t>Book Series Title</t>
  </si>
  <si>
    <t>Book Series Subtitle</t>
  </si>
  <si>
    <t>Language</t>
  </si>
  <si>
    <t>Document Type</t>
  </si>
  <si>
    <t>Conference Title</t>
  </si>
  <si>
    <t>Conference Date</t>
  </si>
  <si>
    <t>Conference Location</t>
  </si>
  <si>
    <t>Conference Sponsor</t>
  </si>
  <si>
    <t>Conference Host</t>
  </si>
  <si>
    <t>Author Keywords</t>
  </si>
  <si>
    <t>Keywords Plus</t>
  </si>
  <si>
    <t>Abstract</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</si>
  <si>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</si>
  <si>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</si>
  <si>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</si>
  <si>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</si>
  <si>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</si>
  <si>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</si>
  <si>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</si>
  <si>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</si>
  <si>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</si>
  <si>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</si>
  <si>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</si>
  <si>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</si>
  <si>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</si>
  <si>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</si>
  <si>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</si>
  <si>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t>
  </si>
  <si>
    <t>Publisher City</t>
  </si>
  <si>
    <t>Publisher Address</t>
  </si>
  <si>
    <t>ISSN</t>
  </si>
  <si>
    <t>eISSN</t>
  </si>
  <si>
    <t>ISBN</t>
  </si>
  <si>
    <t>Journal Abbreviation</t>
  </si>
  <si>
    <t>Journal ISO Abbreviation</t>
  </si>
  <si>
    <t>Publication Date</t>
  </si>
  <si>
    <t>Publication Year</t>
  </si>
  <si>
    <t>Volume</t>
  </si>
  <si>
    <t>Issue</t>
  </si>
  <si>
    <t>Part Number</t>
  </si>
  <si>
    <t>Supplement</t>
  </si>
  <si>
    <t>Special Issue</t>
  </si>
  <si>
    <t>Meeting Abstract</t>
  </si>
  <si>
    <t>Start Page</t>
  </si>
  <si>
    <t>End Page</t>
  </si>
  <si>
    <t>Article Number</t>
  </si>
  <si>
    <t>DOI</t>
  </si>
  <si>
    <t>DOI Link</t>
  </si>
  <si>
    <t>Book DOI</t>
  </si>
  <si>
    <t>Early Access Date</t>
  </si>
  <si>
    <t>Number of Pages</t>
  </si>
  <si>
    <t>WoS Categories</t>
  </si>
  <si>
    <t>Web of Science Index</t>
  </si>
  <si>
    <t>Research Areas</t>
  </si>
  <si>
    <t>IDS Number</t>
  </si>
  <si>
    <t>Pubmed Id</t>
  </si>
  <si>
    <t>Open Access Designations</t>
  </si>
  <si>
    <t>Highly Cited Status</t>
  </si>
  <si>
    <t>Hot Paper Status</t>
  </si>
  <si>
    <t>Date of Export</t>
  </si>
  <si>
    <t>UT (Unique WOS ID)</t>
  </si>
  <si>
    <t>Web of Science Record</t>
  </si>
  <si>
    <t>J</t>
  </si>
  <si>
    <t>Konyshev, DN</t>
  </si>
  <si>
    <t>Konyshev, D. N.</t>
  </si>
  <si>
    <t>Government's policy of limiting personal house farming, late 1950s early 1960s</t>
  </si>
  <si>
    <t>ROSSIISKAYA ISTORIYA</t>
  </si>
  <si>
    <t>0869-5687</t>
  </si>
  <si>
    <t>MAY-JUN</t>
  </si>
  <si>
    <t>WOS:000292365000009</t>
  </si>
  <si>
    <t>Isupov, K</t>
  </si>
  <si>
    <t>Isupov, Konstantin</t>
  </si>
  <si>
    <t>Multiple-precision sparse matrix-vector multiplication on GPUs</t>
  </si>
  <si>
    <t>JOURNAL OF COMPUTATIONAL SCIENCE</t>
  </si>
  <si>
    <t>Isupov, Konstantin/K-5843-2015</t>
  </si>
  <si>
    <t>Isupov, Konstantin/0000-0003-0239-0404</t>
  </si>
  <si>
    <t>1877-7503</t>
  </si>
  <si>
    <t>1877-7511</t>
  </si>
  <si>
    <t>MAY</t>
  </si>
  <si>
    <t>10.1016/j.jocs.2022.101609</t>
  </si>
  <si>
    <t>MAR 2022</t>
  </si>
  <si>
    <t>WOS:000782587900010</t>
  </si>
  <si>
    <t>Sazanova, ML; Kadochnikova, NI</t>
  </si>
  <si>
    <t>Sazanova, M. L.; Kadochnikova, N., I</t>
  </si>
  <si>
    <t>On the relationship between alimentary preferences and the female reproductive health</t>
  </si>
  <si>
    <t>THEORETICAL AND APPLIED ECOLOGY</t>
  </si>
  <si>
    <t>Sazanova, Maria/I-4211-2016</t>
  </si>
  <si>
    <t>Sazanova, Maria/0000-0003-3492-8395</t>
  </si>
  <si>
    <t>1995-4301</t>
  </si>
  <si>
    <t>2618-8406</t>
  </si>
  <si>
    <t>10.25750/1995-4301-2022-1-235-242</t>
  </si>
  <si>
    <t>WOS:000819811100033</t>
  </si>
  <si>
    <t>Timkin, YN</t>
  </si>
  <si>
    <t>Timkin, Yuri Nikolaevich</t>
  </si>
  <si>
    <t>Features of the Process of Formation of the Regional Organization of the RCP (B) of the Mari Autonomous Region in 1921-23: Archival Materials</t>
  </si>
  <si>
    <t>HERALD OF AN ARCHIVIST</t>
  </si>
  <si>
    <t>2073-0101</t>
  </si>
  <si>
    <t>+</t>
  </si>
  <si>
    <t>10.28995/2073-0101-2022-2-384-395</t>
  </si>
  <si>
    <t>WOS:000868958500005</t>
  </si>
  <si>
    <t>Zorin, AV</t>
  </si>
  <si>
    <t>Zorin, Artem, V</t>
  </si>
  <si>
    <t>THE FEBRUARY 1948 CRISIS IN CZECHOSLOVAKIA: REACTION, ASSESSMENTS AND CONSEQUENSES FOR THE USA FOREIGN POLICY</t>
  </si>
  <si>
    <t>VOLGOGRADSKII GOSUDARSTVENNYI UNIVERSITET-VESTNIK-SERIYA 4-ISTORIYA REGIONOVEDENIE MEZHDUNARODNYE OTNOSHENIYA</t>
  </si>
  <si>
    <t>Zorin, Artem/W-1762-2018</t>
  </si>
  <si>
    <t>Zorin, Artem/0000-0002-3238-9036</t>
  </si>
  <si>
    <t>1998-9938</t>
  </si>
  <si>
    <t>2312-8704</t>
  </si>
  <si>
    <t>10.15688/jvolsu4.2022.2.6</t>
  </si>
  <si>
    <t>WOS:000787124400007</t>
  </si>
  <si>
    <t>Olkova, A</t>
  </si>
  <si>
    <t>Olkova, Anna</t>
  </si>
  <si>
    <t>Intraspecific Sensitivity to Toxicants - a Methodological Problem of Bioassay: Review</t>
  </si>
  <si>
    <t>JOURNAL OF ECOLOGICAL ENGINEERING</t>
  </si>
  <si>
    <t>2299-8993</t>
  </si>
  <si>
    <t>JUL</t>
  </si>
  <si>
    <t>10.12911/22998993/139066</t>
  </si>
  <si>
    <t>WOS:000672663900013</t>
  </si>
  <si>
    <t>Avdeeva, MS; Belicheva, TV</t>
  </si>
  <si>
    <t>Avdeeva, M. S.; Belicheva, T., V</t>
  </si>
  <si>
    <t>DEVELOPMENT OF PHYSICAL QUALITIES IN FIRST-YEAR FEMALE NON-ATHLETES BY MEANS OF VOLLEYBALL AND ATHLETICS</t>
  </si>
  <si>
    <t>HUMAN SPORT MEDICINE</t>
  </si>
  <si>
    <t>Avdeeva, Marina S./J-9840-2018</t>
  </si>
  <si>
    <t>Avdeeva, Marina S./0000-0002-6760-7347</t>
  </si>
  <si>
    <t>2500-0209</t>
  </si>
  <si>
    <t>2500-0195</t>
  </si>
  <si>
    <t>10.14529/hsm20s208</t>
  </si>
  <si>
    <t>WOS:000635166900008</t>
  </si>
  <si>
    <t>Basmanov, VG; Kholmanskikh, VM</t>
  </si>
  <si>
    <t>Basmanov, V. G.; Kholmanskikh, V. M.</t>
  </si>
  <si>
    <t>Selection of Frequency Estimation of 6-10 kV-Overhead Lines' Technical Condition Based on Reliability Statistical Studies</t>
  </si>
  <si>
    <t>PROBLEMELE ENERGETICII REGIONALE</t>
  </si>
  <si>
    <t>Basmanov, Vladislav G/T-8358-2017</t>
  </si>
  <si>
    <t>Basmanov, Vladislav G/0000-0002-9564-5148; Kholmanskikh, Valeriy/0000-0001-8771-0053</t>
  </si>
  <si>
    <t>1857-0070</t>
  </si>
  <si>
    <t>10.5281/zenodo.4316637</t>
  </si>
  <si>
    <t>WOS:000599902400003</t>
  </si>
  <si>
    <t>C</t>
  </si>
  <si>
    <t>Ishutinov, DV; Laletin, VI; Malyshev, EN</t>
  </si>
  <si>
    <t>Radionov, AA; Karandaev, AS</t>
  </si>
  <si>
    <t>Ishutinov, D., V; Laletin, V., I; Malyshev, E. N.</t>
  </si>
  <si>
    <t>Application Features of Mathematical Model of Power System for Analysis of Technical and Economic Indicators of Reactive Power Compensation Device</t>
  </si>
  <si>
    <t>ADVANCES IN AUTOMATION</t>
  </si>
  <si>
    <t>Lecture Notes in Electrical Engineering</t>
  </si>
  <si>
    <t>International Russian Automation Conference (RusAutoCon)</t>
  </si>
  <si>
    <t>SEP 08-14, 2019</t>
  </si>
  <si>
    <t>Sochi, RUSSIA</t>
  </si>
  <si>
    <t>S Ural State Univ</t>
  </si>
  <si>
    <t>1876-1100</t>
  </si>
  <si>
    <t>1876-1119</t>
  </si>
  <si>
    <t>978-3-030-39225-3; 978-3-030-39224-6</t>
  </si>
  <si>
    <t>10.1007/978-3-030-39225-3_47</t>
  </si>
  <si>
    <t>WOS:000675525300047</t>
  </si>
  <si>
    <t>Tatarinova, MN; Shvetsova, MG</t>
  </si>
  <si>
    <t>Tatarinova, Maya N.; Shvetsova, Marina G.</t>
  </si>
  <si>
    <t>The Model of the Emotionally-Valuable Component of the Content of Primary School Foreign-Language Education: Designing and Testing</t>
  </si>
  <si>
    <t>EUROPEAN JOURNAL OF CONTEMPORARY EDUCATION</t>
  </si>
  <si>
    <t>Shvetsova, Marina/AAX-1048-2020</t>
  </si>
  <si>
    <t>Shvetsova, Marina/0000-0002-3960-0658</t>
  </si>
  <si>
    <t>2304-9650</t>
  </si>
  <si>
    <t>2305-6746</t>
  </si>
  <si>
    <t>MAR</t>
  </si>
  <si>
    <t>10.13187/ejced.2019.1.167</t>
  </si>
  <si>
    <t>WOS:000462498700013</t>
  </si>
  <si>
    <t>Soboleva, EV; Kharunzheva, EV</t>
  </si>
  <si>
    <t>IOP</t>
  </si>
  <si>
    <t>Soboleva, E., V; Kharunzheva, E., V</t>
  </si>
  <si>
    <t>Visualisation of a physical model of interacting of hard objects in a computer game</t>
  </si>
  <si>
    <t>INTERNATIONAL SCIENTIFIC CONFERENCE ON APPLIED PHYSICS, INFORMATION TECHNOLOGIES AND ENGINEERING (APITECH-2019)</t>
  </si>
  <si>
    <t>Journal of Physics Conference Series</t>
  </si>
  <si>
    <t>International Scientific Conference on Applied Physics, Information Technologies and Engineering (APITECH) / 2-nd International Scientific and Practical Conference on Borisov's Readings</t>
  </si>
  <si>
    <t>SEP 25-27, 2019</t>
  </si>
  <si>
    <t>Siberian Fed Univ, Polytechn Inst, Krasnoyarsk, RUSSIA</t>
  </si>
  <si>
    <t>Int &amp; Russian Union Sci &amp; Engn Assoc,Russian Acad Sci, Siberian Branch, Krasnoyarsk Sci Ctr,JSC Cent Construct Bur Geophys,JSC ISS Reshetnev Co,Reshetnev Univ, Inst Informat &amp; Telecommunicat</t>
  </si>
  <si>
    <t>Siberian Fed Univ, Polytechn Inst</t>
  </si>
  <si>
    <t>Kharunzheva, Elena/AAQ-6712-2020</t>
  </si>
  <si>
    <t>Kharunzheva, Elena/0000-0002-9525-9984</t>
  </si>
  <si>
    <t>1742-6588</t>
  </si>
  <si>
    <t>1742-6596</t>
  </si>
  <si>
    <t>10.1088/1742-6596/1399/3/033094</t>
  </si>
  <si>
    <t>WOS:000589557100156</t>
  </si>
  <si>
    <t>Kulikov, IA</t>
  </si>
  <si>
    <t>Kulikov, Ilya A.</t>
  </si>
  <si>
    <t>SUBSTANTIATION OF THE POSSIBILITY OF USING THE FUZZY LOGIC APPARATUS IN THE RESEARCH OF THE ELECTRONIC BOOK SYSTEM</t>
  </si>
  <si>
    <t>TEKST KNIGA KNIGOIZDANIE-TEXT BOOK PUBLISHING</t>
  </si>
  <si>
    <t>Kulikov, Ilya A./A-2028-2019</t>
  </si>
  <si>
    <t>2306-2061</t>
  </si>
  <si>
    <t>2311-3774</t>
  </si>
  <si>
    <t>APR</t>
  </si>
  <si>
    <t>10.17223/23062061/16/9</t>
  </si>
  <si>
    <t>WOS:000451192400009</t>
  </si>
  <si>
    <t>Tatarinova, MN</t>
  </si>
  <si>
    <t>Tatarinova, M. N.</t>
  </si>
  <si>
    <t>MODEL OF EMOTIONALLY-VALUABLE COMPONENT OF THE CONTENT OF ELEMENTARY FOREIGN LANGUAGE EDUCATION</t>
  </si>
  <si>
    <t>OBRAZOVANIE I NAUKA-EDUCATION AND SCIENCE</t>
  </si>
  <si>
    <t>1994-5639</t>
  </si>
  <si>
    <t>2310-5828</t>
  </si>
  <si>
    <t>10.17853/1994-5639-2018-4-180-199</t>
  </si>
  <si>
    <t>WOS:000461120800008</t>
  </si>
  <si>
    <t>Ozhegov, AN; Derendjaeva, LV; Zakalata, AA</t>
  </si>
  <si>
    <t>IEEE</t>
  </si>
  <si>
    <t>Ozhegov, A. N.; Derendjaeva, L., V; Zakalata, A. A.</t>
  </si>
  <si>
    <t>Network Reduction in Calculation of Oscillatory Characteristics of Branching Point Resistor of Electric Loads at Industrial Enterprise</t>
  </si>
  <si>
    <t>2018 INTERNATIONAL CONFERENCE ON INDUSTRIAL ENGINEERING, APPLICATIONS AND MANUFACTURING (ICIEAM)</t>
  </si>
  <si>
    <t>International Conference on Industrial Engineering, Applications and Manufacturing (ICIEAM)</t>
  </si>
  <si>
    <t>MAY 15-18, 2018</t>
  </si>
  <si>
    <t>Moscow Polytechn Univ, Moscow, RUSSIA</t>
  </si>
  <si>
    <t>Moscow Polytechn Univ</t>
  </si>
  <si>
    <t>978-1-5386-4307-5</t>
  </si>
  <si>
    <t>WOS:000478963800067</t>
  </si>
  <si>
    <t>Petrov, EP; Kharina, NL</t>
  </si>
  <si>
    <t>Petrov, E. P.; Kharina, N. L.</t>
  </si>
  <si>
    <t>Markov Processes in Image Processing</t>
  </si>
  <si>
    <t>INTERNATIONAL CONFERENCE INFORMATION TECHNOLOGIES IN BUSINESS AND INDUSTRY 2018, PTS 1-4</t>
  </si>
  <si>
    <t>International Conference on Information Technologies in Business and Industry</t>
  </si>
  <si>
    <t>JAN 17-20, 2018</t>
  </si>
  <si>
    <t>Tomsk Polytechn Univ, Tomsk, RUSSIA</t>
  </si>
  <si>
    <t>Tomsk Polytechn Univ</t>
  </si>
  <si>
    <t>Petrov, Evgeny/K-7050-2012</t>
  </si>
  <si>
    <t>10.1088/1742-6596/1015/3/032059</t>
  </si>
  <si>
    <t>WOS:000446952000078</t>
  </si>
  <si>
    <t>B</t>
  </si>
  <si>
    <t>Sozinova, AA</t>
  </si>
  <si>
    <t>Popkova, EG</t>
  </si>
  <si>
    <t>Sozinova, Anastasia A.</t>
  </si>
  <si>
    <t>CONCEPTUAL PROVISIONS OF A NEW INSTITUTIONAL THEORY</t>
  </si>
  <si>
    <t>ECONOMIC AND LEGAL FOUNDATIONS OF MODERN RUSSIAN SOCIETY: A NEW INSTITUTIONAL THEORY</t>
  </si>
  <si>
    <t>Advances in Research on Russian Business and Management</t>
  </si>
  <si>
    <t>Sozinova, Anastasia/F-6298-2015</t>
  </si>
  <si>
    <t>Sozinova, Anastasia/0000-0001-5876-2823</t>
  </si>
  <si>
    <t>978-1-64113-125-4; 978-1-64113-126-1</t>
  </si>
  <si>
    <t>WOS:000435422600001</t>
  </si>
  <si>
    <t>Timkin, Yuriy N.</t>
  </si>
  <si>
    <t>POLITICAL CASE ABOUT THE DECAY OFTHE PARTY LEADERSHIP IN VYATKA DISTRICT COMMITEE OF THE VKP(B) IN 1933</t>
  </si>
  <si>
    <t>VOPROSY ISTORII</t>
  </si>
  <si>
    <t>0042-8779</t>
  </si>
  <si>
    <t>1938-2561</t>
  </si>
  <si>
    <t>WOS:000430782900010</t>
  </si>
  <si>
    <t>Lebedeva, OV; Khodyreva, EA</t>
  </si>
  <si>
    <t>Valeeva, R</t>
  </si>
  <si>
    <t>Lebedeva, Olga Vladimirovna; Khodyreva, Elena Anatolyevna</t>
  </si>
  <si>
    <t>PROBLEMS OF MULTICULTURAL EDUCATION OF STUDENTS IN RUSSIA: WAYS OF ITS SOLVING</t>
  </si>
  <si>
    <t>IFTE 2017 - 3RD INTERNATIONAL FORUM ON TEACHER EDUCATION</t>
  </si>
  <si>
    <t>European Proceedings of Social and Behavioural Sciences</t>
  </si>
  <si>
    <t>3rd International Forum on Teacher Education (IFTE)</t>
  </si>
  <si>
    <t>MAY 23-25, 2017</t>
  </si>
  <si>
    <t>Kazan Fed Univ, Kazan, RUSSIA</t>
  </si>
  <si>
    <t>Kazan Fed Univ</t>
  </si>
  <si>
    <t>Khodyreva, Elena/AAE-3535-2019</t>
  </si>
  <si>
    <t>2357-1330</t>
  </si>
  <si>
    <t>10.15405/epsbs.2017.08.02.55</t>
  </si>
  <si>
    <t>WOS:000432421300055</t>
  </si>
  <si>
    <t>Galitskikh, EO</t>
  </si>
  <si>
    <t>Galitskikh, Elena O.</t>
  </si>
  <si>
    <t>Educational Technology List as a Resource for the Organization of Children's Literature Reading</t>
  </si>
  <si>
    <t>IFTE 2016 - 2ND INTERNATIONAL FORUM ON TEACHER EDUCATION</t>
  </si>
  <si>
    <t>2nd International Forum on Teacher Education (IFTE)</t>
  </si>
  <si>
    <t>MAY 19-21, 2016</t>
  </si>
  <si>
    <t>Kazan Fed Univ, RUSSIA</t>
  </si>
  <si>
    <t>Galitskikh, Elena O./G-3532-2018</t>
  </si>
  <si>
    <t>Galitskikh, Elena O./0000-0003-1145-3315</t>
  </si>
  <si>
    <t>10.15405/epsbs.2016.07.8</t>
  </si>
  <si>
    <t>WOS:000383393800008</t>
  </si>
  <si>
    <t>Zboev, AV</t>
  </si>
  <si>
    <t>Zboev, Artem, V</t>
  </si>
  <si>
    <t>The position of the Anti-Hitler allies on the bombing of Bulgaria in 1943-1944</t>
  </si>
  <si>
    <t>Zboev, Artem/C-6104-2017</t>
  </si>
  <si>
    <t>Zboev, Artem/0000-0001-5122-538X</t>
  </si>
  <si>
    <t>WOS:000370908700007</t>
  </si>
  <si>
    <t>Chemodanov, IV</t>
  </si>
  <si>
    <t>SGEM</t>
  </si>
  <si>
    <t>Chemodanov, Igor Vladislavovich</t>
  </si>
  <si>
    <t>AGRICULTURE AND PEASANTRY IN VYATKA REGION DURING SECOND HALF OF 1930-S</t>
  </si>
  <si>
    <t>ANTHROPOLOGY, ARCHAEOLOGY, HISTORY AND PHILOSOPHY</t>
  </si>
  <si>
    <t>International Multidisciplinary Scientific Conferences on Social Sciences and Arts</t>
  </si>
  <si>
    <t>International Multidisciplinary Scientific Conferences on Social Sciences and Arts (SGEM 2014)</t>
  </si>
  <si>
    <t>SEP 01-10, 2014</t>
  </si>
  <si>
    <t>Albena, BULGARIA</t>
  </si>
  <si>
    <t>Bulgarian Acad Sci,Acad Sci Czech Republ,Latvian Acad Sci,Polish Acad Sci,Russian Acad Sci,Serbian Acad Sci &amp; Arts,Slovak Acad Sci Intro,Natl Acad Sci Ukraine,Natl Acad Sci Armenia,Sci Counc Japan,World Acad Sci TWAS,European Acad Sci, Arts &amp; Lett,Acad Fine Arts Zagreb Croatia,Croatian Acad Sci &amp; Arts,Acad Sci Moldova,Montenegrin Acad Sci &amp; Arts,Georgian Acad Sci,Acad Fine Arts &amp; Design Bratislava,Russian Acad Arts,Turkish Acad Sci,SGEM</t>
  </si>
  <si>
    <t>2367-5659</t>
  </si>
  <si>
    <t>978-619-7105-29-2</t>
  </si>
  <si>
    <t>WOS:000358190200056</t>
  </si>
  <si>
    <t>Sudovikov, MS</t>
  </si>
  <si>
    <t>Sudovikov, M. S.</t>
  </si>
  <si>
    <t>The merchant and negotiant Xenofont Anfilatov</t>
  </si>
  <si>
    <t>WOS:000290830700011</t>
  </si>
  <si>
    <t>Kalinin, AA</t>
  </si>
  <si>
    <t>Kalinin, A. A.</t>
  </si>
  <si>
    <t>Soviet-British negotiations on the division of spheres of influence in Europe, 1944</t>
  </si>
  <si>
    <t>Kalinin, Alexander/T-8698-2017</t>
  </si>
  <si>
    <t>Kalinin, Alexander/0000-0002-8083-6291</t>
  </si>
  <si>
    <t>WOS:000271159400002</t>
  </si>
  <si>
    <t>Bakulin, VI</t>
  </si>
  <si>
    <t>The personnel purges of 1933-1938 in Kirov region.</t>
  </si>
  <si>
    <t>OTECHESTVENNAYA ISTORIYA</t>
  </si>
  <si>
    <t>Bakulin, Vladimir Ivanovich/E-7808-2018</t>
  </si>
  <si>
    <t>Bakulin, Vladimir Ivanovich/0000-0002-8648-0011</t>
  </si>
  <si>
    <t>JAN-FEB</t>
  </si>
  <si>
    <t>WOS:000235642300014</t>
  </si>
  <si>
    <t>Sokovnin, OM; Zagoskin, SN</t>
  </si>
  <si>
    <t>Kinetics of sorption of particles on granular filter</t>
  </si>
  <si>
    <t>THEORETICAL FOUNDATIONS OF CHEMICAL ENGINEERING</t>
  </si>
  <si>
    <t>0040-5795</t>
  </si>
  <si>
    <t>JUL-AUG</t>
  </si>
  <si>
    <t>10.1023/B:TFCE.0000036967.86553.56</t>
  </si>
  <si>
    <t>WOS:000223571800010</t>
  </si>
  <si>
    <t>Kalinin, SI; Pankratova, LV</t>
  </si>
  <si>
    <t>Kalinin, S. I.; Pankratova, L. V.</t>
  </si>
  <si>
    <t>ON THE IMPLEMENTATION OF A TRANSDISCIPLINARY APPROACH IN PREPARING FUTURE MATHEMATICS TEACHERS</t>
  </si>
  <si>
    <t>NOV</t>
  </si>
  <si>
    <t>10.17853/1994-5639-2022-9-11-42</t>
  </si>
  <si>
    <t>WOS:000926386400001</t>
  </si>
  <si>
    <t>Sozinova, AA; Saveleva, NK</t>
  </si>
  <si>
    <t>Sozinova, Anastasia A.; Saveleva, Nadezhda K.</t>
  </si>
  <si>
    <t>MARKETING QUALITY MANAGEMENT IN INDUSTRY 4.0 IN TRANSBORDER MARKETS</t>
  </si>
  <si>
    <t>INTERNATIONAL JOURNAL FOR QUALITY RESEARCH</t>
  </si>
  <si>
    <t>Sozinova, Anastasia/F-6298-2015; Andrea Simões Braga, Francisco/GRS-0157-2022</t>
  </si>
  <si>
    <t xml:space="preserve">Sozinova, Anastasia/0000-0001-5876-2823; </t>
  </si>
  <si>
    <t>1800-6450</t>
  </si>
  <si>
    <t>1800-7473</t>
  </si>
  <si>
    <t>10.24874/IJQR16.03-20</t>
  </si>
  <si>
    <t>WOS:000891387700001</t>
  </si>
  <si>
    <t>Schastlivtseva, EA; Kazakova, NV</t>
  </si>
  <si>
    <t>Schastlivtseva, Elena A.; Kazakova, Natalya, V</t>
  </si>
  <si>
    <t>THE PHENOMENOLOGICAL TRADITION IN RUSSIAN PHILOSOPHY</t>
  </si>
  <si>
    <t>REVISTA INCLUSIONES</t>
  </si>
  <si>
    <t>Schastlivtseva, Elena/0000-0002-2832-7748</t>
  </si>
  <si>
    <t>0719-4706</t>
  </si>
  <si>
    <t>JUL-SEP</t>
  </si>
  <si>
    <t>SI</t>
  </si>
  <si>
    <t>WOS:000583771900020</t>
  </si>
  <si>
    <t>Chernysheva, N; Chernyshev, K</t>
  </si>
  <si>
    <t>Chernysheva, Natalia; Chernyshev, Konstantin</t>
  </si>
  <si>
    <t>Migrations of Kirov residents to the Kaliningrad region in the post-war period (1946-1953)</t>
  </si>
  <si>
    <t>Chernysheva, Natalia/Q-4804-2016; Chernyshev, Konstantin A/H-6630-2016</t>
  </si>
  <si>
    <t>Chernysheva, Natalia/0000-0002-1492-5368; Chernyshev, Konstantin A/0000-0003-3543-4776</t>
  </si>
  <si>
    <t>10.31166/VoprosyIstorii202010Staty165</t>
  </si>
  <si>
    <t>WOS:000605445300016</t>
  </si>
  <si>
    <t>Devetyarova, IP; Agalakova, OS; Cheglakova, LS; Kolesova, YA</t>
  </si>
  <si>
    <t>Devetyarova, Irina P.; Agalakova, Oksana S.; Cheglakova, Larisa S.; Kolesova, Yulia A.</t>
  </si>
  <si>
    <t>INSTITUTIONALIZATION OF SUCCESSFUL MARKETING PRACTICES OF DIGITAL UNIVERSITIES BASED ON QUALITY MANAGEMENT IN MODERN RUSSIA</t>
  </si>
  <si>
    <t>10.24874/IJQR14.02-12</t>
  </si>
  <si>
    <t>WOS:000531047700012</t>
  </si>
  <si>
    <t>Fokina, AI; Kulakov, VN; Darovskikh, LV; Lyalina, KD</t>
  </si>
  <si>
    <t>Fokina, A. I.; Kulakov, V. N.; Darovskikh, L. V.; Lyalina, K. D.</t>
  </si>
  <si>
    <t>A new approach to the determination of cobalt in the form of cobalt(III) by inversion voltammetry</t>
  </si>
  <si>
    <t>10.25750/1995-4301-2020-2-057-063</t>
  </si>
  <si>
    <t>WOS:000545295600007</t>
  </si>
  <si>
    <t>Medvedeva, E; Trubin, I; Kasper, P</t>
  </si>
  <si>
    <t>Medvedeva, Elena; Trubin, Igor; Kasper, Pavel</t>
  </si>
  <si>
    <t>Vehicle License Plate Recognition Based on Edge Detection</t>
  </si>
  <si>
    <t>PROCEEDINGS OF THE 26TH CONFERENCE OF OPEN INNOVATIONS ASSOCIATION FRUCT</t>
  </si>
  <si>
    <t>Proceedings Conference of Open Innovations Association FRUCT</t>
  </si>
  <si>
    <t>26th Conference of Open Innovations Association FRUCT</t>
  </si>
  <si>
    <t>APR 23-24, 2020</t>
  </si>
  <si>
    <t>Yaroslavl, RUSSIA</t>
  </si>
  <si>
    <t>FRUCT Assoc,Yaroslavl Demidov State Univ, Fac Informat &amp; Comp Sci,Helsinki Inst Informat Technol,IEEE Russia Russia Siberia &amp; Russia NW Joint Sect Informat Theory Soc Chapter,IEEE Commun Soc,IEEE,MDPI, Future Internet Journal</t>
  </si>
  <si>
    <t>Medvedeva, Elena V./A-5714-2014</t>
  </si>
  <si>
    <t>Medvedeva, Elena V./0000-0002-0677-1418</t>
  </si>
  <si>
    <t>2305-7254</t>
  </si>
  <si>
    <t>2343-0737</t>
  </si>
  <si>
    <t>978-952-69244-2-7</t>
  </si>
  <si>
    <t>WOS:000590125300040</t>
  </si>
  <si>
    <t>Tatarinova, NV; Suvorov, DM</t>
  </si>
  <si>
    <t>Tatarinova, N., V; Suvorov, D. M.</t>
  </si>
  <si>
    <t>Comparative and Optimizing Calculations of Energy Efficiency Indicators for Operation of CHP Plants Using the Normative Characteristics and Mathematical Models</t>
  </si>
  <si>
    <t>10.1007/978-3-030-39225-3_70</t>
  </si>
  <si>
    <t>WOS:000675525300070</t>
  </si>
  <si>
    <t>Polevoy, GG</t>
  </si>
  <si>
    <t>Polevoy, Georgy G.</t>
  </si>
  <si>
    <t>INFLUENCE OF COORDINATION TRAINING ON THE DEVELOPMENT OF MEMORY OF CHILDREN WITH DIFFERENT TYPOLOGY</t>
  </si>
  <si>
    <t>REVISTA BRASILEIRA DE FUTSAL E FUTEBOL</t>
  </si>
  <si>
    <t>1984-4956</t>
  </si>
  <si>
    <t>MAY-AUG</t>
  </si>
  <si>
    <t>WOS:000458750500010</t>
  </si>
  <si>
    <t>Medvedeva, E</t>
  </si>
  <si>
    <t>Jozwiak, L; Stojanovic, R; Lutovac, B; Jurisic, D</t>
  </si>
  <si>
    <t>Medvedeva, Elena</t>
  </si>
  <si>
    <t>Moving Object Detection in Noisy Images</t>
  </si>
  <si>
    <t>2019 8TH MEDITERRANEAN CONFERENCE ON EMBEDDED COMPUTING (MECO)</t>
  </si>
  <si>
    <t>Mediterranean Conference on Embedded Computing</t>
  </si>
  <si>
    <t>8th Mediterranean Conference on Embedded Computing (MECO)</t>
  </si>
  <si>
    <t>JUN 10-14, 2019</t>
  </si>
  <si>
    <t>Budva, MONTENEGRO</t>
  </si>
  <si>
    <t>IEEE,EUROMICRO,MANT,MECOnet,Univ Montenegro,Ryazan State Radio Engn Univ,Eindhoven Tech Univ,Univ Zagreb,Univ Belgrade,Minist Sci Montenegro,Cikom Co</t>
  </si>
  <si>
    <t>2377-5475</t>
  </si>
  <si>
    <t>978-1-7281-1739-3</t>
  </si>
  <si>
    <t>WOS:000492146100119</t>
  </si>
  <si>
    <t>Diner, EV</t>
  </si>
  <si>
    <t>Diner, Elena V.</t>
  </si>
  <si>
    <t>ON DEVELOPING THE CONCEPT OF A MULTIMEDIA EDUCATIONAL TEXTBOOK FOR SECONDARY SCHOOLS (A CASE STUDY OF AN ELECTRONIC APPLICATION TO THE ENGLISH LANGUAGE TEXTBOOK FOR ELEMENTARY SCHOOL)</t>
  </si>
  <si>
    <t>Diner, Elena/ABA-6122-2020</t>
  </si>
  <si>
    <t>Diner, Elena/0000-0001-6233-7571</t>
  </si>
  <si>
    <t>DEC</t>
  </si>
  <si>
    <t>10.17223/23062061/18/8</t>
  </si>
  <si>
    <t>WOS:000455535400008</t>
  </si>
  <si>
    <t>Sedlova, NG; Shilov, IB; Fomin, SV; Mansurova, IA</t>
  </si>
  <si>
    <t>Sedlova, N. G.; Shilov, I. B.; Fomin, S. V.; Mansurova, I. A.</t>
  </si>
  <si>
    <t>Synthesis of a Modifier for Rubbers with Silica-filler by Reaction of N-tert-Butyl-2-benzothiazolylsulfenamide with Trimethylolpropane Triglycidyl Ether and Characterization of the Reaction Product</t>
  </si>
  <si>
    <t>RUSSIAN JOURNAL OF APPLIED CHEMISTRY</t>
  </si>
  <si>
    <t>Shilov, Ivan/ABA-7069-2021; Mansurova, Irina Alekseevna/J-3337-2016; Fomin, Sergey V./A-7869-2014</t>
  </si>
  <si>
    <t>Mansurova, Irina Alekseevna/0000-0003-1197-0339; Fomin, Sergey V./0000-0003-0393-5613; Shilov, Ivan/0000-0002-0896-095X</t>
  </si>
  <si>
    <t>1070-4272</t>
  </si>
  <si>
    <t>1608-3296</t>
  </si>
  <si>
    <t>10.1134/S1070427218070182</t>
  </si>
  <si>
    <t>WOS:000447673400018</t>
  </si>
  <si>
    <t>Tatarinova, A; Prozorov, D</t>
  </si>
  <si>
    <t>Tatarinova, Alexandra; Prozorov, Dmitriy</t>
  </si>
  <si>
    <t>Building Test Speech Dataset on Russian Language for Spoken Document Retrieval Task</t>
  </si>
  <si>
    <t>PROCEEDINGS OF 2018 IEEE EAST-WEST DESIGN &amp; TEST SYMPOSIUM (EWDTS 2018)</t>
  </si>
  <si>
    <t>East-West Design &amp; Test Symposium</t>
  </si>
  <si>
    <t>IEEE East-West Design and Test Symposium (EWDTS)</t>
  </si>
  <si>
    <t>SEP 14-17, 2018</t>
  </si>
  <si>
    <t>Kazan, RUSSIA</t>
  </si>
  <si>
    <t>IEEE,IEEE Comp Soc,TTTC</t>
  </si>
  <si>
    <t>Prozorov, Dmitriy E./A-3548-2014</t>
  </si>
  <si>
    <t>Prozorov, Dmitriy E./0000-0002-3577-8838</t>
  </si>
  <si>
    <t>2373-826X</t>
  </si>
  <si>
    <t>2472-761X</t>
  </si>
  <si>
    <t>978-1-5386-5710-2</t>
  </si>
  <si>
    <t>WOS:000517795800002</t>
  </si>
  <si>
    <t>Yungblud, V; Sadakov, D</t>
  </si>
  <si>
    <t>Yungblud, V; Sadakov, D.</t>
  </si>
  <si>
    <t>DIPLOMATIC SUPPORT OF US INVOLVMENT IN THE KOREAN WAR JUNE 25 - JULY 6 1950: CRISIS RESPONSE EXPERIENCE</t>
  </si>
  <si>
    <t>MGIMO REVIEW OF INTERNATIONAL RELATIONS</t>
  </si>
  <si>
    <t>Sadakov, Denis/R-9556-2018; Yungblyud, Valeriy T./J-8665-2016</t>
  </si>
  <si>
    <t>Sadakov, Denis/0000-0003-4308-7276; Yungblyud, Valeriy T./0000-0002-2706-3904</t>
  </si>
  <si>
    <t>2071-8160</t>
  </si>
  <si>
    <t>2541-9099</t>
  </si>
  <si>
    <t>10.24833/2071-8160-2018-4-61-241-261</t>
  </si>
  <si>
    <t>WOS:000445743100013</t>
  </si>
  <si>
    <t>Grabar, AA; Kuklin, AV; Prokopenko, LK</t>
  </si>
  <si>
    <t>Grabar, Anna A.; Kuklin, Andrey V.; Prokopenko, Lyudmila K.</t>
  </si>
  <si>
    <t>The Concept of Economic and Social Development of Region Within Global Crisis Management</t>
  </si>
  <si>
    <t>OVERCOMING UNCERTAINTY OF INSTITUTIONAL ENVIRONMENT AS A TOOL OF GLOBAL CRISIS MANAGEMENT</t>
  </si>
  <si>
    <t>Contributions to Economics</t>
  </si>
  <si>
    <t>Conference on Overcoming Uncertainty of Institutional Environment as a Tool of Global Crisis Management</t>
  </si>
  <si>
    <t>APR, 2017</t>
  </si>
  <si>
    <t>Athens, GREECE</t>
  </si>
  <si>
    <t>Kuklin, Andrei/0000-0002-4195-106X</t>
  </si>
  <si>
    <t>1431-1933</t>
  </si>
  <si>
    <t>978-3-319-60696-5; 978-3-319-60695-8</t>
  </si>
  <si>
    <t>10.1007/978-3-319-60696-5_3</t>
  </si>
  <si>
    <t>WOS:000426114200003</t>
  </si>
  <si>
    <t>Soboleva, ON; Burtseva, TA; Barmina, EA; Ganebnykh, EV; Tokareva, PV</t>
  </si>
  <si>
    <t>Soboleva, Olga N.; Burtseva, Tatiana A.; Barmina, Elena A.; Ganebnykh, Elena V.; Tokareva, Polina V.</t>
  </si>
  <si>
    <t>Methodology of Multivariate Statistical Analysis in Evaluating the Factors of Region's Innovative Activity</t>
  </si>
  <si>
    <t>Ganebnykh, Elena/I-2839-2017; Soboleva, Olga/T-1858-2018; Tokareva, Polina/AAB-2658-2020</t>
  </si>
  <si>
    <t>Ganebnykh, Elena/0000-0003-0669-8318; Soboleva, Olga/0000-0001-8019-7023; Barmina, Elena/0000-0001-8296-6498; Burtseva, Tatyana/0000-0001-9088-1208</t>
  </si>
  <si>
    <t>10.1007/978-3-319-60696-5_71</t>
  </si>
  <si>
    <t>WOS:000426114200071</t>
  </si>
  <si>
    <t>Prozorov, D; Yashina, A</t>
  </si>
  <si>
    <t>Prozorov, Dmitriy; Yashina, Alexandra</t>
  </si>
  <si>
    <t>The Extended Longest Common Substring Algorithm for Spoken Document Retrieval</t>
  </si>
  <si>
    <t>2015 9TH INTERNATIONAL CONFERENCE ON APPLICATION OF INFORMATION AND COMMUNICATION TECHNOLOGIES (AICT)</t>
  </si>
  <si>
    <t>International Conference on Application of Information and Communication Technologies</t>
  </si>
  <si>
    <t>9th International Conference of Information and Communiation Technologies (AICT)</t>
  </si>
  <si>
    <t>OCT 14-16, 2015</t>
  </si>
  <si>
    <t>Rostov-on-Don, RUSSIA</t>
  </si>
  <si>
    <t>SO FEDERAL UNIV,QAFQAZ UNIV,IEEE,IEEE ADV TECHNOLOGY HUMANITY,SO FEDERAL UNIV</t>
  </si>
  <si>
    <t>2378-8232</t>
  </si>
  <si>
    <t>2472-8586</t>
  </si>
  <si>
    <t>978-1-4673-6855-1</t>
  </si>
  <si>
    <t>WOS:000380404000020</t>
  </si>
  <si>
    <t>Peretiagina, AV</t>
  </si>
  <si>
    <t>Peretiagina, A. V.</t>
  </si>
  <si>
    <t>Foreign specialists in the works of Viatka province in the 19th century</t>
  </si>
  <si>
    <t>WOS:000330336600010</t>
  </si>
  <si>
    <t>Devyaterikova, SV; Khitrin, SV; Fuks, SL</t>
  </si>
  <si>
    <t>Use of mother liquor from fluorplastic production for preparing composite coatings</t>
  </si>
  <si>
    <t>Khitrin, Sergey/AAC-9299-2019; Fuks, Sofja/AAB-4769-2019</t>
  </si>
  <si>
    <t>Khitrin, Sergey/0000-0001-6874-6018; Fuks, Sofja/0000-0002-9238-2944</t>
  </si>
  <si>
    <t>10.1023/A:1025776212553</t>
  </si>
  <si>
    <t>WOS:000184763100039</t>
  </si>
  <si>
    <t>Kalinina, LA; Fominykh, EG; Tsirenova, LS; Ushakova, YN; Shirokova, GI; Murin, IV</t>
  </si>
  <si>
    <t>Electrochemical modification of composition and properties of nonstoichiometric sulfides and oxides with sulfide-conducting solid electrolyte</t>
  </si>
  <si>
    <t>International Conference on Glasses and Solid Electrolytes</t>
  </si>
  <si>
    <t>MAY 17-19, 1999</t>
  </si>
  <si>
    <t>ST PETERSBURG, RUSSIA</t>
  </si>
  <si>
    <t>Murin, Igor V/L-6482-2013</t>
  </si>
  <si>
    <t>Murin, Igor V/0000-0003-1869-7590; Kalinina, Ludmila/0000-0001-9471-2778</t>
  </si>
  <si>
    <t>JUN</t>
  </si>
  <si>
    <t>WOS:000165979500020</t>
  </si>
  <si>
    <t>Sysolyatina, MA; Olkova, AS</t>
  </si>
  <si>
    <t>Sysolyatina, M. A.; Olkova, A. S.</t>
  </si>
  <si>
    <t>Sources of rare earth elements in the environment and their impact on living organisms</t>
  </si>
  <si>
    <t>ENVIRONMENTAL REVIEWS</t>
  </si>
  <si>
    <t>Sysolyatina, Maria/0000-0002-7671-3993</t>
  </si>
  <si>
    <t>1208-6053</t>
  </si>
  <si>
    <t>1181-8700</t>
  </si>
  <si>
    <t>NOV 21</t>
  </si>
  <si>
    <t>10.1139/er-2022-0081</t>
  </si>
  <si>
    <t>WOS:000931841200001</t>
  </si>
  <si>
    <t>Mosechkin, IN</t>
  </si>
  <si>
    <t>Mosechkin, I. N.</t>
  </si>
  <si>
    <t>Criminal liability for organizing a stable group of persons aimed at committing crimes in the field of computer information</t>
  </si>
  <si>
    <t>VESTNIK OF SAINT PETERSBURG UNIVERSITY-LAW-VESTNIK SANKT-PETERBURGSKOGO UNIVERSITETA-PRAVO</t>
  </si>
  <si>
    <t>Mosechkin, Elya Nikolaevich/I-8772-2017</t>
  </si>
  <si>
    <t>Mosechkin, Elya Nikolaevich/0000-0002-9724-9552</t>
  </si>
  <si>
    <t>2074-1243</t>
  </si>
  <si>
    <t>2587-5833</t>
  </si>
  <si>
    <t>10.21638/spbu14.2022.102</t>
  </si>
  <si>
    <t>WOS:000806210500002</t>
  </si>
  <si>
    <t>Kalinina, LV; Faleeva, AS</t>
  </si>
  <si>
    <t>Kalinina, Liudmila, V; Faleeva, Anna S.</t>
  </si>
  <si>
    <t>The Transitional State as an Object of Description in an Explanatory-Ideographic Dictionary</t>
  </si>
  <si>
    <t>VOPROSY LEKSIKOGRAFII-RUSSIAN JOURNAL OF LEXICOGRAPHY</t>
  </si>
  <si>
    <t>Faleeva, Anna A.S./GOG-8105-2022; Kalinina, Liudmila/HMV-2988-2023</t>
  </si>
  <si>
    <t>Kalinina, Liudmila/0000-0003-2271-3995</t>
  </si>
  <si>
    <t>2227-4200</t>
  </si>
  <si>
    <t>2311-3758</t>
  </si>
  <si>
    <t>10.17223/22274200/22/2</t>
  </si>
  <si>
    <t>WOS:000869082400002</t>
  </si>
  <si>
    <t>Basmanov, VG; Holmaskih, VM</t>
  </si>
  <si>
    <t>Basmanov, V. G.; Holmaskih, V. M.</t>
  </si>
  <si>
    <t>Features of Forecasting Reliability of 6-10 kV Overhead Lines According to Statistics of their Failures and Reconditionings</t>
  </si>
  <si>
    <t>Basmanov, Vladislav G/0000-0002-9564-5148</t>
  </si>
  <si>
    <t>10.52254/1857-0070.2021.4-52.01</t>
  </si>
  <si>
    <t>WOS:000734088800001</t>
  </si>
  <si>
    <t>Gabdulinova, KG; Kovrova, MA</t>
  </si>
  <si>
    <t>Gabdulinova, Kamilya G.; Kovrova, Maria A.</t>
  </si>
  <si>
    <t>THE USE OF A DIGITAL MICROSCOPE FOR THE DEVELOPMENT OF YOUNG SCHOOLCHILDREN'S IDEAS ABOUT PLANTS, ANIMALS AND FUNGI</t>
  </si>
  <si>
    <t>INFORMATION TECHNOLOGIES AND LEARNING TOOLS</t>
  </si>
  <si>
    <t>Габдулинова, камиля/AHB-8442-2022</t>
  </si>
  <si>
    <t>2076-8184</t>
  </si>
  <si>
    <t>10.33407/itlt.v86i6.4320</t>
  </si>
  <si>
    <t>WOS:000750127200002</t>
  </si>
  <si>
    <t>Control of Suitability of the Culture Daphnia magna Straus for Bioassays of Aquatic Environments, Taking into Account Demographic Indicators of Model Populations</t>
  </si>
  <si>
    <t>WATER</t>
  </si>
  <si>
    <t>Olkova, Anna/0000-0002-5798-8211</t>
  </si>
  <si>
    <t>2073-4441</t>
  </si>
  <si>
    <t>JAN</t>
  </si>
  <si>
    <t>10.3390/w13010047</t>
  </si>
  <si>
    <t>WOS:000606408000001</t>
  </si>
  <si>
    <t>Soboleva, EV; Karavaev, NL</t>
  </si>
  <si>
    <t>Soboleva, Elena, V; Karavaev, Nikita L.</t>
  </si>
  <si>
    <t>Preparing Engineers of the Future: the Development of Environmental Thinking as a Universal Competency in Teaching Robotics</t>
  </si>
  <si>
    <t>10.13187/ejced.2020.1.160</t>
  </si>
  <si>
    <t>WOS:000522736400013</t>
  </si>
  <si>
    <t>Polevoy, GG; Strelnikowa, IV</t>
  </si>
  <si>
    <t>Polevoy, Georgiy Georgievich; Strelnikowa, Irina Vasil'evna</t>
  </si>
  <si>
    <t>Complex control of coordination and speed-power abilities in fire-applied sports</t>
  </si>
  <si>
    <t>PEDAGOGY OF PHYSICAL CULTURE AND SPORTS</t>
  </si>
  <si>
    <t>Polevoy, Georgiy/M-2155-2016</t>
  </si>
  <si>
    <t>Polevoy, Georgiy/0000-0002-3300-3908</t>
  </si>
  <si>
    <t>2664-9837</t>
  </si>
  <si>
    <t>10.15561/26649837.2020.0606</t>
  </si>
  <si>
    <t>WOS:000601302200006</t>
  </si>
  <si>
    <t>Kuzmin, VA; Zagrai, IA; Maratkanova, EI; Desiatkov, IA</t>
  </si>
  <si>
    <t>Kuzmin, V. A.; Zagrai, I. A.; Maratkanova, E. I.; Desiatkov, I. A.</t>
  </si>
  <si>
    <t>Investigation of thermal radiation of furnace gases generated from solid-fuel combustion in a steam boiler</t>
  </si>
  <si>
    <t>THERMOPHYSICS AND AEROMECHANICS</t>
  </si>
  <si>
    <t>Kuzmin, Vladimir A/J-6741-2017</t>
  </si>
  <si>
    <t>Kuzmin, Vladimir A/0000-0002-8886-8677; Kuzmin, Vladimir/0000-0001-9979-4610</t>
  </si>
  <si>
    <t>0869-8643</t>
  </si>
  <si>
    <t>1531-8699</t>
  </si>
  <si>
    <t>10.1134/S0869864319020112</t>
  </si>
  <si>
    <t>WOS:000471203300011</t>
  </si>
  <si>
    <t>Lesnikov, V; Naumovich, T; Chastikov, A</t>
  </si>
  <si>
    <t>Lesnikov, Vladislav; Naumovich, Tatiana; Chastikov, Alexander</t>
  </si>
  <si>
    <t>The Relationship between the Representation of a IIR Digital Filter in the State Space and the Description by the Topological Matrix</t>
  </si>
  <si>
    <t>PROCEEDINGS OF THE 24TH CONFERENCE OF OPEN INNOVATIONS ASSOCIATION (FRUCT)</t>
  </si>
  <si>
    <t>24th Conference of Open-Innovations-Association (FRUCT)</t>
  </si>
  <si>
    <t>APR 08-12, 2019</t>
  </si>
  <si>
    <t>Moscow Tech Univ Commun &amp; Informat, Moscow, RUSSIA</t>
  </si>
  <si>
    <t>IEEE,IEEE Commun Soc,Sensors,FRUCT Assoc,IEEE Russia Joint Sect Informat Theory Soc Chapter,IEEE Russia Siberia Joint Sect Informat Theory Soc Chapter,IEEE Russia NW Joint Sect Informat Theory Soc Chapter,Moscow Tech Univ Commun &amp; Informat</t>
  </si>
  <si>
    <t>Moscow Tech Univ Commun &amp; Informat</t>
  </si>
  <si>
    <t>Naumovich, Tatyana/B-8000-2017; Chastikov, Alexander/ACX-8162-2022; Chastikov, Alexander/A-5560-2014; Lesnikov, Vladislav/E-9558-2011</t>
  </si>
  <si>
    <t>Naumovich, Tatyana/0000-0002-3659-2664; Chastikov, Alexander/0000-0002-1998-7787; Lesnikov, Vladislav/0000-0002-5034-291X</t>
  </si>
  <si>
    <t>978-9-5268-6538-6</t>
  </si>
  <si>
    <t>WOS:000469999300031</t>
  </si>
  <si>
    <t>Tyukalov, YY</t>
  </si>
  <si>
    <t>Tyukalov, Yu Ya</t>
  </si>
  <si>
    <t>Finite element model of Reisner's plates in stresses</t>
  </si>
  <si>
    <t>MAGAZINE OF CIVIL ENGINEERING</t>
  </si>
  <si>
    <t>Tyukalov, Yury/AAC-1554-2021; Tyukalov, Yury/P-3728-2017; Tyukalov, Yury/GPS-7157-2022</t>
  </si>
  <si>
    <t xml:space="preserve">Tyukalov, Yury/0000-0001-6184-2365; Tyukalov, Yury/0000-0001-6184-2365; </t>
  </si>
  <si>
    <t>2071-4726</t>
  </si>
  <si>
    <t>2071-0305</t>
  </si>
  <si>
    <t>10.18720/MCE.89.6</t>
  </si>
  <si>
    <t>WOS:000487290800006</t>
  </si>
  <si>
    <t>Moskvin, AS; Kushova, IA; Korotysheva, NN; Kolobova, JI; Golenok, MP; Utemov, VV; Simonova, GI</t>
  </si>
  <si>
    <t>Moskvin, Artem S.; Kushova, Irina A.; Korotysheva, Natalia N.; Kolobova, Julia I.; Golenok, Marina P.; Utemov, Vyacheslav V.; Simonova, Galina I.</t>
  </si>
  <si>
    <t>Urban Youth: Trends To Downshifting In The Internet</t>
  </si>
  <si>
    <t>MODERN JOURNAL OF LANGUAGE TEACHING METHODS</t>
  </si>
  <si>
    <t>Korotysheva, Natalya/V-2261-2018; Moskvin, A. S./AAC-9541-2019; Simonova, Galina/X-5789-2018; Utemov, Vyacheslav V/F-1651-2017</t>
  </si>
  <si>
    <t>Korotysheva, Natalya/0000-0002-8646-5794; Simonova, Galina/0000-0002-0721-287X; Utemov, Vyacheslav V/0000-0001-8156-5916</t>
  </si>
  <si>
    <t>2251-6204</t>
  </si>
  <si>
    <t>WOS:000443674500029</t>
  </si>
  <si>
    <t>Kolupaev, AV; Metelyov, AP; Prozorov, DE; Kurbatova, EE; Kharina, NL</t>
  </si>
  <si>
    <t>Kolupaev, A., V; Metelyov, A. P.; Prozorov, D. E.; Kurbatova, E. E.; Kharina, N. L.</t>
  </si>
  <si>
    <t>Speed increasing of FOE calculation in autonomous vehicle control systems</t>
  </si>
  <si>
    <t>Kurbatova, Ekaterina/A-6003-2014; Prozorov, Dmitriy E./A-3548-2014; Metelyov, Alexander/A-3580-2014</t>
  </si>
  <si>
    <t>Kurbatova, Ekaterina/0000-0001-7173-9214; Prozorov, Dmitriy E./0000-0002-3577-8838; Metelyov, Alexander/0000-0001-7246-9156</t>
  </si>
  <si>
    <t>WOS:000517795800128</t>
  </si>
  <si>
    <t>Vorobyova, TA; Yungblyud, VT</t>
  </si>
  <si>
    <t>Vorobyova, Tamara A.; Yungblyud, Valerii T.</t>
  </si>
  <si>
    <t>Afghanistan in the USSR and USA policy in 1979</t>
  </si>
  <si>
    <t>Yungblyud, Valeriy T./J-8665-2016</t>
  </si>
  <si>
    <t>Yungblyud, Valeriy T./0000-0002-2706-3904</t>
  </si>
  <si>
    <t>WOS:000386994400006</t>
  </si>
  <si>
    <t>Kovalevskii, AV; El'kin, OV</t>
  </si>
  <si>
    <t>Kovalevskii, A. V.; El'kin, O. V.</t>
  </si>
  <si>
    <t>Corrosion of samarium and lanthanum in molten eutectoid mixture of lithium and potassium chlorides</t>
  </si>
  <si>
    <t>RUSSIAN JOURNAL OF ELECTROCHEMISTRY</t>
  </si>
  <si>
    <t>O.V., El'kin/T-7146-2019</t>
  </si>
  <si>
    <t>O.V., El'kin/0000-0002-4540-7483</t>
  </si>
  <si>
    <t>1023-1935</t>
  </si>
  <si>
    <t>10.1134/S1023193512120051</t>
  </si>
  <si>
    <t>WOS:000312405700009</t>
  </si>
  <si>
    <t>Shishalov, VI; Kovalevskii, AV</t>
  </si>
  <si>
    <t>Shishalov, V. I.; Kovalevskii, A. V.</t>
  </si>
  <si>
    <t>The Properties of the Surface of Molten Mixtures of the LiCl-KCl Eutectic with Praseodymium, Samarium, Erbium, and Ytterbium Chlorides</t>
  </si>
  <si>
    <t>RUSSIAN JOURNAL OF PHYSICAL CHEMISTRY A</t>
  </si>
  <si>
    <t>0036-0244</t>
  </si>
  <si>
    <t>10.1134/S0036024411010286</t>
  </si>
  <si>
    <t>WOS:000288387800020</t>
  </si>
  <si>
    <t>Fuchs, SL; Devyaterikova, SV</t>
  </si>
  <si>
    <t>Fuchs, S. L.; Devyaterikova, S., V</t>
  </si>
  <si>
    <t>Recycling of waste from primary chemical power sources</t>
  </si>
  <si>
    <t>10.25750/1995-4301-2022-4-119-123</t>
  </si>
  <si>
    <t>WOS:000929704700016</t>
  </si>
  <si>
    <t>Sennikov, AI</t>
  </si>
  <si>
    <t>Sennikov, Alexey, I</t>
  </si>
  <si>
    <t>THE KURDS IN THE US IRAQI POLICY IN 1958-1960</t>
  </si>
  <si>
    <t>Sennikov, Alexey/I-4292-2018</t>
  </si>
  <si>
    <t>Sennikov, Alexey/0000-0001-9329-2839</t>
  </si>
  <si>
    <t>10.15688/jvolsu4.2022.2.8</t>
  </si>
  <si>
    <t>WOS:000787124400009</t>
  </si>
  <si>
    <t>Yungblud, V</t>
  </si>
  <si>
    <t>Yungblud, Valery</t>
  </si>
  <si>
    <t>The Way to the Rubicon: American-Soviet Contacts in Science and Technology</t>
  </si>
  <si>
    <t>QUAESTIO ROSSICA</t>
  </si>
  <si>
    <t>2311-911X</t>
  </si>
  <si>
    <t>2313-6871</t>
  </si>
  <si>
    <t>10.15826/qr.2022.5.755</t>
  </si>
  <si>
    <t>WOS:000945576100007</t>
  </si>
  <si>
    <t>Chernova, V; Zhukovin, SV; Kondrat'ev, DA</t>
  </si>
  <si>
    <t>Chernova, V; Zhukovin, S., V; Kondrat'ev, D. A.</t>
  </si>
  <si>
    <t>Electroreduction of Holmium Chloride in the Equimolar NaCl-KCl Melt</t>
  </si>
  <si>
    <t>RUSSIAN METALLURGY</t>
  </si>
  <si>
    <t>Zhukovin, Sergey/F-5488-2019; Chernova, Olga/S-4511-2018</t>
  </si>
  <si>
    <t>Zhukovin, Sergey/0000-0002-0532-2303; Chernova, Olga/0000-0002-3773-2796</t>
  </si>
  <si>
    <t>0036-0295</t>
  </si>
  <si>
    <t>1555-6255</t>
  </si>
  <si>
    <t>FEB</t>
  </si>
  <si>
    <t>10.1134/S0036029520020032</t>
  </si>
  <si>
    <t>WOS:000520832000004</t>
  </si>
  <si>
    <t>Krukovsky, VE; Mosechkin, IN</t>
  </si>
  <si>
    <t>Krukovsky, Vladimir E.; Mosechkin, Iliya N.</t>
  </si>
  <si>
    <t>On forms of non-physical (psychological) violence in the criminal legislation of Russia</t>
  </si>
  <si>
    <t>PSYCHOLOGY AND LAW</t>
  </si>
  <si>
    <t>2222-5196</t>
  </si>
  <si>
    <t>10.17759/psylaw.2020100115</t>
  </si>
  <si>
    <t>WOS:000523598300015</t>
  </si>
  <si>
    <t>Mokerova, EY; Tarasov, KN</t>
  </si>
  <si>
    <t>Mokerova, Elena Y.; Tarasov, Konstantin N.</t>
  </si>
  <si>
    <t>COIN CIRCULATION IN THE VYATKA REGION IN THE 30-90s OF THE 18TH CENTURY (ACCORDING TO THE DATA OF COIN TREASURES)</t>
  </si>
  <si>
    <t>NAUCHNYI DIALOG</t>
  </si>
  <si>
    <t>2225-756X</t>
  </si>
  <si>
    <t>2227-1295</t>
  </si>
  <si>
    <t>10.24224/2227-1295-2020-1-400-421</t>
  </si>
  <si>
    <t>WOS:000511435400025</t>
  </si>
  <si>
    <t>Zorin, A</t>
  </si>
  <si>
    <t>Zorin, A.</t>
  </si>
  <si>
    <t>Slovakia in US Foreign Policy in 1945-1948</t>
  </si>
  <si>
    <t>ISTORIYA-ELEKTRONNYI NAUCHNO-OBRAZOVATELNYI ZHURNAL</t>
  </si>
  <si>
    <t>Zorin, Artem V/W-1762-2018</t>
  </si>
  <si>
    <t>Zorin, Artem V/0000-0002-3238-9036</t>
  </si>
  <si>
    <t>2079-8784</t>
  </si>
  <si>
    <t>10.18254/S207987840013183-0</t>
  </si>
  <si>
    <t>WOS:000609191500013</t>
  </si>
  <si>
    <t>Savinykh, NP; Konovalova, IA</t>
  </si>
  <si>
    <t>Savinykh, N. P.; Konovalova, I. A.</t>
  </si>
  <si>
    <t>Shoot Systems of Solanum dulcamara L.</t>
  </si>
  <si>
    <t>BIOLOGY BULLETIN</t>
  </si>
  <si>
    <t>Irina, Konovalova/ABH-4521-2020</t>
  </si>
  <si>
    <t>1062-3590</t>
  </si>
  <si>
    <t>1608-3059</t>
  </si>
  <si>
    <t>10.1134/S1062359019060116</t>
  </si>
  <si>
    <t>WOS:000511334100008</t>
  </si>
  <si>
    <t>Fuks, SL; Khitrin, SV; Devyaterikova, SV</t>
  </si>
  <si>
    <t>Fuks, S. L.; Khitrin, S., V; Devyaterikova, S., V</t>
  </si>
  <si>
    <t>Processing of fluoroplast waste to ultradisperse polytetrafluoroethylene for obtaining lubricants and protective coatings</t>
  </si>
  <si>
    <t>Khitrin, Sergey/AAC-9299-2019</t>
  </si>
  <si>
    <t>Khitrin, Sergey/0000-0001-6874-6018</t>
  </si>
  <si>
    <t>10.25750/1995-4301-2019-3-087-094</t>
  </si>
  <si>
    <t>WOS:000490704900012</t>
  </si>
  <si>
    <t>Polevoy, G</t>
  </si>
  <si>
    <t>Polevoy, Georgiy</t>
  </si>
  <si>
    <t>INFLUENCE OF COORDINATION TRAINING ON THE DEVELOPMENT OF SPEED IN CHILDREN WITH DIFFERENT STRENGTHS NERVOUS SYSTEMS</t>
  </si>
  <si>
    <t>REVISTA UNIVERSIDAD Y SOCIEDAD</t>
  </si>
  <si>
    <t>2218-3620</t>
  </si>
  <si>
    <t>OCT-DEC</t>
  </si>
  <si>
    <t>WOS:000457012100053</t>
  </si>
  <si>
    <t>Skvortsov, AI; Skvortsov, AA</t>
  </si>
  <si>
    <t>Skvortsov, A. I.; Skvortsov, A. A.</t>
  </si>
  <si>
    <t>Amplitude Dependence of Internal Friction of Zirconium and Alloys Zr-8% Nb and Zr-20% Nb</t>
  </si>
  <si>
    <t>PHYSICS OF METALS AND METALLOGRAPHY</t>
  </si>
  <si>
    <t>0031-918X</t>
  </si>
  <si>
    <t>1555-6190</t>
  </si>
  <si>
    <t>10.1134/S0031918X18070098</t>
  </si>
  <si>
    <t>WOS:000440113400005</t>
  </si>
  <si>
    <t>Mashkovtsev, AA; Mashkovtseva, VV</t>
  </si>
  <si>
    <t>Mashkovtsev, Andrey A.; Mashkovtseva, Victoria V.</t>
  </si>
  <si>
    <t>THE CONFESSIONAL POLICY OF THE STATE IN RELATION TO THE OLD BELIEVERS' CHAPELS IN THE SECOND QUARTER OF THE 19TH CENTURY (ON THE MATERIALS OF VYATKA PROVINCE)</t>
  </si>
  <si>
    <t>TOMSK STATE UNIVERSITY JOURNAL</t>
  </si>
  <si>
    <t>Mashkovtsev, Andrey A/Q-3185-2017; Mashkovtseva, Victoria/K-8380-2018</t>
  </si>
  <si>
    <t>Mashkovtsev, Andrey A/0000-0001-8135-4043; Mashkovtseva, Victoria/0000-0002-4710-817X</t>
  </si>
  <si>
    <t>1561-7793</t>
  </si>
  <si>
    <t>1561-803X</t>
  </si>
  <si>
    <t>10.17223/15617793/429/20</t>
  </si>
  <si>
    <t>WOS:000435701700020</t>
  </si>
  <si>
    <t>Mashkovtseva, VV</t>
  </si>
  <si>
    <t>Mashkovtseva, Viktoriya V.</t>
  </si>
  <si>
    <t>Missionary activities of the Orthodox clergy of the Vyatka province among the Old Believers in the second half of the XIX century</t>
  </si>
  <si>
    <t>Mashkovtseva, Victoria/K-8380-2018</t>
  </si>
  <si>
    <t>Mashkovtseva, Victoria/0000-0002-4710-817X</t>
  </si>
  <si>
    <t>WOS:000399357000012</t>
  </si>
  <si>
    <t>The Use of Redundancy in the Structural Synthesis of IIR Digital Filters</t>
  </si>
  <si>
    <t>PROCEEDINGS OF 2016 IEEE EAST-WEST DESIGN &amp; TEST SYMPOSIUM (EWDTS)</t>
  </si>
  <si>
    <t>OCT 14-17, 2016</t>
  </si>
  <si>
    <t>Yerevan, ARMENIA</t>
  </si>
  <si>
    <t>IEEE,Kharkov Natl Univ Radioelectron,IEEE Comp Soc</t>
  </si>
  <si>
    <t>Chastikov, Alexander/A-5560-2014; Naumovich, Tatyana/B-8000-2017; Lesnikov, Vladislav A./E-9558-2011; Chastikov, Alexander/ACX-8162-2022</t>
  </si>
  <si>
    <t xml:space="preserve">Chastikov, Alexander/0000-0002-1998-7787; Naumovich, Tatyana/0000-0002-3659-2664; Lesnikov, Vladislav A./0000-0002-5034-291X; </t>
  </si>
  <si>
    <t>978-1-5090-0693-9</t>
  </si>
  <si>
    <t>WOS:000400700700024</t>
  </si>
  <si>
    <t>Prozorov, DE; Chistyakov, AV</t>
  </si>
  <si>
    <t>Stukach, O</t>
  </si>
  <si>
    <t>Prozorov, Dmitry E.; Chistyakov, Anton V.</t>
  </si>
  <si>
    <t>Detection Algorithm of Activity of Cognitive Networks Primary Users</t>
  </si>
  <si>
    <t>2016 INTERNATIONAL SIBERIAN CONFERENCE ON CONTROL AND COMMUNICATIONS (SIBCON)</t>
  </si>
  <si>
    <t>IEEE International Siberian Conference on Control and Communications</t>
  </si>
  <si>
    <t>International Siberian Conference on Control and Communications (SIBCON)</t>
  </si>
  <si>
    <t>MAY 12-14, 2016</t>
  </si>
  <si>
    <t>Moscow, RUSSIA</t>
  </si>
  <si>
    <t>Inst Elect &amp; Elect Engineers,Natl Res Univ, Higher Sch Econ,IEEE, Russia Siberia Sect,Tomsk IEEE Chapter &amp; Student Branch,Krasnoyarsk IEEE Joint Chapter,IEEE Russia Siberia Sect, Graduates Last Decade Young Profess Affin Grp,Natl Instruments R &amp; D,IEEE Electron Devices Soc,Siberian Fed Univ,Natl Res Tomsk Polytechn Univ</t>
  </si>
  <si>
    <t>2380-6508</t>
  </si>
  <si>
    <t>978-1-4673-8383-7</t>
  </si>
  <si>
    <t>WOS:000383090900046</t>
  </si>
  <si>
    <t>Polovnikova, MY</t>
  </si>
  <si>
    <t>Polovnikova, M. Yu.</t>
  </si>
  <si>
    <t>European religious-political organisations in Palestine in the 2(nd) half of the 19(th) century. History and fates</t>
  </si>
  <si>
    <t>Половникова, Марина/AAG-9875-2020</t>
  </si>
  <si>
    <t>WOS:000295100200008</t>
  </si>
  <si>
    <t>Kolotilova, NV; Khitrin, SV; Fuks, SL; Gavrikova, AA</t>
  </si>
  <si>
    <t>Alcoholysis of amides, catalyzed by compounds of some metals</t>
  </si>
  <si>
    <t>Fuks, Sofja/AAB-4769-2019; Khitrin, Sergey/AAC-9299-2019</t>
  </si>
  <si>
    <t>Fuks, Sofja/0000-0002-9238-2944; Khitrin, Sergey/0000-0001-6874-6018</t>
  </si>
  <si>
    <t>WOS:000169540600013</t>
  </si>
  <si>
    <t>Kuklina, SS; Shevchenko, AI</t>
  </si>
  <si>
    <t>Kuklina, Svetlana S.; Shevchenko, Anna, I</t>
  </si>
  <si>
    <t>Experimental Verification of Methods for the Intercultural Competence Formation in the Professionally Oriented Informational Educational Environment of the University</t>
  </si>
  <si>
    <t>10.17223/15617793/464/24</t>
  </si>
  <si>
    <t>WOS:000662849700024</t>
  </si>
  <si>
    <t>Sergeev, DG; Marinin, EA; Kokorin, VV; Anufriev, DS</t>
  </si>
  <si>
    <t>Sergeev, D. G.; Marinin, E. A.; Kokorin, V. V.; Anufriev, D. S.</t>
  </si>
  <si>
    <t>The improvement of surface quality characteristics after mechanical treatment by pulse laser radiation</t>
  </si>
  <si>
    <t>MATERIALS TODAY-PROCEEDINGS</t>
  </si>
  <si>
    <t>International Conference on Modern Trends in Manufacturing Technologies and Equipment (ICMTME)</t>
  </si>
  <si>
    <t>SEP 07-11, 2020</t>
  </si>
  <si>
    <t>Sevastopol, RUSSIA</t>
  </si>
  <si>
    <t>Sevastopol State Univ</t>
  </si>
  <si>
    <t>Sergeev, Denis/0000-0001-6784-6754</t>
  </si>
  <si>
    <t>2214-7853</t>
  </si>
  <si>
    <t>10.1016/j.matpr.2020.08.165</t>
  </si>
  <si>
    <t>FEB 2021</t>
  </si>
  <si>
    <t>WOS:000624313400081</t>
  </si>
  <si>
    <t>Mashkovtsev, AA; Mashkovtseva,VV</t>
  </si>
  <si>
    <t>Mashkovtsev, Andrey A.; Mashkovtseva, Viktonya V.</t>
  </si>
  <si>
    <t>The repressive component in the confessional policy of Nicholas I in relation to the old believers (based on materials from the Vyatka province)</t>
  </si>
  <si>
    <t>Mashkovtsev, Andrey A/Q-3185-2017</t>
  </si>
  <si>
    <t>Mashkovtsev, Andrey A/0000-0001-8135-4043</t>
  </si>
  <si>
    <t>10.31166/VoprosyIstorii202201Statyi02</t>
  </si>
  <si>
    <t>WOS:000757092500024</t>
  </si>
  <si>
    <t>Zorin, Artem</t>
  </si>
  <si>
    <t>THE SOVIET UNION AND THE POST-WORLD WAR II FOREIGN POLICY OF CZECHOSLOVAKIA AS ASSESSED BY AMERICAN DIPLOMACY</t>
  </si>
  <si>
    <t>10.15826/qr.2021.3.628</t>
  </si>
  <si>
    <t>WOS:000727336000020</t>
  </si>
  <si>
    <t>Savinykh, NP; Shabalkina, SV</t>
  </si>
  <si>
    <t>Savinykh, N. P.; Shabalkina, S. V.</t>
  </si>
  <si>
    <t>Shoot-Formation Model as a Basis for Adaptations of Flowering Plants</t>
  </si>
  <si>
    <t>CONTEMPORARY PROBLEMS OF ECOLOGY</t>
  </si>
  <si>
    <t>/0000-0002-6157-1312</t>
  </si>
  <si>
    <t>1995-4255</t>
  </si>
  <si>
    <t>1995-4263</t>
  </si>
  <si>
    <t>10.1134/S1995425520030105</t>
  </si>
  <si>
    <t>WOS:000545495200003</t>
  </si>
  <si>
    <t>Kurbatova, E</t>
  </si>
  <si>
    <t>Kudryashov, D</t>
  </si>
  <si>
    <t>Kurbatova, Ekaterina</t>
  </si>
  <si>
    <t>Road Detection Based on Color and Geometry Characteristics</t>
  </si>
  <si>
    <t>2020 VI INTERNATIONAL CONFERENCE ON INFORMATION TECHNOLOGY AND NANOTECHNOLOGY (IEEE ITNT-2020)</t>
  </si>
  <si>
    <t>6th International Conference on Information Technology and Nanotechnology (IEEE ITNT)</t>
  </si>
  <si>
    <t>MAY 26-29, 2020</t>
  </si>
  <si>
    <t>Samara, RUSSIA</t>
  </si>
  <si>
    <t>IEEE,Samara Natl Res Univ,RAS, Image Proc Syst Inst</t>
  </si>
  <si>
    <t>Kurbatova, Ekaterina/A-6003-2014</t>
  </si>
  <si>
    <t>Kurbatova, Ekaterina/0000-0001-7173-9214</t>
  </si>
  <si>
    <t>978-1-7281-7041-1</t>
  </si>
  <si>
    <t>10.1109/ITNT49337.2020.9253206</t>
  </si>
  <si>
    <t>WOS:000647641500043</t>
  </si>
  <si>
    <t>Levashov, AP; Medvedev, OY</t>
  </si>
  <si>
    <t>Radionov, AA; Kravchenko, OA; Guzeev, VI; Rozhdestvenskiy, YV</t>
  </si>
  <si>
    <t>Levashov, A. P.; Medvedev, O. Yu</t>
  </si>
  <si>
    <t>Determination of Eigenforms and Frequencies of Transverse Vibrations of a Rod of Variable Cross Section in the Field of Centrifugal Forces</t>
  </si>
  <si>
    <t>PROCEEDINGS OF THE 5TH INTERNATIONAL CONFERENCE ON INDUSTRIAL ENGINEERING, ICIE 2019, VOL I</t>
  </si>
  <si>
    <t>Lecture Notes in Mechanical Engineering</t>
  </si>
  <si>
    <t>5th International Conference on Industrial Engineering (ICIE)</t>
  </si>
  <si>
    <t>MAR 25-29, 2019</t>
  </si>
  <si>
    <t>South Ural State Univ,Moscow Polytechn Univ,Platov S Russian State Polytechn Univ,Volgograd State Tech Univ</t>
  </si>
  <si>
    <t>2195-4356</t>
  </si>
  <si>
    <t>2195-4364</t>
  </si>
  <si>
    <t>978-3-030-22041-9; 978-3-030-22040-2</t>
  </si>
  <si>
    <t>10.1007/978-3-030-22041-9_80</t>
  </si>
  <si>
    <t>WOS:000613138500080</t>
  </si>
  <si>
    <t>Soboleva, EV</t>
  </si>
  <si>
    <t>Soboleva, Elena V.</t>
  </si>
  <si>
    <t>Quest in a Digital School: the Potential and Peculiarities of Mobile Technology Implementation</t>
  </si>
  <si>
    <t>SEP</t>
  </si>
  <si>
    <t>10.13187/ejced.2019.3.613</t>
  </si>
  <si>
    <t>WOS:000486437000014</t>
  </si>
  <si>
    <t>Tatarinova, MN; Sungurova, OV</t>
  </si>
  <si>
    <t>Tatarinova, M. N.; Sungurova, O. V.</t>
  </si>
  <si>
    <t>THE IMPLEMENTATION OF EMOTIONALLY-VALUABLE COMPONENT OF THE CONTENT OF FOREIGN-LANGUAGE EDUCATION (ON THE MATERIAL OF STUDY COURSE SPOTLIGHT). Part II</t>
  </si>
  <si>
    <t>10.17853/1994-5639-2019-7-164-202</t>
  </si>
  <si>
    <t>WOS:000497661800007</t>
  </si>
  <si>
    <t>Naumova, NG</t>
  </si>
  <si>
    <t>Naumova, Natalya G.</t>
  </si>
  <si>
    <t>Features of the Semantics and Functioning of the Preposition PO in Modern Russian (On the Material of Texts of the Scientific and Official Style)</t>
  </si>
  <si>
    <t>Naumova, Natalya/ABD-2249-2020</t>
  </si>
  <si>
    <t>Naumova, Natalya/0000-0002-4876-6019</t>
  </si>
  <si>
    <t>10.17223/15617793/441/6</t>
  </si>
  <si>
    <t>WOS:000468214400006</t>
  </si>
  <si>
    <t>Bykova, SS; Buldakova, NV</t>
  </si>
  <si>
    <t>Erlikh, VV; Smolina, SG</t>
  </si>
  <si>
    <t>Bykova, Svetlana Stanislavovna; Buldakova, Natalia Viktorovna</t>
  </si>
  <si>
    <t>Shaping a healthy lifestyle attitude in adolescents in extra curricular learning</t>
  </si>
  <si>
    <t>PROCEEDINGS OF THE 4TH INTERNATIONAL CONFERENCE ON INNOVATIONS IN SPORTS, TOURISM AND INSTRUCTIONAL SCIENCE (ICISTIS 2019)</t>
  </si>
  <si>
    <t>Advances in Health Sciences Research</t>
  </si>
  <si>
    <t>4th International Conference on Innovations in Sports, Tourism and Instructional Science (ICISTIS)</t>
  </si>
  <si>
    <t>DEC 05-06, 2019</t>
  </si>
  <si>
    <t>S Ural State Univ, Inst Sports, Tourism &amp; Serv, Chelyabinsk, RUSSIA</t>
  </si>
  <si>
    <t>S Ural State Univ, Inst Sports, Tourism &amp; Serv</t>
  </si>
  <si>
    <t>2468-5739</t>
  </si>
  <si>
    <t>978-94-6252-832-1</t>
  </si>
  <si>
    <t>WOS:000625435700011</t>
  </si>
  <si>
    <t>Mansurova, IA; Yurkin, YV; Shilov, IB; Burkov, AA; Belozerov, VS; Koshkin, IY</t>
  </si>
  <si>
    <t>Mansurova, I. A.; Yurkin, Yu. V.; Shilov, I. B.; Burkov, A. A.; Belozerov, V. S.; Koshkin, I. Yu.</t>
  </si>
  <si>
    <t>INFLUENCE OF SURFACE CHEMISTRY OF THE FILLER AND THERMAL MODIFICATION OF BNKS-40 / PVC COMPOSITIONS ON THE VIBRO-ABSORBING PROPERTIES OF THE MATERIAL</t>
  </si>
  <si>
    <t>IZVESTIYA VYSSHIKH UCHEBNYKH ZAVEDENII KHIMIYA I KHIMICHESKAYA TEKHNOLOGIYA</t>
  </si>
  <si>
    <t>Shilov, Ivan/ABA-7069-2021; Belozerov, Vladislav/B-7087-2019; Burkov, Andrey/ABB-8219-2021</t>
  </si>
  <si>
    <t>Belozerov, Vladislav/0000-0002-9930-5458; Burkov, Andrey/0000-0002-3627-1262; Shilov, Ivan/0000-0002-0896-095X</t>
  </si>
  <si>
    <t>0579-2991</t>
  </si>
  <si>
    <t>2500-3070</t>
  </si>
  <si>
    <t>10.6060/ivkkt.20196209.5920</t>
  </si>
  <si>
    <t>WOS:000484823500009</t>
  </si>
  <si>
    <t>MARKETING CONCEPT OF MANAGING THE REORGANIZATION OF ENTREPRENEURIAL STRUCTURES USING THE LATEST INFORMATION TECHNOLOGIES</t>
  </si>
  <si>
    <t>QUALITY-ACCESS TO SUCCESS</t>
  </si>
  <si>
    <t>1582-2559</t>
  </si>
  <si>
    <t>WOS:000450658500021</t>
  </si>
  <si>
    <t>Avdeeva, MS; Tulyakova, OV</t>
  </si>
  <si>
    <t>Avdeeva, M. S.; Tulyakova, O. V.</t>
  </si>
  <si>
    <t>Indicated factors of physical development, physical readiness, functional condition and efficiency of female students in the process of adaptation to training</t>
  </si>
  <si>
    <t>PHYSICAL EDUCATION OF STUDENTS</t>
  </si>
  <si>
    <t>Avdeeva, Marina S./J-9840-2018; Tulyakova, Olga/O-8534-2017</t>
  </si>
  <si>
    <t>Avdeeva, Marina S./0000-0002-6760-7347; Tulyakova, Olga/0000-0002-2095-4309</t>
  </si>
  <si>
    <t>2075-5279</t>
  </si>
  <si>
    <t>2308-7250</t>
  </si>
  <si>
    <t>10.15561/20755279.2018.0101</t>
  </si>
  <si>
    <t>WOS:000429273100001</t>
  </si>
  <si>
    <t>Plotnikov, SA; Kartashevich, AN; Buzikov, SV</t>
  </si>
  <si>
    <t>Plotnikov, S. A.; Kartashevich, A. N.; Buzikov, S. V.</t>
  </si>
  <si>
    <t>Analysis of pre-heated fuel combustion and heat-emission dynamics in a diesel engine</t>
  </si>
  <si>
    <t>XI INTERNATIONAL SCIENTIFIC AND TECHNICAL CONFERENCE - APPLIED MECHANICS AND DYNAMICS SYSTEMS</t>
  </si>
  <si>
    <t>11th International Scientific and Technical Conference on Applied Mechanics and Dynamics Systems</t>
  </si>
  <si>
    <t>NOV 14-16, 2017</t>
  </si>
  <si>
    <t>Omsk, RUSSIA</t>
  </si>
  <si>
    <t>Plotnikov, Sergej A/R-8491-2016; Buzikov, Shamil V/I-3817-2017</t>
  </si>
  <si>
    <t>Plotnikov, Sergej A/0000-0002-8887-4591; Buzikov, Shamil V/0000-0003-3769-3253</t>
  </si>
  <si>
    <t>10.1088/1742-6596/944/1/012089</t>
  </si>
  <si>
    <t>WOS:000431622000089</t>
  </si>
  <si>
    <t>Tarasov, KN; Mokerova, EY; Nemchaninova, EN; Bykova, EV</t>
  </si>
  <si>
    <t>Tarasov, Konstantin N.; Mokerova, Elena Yu; Nemchaninova, Evgenia N.; Bykova, Ekaterina, V</t>
  </si>
  <si>
    <t>Russian Conservatism of the beginning of the 20th century: Between Dogma, Illusion and Reality</t>
  </si>
  <si>
    <t>BYLYE GODY</t>
  </si>
  <si>
    <t>Nemchaninova, Evgeniya/AAH-1045-2020; Bykova, Ekaterina V/I-6317-2016; Tarasov, Konstantin/AAH-8945-2019</t>
  </si>
  <si>
    <t>Tarasov, Konstantin/0000-0002-3050-0239</t>
  </si>
  <si>
    <t>2073-9745</t>
  </si>
  <si>
    <t>10.13187/bg.2018.4.1725</t>
  </si>
  <si>
    <t>WOS:000451963100038</t>
  </si>
  <si>
    <t>Kuzmin, VA; Maratkanova, EI; Zagrai, IA</t>
  </si>
  <si>
    <t>Radionov, AA</t>
  </si>
  <si>
    <t>Kuzmin, V. A.; Maratkanova, E. I.; Zagrai, I. A.</t>
  </si>
  <si>
    <t>Modeling of Thermal Radiation of Heterogeneous Combustion Products in the Model Solid Rocket Engine Plume</t>
  </si>
  <si>
    <t>INTERNATIONAL CONFERENCE ON INDUSTRIAL ENGINEERING (ICIE 2017)</t>
  </si>
  <si>
    <t>Procedia Engineering</t>
  </si>
  <si>
    <t>International Conference on Industrial Engineering (ICIE)</t>
  </si>
  <si>
    <t>MAY 16-19, 2017</t>
  </si>
  <si>
    <t>Saint Petersburg, RUSSIA</t>
  </si>
  <si>
    <t>Peter Great Saint Petersburg Polytechn Univ,S Ural State Univ,Platov S Russian State Polytechn Univ,Far Eastern Fed Univ</t>
  </si>
  <si>
    <t>1877-7058</t>
  </si>
  <si>
    <t>10.1016/j.proeng.2017.10.716</t>
  </si>
  <si>
    <t>WOS:000425674300290</t>
  </si>
  <si>
    <t>Computation of the energy detector threshold for various approximations of noise power distribution</t>
  </si>
  <si>
    <t>2017 IEEE EAST-WEST DESIGN &amp; TEST SYMPOSIUM (EWDTS)</t>
  </si>
  <si>
    <t>2017 IEEE East-West Design &amp; Test Symposium (EWDTS)</t>
  </si>
  <si>
    <t>SEP 29-OCT 02, 2017</t>
  </si>
  <si>
    <t>Novi Sad, SERBIA</t>
  </si>
  <si>
    <t>IEEE,IEEE Comp Soc,tttc</t>
  </si>
  <si>
    <t>Chastikov, Alexander/A-5560-2014; Chastikov, Alexander/ACX-8162-2022; Lesnikov, Vladislav A./E-9558-2011; Naumovich, Tatyana/B-8000-2017</t>
  </si>
  <si>
    <t>Chastikov, Alexander/0000-0002-1998-7787; Lesnikov, Vladislav A./0000-0002-5034-291X; Naumovich, Tatyana/0000-0002-3659-2664</t>
  </si>
  <si>
    <t>978-1-5386-3299-4</t>
  </si>
  <si>
    <t>WOS:000426878200006</t>
  </si>
  <si>
    <t>Isupov, K; Knyazkov, V</t>
  </si>
  <si>
    <t>Isupov, Konstantin; Knyazkov, Vladimir</t>
  </si>
  <si>
    <t>RNS-based Data Representation for Handling Multiple-Precision Integers on Parallel Architectures</t>
  </si>
  <si>
    <t>2016 INTERNATIONAL CONFERENCE ON ENGINEERING AND TELECOMMUNICATION (ENT 2016)</t>
  </si>
  <si>
    <t>International Conference on Engineering and Telecommunication (EnT)</t>
  </si>
  <si>
    <t>NOV 29-30, 2016</t>
  </si>
  <si>
    <t>Moscow Inst Phys &amp; Technol, Moscow, RUSSIA</t>
  </si>
  <si>
    <t>IEEE,IEEE Comp Soc,Mediterranean Inst Appl Sci</t>
  </si>
  <si>
    <t>Moscow Inst Phys &amp; Technol</t>
  </si>
  <si>
    <t>Knyazkov, Vladimir Sergeevich/T-4089-2018; Isupov, Konstantin/K-5843-2015</t>
  </si>
  <si>
    <t>Knyazkov, Vladimir Sergeevich/0000-0003-3820-6541; Isupov, Konstantin/0000-0003-0239-0404</t>
  </si>
  <si>
    <t>978-1-5090-4553-2</t>
  </si>
  <si>
    <t>10.1109/EnT.2016.23</t>
  </si>
  <si>
    <t>WOS:000404436600017</t>
  </si>
  <si>
    <t>Effect of Aging on the Hardness and Structure of Quenched and Deformed Alloy Zn-23% Al</t>
  </si>
  <si>
    <t>METAL SCIENCE AND HEAT TREATMENT</t>
  </si>
  <si>
    <t>Skvortsov, Arkadiy/J-7606-2012</t>
  </si>
  <si>
    <t>Skvortsov, Arkadiy/0000-0002-9935-951X</t>
  </si>
  <si>
    <t>0026-0673</t>
  </si>
  <si>
    <t>1573-8973</t>
  </si>
  <si>
    <t>11-12</t>
  </si>
  <si>
    <t>10.1007/s11041-015-9821-6</t>
  </si>
  <si>
    <t>WOS:000352980200020</t>
  </si>
  <si>
    <t>Chistyakov, A</t>
  </si>
  <si>
    <t>AlDabass, D; Colla, V; Vannucci, M; Pantelous, A</t>
  </si>
  <si>
    <t>Chistyakov, Anton</t>
  </si>
  <si>
    <t>A Software Architecture for Large Multi-simulation Experiments over Ad-hoc Networks Using NS-3 Discrete-event Network Simulator</t>
  </si>
  <si>
    <t>UKSIM-AMSS EIGHTH EUROPEAN MODELLING SYMPOSIUM ON COMPUTER MODELLING AND SIMULATION (EMS 2014)</t>
  </si>
  <si>
    <t>8th UKSim-AMSS European Modelling Symposium on Computer Modelling and Simulation (EMS)</t>
  </si>
  <si>
    <t>OCT 21-23, 2014</t>
  </si>
  <si>
    <t>Pisa, ITALY</t>
  </si>
  <si>
    <t>UK Simulat Soc,Asia Modelling &amp; Simulat Sect,IEEE UK &amp; RI Sect,IEEE Reg 8,Scuola Super Sant Anna,European Simulat Federat,European Council Modelling &amp; Simulat,Manchester Metropolitan Univ,Univ Politecnica Madrid,Kingston Univ,Liverpool Univ,Univ Technol Malaysia,Univ Malaysia Pahang,Univ Malaysia Sabah,Nottingham Trent Univ,IEEE Comp Soc,IEEE,Inst Teknologi Bandung,IEEE Comp Soc UK &amp; RI Sect,Univ Manchester,Univ Malta,McLeod Inst Simulat Sci,Riga Univ Technol</t>
  </si>
  <si>
    <t>Zalygin, Anton/AAC-9031-2022</t>
  </si>
  <si>
    <t>Zalygin, Anton/0000-0003-0132-0674</t>
  </si>
  <si>
    <t>978-1-4799-7412-2</t>
  </si>
  <si>
    <t>10.1109/EMS.2014.71</t>
  </si>
  <si>
    <t>WOS:000411856100067</t>
  </si>
  <si>
    <t>Trushkova, IY</t>
  </si>
  <si>
    <t>Trushkova, I. Yu.</t>
  </si>
  <si>
    <t>WOMAN AND MAN IN VYATKA REGION'S TRADITIONAL CULTURE: GENDER PORTRAIT'S SPECIFIC</t>
  </si>
  <si>
    <t>Trushkova, Irina/C-5994-2019</t>
  </si>
  <si>
    <t>Trushkova, Irina/0000-0003-2944-2446</t>
  </si>
  <si>
    <t>WOS:000358190200039</t>
  </si>
  <si>
    <t>Shevchenko, EA; Bessolitsyna, EA; Darmov, IV</t>
  </si>
  <si>
    <t>Shevchenko, E. A.; Bessolitsyna, E. A.; Darmov, I. V.</t>
  </si>
  <si>
    <t>Identification of Genes Encoding Ligninolytic Enzymes in Naturally Occurring Basidiomycete Isolates</t>
  </si>
  <si>
    <t>APPLIED BIOCHEMISTRY AND MICROBIOLOGY</t>
  </si>
  <si>
    <t>Shevchenko, Evgeny/C-1914-2014</t>
  </si>
  <si>
    <t>0003-6838</t>
  </si>
  <si>
    <t>1608-3024</t>
  </si>
  <si>
    <t>10.1134/S0003683813030150</t>
  </si>
  <si>
    <t>WOS:000318798500010</t>
  </si>
  <si>
    <t>Mashkovtsev, AA</t>
  </si>
  <si>
    <t>Mashkovtsev, A. A.</t>
  </si>
  <si>
    <t>The Polish resurrection of 1863-1864 and catholic communities in Kazan and Viatka</t>
  </si>
  <si>
    <t>WOS:000326774100013</t>
  </si>
  <si>
    <t>Khitrin, SV; Fuks, SL; Ryazantseva, EA; Ryazanskaya, YV</t>
  </si>
  <si>
    <t>Khitrin, S. V.; Fuks, S. L.; Ryazantseva, E. A.; Ryazanskaya, Yu. V.</t>
  </si>
  <si>
    <t>Preparation of composite electrochemical coatings using fluoropolymer production wastes</t>
  </si>
  <si>
    <t>10.1134/S1070427212050195</t>
  </si>
  <si>
    <t>WOS:000306594000019</t>
  </si>
  <si>
    <t>Vechtomov, EM; Chuprakov, DV</t>
  </si>
  <si>
    <t>Vechtomov, E. M.; Chuprakov, D. V.</t>
  </si>
  <si>
    <t>Extension of congruences on semirings of continuous functions</t>
  </si>
  <si>
    <t>MATHEMATICAL NOTES</t>
  </si>
  <si>
    <t>Vechtomov, Evgeniy/O-5472-2019; Vechtomov, Evgenii M./I-5421-2017</t>
  </si>
  <si>
    <t>Vechtomov, Evgeniy/0000-0002-3490-2956; Vechtomov, Evgenii M./0000-0002-3490-2956; Chuprakov, Dmitriy/0000-0003-0042-3700</t>
  </si>
  <si>
    <t>0001-4346</t>
  </si>
  <si>
    <t>1573-8876</t>
  </si>
  <si>
    <t>5-6</t>
  </si>
  <si>
    <t>10.1134/S0001434609050198</t>
  </si>
  <si>
    <t>WOS:000267684500019</t>
  </si>
  <si>
    <t>Bakulin, MK; Grudtsyna, AS; Pletneva, AY</t>
  </si>
  <si>
    <t>Bakulin, M. K.; Grudtsyna, A. S.; Pletneva, A. Yu.</t>
  </si>
  <si>
    <t>Biological fixation of nitrogen and growth of bacteria of the genus Azotobacter in liquid media in the presence of perfluorocarbons</t>
  </si>
  <si>
    <t>10.1134/S0003683807040072</t>
  </si>
  <si>
    <t>WOS:000248054600007</t>
  </si>
  <si>
    <t>Bakulin, MK; Grudtsyna, AS; Pletneva, AY; Kucherenko, AS; Lyapustin, AV; Malakhov, IG</t>
  </si>
  <si>
    <t>Bakulin, M. K.; Grudtsyna, A. S.; Pletneva, A. Yu.; Kucherenko, A. S.; Lyapustin, A. V.; Malakhov, I. G.</t>
  </si>
  <si>
    <t>Effect of perfluorodecalin, carbogal, and perfluoromethyldecalin on growth and ice-forming activity of bacteria</t>
  </si>
  <si>
    <t>MICROBIOLOGY</t>
  </si>
  <si>
    <t>0026-2617</t>
  </si>
  <si>
    <t>1608-3237</t>
  </si>
  <si>
    <t>10.1134/S002626170603012X</t>
  </si>
  <si>
    <t>WOS:000238267100012</t>
  </si>
  <si>
    <t>Sokovnin, OM; Zagoskina, NV; Zykin, YV</t>
  </si>
  <si>
    <t>Optimizing the spraying pressure for cocurrent scrubbers</t>
  </si>
  <si>
    <t>SEP-OCT</t>
  </si>
  <si>
    <t>10.1023/A:1012394524649</t>
  </si>
  <si>
    <t>WOS:000171839100018</t>
  </si>
  <si>
    <t>Skvortsov, AI; Kondratov, VM</t>
  </si>
  <si>
    <t>Magnetomechanical damping and physical properties of damping iron alloys</t>
  </si>
  <si>
    <t>10.1007/BF02467476</t>
  </si>
  <si>
    <t>WOS:000077330900001</t>
  </si>
  <si>
    <t>Shishkina, SV; Maslenikova, IY; Alalykina, I</t>
  </si>
  <si>
    <t>Electrodialysis of solutions containing surfactants</t>
  </si>
  <si>
    <t>20th Seminar on Membrane Electrochemistry</t>
  </si>
  <si>
    <t>ANAPA, RUSSIA</t>
  </si>
  <si>
    <t>Kuban State Univ,State Comm Higher Educ Russia,Membrannaya Tekhnologiya Innovat Enterprise,XII Univ Paris,Membrane Club France</t>
  </si>
  <si>
    <t>Shishkina, Svitlana/Q-1669-2019</t>
  </si>
  <si>
    <t>Shishkina, Svitlana/0000-0002-3946-1061</t>
  </si>
  <si>
    <t>WOS:A1996TY61200025</t>
  </si>
  <si>
    <t>Mosunova, LA; Mityagina, EV; Ananin, PV</t>
  </si>
  <si>
    <t>Mosunova, L. A.; Mityagina, E. V.; Ananin, P. V.</t>
  </si>
  <si>
    <t>Automatic Extraction of Value-Semantic Components of the Cultural Codes from a Corpus of Readers' Reviews</t>
  </si>
  <si>
    <t>AUTOMATIC DOCUMENTATION AND MATHEMATICAL LINGUISTICS</t>
  </si>
  <si>
    <t>Mitiagina, Ekaterina/N-5272-2016</t>
  </si>
  <si>
    <t>Mitiagina, Ekaterina/0000-0002-7294-4508</t>
  </si>
  <si>
    <t>0005-1055</t>
  </si>
  <si>
    <t>1934-8371</t>
  </si>
  <si>
    <t>10.3103/S0005105522030037</t>
  </si>
  <si>
    <t>WOS:000840844200004</t>
  </si>
  <si>
    <t>Kuklina, SS; Tatarinova, MN</t>
  </si>
  <si>
    <t>Kuklina, Svetlana S.; Tatarinova, Maya N.</t>
  </si>
  <si>
    <t>The Content of the Emotional Component of Foreign-Language Education: Principles of Selection and Organization</t>
  </si>
  <si>
    <t>10.17223/15617793/468/24</t>
  </si>
  <si>
    <t>WOS:000727809000024</t>
  </si>
  <si>
    <t>Demshina, NV; Mosunova, LA</t>
  </si>
  <si>
    <t>Demshina, N., V; Mosunova, L. A.</t>
  </si>
  <si>
    <t>The Principle of Complementary Interactivity in Information Work with Schoolchildren</t>
  </si>
  <si>
    <t>SCIENTIFIC AND TECHNICAL INFORMATION PROCESSING</t>
  </si>
  <si>
    <t>Mosunova, Ludmila/I-1314-2018</t>
  </si>
  <si>
    <t>Mosunova, Ludmila/0000-0002-2130-6872</t>
  </si>
  <si>
    <t>0147-6882</t>
  </si>
  <si>
    <t>1934-8118</t>
  </si>
  <si>
    <t>10.3103/S0147688221020064</t>
  </si>
  <si>
    <t>WOS:000694881900005</t>
  </si>
  <si>
    <t>Recursive Numerically-Controlled Polynomial Phase Signal Oscillator</t>
  </si>
  <si>
    <t>INTERNATIONAL SIBERIAN CONFERENCE ON CONTROL AND COMMUNICATIONS (SIBCON 2021 )</t>
  </si>
  <si>
    <t>MAY 13-15, 2021</t>
  </si>
  <si>
    <t>Tomsk IEEE Chapter &amp; Student Branch,Inst Elect &amp; Elect Engineers,EEE Electron Devices Soc,eSystems Eng Soc, Russian Branch</t>
  </si>
  <si>
    <t>Chastikov, Alexander/A-5560-2014; Lesnikov, Vladislav A./E-9558-2011; Naumovich, Tatyana/B-8000-2017; Chastikov, Alexander/ACX-8162-2022</t>
  </si>
  <si>
    <t xml:space="preserve">Chastikov, Alexander/0000-0002-1998-7787; Lesnikov, Vladislav A./0000-0002-5034-291X; Naumovich, Tatyana/0000-0002-3659-2664; </t>
  </si>
  <si>
    <t>978-1-7281-8504-0</t>
  </si>
  <si>
    <t>10.1109/SIBCON50419.2021.9438922</t>
  </si>
  <si>
    <t>WOS:000680842100070</t>
  </si>
  <si>
    <t>Utemov, V; Gorbushina, A</t>
  </si>
  <si>
    <t>Shirin, AG; Zvyaglova, MV; Fikhtner, OA; Ignateva, EY; Shaydorova, NA</t>
  </si>
  <si>
    <t>Utemov, Vyacheslav; Gorbushina, Anastasiya</t>
  </si>
  <si>
    <t>PSYCHOLOGICAL PREPAREDNESS OF UNIVERSITY TEACHERS TO WORK IN INCLUSION</t>
  </si>
  <si>
    <t>EDUCATION IN A CHANGING WORLD: GLOBAL CHALLENGES AND NATIONAL PRIORITIES</t>
  </si>
  <si>
    <t>International Scientific-Practical Conference on Education in a Changing World (EdCW) - Global Challenges and National Priorities</t>
  </si>
  <si>
    <t>OCT 08-09, 2020</t>
  </si>
  <si>
    <t>Yaroslav Wise Novgorod State Univ, Veliky Novogorod, RUSSIA</t>
  </si>
  <si>
    <t>Russian Sci Fdn,Russian Fdn Basic Res,Russian State Humanitarian Res Fdn</t>
  </si>
  <si>
    <t>Yaroslav Wise Novgorod State Univ</t>
  </si>
  <si>
    <t>978-1-80296-113-3</t>
  </si>
  <si>
    <t>10.15405/epsbs.2021.07.02.40</t>
  </si>
  <si>
    <t>WOS:000771919100040</t>
  </si>
  <si>
    <t>Sidorov, VV</t>
  </si>
  <si>
    <t>Sidorov, V. V.</t>
  </si>
  <si>
    <t>Isomorphisms of Semirings of Continuous Nonnegative Functions and the Lattices of Their Subalgebras</t>
  </si>
  <si>
    <t>LOBACHEVSKII JOURNAL OF MATHEMATICS</t>
  </si>
  <si>
    <t>Sidorov, Vadim V.V./N-1278-2016</t>
  </si>
  <si>
    <t>Sidorov, Vadim V.V./0000-0002-7303-4485</t>
  </si>
  <si>
    <t>1995-0802</t>
  </si>
  <si>
    <t>1818-9962</t>
  </si>
  <si>
    <t>10.1134/S1995080220090255</t>
  </si>
  <si>
    <t>WOS:000587460100010</t>
  </si>
  <si>
    <t>Volotskoy, A; Yurkin, Y; Avdonin, V</t>
  </si>
  <si>
    <t>Volotskoy, Alexey; Yurkin, Yuriy; Avdonin, Valeriy</t>
  </si>
  <si>
    <t>New Thermoplastic Damping Polymeric Materials Based on Ethylene-Vinyl Acetate</t>
  </si>
  <si>
    <t>MATERIALE PLASTICE</t>
  </si>
  <si>
    <t>Polymer Processing in Engineering (PPE) Conference</t>
  </si>
  <si>
    <t>OCT 07-09, 2019</t>
  </si>
  <si>
    <t>Galati, ROMANIA</t>
  </si>
  <si>
    <t>Avdonin, Valeriy V. V./N-3233-2016; Yurkin, Yuiy/AAD-4331-2021</t>
  </si>
  <si>
    <t xml:space="preserve">Avdonin, Valeriy V. V./0000-0002-1069-2413; </t>
  </si>
  <si>
    <t>0025-5289</t>
  </si>
  <si>
    <t>2668-8220</t>
  </si>
  <si>
    <t>10.37358/mp.20.1.5313</t>
  </si>
  <si>
    <t>WOS:000528195000009</t>
  </si>
  <si>
    <t>Chernova, OV; Zhykovin, SV</t>
  </si>
  <si>
    <t>Chernova, O., V; Zhykovin, S., V</t>
  </si>
  <si>
    <t>REDUCTION KINETICS OF TERBIUM IONS IN EQUIMOLAR MELTING SODIUM AND POTASSIUM CHLORIDE</t>
  </si>
  <si>
    <t>Chernova, Olga V/S-4511-2018</t>
  </si>
  <si>
    <t>Chernova, Olga V/0000-0002-3773-2796</t>
  </si>
  <si>
    <t>10.6060/ivkkt.20206301.6051</t>
  </si>
  <si>
    <t>WOS:000502525400009</t>
  </si>
  <si>
    <t>Izotov, SA; Izotov, AI; Fominyh, AA</t>
  </si>
  <si>
    <t>Izotov, S. A.; Izotov, A. I.; Fominyh, A. A.</t>
  </si>
  <si>
    <t>Influence of Physicochemical Processes on Reliability of Node of Sliding Current Collector of Electric Machines</t>
  </si>
  <si>
    <t>Izotov, Anatoliy/ABA-3776-2020</t>
  </si>
  <si>
    <t>Izotov, Anatoliy/0000-0003-4943-2499</t>
  </si>
  <si>
    <t>10.1007/978-3-030-22041-9_113</t>
  </si>
  <si>
    <t>WOS:000613138500113</t>
  </si>
  <si>
    <t>Baykova, O; Obukhova, O; Porchesku, G</t>
  </si>
  <si>
    <t>Baykova, Olga; Obukhova, Olga; Porchesku, Galina</t>
  </si>
  <si>
    <t>Intonation Contours in Spontaneous Speech of Russian Germans: An Experimental Study of German language Islands</t>
  </si>
  <si>
    <t>AMAZONIA INVESTIGA</t>
  </si>
  <si>
    <t>Porchesku, Galina/AAZ-8186-2020</t>
  </si>
  <si>
    <t>Porchesku, Galina/0000-0003-1423-3510</t>
  </si>
  <si>
    <t>2322-6307</t>
  </si>
  <si>
    <t>WOS:000485631000022</t>
  </si>
  <si>
    <t>Nemchaninova, EN; Polovnikova, MY</t>
  </si>
  <si>
    <t>Nemchaninova, Evgeniya N.; Polovnikova, Marina Y.</t>
  </si>
  <si>
    <t>THE GOVERNOR AND DIOCESAN IN THE SYSTEM OF CHURCH-STATE RELATIONS IN THE SECOND HALF OF THE XIX - EARLY XX CENTURIES (ON THE MATERIALS OF THE VYATKA PROVINCE)</t>
  </si>
  <si>
    <t>VESTNIK TOMSKOGO GOSUDARSTVENNOGO UNIVERSITETA ISTORIYA-TOMSK STATE UNIVERSITY JOURNAL OF HISTORY</t>
  </si>
  <si>
    <t>Nemchaninova, Evgeniya/AAH-1045-2020; Половникова, Марина/AAG-9875-2020</t>
  </si>
  <si>
    <t>1998-8613</t>
  </si>
  <si>
    <t>2311-2387</t>
  </si>
  <si>
    <t>10.17223/19988613/62/9</t>
  </si>
  <si>
    <t>WOS:000510467300009</t>
  </si>
  <si>
    <t>Avdeeva, MS</t>
  </si>
  <si>
    <t>Avdeeva, M. S.</t>
  </si>
  <si>
    <t>Physical development and physical fitness of 7-8-year-old girls with peculiarities of perinatal development period</t>
  </si>
  <si>
    <t>YAKUT MEDICAL JOURNAL</t>
  </si>
  <si>
    <t>1813-1905</t>
  </si>
  <si>
    <t>2312-1017</t>
  </si>
  <si>
    <t>10.25789/YMJ.2018.64.17</t>
  </si>
  <si>
    <t>WOS:000453449700017</t>
  </si>
  <si>
    <t>Kurbatova, E; Medvedeva, E</t>
  </si>
  <si>
    <t>Kurbatova, Ekaterina; Medvedeva, Elena</t>
  </si>
  <si>
    <t>A Method for Texture Segmentation of the Multidimensional Images</t>
  </si>
  <si>
    <t>2018 7TH MEDITERRANEAN CONFERENCE ON EMBEDDED COMPUTING (MECO)</t>
  </si>
  <si>
    <t>7th Mediterranean Conference on Embedded Computing (MECO)</t>
  </si>
  <si>
    <t>JUN 10-14, 2018</t>
  </si>
  <si>
    <t>IEEE,EUROMICRO,MANT,MECOnet,Univ Montenegro,Ryazan State Radio Engn Univ,Eindhoven Tech Univ,Univ Zagreb,Minist Sci Montenegro,Cikom Co,FER,Plantaze</t>
  </si>
  <si>
    <t>Medvedeva, Elena V./A-5714-2014; Kurbatova, Ekaterina/A-6003-2014</t>
  </si>
  <si>
    <t>Medvedeva, Elena V./0000-0002-0677-1418; Kurbatova, Ekaterina/0000-0001-7173-9214</t>
  </si>
  <si>
    <t>978-1-5386-5683-9</t>
  </si>
  <si>
    <t>WOS:000644432200078</t>
  </si>
  <si>
    <t>Lanskikh, VG; Vakhrushev, VY; Lanskikh, YV</t>
  </si>
  <si>
    <t>Lanskikh, V. G.; Vakhrushev, V. Yu; Lanskikh, Yu., V</t>
  </si>
  <si>
    <t>Method of Synthesizing Non-Linear Pseudo-Random Sequence Generator</t>
  </si>
  <si>
    <t>Lanskikh, Yury V./B-3801-2017</t>
  </si>
  <si>
    <t>Lanskikh, Yury V./0000-0002-0922-1200</t>
  </si>
  <si>
    <t>WOS:000478963800053</t>
  </si>
  <si>
    <t>Sensitivity analysis of the equivalent direct form of IIR digital filters</t>
  </si>
  <si>
    <t>WOS:000517795800099</t>
  </si>
  <si>
    <t>Prozorov, D; Tatarinova, A</t>
  </si>
  <si>
    <t>Prozorov, Dmitriy; Tatarinova, Alexandra</t>
  </si>
  <si>
    <t>Analysis Of The Computational Complexity Of Algorithms For Phonemic Transcription</t>
  </si>
  <si>
    <t>WOS:000517795800058</t>
  </si>
  <si>
    <t>Khitrin, KS; Meteleva, DS; Fuks, SL; Khitrin, SV; Nisanbaeva, YR</t>
  </si>
  <si>
    <t>Khitrin, K. S.; Meteleva, D. S.; Fuks, S. L.; Khitrin, S. V.; Nisanbaeva, Yu. R.</t>
  </si>
  <si>
    <t>Development of the Method for Determination of the Content of Softwood Component in Lignins</t>
  </si>
  <si>
    <t>10.1134/S1070427211120263</t>
  </si>
  <si>
    <t>WOS:000300088400026</t>
  </si>
  <si>
    <t>Bobrov, MN; Khranilov, YP</t>
  </si>
  <si>
    <t>Bobrov, M. N.; Khranilov, Yu. P.</t>
  </si>
  <si>
    <t>Preparation of Compact Copper from Slurries Formed in Etching of Printed-Circuit Boards</t>
  </si>
  <si>
    <t>OCT</t>
  </si>
  <si>
    <t>10.1134/S1070427208100133</t>
  </si>
  <si>
    <t>WOS:000263171600013</t>
  </si>
  <si>
    <t>Sokovnin, OM; Zagoskina, NV; Zagoskin, SN</t>
  </si>
  <si>
    <t>Sokovnin, O. M.; Zagoskina, N. V.; Zagoskin, S. N.</t>
  </si>
  <si>
    <t>Choice of boundary conditions for studying the behavior of the swarm of spherical particles traveling through a non-Newtonian liquid</t>
  </si>
  <si>
    <t>AUG</t>
  </si>
  <si>
    <t>10.1134/S0040579508040040</t>
  </si>
  <si>
    <t>WOS:000258408800004</t>
  </si>
  <si>
    <t>Berdinskikh, IV</t>
  </si>
  <si>
    <t>Berdinskikh, I. V.</t>
  </si>
  <si>
    <t>Index of repressed people</t>
  </si>
  <si>
    <t>WOS:000253186900027</t>
  </si>
  <si>
    <t>Makhniov, AS</t>
  </si>
  <si>
    <t>Matvienko, GG; Banakh, VA</t>
  </si>
  <si>
    <t>Makhniov, Anatoli S.</t>
  </si>
  <si>
    <t>About use of Cartesian coordinates in molecular spectroscopy of atmospheric gases</t>
  </si>
  <si>
    <t>FOURTEENTH INTERNATIONAL SYMPOSIUM ON ATMOSPHERIC AND OCEAN OPTICS/ATMOSPHERIC PHYSICS</t>
  </si>
  <si>
    <t>Proceedings of SPIE</t>
  </si>
  <si>
    <t>14th International Symposium on Atmospheric and Ocean Optics/Atmospheric Physics</t>
  </si>
  <si>
    <t>JUN 24-30, 2007</t>
  </si>
  <si>
    <t>Buryatia, RUSSIA</t>
  </si>
  <si>
    <t>Russian Acad Sci, Siberian Branch,SPIE Russia Chapter,Fed Agcy Sci &amp; Innovat,Russian Fdn Basic Res,Opt Soc Amer,Inst Solar Terrestrial Phys SB RAS,Presidium Burat Sci Ctr SB RAS, Dept Phys Problems,E Siberian State Technol Univ</t>
  </si>
  <si>
    <t>0277-786X</t>
  </si>
  <si>
    <t>978-0-8194-7123-9</t>
  </si>
  <si>
    <t>10.1117/12.783049</t>
  </si>
  <si>
    <t>WOS:000256667200009</t>
  </si>
  <si>
    <t>Pakhomov, MM</t>
  </si>
  <si>
    <t>Pakhomov, M. M.</t>
  </si>
  <si>
    <t>Glacial-Interglacial cycles in arid regions of northern Eurasia</t>
  </si>
  <si>
    <t>QUATERNARY INTERNATIONAL</t>
  </si>
  <si>
    <t>1040-6182</t>
  </si>
  <si>
    <t>1873-4553</t>
  </si>
  <si>
    <t>AUG-SEP</t>
  </si>
  <si>
    <t>10.1016/j.quaint.2006.02.018</t>
  </si>
  <si>
    <t>WOS:000239755800008</t>
  </si>
  <si>
    <t>Kovalevskii, AV; Shishalov, VI</t>
  </si>
  <si>
    <t>Kovalevskii, A. V.; Shishalov, V. I.</t>
  </si>
  <si>
    <t>Temperature dependence of electric conductivity of molten binary mixtures of alkali and rare-earth metals chlorides</t>
  </si>
  <si>
    <t>RUSSIAN JOURNAL OF PHYSICAL CHEMISTRY</t>
  </si>
  <si>
    <t>10.1134/S0036024406030241</t>
  </si>
  <si>
    <t>WOS:000243768200024</t>
  </si>
  <si>
    <t>Suvorov, DM; Tatarinova, NV; Lyskova, EA</t>
  </si>
  <si>
    <t>Suvorov, D. M.; Tatarinova, N., V; Lyskova, E. A.</t>
  </si>
  <si>
    <t>The Effectiveness of Extended Schedules of Heating Regulation at CHP Plants with Decreasing Normative Design Temperature of the Supply Water</t>
  </si>
  <si>
    <t>10.52254/1857-0070.2021.4-52.10</t>
  </si>
  <si>
    <t>WOS:000734088800009</t>
  </si>
  <si>
    <t>Savinykh, N; Shakleina, M</t>
  </si>
  <si>
    <t>Banaev, EV; Tomoshevich, MA; Zaytseva, YG</t>
  </si>
  <si>
    <t>Savinykh, Natalya; Shakleina, Marya</t>
  </si>
  <si>
    <t>Biomorph Limosella aquatica L. and its contribution in stolon-rosette water grasses formation</t>
  </si>
  <si>
    <t>INTERNATIONAL CONFERENCES PLANT DIVERSITY: STATUS, TRENDS, CONSERVATION CONCEPT 2020</t>
  </si>
  <si>
    <t>BIO Web of Conferences</t>
  </si>
  <si>
    <t>International Conference on Plant Diversity - Status, Trends, Conservation Concept</t>
  </si>
  <si>
    <t>SEP 30-OCT 03, 2020</t>
  </si>
  <si>
    <t>Novosibirsk, RUSSIA</t>
  </si>
  <si>
    <t>2117-4458</t>
  </si>
  <si>
    <t>10.1051/bioconf/20202400073</t>
  </si>
  <si>
    <t>WOS:000624287900073</t>
  </si>
  <si>
    <t>Polevoy, Georgiy Georgievich</t>
  </si>
  <si>
    <t>Development of Coordination Abilities with Use of Classic's Exercises</t>
  </si>
  <si>
    <t>INTERNATIONAL JOURNAL OF MEDICAL RESEARCH &amp; HEALTH SCIENCES</t>
  </si>
  <si>
    <t>2319-5886</t>
  </si>
  <si>
    <t>WOS:000514803300005</t>
  </si>
  <si>
    <t>Porokhnenko, A; Sapozhnikova, E</t>
  </si>
  <si>
    <t>Kalinina, O</t>
  </si>
  <si>
    <t>Porokhnenko, Andrey; Sapozhnikova, Ekaterina</t>
  </si>
  <si>
    <t>Digital technologies for launching innovative medications to the pharmaceutical market</t>
  </si>
  <si>
    <t>INTERNATIONAL SCIENCE CONFERENCE SPBWOSCE-2018: BUSINESS TECHNOLOGIES FOR SUSTAINABLE URBAN DEVELOPMENT</t>
  </si>
  <si>
    <t>E3S Web of Conferences</t>
  </si>
  <si>
    <t>International Scientific Conference on Business Technologies for Sustainable Urban Development (SPbWOSCE)</t>
  </si>
  <si>
    <t>DEC 10-12, 2018</t>
  </si>
  <si>
    <t>Peter Great Saint Petersburg Polytechn Univ,Inst Ind Management Econ &amp; Trade</t>
  </si>
  <si>
    <t>2267-1242</t>
  </si>
  <si>
    <t>10.1051/e3sconf/201911002026</t>
  </si>
  <si>
    <t>WOS:000569050000115</t>
  </si>
  <si>
    <t>Bykova, SS; Kuvaldina, EA; Mashkovtseva, LM; Malova, TV</t>
  </si>
  <si>
    <t>Bykova, Svetlana S.; Kuvaldina, Elena A.; Mashkovtseva, Larisa M.; Malova, Tatyana V.</t>
  </si>
  <si>
    <t>Applying the Ideas of the Developmental Teaching at the Foreign Language Lessons to Develop Students' Communicative Competence</t>
  </si>
  <si>
    <t>Svetlana, Bykova/S-5241-2018</t>
  </si>
  <si>
    <t>Svetlana, Bykova/0000-0002-2382-0496</t>
  </si>
  <si>
    <t>10.13187/ejced.2018.2.275</t>
  </si>
  <si>
    <t>WOS:000434838300005</t>
  </si>
  <si>
    <t>Taxonomy of Small-Scale Fading Models</t>
  </si>
  <si>
    <t>Naumovich, Tatyana/B-8000-2017; Chastikov, Alexander/A-5560-2014; Chastikov, Alexander/ACX-8162-2022; Lesnikov, Vladislav/E-9558-2011</t>
  </si>
  <si>
    <t>WOS:000517795800079</t>
  </si>
  <si>
    <t>Olkova, AS</t>
  </si>
  <si>
    <t>Olkova, A. S.</t>
  </si>
  <si>
    <t>Modern trends in the development of bioassay methodology of aquatic environments</t>
  </si>
  <si>
    <t>10.25750/1995-4301-2018-3-019-026</t>
  </si>
  <si>
    <t>WOS:000468564900003</t>
  </si>
  <si>
    <t>Bessolitsyn, AV; Golgovskich, AV; Novikov, AV</t>
  </si>
  <si>
    <t>Bessolitsyn, A. V.; Golgovskich, A. V.; Novikov, A. V.</t>
  </si>
  <si>
    <t>Experimental Study of Current Error of up to 50 Hz Current-measuring Transformer</t>
  </si>
  <si>
    <t>2017 INTERNATIONAL CONFERENCE ON INDUSTRIAL ENGINEERING, APPLICATIONS AND MANUFACTURING (ICIEAM)</t>
  </si>
  <si>
    <t>Russia Siberia Sect Joint PES IES IAS CSS Chapter,South Ural State Univ,IEEE</t>
  </si>
  <si>
    <t>978-1-5090-5648-4</t>
  </si>
  <si>
    <t>WOS:000414282400134</t>
  </si>
  <si>
    <t>Cherepanov, VV; Kalinina, EA</t>
  </si>
  <si>
    <t>Cherepanov, V. V.; Kalinina, E. A.</t>
  </si>
  <si>
    <t>Calculation of Voltage Vibrations and a Short-Term Flicker Indicator Arising up During Working of Asynchronous Engines with Abruptly Variable Loading</t>
  </si>
  <si>
    <t>Cherepanov, Valery V./R-7589-2016</t>
  </si>
  <si>
    <t>Cherepanov, Valery V./0000-0003-2733-752X</t>
  </si>
  <si>
    <t>WOS:000414282400179</t>
  </si>
  <si>
    <t>Marinin, E; Sergeev, D; Marinina, N</t>
  </si>
  <si>
    <t>Bratan, S; Gorbatyuk, S; Leonov, S; Roshchupkin, S</t>
  </si>
  <si>
    <t>Marinin, Evgeny; Sergeev, Denis; Marinina, Nadezhda</t>
  </si>
  <si>
    <t>The capability of pulsed laser radiation for cutting band saws hardening</t>
  </si>
  <si>
    <t>INTERNATIONAL CONFERENCE ON MODERN TRENDS IN MANUFACTURING TECHNOLOGIES AND EQUIPMENT (ICMTMTE 2017)</t>
  </si>
  <si>
    <t>MATEC Web of Conferences</t>
  </si>
  <si>
    <t>International Conference on Modern Trends in Manufacturing Technologies and Equipment (ICMTMTE)</t>
  </si>
  <si>
    <t>SEP 11-15, 2017</t>
  </si>
  <si>
    <t>Sevastopol State Univ,Natl Univ Sci &amp; Technol,Polzunov Altai State Tech Univ,Inlink Ltd,Int Union Machine Builders,Russian Fdn Basic Res</t>
  </si>
  <si>
    <t>Sergeev, Denis/AAG-6738-2020</t>
  </si>
  <si>
    <t>Sergeev, Denis/0000-0001-6784-6754; Marinin, Evgeny/0000-0003-0676-9438</t>
  </si>
  <si>
    <t>2261-236X</t>
  </si>
  <si>
    <t>10.1051/matecconf/201712901013</t>
  </si>
  <si>
    <t>WOS:000426431000013</t>
  </si>
  <si>
    <t>Tatarinova, NV; Suvorov, DM; Shempelev, AG</t>
  </si>
  <si>
    <t>Tatarinova, N. V.; Suvorov, D. M.; Shempelev, A. G.</t>
  </si>
  <si>
    <t>Approaches to Building Computational Mathematical Models Based on the Flow and Power Characteristics of Cogeneration Steam Turbine Stages and Compartments</t>
  </si>
  <si>
    <t>Anatoly, Shempelev/AAF-5257-2021; Суворов, Дмитрий/S-9053-2019</t>
  </si>
  <si>
    <t>Суворов, Дмитрий/0000-0001-7415-3868; Tatarinova, Natalia/0000-0003-2640-9085</t>
  </si>
  <si>
    <t>WOS:000414282400356</t>
  </si>
  <si>
    <t>Zorin, Artem V.</t>
  </si>
  <si>
    <t>Official visit of President E. BENES in the United States in 1943</t>
  </si>
  <si>
    <t>WOS:000403853500001</t>
  </si>
  <si>
    <t>Nikulin, V</t>
  </si>
  <si>
    <t>Perner, P</t>
  </si>
  <si>
    <t>Nikulin, Vladimir</t>
  </si>
  <si>
    <t>Driving Style Identification with Unsupervised Learning</t>
  </si>
  <si>
    <t>MACHINE LEARNING AND DATA MINING IN PATTERN RECOGNITION (MLDM 2016)</t>
  </si>
  <si>
    <t>Lecture Notes in Artificial Intelligence</t>
  </si>
  <si>
    <t>12th International Conference on Machine Learning and Data Mining (MLDM)</t>
  </si>
  <si>
    <t>JUL 16-21, 2016</t>
  </si>
  <si>
    <t>New York, NY</t>
  </si>
  <si>
    <t>2945-9133</t>
  </si>
  <si>
    <t>1611-3349</t>
  </si>
  <si>
    <t>978-3-319-41920-6; 978-3-319-41919-0</t>
  </si>
  <si>
    <t>10.1007/978-3-319-41920-6_12</t>
  </si>
  <si>
    <t>WOS:000386510300012</t>
  </si>
  <si>
    <t>Strabykin, D; Meltsov, V; Dolzhenkova, M; Chistyakov, G; Kuvaev, A</t>
  </si>
  <si>
    <t>Silhavy, R; Senkerik, R; Oplatkova, ZK; Silhavy, P; Prokopova, Z</t>
  </si>
  <si>
    <t>Strabykin, Dmitry; Meltsov, Vasily; Dolzhenkova, Maria; Chistyakov, Gennady; Kuvaev, Alexey</t>
  </si>
  <si>
    <t>Formal Verification and Accelerated Inference</t>
  </si>
  <si>
    <t>ARTIFICIAL INTELLIGENCE PERSPECTIVES IN INTELLIGENT SYSTEMS, VOL 1</t>
  </si>
  <si>
    <t>Advances in Intelligent Systems and Computing</t>
  </si>
  <si>
    <t>5th Computer Science On-line Conference (CSOC)</t>
  </si>
  <si>
    <t>APR 27-30, 2016</t>
  </si>
  <si>
    <t>Prague, CZECH REPUBLIC</t>
  </si>
  <si>
    <t>Kuvaev, Alexey/H-9867-2017; Meltsov, Vasily Yurevich/P-7511-2017; Chistyakov, Gennadiy/Q-2312-2016; Strabykin, Dmitry/T-9196-2019</t>
  </si>
  <si>
    <t>Kuvaev, Alexey/0000-0003-1342-9861; Meltsov, Vasily Yurevich/0000-0001-5479-9979; Chistyakov, Gennadiy/0000-0002-6918-9337; Strabykin, Dmitry/0000-0003-2787-3525</t>
  </si>
  <si>
    <t>2194-5357</t>
  </si>
  <si>
    <t>978-3-319-33625-1; 978-3-319-33623-7</t>
  </si>
  <si>
    <t>10.1007/978-3-319-33625-1_19</t>
  </si>
  <si>
    <t>WOS:000385237600019</t>
  </si>
  <si>
    <t>Luppov, AV; Kudryavtsev, AS; Marenkov, DA; Lanskikh, JV</t>
  </si>
  <si>
    <t>Luppov, Andrey V.; Kudryavtsev, Anton S.; Marenkov, Dmitry A.; Lanskikh, Jury V.</t>
  </si>
  <si>
    <t>Improving the Efficiency of P2P Real-Time Communications Networks</t>
  </si>
  <si>
    <t>2013 INTERNATIONAL SIBERIAN CONFERENCE ON CONTROL AND COMMUNICATIONS (SIBCON)</t>
  </si>
  <si>
    <t>SEP 12-13, 2013</t>
  </si>
  <si>
    <t>Siberian Fed Univ, Krasnoyarsk, RUSSIA</t>
  </si>
  <si>
    <t>Inst Elect &amp; Elect Engineers,Siberian Fed Univ,IEEE, Russia Siberia Sect,Krasnoyarsk IEEE Joint Chapter,Tomsk IEEE Chapter &amp; Student Branch,IEEE, Russia Siberia Sect, Grad Last Decade Affin Grp,Krasnoyarsk Reg Fdn Res &amp; Tech Activ,IEEE Electron Devices Soc,IEEE Microwave Theory &amp; Tech Soc,Vinnitsa Natl Res Univ,Natl Res Tomsk Polytechn Univ</t>
  </si>
  <si>
    <t>Siberian Fed Univ</t>
  </si>
  <si>
    <t>978-1-4799-1062-5; 978-1-4799-1060-1</t>
  </si>
  <si>
    <t>WOS:000331107100053</t>
  </si>
  <si>
    <t>The electrochemical properties of LiCl-KCl melt held in contact with samarium</t>
  </si>
  <si>
    <t>1531-863X</t>
  </si>
  <si>
    <t>10.1134/S0036024411030204</t>
  </si>
  <si>
    <t>WOS:000286985400027</t>
  </si>
  <si>
    <t>Olkova, AS; Sysolyatina, M</t>
  </si>
  <si>
    <t>Olkova, Anna Sergeewna; Sysolyatina, Maria</t>
  </si>
  <si>
    <t>Behavioral and Lethal Effects of La Salt and a Mixture of Cu and La Salt on Daphnia magna Straus</t>
  </si>
  <si>
    <t>10.12911/22998993/148148</t>
  </si>
  <si>
    <t>WOS:000814321000001</t>
  </si>
  <si>
    <t>S</t>
  </si>
  <si>
    <t>Karanina, EV; Ryazanova, OA</t>
  </si>
  <si>
    <t>Ragulina, JV; Khachaturyan, AA; Abdulkadyrov, AS; Babaeva, ZS</t>
  </si>
  <si>
    <t>Karanina, Elena V.; Ryazanova, Olesya A.</t>
  </si>
  <si>
    <t>Development of the Methodology of Complex Diagnostics and Ranking of Regions' Economic Security for Sustainable Development of Their Digital Economy</t>
  </si>
  <si>
    <t>SUSTAINABLE DEVELOPMENT OF MODERN DIGITAL ECONOMY: Perspectives from Russian Experiences</t>
  </si>
  <si>
    <t>Research for Development</t>
  </si>
  <si>
    <t>2198-7300</t>
  </si>
  <si>
    <t>2198-7319</t>
  </si>
  <si>
    <t>978-3-030-70194-9; 978-3-030-70193-2</t>
  </si>
  <si>
    <t>10.1007/978-3-030-70194-9_33</t>
  </si>
  <si>
    <t>10.1007/978-3-030-70194-9</t>
  </si>
  <si>
    <t>WOS:000849737100032</t>
  </si>
  <si>
    <t>Dolgikh, AY</t>
  </si>
  <si>
    <t>Dolgikh, Andrei Yu.</t>
  </si>
  <si>
    <t>CARDINAL VERSIONS OF THE FUTURE: AN ESSAY ON FUTUROLOGY SYSTEMATIZATION</t>
  </si>
  <si>
    <t>VESTNIK TOMSKOGO GOSUDARSTVENNOGO UNIVERSITETA-FILOSOFIYA-SOTSIOLOGIYA-POLITOLOGIYA-TOMSK STATE UNIVERSITY JOURNAL OF PHILOSOPHY SOCIOLOGY AND POLITICAL SCIENCE</t>
  </si>
  <si>
    <t>1998-863X</t>
  </si>
  <si>
    <t>2311-2395</t>
  </si>
  <si>
    <t>10.17223/1998863X/50/6</t>
  </si>
  <si>
    <t>WOS:000500733100006</t>
  </si>
  <si>
    <t>Demshina, N. V.; Mosunova, L. A.</t>
  </si>
  <si>
    <t>A Study of the Levels of Semantic Perception of Information in Additional Education</t>
  </si>
  <si>
    <t>Mosunova, Ludmila/0000-0002-2130-6872; Demsina, Natal'a/0000-0001-9419-9310</t>
  </si>
  <si>
    <t>10.3103/S0147688219020096</t>
  </si>
  <si>
    <t>WOS:000481530700008</t>
  </si>
  <si>
    <t>Utemov, VV</t>
  </si>
  <si>
    <t>Utemov, Vyacheslav V.</t>
  </si>
  <si>
    <t>A Comparative Study of the Qualities of School Teachers and Their Teaching Practice</t>
  </si>
  <si>
    <t>V INTERNATIONAL FORUM ON TEACHER EDUCATION (IFTE 2019)</t>
  </si>
  <si>
    <t>5th International Forum on Teacher Education (IFTE)</t>
  </si>
  <si>
    <t>MAY 29-31, 2019</t>
  </si>
  <si>
    <t>978-954-642-984-1</t>
  </si>
  <si>
    <t>10.3897/ap.1.e0698</t>
  </si>
  <si>
    <t>WOS:000520005200072</t>
  </si>
  <si>
    <t>Orlov, MA</t>
  </si>
  <si>
    <t>Orlov, M. A.</t>
  </si>
  <si>
    <t>The Ivan the Terrible's Charter to Syrian Udmurt</t>
  </si>
  <si>
    <t>DREVNYAYA RUS-VOPROSY MEDIEVISTIKI</t>
  </si>
  <si>
    <t>Orlov, Maxim/U-8688-2018</t>
  </si>
  <si>
    <t>Orlov, Maxim/0000-0003-4663-9443</t>
  </si>
  <si>
    <t>2071-9574</t>
  </si>
  <si>
    <t>WOS:000444615300004</t>
  </si>
  <si>
    <t>Number-Theoretical Analysis of the Structures of Classical IIR Digital Filters</t>
  </si>
  <si>
    <t>Chastikov, Alexander/A-5560-2014; Chastikov, Alexander/ACX-8162-2022; Naumovich, Tatyana/B-8000-2017</t>
  </si>
  <si>
    <t>Chastikov, Alexander/0000-0002-1998-7787; Naumovich, Tatyana/0000-0002-3659-2664</t>
  </si>
  <si>
    <t>WOS:000644432200110</t>
  </si>
  <si>
    <t>Rykov, A; Luppov, A; Krasikov, M</t>
  </si>
  <si>
    <t>Rykov, A.; Luppov, A.; Krasikov, M.</t>
  </si>
  <si>
    <t>Identification and Classification of Signal Distortions Based on Wavelet Transform and Neural Networks</t>
  </si>
  <si>
    <t>WOS:000478963800186</t>
  </si>
  <si>
    <t>Savinykh, NP; Lelekova, EV; Shakleina, MN</t>
  </si>
  <si>
    <t>Savinykh, N. P.; Lelekova, E., V; Shakleina, M. N.</t>
  </si>
  <si>
    <t>About the promotion of natural restoration of Pinus sylvestris L.</t>
  </si>
  <si>
    <t>10.25750/1995-4301-2018-4-108-113</t>
  </si>
  <si>
    <t>WOS:000468565300014</t>
  </si>
  <si>
    <t>Kotelnikov, EV; Pletneva, MV</t>
  </si>
  <si>
    <t>Kotelnikov, E. V.; Pletneva, M. V.</t>
  </si>
  <si>
    <t>Text sentiment classification based on a genetic algorithm and word and document co-clustering</t>
  </si>
  <si>
    <t>JOURNAL OF COMPUTER AND SYSTEMS SCIENCES INTERNATIONAL</t>
  </si>
  <si>
    <t>Kotelnikov, Evgeny/A-3606-2014</t>
  </si>
  <si>
    <t>Kotelnikov, Evgeny/0000-0001-9745-1489</t>
  </si>
  <si>
    <t>1064-2307</t>
  </si>
  <si>
    <t>1555-6530</t>
  </si>
  <si>
    <t>10.1134/S1064230715060106</t>
  </si>
  <si>
    <t>WOS:000373156600007</t>
  </si>
  <si>
    <t>Krivosheina, N</t>
  </si>
  <si>
    <t>Krivosheina, Natalia</t>
  </si>
  <si>
    <t>MONUMENTAL RELIGIOUS PAINTING OF VYATKA</t>
  </si>
  <si>
    <t>ARTS, PERFORMING ARTS, ARCHITECTURE AND DESIGN</t>
  </si>
  <si>
    <t>Krivosheina, Natalia V/M-8938-2018</t>
  </si>
  <si>
    <t>Krivosheina, Natalia V/0000-0001-7612-5174</t>
  </si>
  <si>
    <t>978-619-7105-30-8</t>
  </si>
  <si>
    <t>WOS:000357943500021</t>
  </si>
  <si>
    <t>Yungblyud, VT</t>
  </si>
  <si>
    <t>Yungblyud, V. T.</t>
  </si>
  <si>
    <t>The disband of Comintern in May 1943: comments and analysis in the USA.</t>
  </si>
  <si>
    <t>WOS:000316525400002</t>
  </si>
  <si>
    <t>Khitrin, KS; Khitrin, SV; Fuks, SL; Meteleva, DS; Vtyurina, EN</t>
  </si>
  <si>
    <t>Khitrin, K. S.; Khitrin, S. V.; Fuks, S. L.; Meteleva, D. S.; Vtyurina, E. N.</t>
  </si>
  <si>
    <t>Effect of physical and chemical modification on the sorption capacity of hydrolyzed lignin</t>
  </si>
  <si>
    <t>10.1134/S1070427212080101</t>
  </si>
  <si>
    <t>WOS:000308813500010</t>
  </si>
  <si>
    <t>History or politics?</t>
  </si>
  <si>
    <t>WOS:000247859600017</t>
  </si>
  <si>
    <t>Balyberdin, YA</t>
  </si>
  <si>
    <t>Balyberdin, Yu. A.</t>
  </si>
  <si>
    <t>The socio-political life in Volga-Kama region in the early XXth century</t>
  </si>
  <si>
    <t>WOS:000241086700004</t>
  </si>
  <si>
    <t>Skvortsov, AI; Kondratov, VM; Potekhin, BA; Borisov, AA</t>
  </si>
  <si>
    <t>Connection of magnetomechanical attenuation with magnetocrystalline structure parameters in ferrum alloys</t>
  </si>
  <si>
    <t>IZVESTIYA AKADEMII NAUK SERIYA FIZICHESKAYA</t>
  </si>
  <si>
    <t>1026-3489</t>
  </si>
  <si>
    <t>WOS:A1997WU95900007</t>
  </si>
  <si>
    <t>Soloveva, IA</t>
  </si>
  <si>
    <t>Nikolai Vasilevich Chaikovskii (1850-1926) + Political biography of a Russian revolutionary</t>
  </si>
  <si>
    <t>WOS:A1997XG33200003</t>
  </si>
  <si>
    <t>Timkin, NY; Kirillovykh, AA</t>
  </si>
  <si>
    <t>Timkin, Yuri N.; Kirillovykh, Andrey A.</t>
  </si>
  <si>
    <t>Human and civil rights and freedoms at the end of 1917 - the first half of 1921 in the conditions of the formation of the socialist legal consciousness of the peasants (according to the archival materials of the Vyatka province)</t>
  </si>
  <si>
    <t>Kirillovykh, Andrey/J-7815-2016</t>
  </si>
  <si>
    <t>Kirillovykh, Andrey/0000-0002-0035-9035</t>
  </si>
  <si>
    <t>10.31166/VoprosyIstorii202106Statyi39</t>
  </si>
  <si>
    <t>WOS:000729816200015</t>
  </si>
  <si>
    <t>Arbitrary quadrangular finite element for plates with shear deformations</t>
  </si>
  <si>
    <t>Tyukalov, Yury/P-3728-2017</t>
  </si>
  <si>
    <t>Tyukalov, Yury/0000-0001-6184-2365</t>
  </si>
  <si>
    <t>2712-8172</t>
  </si>
  <si>
    <t>10.34910/MCE.107.7</t>
  </si>
  <si>
    <t>WOS:000730911700005</t>
  </si>
  <si>
    <t>Cherepanov, VV; Bakshaeva, NS; Suvorova, IA</t>
  </si>
  <si>
    <t>Cherepanov, V. V.; Bakshaeva, N. S.; Suvorova, I. A.</t>
  </si>
  <si>
    <t>The Development of Cost Assessment Models for Overhead Power Transmission Lines</t>
  </si>
  <si>
    <t>10.1007/978-3-030-39225-3_65</t>
  </si>
  <si>
    <t>WOS:000675525300065</t>
  </si>
  <si>
    <t>Egorov, SG; Trushkov, SA</t>
  </si>
  <si>
    <t>Egorov, Sergey G.; Trushkov, Sergey A.</t>
  </si>
  <si>
    <t>Police staffing and practices in the Vyatka province in the post-reform era</t>
  </si>
  <si>
    <t>Egorov, Sergey G/T-1889-2018</t>
  </si>
  <si>
    <t>Egorov, Sergey G/0000-0002-7116-0840</t>
  </si>
  <si>
    <t>10.31166/VoprosyIstorii202006Statyi08</t>
  </si>
  <si>
    <t>WOS:000657722200008</t>
  </si>
  <si>
    <t>Sergeev, DG; Marinin, EA; Marinina, NI; Durseneva, MD</t>
  </si>
  <si>
    <t>IOP Publishing</t>
  </si>
  <si>
    <t>Sergeev, D. G.; Marinin, E. A.; Marinina, N., I; Durseneva, M. D.</t>
  </si>
  <si>
    <t>The choice of pulse laser radiation modes for hardening a metal cutting saw</t>
  </si>
  <si>
    <t>INTERNATIONAL CONFERENCE ON MODERN TRENDS IN MANUFACTURING TECHNOLOGIES AND EQUIPMENT (ICMTMTE) 2020</t>
  </si>
  <si>
    <t>IOP Conference Series-Materials Science and Engineering</t>
  </si>
  <si>
    <t>Sevastopol, CRIMEA</t>
  </si>
  <si>
    <t>Sevastopol State Univ,Natl Univ Sci &amp; Technol MISIS,Polzunov Altai State Tech Univ,Crimean Fed Univ,Inlink Ltd,Int Union Machine Builders</t>
  </si>
  <si>
    <t>1757-8981</t>
  </si>
  <si>
    <t>10.1088/1757-899X/971/3/032024</t>
  </si>
  <si>
    <t>WOS:000646359100125</t>
  </si>
  <si>
    <t>Yungblud, VT; Sadakov, DA</t>
  </si>
  <si>
    <t>Yungblud, V. T.; Sadakov, D. A.</t>
  </si>
  <si>
    <t>Japan-Korea settlement in US policy, 1953-1965</t>
  </si>
  <si>
    <t>JAPANESE STUDIES IN RUSSIA</t>
  </si>
  <si>
    <t>2500-2872</t>
  </si>
  <si>
    <t>10.24411/2500-2872-2020-10030</t>
  </si>
  <si>
    <t>WOS:000604555300006</t>
  </si>
  <si>
    <t>Susloparova, MM; Ponomarenko, LN; Kibishev, AN; Romanova, IV</t>
  </si>
  <si>
    <t>Susloparova, Maria M.; Ponomarenko, Larisa N.; Kibishev, Andrey N.; Romanova, Irina, V</t>
  </si>
  <si>
    <t>Formation of Cognitive Motivation in Junior School Age Children in Institutions of Supplementary Education</t>
  </si>
  <si>
    <t>Ponomarenko, Larisa N/L-3310-2017; Романова, Ирина/ABC-3457-2020; Kibishev, Andrey/B-2743-2019</t>
  </si>
  <si>
    <t>Ponomarenko, Larisa N/0000-0001-5056-5446; Романова, Ирина/0000-0001-8448-1873; Kibishev, Andrey/0000-0003-0723-1728; Susloparova, Maria/0000-0002-2680-2533</t>
  </si>
  <si>
    <t>10.13187/ejced.2019.2.357</t>
  </si>
  <si>
    <t>WOS:000471936000009</t>
  </si>
  <si>
    <t>Fishcheva, I; Kotelnikov, E</t>
  </si>
  <si>
    <t>VanDerAalst, WMP; Batagelj, V; Ignatov, DI; Khachay, M; Kuskova, V; Kutuzov, A; Kuznetsov, SO; Lomazova, IA; Loukachevitch, N; Napoli, A; Pardalos, PM; Pelillo, M; Savchenko, AV; Tutubalina, E</t>
  </si>
  <si>
    <t>Fishcheva, Irina; Kotelnikov, Evgeny</t>
  </si>
  <si>
    <t>Cross-Lingual Argumentation Mining for Russian Texts</t>
  </si>
  <si>
    <t>ANALYSIS OF IMAGES, SOCIAL NETWORKS AND TEXTS, AIST 2019</t>
  </si>
  <si>
    <t>Lecture Notes in Computer Science</t>
  </si>
  <si>
    <t>8th International Conference on Analysis of Images, Social Networks, and Texts (AIST)</t>
  </si>
  <si>
    <t>JUL 17-19, 2019</t>
  </si>
  <si>
    <t>Natl Res Univ Higher Sch Econ,Springer</t>
  </si>
  <si>
    <t>Kotelnikov, Evgeny/A-3606-2014; Fishcheva, Irina/T-6334-2018</t>
  </si>
  <si>
    <t>Kotelnikov, Evgeny/0000-0001-9745-1489; Fishcheva, Irina/0000-0002-6941-2009</t>
  </si>
  <si>
    <t>0302-9743</t>
  </si>
  <si>
    <t>978-3-030-37334-4; 978-3-030-37333-7</t>
  </si>
  <si>
    <t>10.1007/978-3-030-37334-4_12</t>
  </si>
  <si>
    <t>WOS:000611787800012</t>
  </si>
  <si>
    <t>Kuzmin, VA; Zagrai, IA; Maratkanova, EI</t>
  </si>
  <si>
    <t>Kuzmin, V. A.; Zagrai, I. A.; Maratkanova, E. I.</t>
  </si>
  <si>
    <t>Model of solid fuel rocket engine: thermal emission characteristics from a plume calculated with account for temperature and speed non-equilibrium between gas and particle flows</t>
  </si>
  <si>
    <t>10.1134/S0869864319010074</t>
  </si>
  <si>
    <t>WOS:000465534000008</t>
  </si>
  <si>
    <t>Zlobin, AA</t>
  </si>
  <si>
    <t>Dudziak, A; Zlobin, A; Payunena, M</t>
  </si>
  <si>
    <t>Zlobin, Andrey Alexandrovich</t>
  </si>
  <si>
    <t>Old Slavic language in the Indo-European language family</t>
  </si>
  <si>
    <t>INDO-EUROPEAN LEGACY IN LANGUAGE AND CULTURE: Selected Issues</t>
  </si>
  <si>
    <t>978-83-8100-209-7</t>
  </si>
  <si>
    <t>WOS:000739878500009</t>
  </si>
  <si>
    <t>Bushuev, AN; El'kin, OV; Tolstobrov, IV; Sazanov, AV; Kondrat'ev, DA</t>
  </si>
  <si>
    <t>Bushuev, A. N.; El'kin, O. V.; Tolstobrov, I. V.; Sazanov, A. V.; Kondrat'ev, D. A.</t>
  </si>
  <si>
    <t>Preparation of a Nickel-Holmium Alloy Coating in an Equimolar HoCl3-Containing NaCl-KCl Melt</t>
  </si>
  <si>
    <t>O.V., El'kin/T-7146-2019; Bushuev, Andrey/AAE-1002-2019; Tolstobrov, Ivan/T-7734-2019</t>
  </si>
  <si>
    <t>O.V., El'kin/0000-0002-4540-7483; Bushuev, Andrey/0000-0001-9651-2171; Tolstobrov, Ivan/0000-0002-0133-6150</t>
  </si>
  <si>
    <t>10.1134/S0036029518080049</t>
  </si>
  <si>
    <t>WOS:000454273600015</t>
  </si>
  <si>
    <t>Development of the ability to differentiate the parameters of football players' movements taking into account their typology</t>
  </si>
  <si>
    <t>INTERNATIONAL JOURNAL OF APPLIED EXERCISE PHYSIOLOGY</t>
  </si>
  <si>
    <t>2322-3537</t>
  </si>
  <si>
    <t>10.22631/ijaep.v7i2.268</t>
  </si>
  <si>
    <t>WOS:000435602100004</t>
  </si>
  <si>
    <t>Trushkova, IY; Titova, EI</t>
  </si>
  <si>
    <t>Trushkova, Irina Yu.; Titova, Elena I.</t>
  </si>
  <si>
    <t>'NETWORK INTERACTION' AT VYATKA STATE UNIVERSITY</t>
  </si>
  <si>
    <t>SIBERIAN HISTORICAL RESEARCH-SIBIRSKIE ISTORICHESKIE ISSLEDOVANIYA</t>
  </si>
  <si>
    <t>Trushkova, Irina/C-5994-2019; Titova, Elena/ABG-9460-2021</t>
  </si>
  <si>
    <t xml:space="preserve">Trushkova, Irina/0000-0003-2944-2446; </t>
  </si>
  <si>
    <t>2312-461X</t>
  </si>
  <si>
    <t>2312-4628</t>
  </si>
  <si>
    <t>10.17223/2312461X/19/9</t>
  </si>
  <si>
    <t>WOS:000429668400009</t>
  </si>
  <si>
    <t>Economic Feasibility Study of the 20 kV Voltage Application at Industrial Enterprises</t>
  </si>
  <si>
    <t>2016 2ND INTERNATIONAL CONFERENCE ON INDUSTRIAL ENGINEERING, APPLICATIONS AND MANUFACTURING (ICIEAM)</t>
  </si>
  <si>
    <t>2nd International Conference on Industrial Engineering, Applications and Manufacturing (ICIEAM)</t>
  </si>
  <si>
    <t>MAY 19-20, 2016</t>
  </si>
  <si>
    <t>Chelyabinsk, RUSSIA</t>
  </si>
  <si>
    <t>Russia Siberia Sect Joint PES IES IAS CSS Chapter,S Ural State Univ,IEEE</t>
  </si>
  <si>
    <t>978-1-5090-1322-7</t>
  </si>
  <si>
    <t>WOS:000403604400156</t>
  </si>
  <si>
    <t>Lesnikov, V; Naumovich, T; Chastikov, A; Garsh, D</t>
  </si>
  <si>
    <t>Stojanovic, R; Jozwiak, L; Lutovac, B</t>
  </si>
  <si>
    <t>Lesnikov, V.; Naumovich, T.; Chastikov, A.; Garsh, D.</t>
  </si>
  <si>
    <t>Unaliasing of Under sampled Spectra</t>
  </si>
  <si>
    <t>2016 5TH MEDITERRANEAN CONFERENCE ON EMBEDDED COMPUTING (MECO)</t>
  </si>
  <si>
    <t>5th Mediterranean Conference on Embedded Computing (MECO)</t>
  </si>
  <si>
    <t>JUN 12-16, 2016</t>
  </si>
  <si>
    <t>Bar, MONTENEGRO</t>
  </si>
  <si>
    <t>IEEE,EUROMICRO,MANT,Univ Montenegro, Fac Elect Engn,Ryazan State Radio Engn Univ,Eindhoven Tech Univ,Minist Sci Montenegro,Cikom Co,IEEE Adv Technol Human,Univ Crne Gore,BioEMIS,Plantaze,FER</t>
  </si>
  <si>
    <t>Chastikov, Alexander/ACX-8162-2022; Denis, Harsh/A-7045-2014; Chastikov, Alexander/A-5560-2014; Naumovich, Tatyana/B-8000-2017; Lesnikov, Vladislav/E-9558-2011</t>
  </si>
  <si>
    <t>Chastikov, Alexander/0000-0002-1998-7787; Naumovich, Tatyana/0000-0002-3659-2664; Lesnikov, Vladislav/0000-0002-5034-291X</t>
  </si>
  <si>
    <t>978-1-5090-2221-2</t>
  </si>
  <si>
    <t>WOS:000387159800034</t>
  </si>
  <si>
    <t>Meltsov, V; Chistyakov, G; Strabykin, D; Dolgenkova, M</t>
  </si>
  <si>
    <t>DEStech Publications, Inc</t>
  </si>
  <si>
    <t>Meltsov, V.; Chistyakov, G.; Strabykin, D.; Dolgenkova, M.</t>
  </si>
  <si>
    <t>Accelerated Logical Inference in the Intelligent Control Systems</t>
  </si>
  <si>
    <t>INTERNATIONAL CONFERENCE ON ARTIFICIAL INTELLIGENCE: TECHNIQUES AND APPLICATIONS, AITA 2016</t>
  </si>
  <si>
    <t>International Conference on Artificial Intelligence - Techniques and Applications (AITA)</t>
  </si>
  <si>
    <t>SEP 25-26, 2016</t>
  </si>
  <si>
    <t>Shanghai, PEOPLES R CHINA</t>
  </si>
  <si>
    <t>Chistyakov, Gennadiy/Q-2312-2016; Meltsov, Vasily Yurevich/P-7511-2017</t>
  </si>
  <si>
    <t>Chistyakov, Gennadiy/0000-0002-6918-9337; Meltsov, Vasily Yurevich/0000-0001-5479-9979</t>
  </si>
  <si>
    <t>978-1-60595-389-2</t>
  </si>
  <si>
    <t>WOS:000387945700001</t>
  </si>
  <si>
    <t>Prokashev, AM; Soboleva, ES; Chepurnov, RR; Matushkin, AS; Ohorzin, ND; Borodaty, IL; Zhuikova, IA; Alalykina, IY; Russkikh, GA; Pupysheva, SA; Mokrushin, SL; Vartan, IA</t>
  </si>
  <si>
    <t>Golabi, MH</t>
  </si>
  <si>
    <t>Prokashev, A. M.; Soboleva, E. S.; Chepurnov, R. R.; Matushkin, A. S.; Ohorzin, N. D.; Borodaty, I. L.; Zhuikova, I. A.; Alalykina, I. Y.; Russkikh, G. A.; Pupysheva, S. A.; Mokrushin, S. L.; Vartan, I. A.</t>
  </si>
  <si>
    <t>Sod-podzolic soils with a complex organic profile of the southern Vyatka River basin</t>
  </si>
  <si>
    <t>2ND INTERNATIONAL CONFERENCE ON AGRICULTURAL AND BIOLOGICAL SCIENCES (ABS 2016)</t>
  </si>
  <si>
    <t>IOP Conference Series-Earth and Environmental Science</t>
  </si>
  <si>
    <t>2nd International Conference on Agricultural and Biological Sciences (ABS)</t>
  </si>
  <si>
    <t>JUL 23-26, 2016</t>
  </si>
  <si>
    <t>Vartan, Igor/AAR-6107-2021; Prokashev, Aleksei/ABE-7729-2020</t>
  </si>
  <si>
    <t>Vartan, Igor/0000-0003-1663-385X; Prokasev, Aleksei/0000-0002-3029-8093; Zhuikova, Irina/0000-0001-7855-604X</t>
  </si>
  <si>
    <t>1755-1307</t>
  </si>
  <si>
    <t>10.1088/1755-1315/41/1/012024</t>
  </si>
  <si>
    <t>WOS:000389919500024</t>
  </si>
  <si>
    <t>Tatarinova, N. V.; Suvorov, D. M.</t>
  </si>
  <si>
    <t>Development of Adequate Computational Mathematical Models of Cogeneration Steam Turbines for Solving Problems of Optimization of Operating Modes of CHP Plants</t>
  </si>
  <si>
    <t>Суворов, Дмитрий/S-9053-2019</t>
  </si>
  <si>
    <t>WOS:000403604400281</t>
  </si>
  <si>
    <t>Makhnev, AS</t>
  </si>
  <si>
    <t>Makhnev, A. S.</t>
  </si>
  <si>
    <t>The use of internal cartesian coordinates for describing molecular vibrations</t>
  </si>
  <si>
    <t>10.1134/S0036024409030169</t>
  </si>
  <si>
    <t>WOS:000263675600016</t>
  </si>
  <si>
    <t>Effect of thermomagnetic treatment on the damping properties of magnetically soft iron alloys</t>
  </si>
  <si>
    <t>9-10</t>
  </si>
  <si>
    <t>10.1007/s11041-006-0113-z</t>
  </si>
  <si>
    <t>WOS:000245753200011</t>
  </si>
  <si>
    <t>Kustova, EV</t>
  </si>
  <si>
    <t>Town self-government in Vyatka from the late-18th to mid-19th centuries</t>
  </si>
  <si>
    <t>WOS:000223263200010</t>
  </si>
  <si>
    <t>Bagaev, SI; Kstenina, EN</t>
  </si>
  <si>
    <t>Copolymerization and copolycondensation of maleic anhydride with 4-methylene-1,3-dioxolane and maleic acid. A route to polycarboxylic acids</t>
  </si>
  <si>
    <t>VYSOKOMOLEKULYARNYE SOEDINENIYA SERIYA A &amp; SERIYA B</t>
  </si>
  <si>
    <t>0507-5475</t>
  </si>
  <si>
    <t>WOS:000077454300020</t>
  </si>
  <si>
    <t>Plotnikov, SA; Kartashevich, AN; Motovilova, MV</t>
  </si>
  <si>
    <t>Plotnikov, S. A.; Kartashevich, A. N.; Motovilova, M. V.</t>
  </si>
  <si>
    <t>Evaluation of Combustion Performance and Heat Release in Preheated Fuel Consumed Diesel Engines</t>
  </si>
  <si>
    <t>ENGINEERING TECHNOLOGIES AND SYSTEMS</t>
  </si>
  <si>
    <t>Plotnikov, Sergej A/R-8491-2016</t>
  </si>
  <si>
    <t>Plotnikov, Sergej A/0000-0002-8887-4591</t>
  </si>
  <si>
    <t>2658-4123</t>
  </si>
  <si>
    <t>2658-6525</t>
  </si>
  <si>
    <t>10.15507/2658-4123.031.202103.349-363</t>
  </si>
  <si>
    <t>WOS:000698672500002</t>
  </si>
  <si>
    <t>Isupov, SA</t>
  </si>
  <si>
    <t>Isupov, S. A.</t>
  </si>
  <si>
    <t>Experimental substantiation by choosing basic variant of plates with cylindrical dowels</t>
  </si>
  <si>
    <t>INTERNATIONAL CONFERENCE ON CONSTRUCTION, ARCHITECTURE AND TECHNOSPHERE SAFETY (ICCATS 2020)</t>
  </si>
  <si>
    <t>International Conference on Construction, Architecture and Technosphere Safety (ICCATS)</t>
  </si>
  <si>
    <t>SEP 06-12, 2020</t>
  </si>
  <si>
    <t>S Ural State Univ,Irkutsk Natl Res Tech Univ,B N Yeltsin Ural Fed Univ</t>
  </si>
  <si>
    <t>10.1088/1757-899X/962/2/022047</t>
  </si>
  <si>
    <t>WOS:000648432000047</t>
  </si>
  <si>
    <t>Implementation of the Poles of IIR Digital Filters with a Declared Structural Precision</t>
  </si>
  <si>
    <t>PROCEEDINGS OF THE 2020 30TH INTERNATIONAL CONFERENCE RADIOELEKTRONIKA (RADIOELEKTRONIKA)</t>
  </si>
  <si>
    <t>30th International Conference Radioelektronika (RADIOELEKTRONIKA)</t>
  </si>
  <si>
    <t>APR 15-16, 2020</t>
  </si>
  <si>
    <t>ELECTR NETWORK</t>
  </si>
  <si>
    <t>IEEE Czechoslovakia Sect,Slovak Univ Technol, Fac Elect Engn &amp; Informat Technol,Inst Elect &amp; Photon,ON Semiconductor,Ceska Elektrotechnicka Spolecnost,TR Instruments</t>
  </si>
  <si>
    <t>978-1-7281-6469-4</t>
  </si>
  <si>
    <t>WOS:000610803200022</t>
  </si>
  <si>
    <t>Grabar, AA; Koykova, TL; Prokopenko, LK; Shchinova, RA</t>
  </si>
  <si>
    <t>Grabar, Anna A.; Koykova, Tatiana L.; Prokopenko, Lyudmila K.; Shchinova, Raisa A.</t>
  </si>
  <si>
    <t>The innovative mechanism of government support for the investment activities of digital universities for provision of region's investment attractiveness in the conditions of Industry 4.0</t>
  </si>
  <si>
    <t>ON THE HORIZON</t>
  </si>
  <si>
    <t>1074-8121</t>
  </si>
  <si>
    <t>2054-1708</t>
  </si>
  <si>
    <t>OCT 11</t>
  </si>
  <si>
    <t>3-4</t>
  </si>
  <si>
    <t>10.1108/OTH-07-2019-0041</t>
  </si>
  <si>
    <t>WOS:000491196500005</t>
  </si>
  <si>
    <t>Kulikov, I; Deener, E</t>
  </si>
  <si>
    <t>Kulikov, Ilya; Deener, Elena</t>
  </si>
  <si>
    <t>Specific application of mathematical method of fuzzy logics to digital book identification</t>
  </si>
  <si>
    <t>NAUCHNYE I TEKHNICHESKIE BIBLIOTEKI-SCIENTIFIC AND TECHNICAL LIBRARIES</t>
  </si>
  <si>
    <t>Diner, Elena/ABA-6122-2020; Kulikov, Ilya A./A-2028-2019</t>
  </si>
  <si>
    <t>Diner, Elena/0000-0001-6233-7571; Kulikov, Ilya/0000-0001-5989-9733</t>
  </si>
  <si>
    <t>0130-9765</t>
  </si>
  <si>
    <t>10.33186/1027-3689-2019-12-100-119</t>
  </si>
  <si>
    <t>WOS:000502575300009</t>
  </si>
  <si>
    <t>The Influence of Coordination on the Thinking of Children with Different Nervous System</t>
  </si>
  <si>
    <t>PAKISTAN JOURNAL OF MEDICAL &amp; HEALTH SCIENCES</t>
  </si>
  <si>
    <t>1996-7195</t>
  </si>
  <si>
    <t>WOS:000468146000153</t>
  </si>
  <si>
    <t>Kirillovykh, AA</t>
  </si>
  <si>
    <t>Kirillovykh, Andrey A.</t>
  </si>
  <si>
    <t>EDUCATIONAL DOCTRINE IN THE SYSTEM OF PUBLIC EDUCATION MANAGEMENT TOOLS: A LEGAL ASPECT</t>
  </si>
  <si>
    <t>10.17223/15617793/434/26</t>
  </si>
  <si>
    <t>WOS:000451260400026</t>
  </si>
  <si>
    <t>Egorov, SG</t>
  </si>
  <si>
    <t>Egorov, Sergey G.</t>
  </si>
  <si>
    <t>FIGHTING VIOLATION OF LABOR LAWS IN THE KIROV REGION IN THE YEARS 1946-1953</t>
  </si>
  <si>
    <t>WOS:000443793600009</t>
  </si>
  <si>
    <t>Kotelnikov, E; Peskisheva, T; Kotelnikova, A; Razova, E</t>
  </si>
  <si>
    <t>Ustalov, D; Filchenkov, A; Pivovarova, L; Zizka, J</t>
  </si>
  <si>
    <t>Kotelnikov, Evgeny; Peskisheva, Tatiana; Kotelnikova, Anastasia; Razova, Elena</t>
  </si>
  <si>
    <t>A Comparative Study of Publicly Available Russian Sentiment Lexicons</t>
  </si>
  <si>
    <t>ARTIFICIAL INTELLIGENCE AND NATURAL LANGUAGE (AINL 2018)</t>
  </si>
  <si>
    <t>Communications in Computer and Information Science</t>
  </si>
  <si>
    <t>7th International Conference on Artificial Intelligence and Natural Language (AINL)</t>
  </si>
  <si>
    <t>OCT 17-19, 2018</t>
  </si>
  <si>
    <t>NLP Seminar,ITMO Univ,NLPub,Just AI,Huawei,STC Grp</t>
  </si>
  <si>
    <t>Kotelnikova, Anastasia/AAD-5135-2019; Razova, Elena/U-4097-2018; Kotelnikov, Evgeny/A-3606-2014</t>
  </si>
  <si>
    <t>Razova, Elena/0000-0001-5557-5432; Kotelnikov, Evgeny/0000-0001-9745-1489</t>
  </si>
  <si>
    <t>1865-0929</t>
  </si>
  <si>
    <t>1865-0937</t>
  </si>
  <si>
    <t>978-3-030-01204-5; 978-3-030-01203-8</t>
  </si>
  <si>
    <t>10.1007/978-3-030-01204-5_14</t>
  </si>
  <si>
    <t>WOS:000460557600014</t>
  </si>
  <si>
    <t>Mansurova, IA; Isupova, OY; Burkov, AA; Gavrilov, KE</t>
  </si>
  <si>
    <t>Mansurova, I. A.; Isupova, O. Yu.; Burkov, A. A.; Gavrilov, K. E.</t>
  </si>
  <si>
    <t>ELASTIC-HYSTERESIS PROPERTIES OF RUBBER CONTAINING CARBON NANOTUBES FUNCTIONALYZED BY POLYMER</t>
  </si>
  <si>
    <t>Burkov, Andrei/N-5302-2016; Burkov, Andrey/ABB-8219-2021; Mansurova, Irina Alekseevna/J-3337-2016</t>
  </si>
  <si>
    <t>Burkov, Andrei/0000-0002-3627-1262; Mansurova, Irina Alekseevna/0000-0003-1197-0339</t>
  </si>
  <si>
    <t>4-5</t>
  </si>
  <si>
    <t>10.6060/tcct.20186104-05.5596</t>
  </si>
  <si>
    <t>WOS:000435584400009</t>
  </si>
  <si>
    <t>Medvedeva, E; Trubin, I; Kurbatova, E</t>
  </si>
  <si>
    <t>Favorskaya, MN; Jain, LC</t>
  </si>
  <si>
    <t>Medvedeva, E.; Trubin, I.; Kurbatova, E.</t>
  </si>
  <si>
    <t>Methods of Filtering and Texture Segmentation of Multicomponent Images</t>
  </si>
  <si>
    <t>COMPUTER VISION IN CONTROL SYSTEMS-3: AERIAL AND SATELLITE IMAGE PROCESSING</t>
  </si>
  <si>
    <t>Intelligent Systems Reference Library</t>
  </si>
  <si>
    <t>Kurbatova, Ekaterina/A-6003-2014; Medvedeva, Elena V./A-5714-2014</t>
  </si>
  <si>
    <t>Kurbatova, Ekaterina/0000-0001-7173-9214; Medvedeva, Elena V./0000-0002-0677-1418</t>
  </si>
  <si>
    <t>1868-4394</t>
  </si>
  <si>
    <t>978-3-319-67516-9; 978-3-319-67515-2</t>
  </si>
  <si>
    <t>10.1007/978-3-319-67516-9_4</t>
  </si>
  <si>
    <t>10.1007/978-3-319-67516-9</t>
  </si>
  <si>
    <t>WOS:000440661000005</t>
  </si>
  <si>
    <t>Calculation of bending plates by finite element method in stresses</t>
  </si>
  <si>
    <t>INTERNATIONAL CONFERENCE ON CONSTRUCTION, ARCHITECTURE AND TECHNOSPHERE SAFETY (ICCATS 2018)</t>
  </si>
  <si>
    <t>SEP 26-28, 2018</t>
  </si>
  <si>
    <t>S Ural State Univ, RUSSIA</t>
  </si>
  <si>
    <t>Irkutsk Natl Res Tech Univ,B N Yeltsin Ural Fed Univ</t>
  </si>
  <si>
    <t>10.1088/1757-899X/451/1/012046</t>
  </si>
  <si>
    <t>WOS:000648426900046</t>
  </si>
  <si>
    <t>Kasatkina, EB; Mashkovtcev, AA</t>
  </si>
  <si>
    <t>Kasatkina, Evgenia B.; Mashkovtcev, Andrey A.</t>
  </si>
  <si>
    <t>Polish and Caucasian exiles in Vyatka province in the second half of XIX- early XX century</t>
  </si>
  <si>
    <t>WOS:000423138700013</t>
  </si>
  <si>
    <t>Mashkovtsev, Andrey A.</t>
  </si>
  <si>
    <t>Baptists and evangelical christians of the Middle Volga and the Ural during the first world war</t>
  </si>
  <si>
    <t>WOS:000372373000011</t>
  </si>
  <si>
    <t>Ananchenko, BA; Mikhailichenko, TV; Kalinina, LA; Ushakova, YN; Pentin, MA; Myakishev, AO</t>
  </si>
  <si>
    <t>Ananchenko, B. A.; Mikhailichenko, T. V.; Kalinina, L. A.; Ushakova, Yu. N.; Pentin, M. A.; Myakishev, A. O.</t>
  </si>
  <si>
    <t>Effect of the method for the preparation of the oxide precursor on the electrolytic properties of sulfide-conducting solid electrolytes</t>
  </si>
  <si>
    <t>Ananchenko, Boris/AAM-5831-2020</t>
  </si>
  <si>
    <t>Ananchenko, Boris/0000-0002-7975-7828; Kalinina, Ludmila/0000-0001-9471-2778</t>
  </si>
  <si>
    <t>1608-3342</t>
  </si>
  <si>
    <t>10.1134/S102319351505002X</t>
  </si>
  <si>
    <t>WOS:000355411900015</t>
  </si>
  <si>
    <t>Collision Avoidance Spectrum Sharing Technique Using GFDM for Cognitive Wireless Ad-hoc Networks</t>
  </si>
  <si>
    <t>PROCEEDINGS OF 2015 IEEE EAST-WEST DESIGN &amp; TEST SYMPOSIUM (EWDTS)</t>
  </si>
  <si>
    <t>SEP 26-29, 2015</t>
  </si>
  <si>
    <t>Batumi, GA</t>
  </si>
  <si>
    <t>IEEE,Kharkiv Natl Univ Radio Elect,IEEE Comp Soc Test Technol Tech Council</t>
  </si>
  <si>
    <t>978-1-4673-7776-8</t>
  </si>
  <si>
    <t>WOS:000382527700042</t>
  </si>
  <si>
    <t>Belyaev, AN; Flegentov, IV</t>
  </si>
  <si>
    <t>Belyaev, A. N.; Flegentov, I. V.</t>
  </si>
  <si>
    <t>Hydrodynamic cavitation treatment as a tool for intensification of reagent processes in commercial technologies</t>
  </si>
  <si>
    <t>Беляев, Андрей/GNH-3240-2022</t>
  </si>
  <si>
    <t>10.1134/S1070427214080126</t>
  </si>
  <si>
    <t>WOS:000345395800012</t>
  </si>
  <si>
    <t>Rossinskii, AP; Alalykin, AA; Talantov, SV; Chagaev, SV</t>
  </si>
  <si>
    <t>Rossinskii, A. P.; Alalykin, A. A.; Talantov, S. V.; Chagaev, S. V.</t>
  </si>
  <si>
    <t>Acid-catalyzed alkenylation of aromatic compounds with 1,3-pentadiene as a route to new modifying additives for polymer compounds</t>
  </si>
  <si>
    <t>Alalykin, Alexandr/AAM-6654-2020</t>
  </si>
  <si>
    <t>10.1134/S107042720808020X</t>
  </si>
  <si>
    <t>WOS:000259579700020</t>
  </si>
  <si>
    <t>Determining the velocity of a non-newtonian medium flowing past spherical particles</t>
  </si>
  <si>
    <t>10.1134/S004057950803007X</t>
  </si>
  <si>
    <t>WOS:000257394200007</t>
  </si>
  <si>
    <t>Makhanova, EV; Leushina, AP</t>
  </si>
  <si>
    <t>Electrochemical sensors for sulfur- and lead-containing gases: Effect of nonstoichiometry of measuring electrodes</t>
  </si>
  <si>
    <t>6th Meeting on the Fundamental Problems of Solid State Ionics</t>
  </si>
  <si>
    <t>JUN 18-20, 2002</t>
  </si>
  <si>
    <t>RUSSIAN ACAD SCI, INST PROBLEMS CHEM PHYS, MOSCOW, RUSSIA</t>
  </si>
  <si>
    <t>RUSSIAN ACAD SCI, INST PROBLEMS CHEM PHYS</t>
  </si>
  <si>
    <t>10.1023/A:1023833111833</t>
  </si>
  <si>
    <t>WOS:000183347900016</t>
  </si>
  <si>
    <t>Gomayunov, SA</t>
  </si>
  <si>
    <t>Local history: Methodological problems</t>
  </si>
  <si>
    <t>WOS:A1996VT67800011</t>
  </si>
  <si>
    <t>Vechtomov, EM; Petrov, AA</t>
  </si>
  <si>
    <t>Vechtomov, E. M.; Petrov, A. A.</t>
  </si>
  <si>
    <t>Multiplicatively Idempotent Semirings in which All Congruences Are Ideal</t>
  </si>
  <si>
    <t>Petrov, Andrey/AEY-1169-2022; Vechtomov, Evgenii M./I-5421-2017</t>
  </si>
  <si>
    <t>Vechtomov, Evgenii M./0000-0002-3490-2956</t>
  </si>
  <si>
    <t>10.1134/S0001434622090061</t>
  </si>
  <si>
    <t>WOS:000871088800006</t>
  </si>
  <si>
    <t>Sozinova, AA; Meteleva, OA</t>
  </si>
  <si>
    <t>Sozinova, Anastasia A.; Meteleva, Olesya A.</t>
  </si>
  <si>
    <t>Cluster Development as a Factor of Sustainable Economic Development: Scientific Analytics and Management Prospects</t>
  </si>
  <si>
    <t>IMITATION MARKET MODELING IN DIGITAL ECONOMY: GAME THEORETIC APPROACHES</t>
  </si>
  <si>
    <t>Lecture Notes in Networks and Systems</t>
  </si>
  <si>
    <t>International Scientific and Practical Conference on New Behaviors of Market Players in the Digital Economy</t>
  </si>
  <si>
    <t>JUL 08, 2021</t>
  </si>
  <si>
    <t>Inst Sci Commun, ELECTR NETWORK</t>
  </si>
  <si>
    <t>Inst Sci Commun</t>
  </si>
  <si>
    <t>2367-3370</t>
  </si>
  <si>
    <t>2367-3389</t>
  </si>
  <si>
    <t>978-3-030-93244-2; 978-3-030-93243-5</t>
  </si>
  <si>
    <t>10.1007/978-3-030-93244-2_78</t>
  </si>
  <si>
    <t>WOS:000759460600078</t>
  </si>
  <si>
    <t>Vlasova, K</t>
  </si>
  <si>
    <t>Vlasova, K.</t>
  </si>
  <si>
    <t>Greek-Turkish Confrontation and Its Influence on the Eastern Mediterranean</t>
  </si>
  <si>
    <t>CONTEMPORARY EUROPE-SOVREMENNAYA EVROPA</t>
  </si>
  <si>
    <t>Vlasova, Ksenia V/F-4747-2019</t>
  </si>
  <si>
    <t>Vlasova, Ksenia V/0000-0002-4119-4492</t>
  </si>
  <si>
    <t>0201-7083</t>
  </si>
  <si>
    <t>10.15211/soveurope320212737</t>
  </si>
  <si>
    <t>WOS:000708406300003</t>
  </si>
  <si>
    <t>Timkin, Yuri N.</t>
  </si>
  <si>
    <t>The Smell of Factionalism: Left Opposition in the Vyatka Provincial Organization of the Bolshevik Party in 1923-1924</t>
  </si>
  <si>
    <t>RUDN JOURNAL OF RUSSIAN HISTORY</t>
  </si>
  <si>
    <t>2312-8674</t>
  </si>
  <si>
    <t>2312-8690</t>
  </si>
  <si>
    <t>10.22363/2312-8674-2021-20-1-108-124</t>
  </si>
  <si>
    <t>WOS:000624911700007</t>
  </si>
  <si>
    <t>Sazanov, AV; Tovstik, EV; Kozvonin, VA; Kazakova, AA</t>
  </si>
  <si>
    <t>Sazanov, A., V; Tovstik, E., V; Kozvonin, V. A.; Kazakova, A. A.</t>
  </si>
  <si>
    <t>Assessment of the bioavailability of chelated zinc in various soil types</t>
  </si>
  <si>
    <t>Tovstik, Evgeniya/P-1350-2017</t>
  </si>
  <si>
    <t>Tovstik, Evgeniya/0000-0003-1861-6076; Kozvonin, Valeriy/0000-0002-2447-6949; Sazanov, Alexander/0000-0002-6934-3330</t>
  </si>
  <si>
    <t>10.25750/1995-4301-2021-1-181-187</t>
  </si>
  <si>
    <t>WOS:000632219100024</t>
  </si>
  <si>
    <t>Koshkina, NA; Popova, GA</t>
  </si>
  <si>
    <t>Gafurov, I; Valeeva, R</t>
  </si>
  <si>
    <t>Koshkina, Natalya A.; Popova, Galina A.</t>
  </si>
  <si>
    <t>Teaching Methodology of Health and Safety at Modern University (from Work Experience)</t>
  </si>
  <si>
    <t>VI INTERNATIONAL FORUM ON TEACHER EDUCATION</t>
  </si>
  <si>
    <t>ARPHA Proceedings</t>
  </si>
  <si>
    <t>6th International Forum on Teacher Education (IFTE)</t>
  </si>
  <si>
    <t>MAY 27-JUN 09, 2020</t>
  </si>
  <si>
    <t>Kazan Fed Univ, ELECTR NETWORK</t>
  </si>
  <si>
    <t>2683-0183</t>
  </si>
  <si>
    <t>978-619-248-025-7</t>
  </si>
  <si>
    <t>10.3897/ap.2.e1227</t>
  </si>
  <si>
    <t>WOS:000671896200095</t>
  </si>
  <si>
    <t>Nabokikh, AA; Ryattel, AV; Sanovich, MA; Lapteva, SV</t>
  </si>
  <si>
    <t>Nabokikh, Aleksei A.; Ryattel, Aleksandra, V; Sanovich, Marina A.; Lapteva, Svetlana, V</t>
  </si>
  <si>
    <t>QUALITY AS THE BASIS OF EFFECTIVE MANAGEMENT OF THE EDUCATIONAL MARKET AND A GOAL OF DEVELOPMENT OF UNIVERSITIES IN THE CONDITIONS OF INDUSTRY 4.0</t>
  </si>
  <si>
    <t>Ryattel, Alexandra/AAB-8651-2021; Nabokikh, Alekseiy/AAB-8688-2021; Andrea Simões Braga, Francisco/GRS-0157-2022</t>
  </si>
  <si>
    <t xml:space="preserve">Nabokikh, Alekseiy/0000-0002-9046-0523; </t>
  </si>
  <si>
    <t>10.24874/IJQR14.01-07</t>
  </si>
  <si>
    <t>WOS:000518417300007</t>
  </si>
  <si>
    <t>Savelyeva, NK; Kuklin, AV; Lapteva, IP; Malysheva, NV</t>
  </si>
  <si>
    <t>Savelyeva, Nadezhda K.; Kuklin, Andrey V.; Lapteva, Irina P.; Malysheva, Natalia V.</t>
  </si>
  <si>
    <t>The investment attractiveness of a regional market of educational services as the basis of its global competitiveness in industry 4.0</t>
  </si>
  <si>
    <t>Saveleva, Nadezda/AAP-4493-2020</t>
  </si>
  <si>
    <t>Saveleva, Nadezda/0000-0002-9497-6172; Kuklin, Andrei/0000-0002-4195-106X</t>
  </si>
  <si>
    <t>10.1108/OTH-07-2019-0042</t>
  </si>
  <si>
    <t>WOS:000491196500016</t>
  </si>
  <si>
    <t>Medvedeva, E; Evdokimova, A</t>
  </si>
  <si>
    <t>Medvedeva, Elena; Evdokimova, Alena</t>
  </si>
  <si>
    <t>Detection of Texture Objects on Multichannel Images</t>
  </si>
  <si>
    <t>WOS:000469999300035</t>
  </si>
  <si>
    <t>Petrov, E; Kharina, N</t>
  </si>
  <si>
    <t>Petrov, Eugeny; Kharina, Natalia</t>
  </si>
  <si>
    <t>Method of Fast Video Inpainting</t>
  </si>
  <si>
    <t>2019 INTERNATIONAL SIBERIAN CONFERENCE ON CONTROL AND COMMUNICATIONS (SIBCON)</t>
  </si>
  <si>
    <t>APR 18-20, 2019</t>
  </si>
  <si>
    <t>Tomsk State Univ Control Syst &amp; Radioelectron, Tomsk, RUSSIA</t>
  </si>
  <si>
    <t>Natl Instruments R &amp; D,Inst Elect &amp; Elect Engineers,IEEE Elect Dev Soc,IEEE Russia Sect,Tomsk IEEE Chapter &amp; Student Branch,IEEE Russia Siberia Sect</t>
  </si>
  <si>
    <t>Tomsk State Univ Control Syst &amp; Radioelectron</t>
  </si>
  <si>
    <t>978-1-5386-5142-1</t>
  </si>
  <si>
    <t>WOS:000477706200026</t>
  </si>
  <si>
    <t>Equilibrium finite elements for plane problems of the elasticity theory</t>
  </si>
  <si>
    <t>Tyukalov, Yury/GPS-7157-2022; Tyukalov, Yury/P-3728-2017; Tyukalov, Yury/AAC-1554-2021</t>
  </si>
  <si>
    <t>Tyukalov, Yury/0000-0001-6184-2365; Tyukalov, Yury/0000-0001-6184-2365</t>
  </si>
  <si>
    <t>10.18720/MCE.91.8</t>
  </si>
  <si>
    <t>WOS:000593141100008</t>
  </si>
  <si>
    <t>Bashmakova, SB; Lapteva, NV; Matantseva, TN; Khmelkova, EV; Tsvetkova, NV; Sheshukova, NN</t>
  </si>
  <si>
    <t>Bashmakova, S. B.; Lapteva, N. V.; Matantseva, T. N.; Khmelkova, E. V.; Tsvetkova, N. V.; Sheshukova, N. N.</t>
  </si>
  <si>
    <t>Correction Of The Sensory-Perspective Sphere In Children With Down'S Syndrome By Means Of Hippotherapy</t>
  </si>
  <si>
    <t>Sheshukova, Natalia/U-7880-2018</t>
  </si>
  <si>
    <t>Sheshukova, Natalia/0000-0002-3048-681X</t>
  </si>
  <si>
    <t>WOS:000443674500037</t>
  </si>
  <si>
    <t>Basmanov, VG; Kalinina, EA; Kholmanskikh, VM</t>
  </si>
  <si>
    <t>Basmanov, V. G.; Kalinina, E. A.; Kholmanskikh, V. M.</t>
  </si>
  <si>
    <t>Selecting Optimum Stage Switching Interval for Capacitor Unit as Way to Increase Efficiency of Reactive Power Regulation</t>
  </si>
  <si>
    <t>WOS:000478963800033</t>
  </si>
  <si>
    <t>Pleshkova, TA; Pushkov, AP; Repkina, NG</t>
  </si>
  <si>
    <t>Pleshkova, T. A.; Pushkov, A. P.; Repkina, N. G.</t>
  </si>
  <si>
    <t>Dynamic Stability of Synchronous Turbogenerators with Longitudinally-Transverse Excitation</t>
  </si>
  <si>
    <t>WOS:000478963800234</t>
  </si>
  <si>
    <t>Zorin, A. V.</t>
  </si>
  <si>
    <t>THE SOVIET ARMY IN CZECHOSLOVAKIA IN 1945 IN AMERICAN MESSAGES: PERCEPTION, IMAGES, STEREOTYPES</t>
  </si>
  <si>
    <t>VESTNIK PERMSKOGO UNIVERSITETA-ISTORIYA-PERM UNIVERSITY HERALD-HISTORY</t>
  </si>
  <si>
    <t>2219-3111</t>
  </si>
  <si>
    <t>10.17072/2219-3111-2018-4-107-116</t>
  </si>
  <si>
    <t>WOS:000456115100012</t>
  </si>
  <si>
    <t>Basmanov, VG; Vtyurin, AV; Kholmanskikh, VM</t>
  </si>
  <si>
    <t>Basmanov, V. G.; Vtyurin, A. V.; Kholmanskikh, V. M.</t>
  </si>
  <si>
    <t>Estimating the Condition of 6-10 kV Cable Lines with Impregnated Paper Insulation According to Their Length and Operational Reliability</t>
  </si>
  <si>
    <t>WOS:000414282400171</t>
  </si>
  <si>
    <t>Derendiaeva, LV; Zakalata, AA; Ojegov, AN</t>
  </si>
  <si>
    <t>Derendiaeva, L., V; Zakalata, A. A.; Ojegov, A. N.</t>
  </si>
  <si>
    <t>Application of Equivalenting Method for Electric Power Grid Subsystems In Calculating the Higher Harmonics Mode</t>
  </si>
  <si>
    <t>Alexandr, Ojegov/0000-0002-8052-241X</t>
  </si>
  <si>
    <t>WOS:000414282400175</t>
  </si>
  <si>
    <t>Loginov, D; Karanina, E</t>
  </si>
  <si>
    <t>Murgul, V</t>
  </si>
  <si>
    <t>Loginov, Dmitri; Karanina, Elena</t>
  </si>
  <si>
    <t>The participation of the municipalities in the creation of urban agglomerations</t>
  </si>
  <si>
    <t>INTERNATIONAL SCIENCE CONFERENCE SPBWOSCE-2016 - SMART CITY</t>
  </si>
  <si>
    <t>International Science Conference SPbWOSCE - SMART City</t>
  </si>
  <si>
    <t>NOV 15-17, 2016</t>
  </si>
  <si>
    <t>Peter Great Saint Petersburg Polytechn Univ, Inst Civil Engn, St Petersburg, RUSSIA</t>
  </si>
  <si>
    <t>Univ Montenegro,Riga Techn Univ,Sci Tech &amp; Expert Inst Construct Expertise Ctr</t>
  </si>
  <si>
    <t>Peter Great Saint Petersburg Polytechn Univ, Inst Civil Engn</t>
  </si>
  <si>
    <t>Karanina, Elena E.V./L-1395-2016</t>
  </si>
  <si>
    <t>Karanina, Elena E.V./0000-0002-5439-5912; Loginov, Dmitrii Alekseevic/0000-0002-2458-9978</t>
  </si>
  <si>
    <t>10.1051/matecconf/201710608012</t>
  </si>
  <si>
    <t>WOS:000426426600197</t>
  </si>
  <si>
    <t>Morozova, MA; Kapustin, AG</t>
  </si>
  <si>
    <t>Morozova, Marina A.; Kapustin, Alexandr G.</t>
  </si>
  <si>
    <t>CONTENT AND TECHNOLOGY MODERNIZATION OF PROFESSIONAL LIFE SAFETY TRAINING FOR FUTURE TEACHERS</t>
  </si>
  <si>
    <t>Kapustin, Aleksandr/G-4595-2019; Morozova, Marina A./AAD-1191-2019</t>
  </si>
  <si>
    <t>Kapustin, Aleksandr/0000-0001-8655-4060; Morozova, Marina A./0000-0003-3303-3426</t>
  </si>
  <si>
    <t>10.15405/epsbs.2017.08.02.64</t>
  </si>
  <si>
    <t>WOS:000432421300064</t>
  </si>
  <si>
    <t>Vikharev, AP; Repkin, DA; Repkina, NG</t>
  </si>
  <si>
    <t>Vikharev, A. P.; Repkin, D. A.; Repkina, N. G.</t>
  </si>
  <si>
    <t>Thermal Calculation of Covered Conductor for Overhead Lines</t>
  </si>
  <si>
    <t>Repkin, Dmitry A/Y-9184-2018</t>
  </si>
  <si>
    <t>Repkin, Dmitry A/0000-0003-4161-3527</t>
  </si>
  <si>
    <t>WOS:000414282400176</t>
  </si>
  <si>
    <t>Ananchenko, BA; Koshurnikova, EV; Kalinina, LA; Ushakova, YN; Bezdenezhnykh, LA</t>
  </si>
  <si>
    <t>Ananchenko, B. A.; Koshurnikova, E. V.; Kalinina, L. A.; Ushakova, Yu. N.; Bezdenezhnykh, L. A.</t>
  </si>
  <si>
    <t>Transport properties of sulfide-conductive solid electrolyte in the system CaYb2S4-Yb2S3</t>
  </si>
  <si>
    <t>GLASS PHYSICS AND CHEMISTRY</t>
  </si>
  <si>
    <t>1087-6596</t>
  </si>
  <si>
    <t>10.1134/S1087659612040025</t>
  </si>
  <si>
    <t>WOS:000307556900009</t>
  </si>
  <si>
    <t>Kalinina, LA; Ushakova, YN; Koshurnikova, EV; Mikhailichenko, TV; Ananchenko, BA; Yurlov, IS</t>
  </si>
  <si>
    <t>Kalinina, L. A.; Ushakova, Yu N.; Koshurnikova, E. V.; Mikhailichenko, T. V.; Ananchenko, B. A.; Yurlov, I. S.</t>
  </si>
  <si>
    <t>Electrolytic properties of the MeLn(2)S(4)-Ln'(2) S-3 phases synthesized using the sol-gel and cryochemical technologies</t>
  </si>
  <si>
    <t>1608-313X</t>
  </si>
  <si>
    <t>10.1134/S1087659611060095</t>
  </si>
  <si>
    <t>WOS:000298396000009</t>
  </si>
  <si>
    <t>The construction of the Hamiltonian of an isotope substituted molecule in internal cartesian coordinates</t>
  </si>
  <si>
    <t>10.1134/S0036024409030170</t>
  </si>
  <si>
    <t>WOS:000263675600017</t>
  </si>
  <si>
    <t>Lobanova, LL; Batalova, EV; Khranilov, YP</t>
  </si>
  <si>
    <t>Lobanova, L. L.; Batalova, E. V.; Khranilov, Yu. P.</t>
  </si>
  <si>
    <t>Reagent techniques for nickel recovery from spent electroless nickel-plating solutions</t>
  </si>
  <si>
    <t>10.1134/S1070427208020080</t>
  </si>
  <si>
    <t>WOS:000254752400008</t>
  </si>
  <si>
    <t>Zagoskina, NV; Sokovnin, OM</t>
  </si>
  <si>
    <t>Conditions for foam flow and breaking</t>
  </si>
  <si>
    <t>WOS:000167436400016</t>
  </si>
  <si>
    <t>Harry L. Hopkins + 20th century American diplomat. History and fates</t>
  </si>
  <si>
    <t>WOS:A1996WH88100004</t>
  </si>
  <si>
    <t>Egorov, SG; Zyryanova, AV</t>
  </si>
  <si>
    <t>Egorov, S. G.; Zyryanova, A. V.</t>
  </si>
  <si>
    <t>Draft transcripts of regional party conferences as a significant historical source (based on the materials of the Kirov Regional Committee of the All-Union Communist Party of Bolsheviks in 1952)</t>
  </si>
  <si>
    <t>10.31166/VoprosyIstorii202212Statyi52</t>
  </si>
  <si>
    <t>WOS:000904073900003</t>
  </si>
  <si>
    <t>Shirokova, ES; Tovstik, EV; Sazanov, AV</t>
  </si>
  <si>
    <t>Shirokova, E. S.; Tovstik, E. V.; Sazanov, A. V.</t>
  </si>
  <si>
    <t>Degradation of poly(epsilon-caprolactone) under laboratory conditions during exposure to air and soil</t>
  </si>
  <si>
    <t>Tovstik, Evgeniya/0000-0003-1861-6076</t>
  </si>
  <si>
    <t>10.25750/1995-4301-2022-2-165-172</t>
  </si>
  <si>
    <t>WOS:000820802000021</t>
  </si>
  <si>
    <t>Polovnikova, Marina Yu</t>
  </si>
  <si>
    <t>Bishop Apollos (Belyaev) and Development of Vyatka Diocese in 1866-1885</t>
  </si>
  <si>
    <t>10.24224/2227-1295-2021-12-396-412</t>
  </si>
  <si>
    <t>WOS:000751642500022</t>
  </si>
  <si>
    <t>Inclusion of the Republic of Korea in the US Defense Perimeter after the Korean War</t>
  </si>
  <si>
    <t>VESTNIK SANKT-PETERBURGSKOGO UNIVERSITETA-ISTORIYA</t>
  </si>
  <si>
    <t>Yungblyud, Valeriy T./J-8665-2016; Sadakov, Denis/R-9556-2018</t>
  </si>
  <si>
    <t>Yungblyud, Valeriy T./0000-0002-2706-3904; Sadakov, Denis/0000-0003-4308-7276</t>
  </si>
  <si>
    <t>1812-9323</t>
  </si>
  <si>
    <t>10.21638/11701/spbu02.2021.114</t>
  </si>
  <si>
    <t>WOS:000637851800014</t>
  </si>
  <si>
    <t>An Unusual Role: Soviet Diplomacy between Washington and Pyongyang in 1968</t>
  </si>
  <si>
    <t>10.15826/qr.2021.4.651</t>
  </si>
  <si>
    <t>WOS:000757029100020</t>
  </si>
  <si>
    <t>Yungblyud, V; Sadakov, D</t>
  </si>
  <si>
    <t>Yungblyud, Valery; Sadakov, Denis</t>
  </si>
  <si>
    <t>Japanese-Korean Contradictions in U.S. Politics, 1951-1954</t>
  </si>
  <si>
    <t>PII s207987840017862-7-1</t>
  </si>
  <si>
    <t>10.18254/S207987840017862-7</t>
  </si>
  <si>
    <t>WOS:000773993800016</t>
  </si>
  <si>
    <t>Shamova, NV; Ponomarenko, LN</t>
  </si>
  <si>
    <t>Shamova, Nina V.; Ponomarenko, Larisa N.</t>
  </si>
  <si>
    <t>GERMAN YOUTH LANGUAGE: WORD-FORMATION TYPES OF SUFFIX NOUNS AND THEIR SEMANTIC RELATIONS</t>
  </si>
  <si>
    <t>Ponomarenko, Larisa N/L-3310-2017</t>
  </si>
  <si>
    <t>Ponomarenko, Larisa N/0000-0001-5056-5446</t>
  </si>
  <si>
    <t>10.24224/2227-1295-2020-5-171-191</t>
  </si>
  <si>
    <t>WOS:000538093300011</t>
  </si>
  <si>
    <t>Yungblud, VT; Mashkovtsev, AA</t>
  </si>
  <si>
    <t>Yungblud, V. T.; Mashkovtsev, A. A.</t>
  </si>
  <si>
    <t>THE COLD SUMMER OF 1953 IN THE KIROV REGION: AMNESTY, CRIME AND FIGHT AGAINST IT</t>
  </si>
  <si>
    <t>10.17072/2219-3111-2020-3-118-127</t>
  </si>
  <si>
    <t>WOS:000591510800011</t>
  </si>
  <si>
    <t>Goryachikh, SP; Lapteva, SV; Matushkina, YN; Kalinin, PA</t>
  </si>
  <si>
    <t>Goryachikh, Svetlana P.; Lapteva, Svetlana V.; Matushkina, Yulia N.; Kalinin, Pavel A.</t>
  </si>
  <si>
    <t>Audit of training of digital personnel for regional economy in the conditions of Industry 4.0</t>
  </si>
  <si>
    <t>Goryachikh, Svetlana/F-2583-2019</t>
  </si>
  <si>
    <t>Goryachikh, Svetlana/0000-0003-0186-5308</t>
  </si>
  <si>
    <t>10.1108/OTH-07-2019-0039</t>
  </si>
  <si>
    <t>WOS:000491196500017</t>
  </si>
  <si>
    <t>The influence of coordination abilities on the development of the volume of dynamic attention in children with different types of nervous system</t>
  </si>
  <si>
    <t>10.30472/ijaep.v8i1.303</t>
  </si>
  <si>
    <t>WOS:000457011900011</t>
  </si>
  <si>
    <t>Party Work Lapses: Crisis Phenomena in the RCP (B) Organizations in the Vyatka Gubernia in Late 1918 - the First Half of 1919: From Archival Materials</t>
  </si>
  <si>
    <t>10.28995/2073-0101-2019-2-458-466</t>
  </si>
  <si>
    <t>WOS:000473803800012</t>
  </si>
  <si>
    <t>Maslova, AG</t>
  </si>
  <si>
    <t>Maslova, Anna G.</t>
  </si>
  <si>
    <t>MYTHOLOGY OF ARTISTIC SPACE AND TIME IN S.S. BOBROV'S WORKS</t>
  </si>
  <si>
    <t>VESTNIK TOMSKOGO GOSUDARSTVENNOGO UNIVERSITETA FILOLOGIYA-TOMSK STATE UNIVERSITY JOURNAL OF PHILOLOGY</t>
  </si>
  <si>
    <t>Maslova, Anna/AAC-5249-2019</t>
  </si>
  <si>
    <t>Maslova, Anna/0000-0002-9118-2983</t>
  </si>
  <si>
    <t>1998-6645</t>
  </si>
  <si>
    <t>2310-5046</t>
  </si>
  <si>
    <t>10.17223/19986645/51/13</t>
  </si>
  <si>
    <t>WOS:000436334100013</t>
  </si>
  <si>
    <t>Krukovskiy, V; Mosechkin, I</t>
  </si>
  <si>
    <t>Krukovskiy, Vladimir; Mosechkin, Ilya</t>
  </si>
  <si>
    <t>Legal Issues of Counteractions to Encouraging Murders and Suicides</t>
  </si>
  <si>
    <t>PRAVO-ZHURNAL VYSSHEI SHKOLY EKONOMIKI</t>
  </si>
  <si>
    <t>2072-8166</t>
  </si>
  <si>
    <t>10.17323/2072-8166.2018.4.196.215</t>
  </si>
  <si>
    <t>WOS:000455584700011</t>
  </si>
  <si>
    <t>Zhelonkina, EA; Shishkina, SV; Mikhailova, IY; Ananchenko, BA</t>
  </si>
  <si>
    <t>Zhelonkina, E. A.; Shishkina, S. V.; Mikhailova, I. Yu.; Ananchenko, B. A.</t>
  </si>
  <si>
    <t>Study of electrodialysis of a copper chloride solution at overlimiting currents</t>
  </si>
  <si>
    <t>PETROLEUM CHEMISTRY</t>
  </si>
  <si>
    <t>Shishkina, Svitlana/Q-1669-2019; Ananchenko, Boris/AAM-5831-2020</t>
  </si>
  <si>
    <t>Shishkina, Svitlana/0000-0002-3946-1061; Ananchenko, Boris/0000-0002-7975-7828</t>
  </si>
  <si>
    <t>0965-5441</t>
  </si>
  <si>
    <t>1555-6239</t>
  </si>
  <si>
    <t>10.1134/S0965544117110068</t>
  </si>
  <si>
    <t>WOS:000412901200004</t>
  </si>
  <si>
    <t>Stojanovic, R; Jozwiak, L; Lutovac, B; Kubatova, H</t>
  </si>
  <si>
    <t>Lesnikov, V.; Naumovich, T.; Chastikov, A.</t>
  </si>
  <si>
    <t>Taxonomy of Table-Algorithmic Methods of Distributed Arithmetic</t>
  </si>
  <si>
    <t>2017 6TH MEDITERRANEAN CONFERENCE ON EMBEDDED COMPUTING (MECO)</t>
  </si>
  <si>
    <t>6th Mediterranean Conference on Embedded Computing (MECO)</t>
  </si>
  <si>
    <t>JUN 11-15, 2017</t>
  </si>
  <si>
    <t>Naumovich, Tatyana/B-8000-2017; Chastikov, Alexander/A-5560-2014; Lesnikov, Vladislav A./E-9558-2011; Chastikov, Alexander/ACX-8162-2022</t>
  </si>
  <si>
    <t xml:space="preserve">Naumovich, Tatyana/0000-0002-3659-2664; Chastikov, Alexander/0000-0002-1998-7787; Lesnikov, Vladislav A./0000-0002-5034-291X; </t>
  </si>
  <si>
    <t>978-1-5090-6742-8</t>
  </si>
  <si>
    <t>WOS:000428759500110</t>
  </si>
  <si>
    <t>Shempelev, A; Iglin, P; Tatarinova, N</t>
  </si>
  <si>
    <t>Shempelev, A.; Iglin, P.; Tatarinova, N.</t>
  </si>
  <si>
    <t>On Condenser Mathematical Model Method Introduction into Steam Turbine Unit Mathematical Model</t>
  </si>
  <si>
    <t>Anatoly, Shempelev/AAF-5257-2021; Iglin, Pavel/Q-2963-2016</t>
  </si>
  <si>
    <t>Tatarinova, Natalia/0000-0003-2640-9085; Iglin, Pavel/0000-0003-3731-7864</t>
  </si>
  <si>
    <t>WOS:000414282400348</t>
  </si>
  <si>
    <t>Petrov, E; Kharina, N; Sukhikh, P</t>
  </si>
  <si>
    <t>Petrov, E.; Kharina, N.; Sukhikh, P.</t>
  </si>
  <si>
    <t>Lossless Compressing Method in Image Processing Systems with Limited Power Resources</t>
  </si>
  <si>
    <t>WOS:000383090900124</t>
  </si>
  <si>
    <t>Trushkova, I. Yu</t>
  </si>
  <si>
    <t>MODIFICATION OF SOURCES DURING XX -BEGINNING XXI C. IN THE RUSSIAN PROVINCE ETHNOGRAPHY</t>
  </si>
  <si>
    <t>WOS:000358190200019</t>
  </si>
  <si>
    <t>Sokovnin, OM; Zagoskina, NV</t>
  </si>
  <si>
    <t>Quantitative determination of the limits of hydrodynamic modes of flotation in rheologically complex media</t>
  </si>
  <si>
    <t>10.1007/s11236-005-0083-7</t>
  </si>
  <si>
    <t>WOS:000230025900016</t>
  </si>
  <si>
    <t>Borodin, AP</t>
  </si>
  <si>
    <t>The reform of the Russian State Council in 1906</t>
  </si>
  <si>
    <t>WOS:000083212500006</t>
  </si>
  <si>
    <t>Tyukalov, Yu. Ya.</t>
  </si>
  <si>
    <t>Elliptical underground concrete block bridge with minimal weight</t>
  </si>
  <si>
    <t>10.34910/MCE.117.13</t>
  </si>
  <si>
    <t>WOS:000935004600004</t>
  </si>
  <si>
    <t>The topography of zeros and poles of a third order IIR digital filter with finite word length in the z-plane</t>
  </si>
  <si>
    <t>MICROPROCESSORS AND MICROSYSTEMS</t>
  </si>
  <si>
    <t>Lesnikov, Vladislav A./E-9558-2011; Naumovich, Tatyana/B-8000-2017; Chastikov, Alexander/ACX-8162-2022; Chastikov, Alexander/A-5560-2014</t>
  </si>
  <si>
    <t>Lesnikov, Vladislav A./0000-0002-5034-291X; Naumovich, Tatyana/0000-0002-3659-2664; Chastikov, Alexander/0000-0002-1998-7787</t>
  </si>
  <si>
    <t>0141-9331</t>
  </si>
  <si>
    <t>1872-9436</t>
  </si>
  <si>
    <t>10.1016/j.micpro.2022.104529</t>
  </si>
  <si>
    <t>APR 2022</t>
  </si>
  <si>
    <t>WOS:000797303800001</t>
  </si>
  <si>
    <t>Completely Prime Ideals in Multiplicatively Idempotent Semirings</t>
  </si>
  <si>
    <t>Petrov, Andrey/AEY-1169-2022; Vechtomov, Evgenii/I-5421-2017</t>
  </si>
  <si>
    <t>Vechtomov, Evgenii/0000-0002-3490-2956</t>
  </si>
  <si>
    <t>10.1134/S0001434622030191</t>
  </si>
  <si>
    <t>WOS:000787851100019</t>
  </si>
  <si>
    <t>Mishchenko, NS</t>
  </si>
  <si>
    <t>Mishchenko, N. S.</t>
  </si>
  <si>
    <t>MIKHAIL GORBACHEV IN THE PERCEPTION OF THE LEADERSHIP OF THE UNITED STATES AND FRANCE IN 1985: EXPECTATIONS AND REALITIES</t>
  </si>
  <si>
    <t>10.17072/2219-3111-2022-1-163-171</t>
  </si>
  <si>
    <t>WOS:000865406500015</t>
  </si>
  <si>
    <t>Savinykh, NP; Shabalkina, SV; Perestoronina, ON</t>
  </si>
  <si>
    <t>Savinykh, N. P.; Shabalkina, S., V; Perestoronina, O. N.</t>
  </si>
  <si>
    <t>Features of the allocation of high conservation values of type Rare ecosystems and habitats for certification of forests of the Kirov region</t>
  </si>
  <si>
    <t>10.25750/1995-4301-2021-2-229-234</t>
  </si>
  <si>
    <t>WOS:000667025400033</t>
  </si>
  <si>
    <t>Vorontsova, ND; Palesheva, NV</t>
  </si>
  <si>
    <t>Vorontsova, Natalia D.; Palesheva, Nadezhda V.</t>
  </si>
  <si>
    <t>Analysis of the Modern Methodology of Calculating Consumer Price Index in the Russian Federation and the Perspectives of Its Digital Economy's Sustainable Development</t>
  </si>
  <si>
    <t>10.1007/978-3-030-70194-9_34</t>
  </si>
  <si>
    <t>WOS:000849737100033</t>
  </si>
  <si>
    <t>Bushmeleva, NA; Isupova, NI; Mamaeva, EA; Kharunzheva, EV</t>
  </si>
  <si>
    <t>Bushmeleva, Natalia A.; Isupova, Natalya I.; Mamaeva, Ekaterina A.; Kharunzheva, Elena, V</t>
  </si>
  <si>
    <t>Peculiarities of Engineering Thinking Formation Using 3D Technology</t>
  </si>
  <si>
    <t>Mamaeva, Ekaterina/AAP-9683-2020</t>
  </si>
  <si>
    <t>Mamaeva, Ekaterina/0000-0002-7721-8820; Kharunzheva, Elena/0000-0002-9525-9984</t>
  </si>
  <si>
    <t>10.13187/ejced.2020.3.529</t>
  </si>
  <si>
    <t>WOS:000567722400005</t>
  </si>
  <si>
    <t>Digital Radar Imaging by Nonlinear Filtering Methods of Discrete and Continuous Parameters (Amplitude and Delay) of Reflected PM Signals</t>
  </si>
  <si>
    <t>2020 DYNAMICS OF SYSTEMS, MECHANISMS AND MACHINES (DYNAMICS)</t>
  </si>
  <si>
    <t>Dynamics of Systems Mechanisms and Machines</t>
  </si>
  <si>
    <t>14th IEEE International Scientific and Technical Conference on Dynamics of Systems, Mechanisms and Machines (Dynamics)</t>
  </si>
  <si>
    <t>NOV 10-12, 2020</t>
  </si>
  <si>
    <t>Omsk State Tech Univ, Omsk, RUSSIA</t>
  </si>
  <si>
    <t>Inst Elect &amp; Elect Engineers,Tomsk IEEE Chapter &amp; Student Branch,IEEE Reg 8 Russia Siberia Sect,IEEE Russia Siberia Sect, Grad Last Decade Affin Grp,Novosibirsk State Tech Univ,Tomsk Polytechn Univ,Tomsk IEEE Chapter,Sobolev Inst Math</t>
  </si>
  <si>
    <t>Omsk State Tech Univ</t>
  </si>
  <si>
    <t>2381-7593</t>
  </si>
  <si>
    <t>978-1-7281-8096-0</t>
  </si>
  <si>
    <t>WOS:000649745900025</t>
  </si>
  <si>
    <t>Development of speed endurance and coordination abilities of schoolchildren with the help of exercise Classics</t>
  </si>
  <si>
    <t>REVISTA TEMPOS E ESPACOS EDUCACAO</t>
  </si>
  <si>
    <t>Polevoy, Georgiy/M-2155-2016; Educação, Revista Tempos e Espaços em/AAA-6734-2020</t>
  </si>
  <si>
    <t xml:space="preserve">Polevoy, Georgiy/0000-0002-3300-3908; </t>
  </si>
  <si>
    <t>1983-6597</t>
  </si>
  <si>
    <t>2358-1425</t>
  </si>
  <si>
    <t>10.20952/revtee.v12i31.11888</t>
  </si>
  <si>
    <t>WOS:000496533000013</t>
  </si>
  <si>
    <t>Polevoy, G. G.</t>
  </si>
  <si>
    <t>Development the Speed of Movement and Coordination Abilities of Pupils with Use of Exercise Classic's</t>
  </si>
  <si>
    <t>INTERNATIONAL JOURNAL OF EDUCATIONAL SCIENCES</t>
  </si>
  <si>
    <t>0975-1122</t>
  </si>
  <si>
    <t>1-3</t>
  </si>
  <si>
    <t>10.31901/24566322.2019/26.1-3.1083</t>
  </si>
  <si>
    <t>WOS:000491261400002</t>
  </si>
  <si>
    <t>Investment as a factor of economic security of the region</t>
  </si>
  <si>
    <t>10.1051/e3sconf/201911002021</t>
  </si>
  <si>
    <t>WOS:000569050000110</t>
  </si>
  <si>
    <t>Meltsov, VY; Lapitsky, AA; Lesnikov, VA; Kuvaev, AS</t>
  </si>
  <si>
    <t>Meltsov, Vasiliy Yu.; Lapitsky, Alexey A.; Lesnikov, Vladislav A.; Kuvaev, Alexey S.</t>
  </si>
  <si>
    <t>Features of Decoding Transponder Signal of an Aircraft Using FPGA</t>
  </si>
  <si>
    <t>PROCEEDINGS OF THE 2019 IEEE CONFERENCE OF RUSSIAN YOUNG RESEARCHERS IN ELECTRICAL AND ELECTRONIC ENGINEERING (EICONRUS)</t>
  </si>
  <si>
    <t>IEEE NW Russia Young Researchers in Electrical and Electronic Engineering Conference</t>
  </si>
  <si>
    <t>IEEE Conference of Russian Young Researchers in Electrical and Electronic Engineering (EIConRus)</t>
  </si>
  <si>
    <t>JAN 28-31, 2019</t>
  </si>
  <si>
    <t>St Petersburg Electrotechn Univ, RUSSIA</t>
  </si>
  <si>
    <t>IEEE,Natl Res Univ Elect Technol</t>
  </si>
  <si>
    <t>St Petersburg Electrotechn Univ</t>
  </si>
  <si>
    <t>Lesnikov, Vladislav A./E-9558-2011; Kuvaev, Alexey/H-9867-2017; Meltsov, Vasily Yurevich/P-7511-2017</t>
  </si>
  <si>
    <t>Lesnikov, Vladislav A./0000-0002-5034-291X; Kuvaev, Alexey/0000-0003-1342-9861; Meltsov, Vasily Yurevich/0000-0001-5479-9979; Lapitsky, Alexey/0000-0003-2325-4989</t>
  </si>
  <si>
    <t>2376-6557</t>
  </si>
  <si>
    <t>978-1-7281-0339-6</t>
  </si>
  <si>
    <t>WOS:000469452600028</t>
  </si>
  <si>
    <t>Calculation method of bending plates with assuming shear deformations</t>
  </si>
  <si>
    <t>Tyukalov, Yury/P-3728-2017; Tyukalov, Yury/AAC-1554-2021; Tyukalov, Yury/GPS-7157-2022</t>
  </si>
  <si>
    <t>10.18720/MCE.85.9</t>
  </si>
  <si>
    <t>WOS:000474459100009</t>
  </si>
  <si>
    <t>Yungblud, Valery; Sadakov, Denis</t>
  </si>
  <si>
    <t>THE ROLE OF THE USSR IN THE KOREAN WAR AS ESTIMATED BY US INTELLIGENCE</t>
  </si>
  <si>
    <t>10.15826/qr.2019.4.441</t>
  </si>
  <si>
    <t>WOS:000510178900019</t>
  </si>
  <si>
    <t>Mosunova, LA</t>
  </si>
  <si>
    <t>Mosunova, Liudmila A.</t>
  </si>
  <si>
    <t>TOPICAL ISSUES OF FOREIGN CLASSICS REPRINTS (BY EXAMPLE OF OSCAR WILDE)</t>
  </si>
  <si>
    <t>10.17223/23062061/16/7</t>
  </si>
  <si>
    <t>WOS:000451192400007</t>
  </si>
  <si>
    <t>Laletin, VI; Malyshev, EN; Prismotrov, NI</t>
  </si>
  <si>
    <t>Laletin, V. I.; Malyshev, E. N.; Prismotrov, N. I.</t>
  </si>
  <si>
    <t>Study of Gear Ratio Influence of Reducer on Characteristics of Discrete Electric Drive</t>
  </si>
  <si>
    <t>WOS:000478963800197</t>
  </si>
  <si>
    <t>Osipova, N</t>
  </si>
  <si>
    <t>Korycankova, S</t>
  </si>
  <si>
    <t>Osipova, Nina</t>
  </si>
  <si>
    <t>A. BLOCK'S POEM THE TWELVE AND RUSSIAN FILM AVANT-GUARD ARTISTIC SEARCH</t>
  </si>
  <si>
    <t>CURRENT ISSUES OF THE RUSSIAN LANGUAGE TEACHING XIII</t>
  </si>
  <si>
    <t>International Scientific Conference on Current Issues of the Russian Language Teaching XIII</t>
  </si>
  <si>
    <t>MAY 16-18, 2018</t>
  </si>
  <si>
    <t>Brno, CZECH REPUBLIC</t>
  </si>
  <si>
    <t>978-80-210-9077-4</t>
  </si>
  <si>
    <t>WOS:000527800600059</t>
  </si>
  <si>
    <t>Kuzmin, VA; Zagrai, IA</t>
  </si>
  <si>
    <t>Kuzmin, V. A.; Zagrai, I. A.</t>
  </si>
  <si>
    <t>A comprehensive study of combustion products generated from pulverized peat combustion in the furnace of BKZ-210-140F steam boiler</t>
  </si>
  <si>
    <t>INTERNATIONAL CONFERENCE PROBLEMS OF THERMAL PHYSICS AND POWER ENGINEERING (PTPPE-2017)</t>
  </si>
  <si>
    <t>International Conference on Problems of Thermal Physics and Power Engineering (PTPPE)</t>
  </si>
  <si>
    <t>OCT 09-11, 2017</t>
  </si>
  <si>
    <t>Natl Res Univ, Moscow Power Engn Inst, Moscow, RUSSIA</t>
  </si>
  <si>
    <t>Minist Educ &amp; Sci Russian Federat,Russian Acad Sci, Siberian Branch, Inst Thermophys,Natl Comm Heat &amp; Mass Transfer,Russian Fdn Basic Res,Comsol,GazEcos,Interenergo</t>
  </si>
  <si>
    <t>Natl Res Univ, Moscow Power Engn Inst</t>
  </si>
  <si>
    <t>10.1088/1742-6596/891/1/012226</t>
  </si>
  <si>
    <t>WOS:000424078500226</t>
  </si>
  <si>
    <t>Sozinova, AA; Fokina, OV; Fufacheva, LA</t>
  </si>
  <si>
    <t>Sozinova, Anastasia A.; Fokina, Olga V.; Fufacheva, Lyudmila A.</t>
  </si>
  <si>
    <t>Reorganization of Entrepreneurial Structures Within Global Crisis Management: Problems and Perspectives</t>
  </si>
  <si>
    <t>Sozinova, Anastasia/F-6298-2015; Fokina, Olga/AAX-2743-2020</t>
  </si>
  <si>
    <t>Sozinova, Anastasia/0000-0001-5876-2823; Fokina, Olga/0000-0002-6697-3353</t>
  </si>
  <si>
    <t>10.1007/978-3-319-60696-5_1</t>
  </si>
  <si>
    <t>WOS:000426114200001</t>
  </si>
  <si>
    <t>Medvedeva, EV; Trubin, IS</t>
  </si>
  <si>
    <t>Medvedeva, E. V.; Trubin, I. S.</t>
  </si>
  <si>
    <t>Improving the Noise Immunity of Receiving Video Distorted White Gaussian Noise</t>
  </si>
  <si>
    <t>Trubin, Igor S./A-4176-2014; Medvedeva, Elena V./A-5714-2014</t>
  </si>
  <si>
    <t>Trubin, Igor S./0000-0003-2440-9743; Medvedeva, Elena V./0000-0002-0677-1418</t>
  </si>
  <si>
    <t>WOS:000383090900086</t>
  </si>
  <si>
    <t>Savinykh, NP; Shabalkina, SV; Lelekova, EV</t>
  </si>
  <si>
    <t>Savinykh, N. P.; Shabalkina, S. V.; Lelekova, E. V.</t>
  </si>
  <si>
    <t>Biomorphological adaptations of helophytes</t>
  </si>
  <si>
    <t>Savinykh, Natalia/0000-0003-4996-8269; /0000-0002-6157-1312</t>
  </si>
  <si>
    <t>10.1134/S199542551505011X</t>
  </si>
  <si>
    <t>WOS:000363241200002</t>
  </si>
  <si>
    <t>Strong Consistency of the Prototype Based Clustering in Probabilistic Space</t>
  </si>
  <si>
    <t>JOURNAL OF MACHINE LEARNING RESEARCH</t>
  </si>
  <si>
    <t>1532-4435</t>
  </si>
  <si>
    <t>WOS:000369886300005</t>
  </si>
  <si>
    <t>The Viatica branch of the Empire Orthodox Palestine society, late 19th-early 20th centuries</t>
  </si>
  <si>
    <t>WOS:000313402500011</t>
  </si>
  <si>
    <t>Kazakovtsev, SV</t>
  </si>
  <si>
    <t>Kazakovtsev, S. V.</t>
  </si>
  <si>
    <t>The organisation of military hospitals in the Viatka province during the World War 1</t>
  </si>
  <si>
    <t>WOS:000251119000010</t>
  </si>
  <si>
    <t>Calculation of the efficiency of inertialess flotation of disklike particles</t>
  </si>
  <si>
    <t>10.1007/s11236-005-0112-6</t>
  </si>
  <si>
    <t>WOS:000232940300011</t>
  </si>
  <si>
    <t>Mansurova, IA</t>
  </si>
  <si>
    <t>Sorption of water vapors by poly(methyl methacrylate) modified with amino-containing compounds</t>
  </si>
  <si>
    <t>POLYMER SCIENCE SERIES A</t>
  </si>
  <si>
    <t>Mansurova, Irina Alekseevna/J-3337-2016</t>
  </si>
  <si>
    <t>Mansurova, Irina Alekseevna/0000-0003-1197-0339</t>
  </si>
  <si>
    <t>0965-545X</t>
  </si>
  <si>
    <t>WOS:000180718300010</t>
  </si>
  <si>
    <t>Kostin, AA</t>
  </si>
  <si>
    <t>US position regarding Yugoslavia in January-March 1941</t>
  </si>
  <si>
    <t>WOS:000173770700008</t>
  </si>
  <si>
    <t>PECHENKIN, AA</t>
  </si>
  <si>
    <t>WAS THERE A CHANCE FOR AN OFFENSIVE + DID THE SOVIET-UNION PREPARE A FORESTALLING OFFENSIVE AGAINST NAZI GERMANY IN 1941</t>
  </si>
  <si>
    <t>WOS:A1995RD36300005</t>
  </si>
  <si>
    <t>Kuzmin, VA; Zagrai, IA; Shmakova, NA</t>
  </si>
  <si>
    <t>Kuzmin, V. A.; Zagrai, I. A.; Shmakova, N. A.</t>
  </si>
  <si>
    <t>Determining the Steam Boiler Furnace Gas Temperature and Emissivity during Flame Combustion of Peat</t>
  </si>
  <si>
    <t>THERMAL ENGINEERING</t>
  </si>
  <si>
    <t>Kuzmin, Vladimir A/J-6741-2017; Shmakova, Natalia/HKE-3411-2023</t>
  </si>
  <si>
    <t>Kuzmin, Vladimir A/0000-0002-8886-8677; Shmakova, Natalia/0000-0002-7718-7681</t>
  </si>
  <si>
    <t>0040-6015</t>
  </si>
  <si>
    <t>1555-6301</t>
  </si>
  <si>
    <t>10.1134/S0040601523010044</t>
  </si>
  <si>
    <t>WOS:000949710000007</t>
  </si>
  <si>
    <t>Skutnev, AV</t>
  </si>
  <si>
    <t>Skutnev, A. V.</t>
  </si>
  <si>
    <t>The Orders, Life, and Mores of the Theological Schools of Post-Reform Russia (On Revelations and Omissions in the Memoirs of the Clergy)</t>
  </si>
  <si>
    <t>NOVYI ISTORICHESKII VESTNIK-THE NEW HISTORICAL BULLETIN</t>
  </si>
  <si>
    <t>2072-9286</t>
  </si>
  <si>
    <t>10.54770/20729286_2023_1_50</t>
  </si>
  <si>
    <t>WOS:000971558700003</t>
  </si>
  <si>
    <t>Fokina, AI; Fominykh, EG; Yuzhanin, I</t>
  </si>
  <si>
    <t>Fokina, A. I.; Fominykh, E. G.; Yuzhanin, I.</t>
  </si>
  <si>
    <t>Electrochemical methods for the determination of ascorbic acid in biologically active additives</t>
  </si>
  <si>
    <t>Kirill Igorevic, Uzanin/0000-0002-8359-1920</t>
  </si>
  <si>
    <t>10.25750/1995-4301-2022-3-034-040</t>
  </si>
  <si>
    <t>WOS:000885393200004</t>
  </si>
  <si>
    <t>Mosechkin, Ilya N.</t>
  </si>
  <si>
    <t>IMPROVING THE LIST OF THREATS FALLING UNDER ART. 163 OF THE CRIMINAL CODE OF THE RUSSIAN FEDERATION AS A MEASURE TO COUNTERACT EXTORTION</t>
  </si>
  <si>
    <t>RUSSIAN JOURNAL OF CRIMINOLOGY</t>
  </si>
  <si>
    <t>2500-4255</t>
  </si>
  <si>
    <t>2500-1442</t>
  </si>
  <si>
    <t>10.17150/2500-4255.2022.16(2).257-267</t>
  </si>
  <si>
    <t>WOS:000805759500011</t>
  </si>
  <si>
    <t>Timkin, Y. N.</t>
  </si>
  <si>
    <t>The First General Purge of the RCP(b) in 1921: Institutional and Human Dimensions (Basing on Archival Material of the Vyatka Gubernia)</t>
  </si>
  <si>
    <t>NOVEISHAYA ISTORIYA ROSSII-MODERN HISTORY OF RUSSIA</t>
  </si>
  <si>
    <t>2219-9659</t>
  </si>
  <si>
    <t>2309-7973</t>
  </si>
  <si>
    <t>10.21638/11701/spbu24.2022.106</t>
  </si>
  <si>
    <t>WOS:000905283300006</t>
  </si>
  <si>
    <t>Chernyshev, KA; Chernysheva, NV</t>
  </si>
  <si>
    <t>Chernyshev, Konstantin A.; Chernysheva, Natalia, V</t>
  </si>
  <si>
    <t>Migration of the population of the Kirov region in the pre-war period (1937-1940)</t>
  </si>
  <si>
    <t>10.31166/VoprosyIstorii202005Statyi06</t>
  </si>
  <si>
    <t>WOS:000657720900006</t>
  </si>
  <si>
    <t>Gritsuk, NV; Gamulinskaya, NV; Petrova, EV</t>
  </si>
  <si>
    <t>Gritsuk, Natalia, V; Gamulinskaya, Nadezhda, V; Petrova, Elena, V</t>
  </si>
  <si>
    <t>THE INNOVATIVE APPROACH TO MANAGING THE PRODUCT QUALITY IN THE DIGITAL ECONOMY: INTELLECTUAL ACCOUNTING AND AUDIT</t>
  </si>
  <si>
    <t>10.24874/IJQR14.02-13</t>
  </si>
  <si>
    <t>WOS:000531047700013</t>
  </si>
  <si>
    <t>The Symbolism of Light in Ermil Kostrov's Poetry</t>
  </si>
  <si>
    <t>10.17223/15617793/450/2</t>
  </si>
  <si>
    <t>WOS:000513895200002</t>
  </si>
  <si>
    <t>Zorin, A., V</t>
  </si>
  <si>
    <t>The problem of American Loans and Credits for Czechoslovakia in 1945-1948</t>
  </si>
  <si>
    <t>10.24833/2071-8160-2020-1-70-56-81</t>
  </si>
  <si>
    <t>WOS:000518853200004</t>
  </si>
  <si>
    <t>Grudinin, VS; Khoroshavin, VS; Zotov, AV; Grudinin, SV</t>
  </si>
  <si>
    <t>Grudinin, V. S.; Khoroshavin, V. S.; Zotov, A., V; Grudinin, S., V</t>
  </si>
  <si>
    <t>Adaptive Iterative Control of Temperature in Greenhouse</t>
  </si>
  <si>
    <t>Grudinin, Viktor/ABA-7599-2020</t>
  </si>
  <si>
    <t>10.15507/2658-4123.029.201903.383-395</t>
  </si>
  <si>
    <t>WOS:000487855400004</t>
  </si>
  <si>
    <t>Tatarinova, NV; Suvorov, DM; Sushchikh, VM</t>
  </si>
  <si>
    <t>Tatarinova, N., V; Suvorov, D. M.; Sushchikh, V. M.</t>
  </si>
  <si>
    <t>Efficiency of the Operation of the Cogeneration Steam Turbine Plants at the Variable Heat and Electric Load Schedules</t>
  </si>
  <si>
    <t>Suvorov, Dmitry/I-1373-2016</t>
  </si>
  <si>
    <t>Suvorov, Dmitry/0000-0001-7415-3868</t>
  </si>
  <si>
    <t>10.5281/zenodo.1343404</t>
  </si>
  <si>
    <t>WOS:000441795300009</t>
  </si>
  <si>
    <t>Zyryanov, IA; Budin, AG; Pozolotin, AP</t>
  </si>
  <si>
    <t>Zyryanov, I. A.; Budin, A. G.; Pozolotin, A. P.</t>
  </si>
  <si>
    <t>Disperse admixtures in flame plasma influence on the heterogeneous combustion rate in the electrostatic field</t>
  </si>
  <si>
    <t>SCIENTIFIC TECHNICAL CONFERENCE ON LOW TEMPERATURE PLASMA DURING THE DEPOSITION OF FUNCTIONAL COATINGS (LTP COATINGS 2017)</t>
  </si>
  <si>
    <t>9th Republican Scientific Technical Conference on Low Temperature Plasma during the Deposition of Functional Coatings (LTP Coatings)</t>
  </si>
  <si>
    <t>NOV 05-08, 2017</t>
  </si>
  <si>
    <t>Acad Sci Republ Tatarstan, Kazan, RUSSIA</t>
  </si>
  <si>
    <t>Acad Sci Republ Tatarstan</t>
  </si>
  <si>
    <t>Pozolotin, Alexandr/ABE-9390-2020</t>
  </si>
  <si>
    <t>Pozolotin, Alexandr/0000-0003-3130-2573</t>
  </si>
  <si>
    <t>10.1088/1742-6596/1058/1/012017</t>
  </si>
  <si>
    <t>WOS:000518798300017</t>
  </si>
  <si>
    <t>Lomb, S</t>
  </si>
  <si>
    <t>Lomb, Samantha</t>
  </si>
  <si>
    <t>Enemies of the People' Under the Soviets. A History of Repression and its Consequences</t>
  </si>
  <si>
    <t>EUROPE-ASIA STUDIES</t>
  </si>
  <si>
    <t>Lomb, Samantha/U-1032-2018</t>
  </si>
  <si>
    <t>Lomb, Samantha/0000-0002-3472-6382</t>
  </si>
  <si>
    <t>0966-8136</t>
  </si>
  <si>
    <t>1465-3427</t>
  </si>
  <si>
    <t>10.1080/09668136.2017.1371496</t>
  </si>
  <si>
    <t>WOS:000413946100011</t>
  </si>
  <si>
    <t>Sintsov, A; Luppov, A; Fufachev, A</t>
  </si>
  <si>
    <t>Sintsov, A.; Luppov, A.; Fufachev, A.</t>
  </si>
  <si>
    <t>Development of Testing and Diagnostic Tools as a Way to Improve the Reliability of Multifunctional Radio Receiving Center</t>
  </si>
  <si>
    <t>WOS:000383090900118</t>
  </si>
  <si>
    <t>Kosheleva, EV; Kalinina, LA; Ananchenko, BA; Ushakova, YN; Zobnin, RM</t>
  </si>
  <si>
    <t>Kosheleva, E. V.; Kalinina, L. A.; Ananchenko, B. A.; Ushakova, Yu. N.; Zobnin, R. M.</t>
  </si>
  <si>
    <t>Prospects of using CaY2S4-Yb2S3 within sensors sensitive towards sulfur-containing gases</t>
  </si>
  <si>
    <t>10.1134/S1023193515060129</t>
  </si>
  <si>
    <t>WOS:000356494600008</t>
  </si>
  <si>
    <t>Koshurnikova, EV; Kalinina, LA; Ushakova, YN; Ananchenko, BA; Bezdenezhnykh, LA</t>
  </si>
  <si>
    <t>Koshurnikova, E. V.; Kalinina, L. A.; Ushakova, Yu N.; Ananchenko, B. A.; Bezdenezhnykh, L. A.</t>
  </si>
  <si>
    <t>Synthesis of Complex Sulfide Phases on the CaYb2S4-Y2S3 Quasibinary Section and Investigation of Their Structural and Electrolytic Properties</t>
  </si>
  <si>
    <t>10.1134/S1023193511050053</t>
  </si>
  <si>
    <t>WOS:000292270900006</t>
  </si>
  <si>
    <t>Ushakova, YN; Kalinina, LA; Ananchenko, BA; Yurlov, IS; Shirokova, GI; Fominykh, EG</t>
  </si>
  <si>
    <t>Ushakova, Yu. N.; Kalinina, L. A.; Ananchenko, B. A.; Yurlov, I. S.; Shirokova, G. I.; Fominykh, E. G.</t>
  </si>
  <si>
    <t>Electrolytic properties of sulfide-conducting phases based on the BaLn(2)S(4) and CaLn(2)S(4) compounds of different structural types</t>
  </si>
  <si>
    <t>10.1134/S1087659609030158</t>
  </si>
  <si>
    <t>WOS:000267486100015</t>
  </si>
  <si>
    <t>Social mobility of the parish clergy in the Viatka province, mid-19th-early 20th century</t>
  </si>
  <si>
    <t>Skutnev, Alexey/AAX-7041-2020</t>
  </si>
  <si>
    <t>WOS:000252876100012</t>
  </si>
  <si>
    <t>Izergin, NA</t>
  </si>
  <si>
    <t>A multistack switch-controlled induction motor</t>
  </si>
  <si>
    <t>ELECTRICAL TECHNOLOGY</t>
  </si>
  <si>
    <t>0965-5433</t>
  </si>
  <si>
    <t>WOS:A1996WR53300012</t>
  </si>
  <si>
    <t>Toropova, SI</t>
  </si>
  <si>
    <t>Toropova, S. I.</t>
  </si>
  <si>
    <t>DEVELOPMENT OF CRITICAL THINKING OF STUDENTS-FUTURE BIOTECHNOLOGISTS IN THE PROCESS OF TEACHING MATHEMATICS</t>
  </si>
  <si>
    <t>10.17853/1994-5639-2023-5-49-76</t>
  </si>
  <si>
    <t>WOS:000996323100002</t>
  </si>
  <si>
    <t>PROBLEMS OF THE CRIMINAL LAW PROTECTION OF CRITICAL INFORMATION INFRASTRUCTURE OF THE RUSSIAN FEDERATION</t>
  </si>
  <si>
    <t>10.17150/2500-1442.2023.17(1).22-34</t>
  </si>
  <si>
    <t>WOS:000953399900003</t>
  </si>
  <si>
    <t>Chernyshev, K</t>
  </si>
  <si>
    <t>Popov, E; Barkhatov, V; Pham, VD; Pletnev, D</t>
  </si>
  <si>
    <t>Chernyshev, Konstantin</t>
  </si>
  <si>
    <t>DEPOPULATION AND MIGRATION OUTFLOW AS A FEATURE OF REGIONAL ECONOMIC DEPRESSION</t>
  </si>
  <si>
    <t>COMPETITIVENESS AND THE DEVELOPMENT OF SOCIO-ECONOMIC SYSTEMS</t>
  </si>
  <si>
    <t>4th International Scientific Conference on Competitiveness and the Development of Socio-Economic Systems dedicated to the Memory of Alexander Tatarkin (CDSES)</t>
  </si>
  <si>
    <t>NOV 25-26, 2020</t>
  </si>
  <si>
    <t>Chelyabinsk State Univ, ELECTR NETWORK</t>
  </si>
  <si>
    <t>Russian Fdn Basic Res,Russian Acad Sci, Ural Branch, Inst Econ,Free Econ Soc Russia,Grad Acad Social Sci,Allameh Tabatabai Univ</t>
  </si>
  <si>
    <t>Chelyabinsk State Univ</t>
  </si>
  <si>
    <t>978-1-80296-104-1</t>
  </si>
  <si>
    <t>10.15405/epsbs.2021.04.91</t>
  </si>
  <si>
    <t>WOS:000773381800091</t>
  </si>
  <si>
    <t>Yungblyud, V; Zorin, A</t>
  </si>
  <si>
    <t>Yungblyud, Valery; Zorin, Artyom</t>
  </si>
  <si>
    <t>Daily Life of the American Embassy in Czechoslovakia in 1945-1948</t>
  </si>
  <si>
    <t>Yungblyud, Valeriy T./J-8665-2016; Zorin, Artem V/W-1762-2018</t>
  </si>
  <si>
    <t>Yungblyud, Valeriy T./0000-0002-2706-3904; Zorin, Artem V/0000-0002-3238-9036</t>
  </si>
  <si>
    <t>10.18254/S207987840016048-1</t>
  </si>
  <si>
    <t>WOS:000685513200017</t>
  </si>
  <si>
    <t>Development of coordination and speed-power abilities in children 8-9 years with the help of exercise Classics</t>
  </si>
  <si>
    <t>PHYSICAL ACTIVITY REVIEW</t>
  </si>
  <si>
    <t>2300-5076</t>
  </si>
  <si>
    <t>10.16926/par.2020.08.06</t>
  </si>
  <si>
    <t>WOS:000519128200006</t>
  </si>
  <si>
    <t>Timshin, V; Kolesnikova, O; Plotnikova, T</t>
  </si>
  <si>
    <t>Timshin, Vadim; Kolesnikova, Olga; Plotnikova, Tatyana</t>
  </si>
  <si>
    <t>Site Usability as an Indicator of the Educational Institution Media Culture (On the Example of Basic Schools of the Kirov Region)</t>
  </si>
  <si>
    <t>MEDIA EDUCATION-MEDIAOBRAZOVANIE</t>
  </si>
  <si>
    <t>Vadim, Timshin/I-7736-2018</t>
  </si>
  <si>
    <t>Vadim, Timshin/0000-0001-6472-6976</t>
  </si>
  <si>
    <t>1994-4160</t>
  </si>
  <si>
    <t>2729-8132</t>
  </si>
  <si>
    <t>10.13187/me.2020.3.549</t>
  </si>
  <si>
    <t>WOS:000574588500017</t>
  </si>
  <si>
    <t>Development of Intellectual Abilities Using Coordination Training in Schoolchildren with Different Nervous System</t>
  </si>
  <si>
    <t>APR-JUN</t>
  </si>
  <si>
    <t>WOS:000483412400101</t>
  </si>
  <si>
    <t>Polevoy, Georgy</t>
  </si>
  <si>
    <t>Unison of movements in football players with different nervous systems</t>
  </si>
  <si>
    <t>REVISTA DA ASSOCIACAO MEDICA BRASILEIRA</t>
  </si>
  <si>
    <t>1806-9282</t>
  </si>
  <si>
    <t>10.1590/1806-9282.65.2.211</t>
  </si>
  <si>
    <t>WOS:000461474100020</t>
  </si>
  <si>
    <t>Berdinsky, VA</t>
  </si>
  <si>
    <t>Berdinsky, Viktor A.</t>
  </si>
  <si>
    <t>Historical parascience and local history</t>
  </si>
  <si>
    <t>Viktor, Berdinskikh/AAS-8140-2021</t>
  </si>
  <si>
    <t>WOS:000467893700017</t>
  </si>
  <si>
    <t>The state of health of responsible party workers of the RCP(b) during the revolution of 1917, the civil war and the NEP years (based on the materials of the Vyatka Province)</t>
  </si>
  <si>
    <t>WOS:000473107100007</t>
  </si>
  <si>
    <t>Trubin, IS</t>
  </si>
  <si>
    <t>Trubin, I. S.</t>
  </si>
  <si>
    <t>Simulation of System with Code Channel Division in the LabVIEW</t>
  </si>
  <si>
    <t>Trubin, Igor S./A-4176-2014</t>
  </si>
  <si>
    <t>Trubin, Igor S./0000-0003-2440-9743</t>
  </si>
  <si>
    <t>WOS:000492146100144</t>
  </si>
  <si>
    <t>Kondrat'ev, DA; Tolstobrov, IV; Bushuev, AN; El'kin, OV; Bervitskaya, OS; Chernova, OV</t>
  </si>
  <si>
    <t>Kondrat'ev, D. A.; Tolstobrov, I. V.; Bushuev, A. N.; El'kin, O. V.; Bervitskaya, O. S.; Chernova, O. V.</t>
  </si>
  <si>
    <t>Powder Co2Er Intermetallic Compound Synthesis Conditions in a Halide Melt</t>
  </si>
  <si>
    <t>Tolstobrov, Ivan/T-7734-2019; Chernova, Olga V/S-4511-2018; O.V., El'kin/T-7146-2019; Bushuev, Andrey/AAE-1002-2019</t>
  </si>
  <si>
    <t>Tolstobrov, Ivan/0000-0002-0133-6150; Chernova, Olga V/0000-0002-3773-2796; O.V., El'kin/0000-0002-4540-7483; Bushuev, Andrey/0000-0001-9651-2171</t>
  </si>
  <si>
    <t>10.1134/S0036029518020076</t>
  </si>
  <si>
    <t>WOS:000435618500013</t>
  </si>
  <si>
    <t>Kosheleva, EV; Pentin, MA; Kalinina, LA; Mikhailichenko, TV; Lapteva, TA; Ushakova, YN</t>
  </si>
  <si>
    <t>Kosheleva, E. V.; Pentin, M. A.; Kalinina, L. A.; Mikhailichenko, T. V.; Lapteva, T. A.; Ushakova, Yu. N.</t>
  </si>
  <si>
    <t>Heterogeneous Doping of Sulfide-Conducting Phases Based on Calcium and Barium Thiolanthanates</t>
  </si>
  <si>
    <t>Kalinina, Ludmila/0000-0001-9471-2778</t>
  </si>
  <si>
    <t>10.1134/S1023193517070059</t>
  </si>
  <si>
    <t>WOS:000407274400015</t>
  </si>
  <si>
    <t>Musikhina, TA; Zemtsova, EA; Fuks, CL</t>
  </si>
  <si>
    <t>Musikhina, T. A.; Zemtsova, E. A.; Fuks, C. L.</t>
  </si>
  <si>
    <t>Use of Repeated Fluoropolymer Suspensions to Obtain Composite Electrochemical Coating Based on Zinc</t>
  </si>
  <si>
    <t>INTERNATIONAL CONFERENCE ON CONSTRUCTION, ARCHITECTURE AND TECHNOSPHERE SAFETY (ICCATS 2017)</t>
  </si>
  <si>
    <t>SEP 21-22, 2017</t>
  </si>
  <si>
    <t>S Ural State Univ,Irkutsk Natl Res Tech Univ,Far Eastern Fed Univ</t>
  </si>
  <si>
    <t>Musikhina, Tatyana/E-3915-2018</t>
  </si>
  <si>
    <t>Musikhina, Tatyana/0000-0003-4714-0572</t>
  </si>
  <si>
    <t>10.1088/1757-899X/262/1/012010</t>
  </si>
  <si>
    <t>WOS:000423728200010</t>
  </si>
  <si>
    <t>Kustova, Elena, V</t>
  </si>
  <si>
    <t>Formation of monasteries in the Perm region in the XV-XVII centuries</t>
  </si>
  <si>
    <t>WOS:000375522500012</t>
  </si>
  <si>
    <t>On a solution for the high-dimensionality-small-sample-size regression problem with several different microarrays</t>
  </si>
  <si>
    <t>INTERNATIONAL JOURNAL OF DATA MINING AND BIOINFORMATICS</t>
  </si>
  <si>
    <t>1748-5673</t>
  </si>
  <si>
    <t>1748-5681</t>
  </si>
  <si>
    <t>10.1504/IJDMB.2014.060049</t>
  </si>
  <si>
    <t>WOS:000333745900001</t>
  </si>
  <si>
    <t>Ananchenko, BA; Kalinina, LA; Ushakova, YN; Koshurnikova, EV</t>
  </si>
  <si>
    <t>Ananchenko, B. A.; Kalinina, L. A.; Ushakova, Yu N.; Koshurnikova, E. V.</t>
  </si>
  <si>
    <t>Electrolytic properties and stability of solid solutions of ytterbium sulfide in calcium thioytterbate</t>
  </si>
  <si>
    <t>10.1134/S102319351308003X</t>
  </si>
  <si>
    <t>WOS:000323258500006</t>
  </si>
  <si>
    <t>Alalykin, AA; Vesnin, RL; Kozulin, DA</t>
  </si>
  <si>
    <t>Alalykin, A. A.; Vesnin, R. L.; Kozulin, D. A.</t>
  </si>
  <si>
    <t>Preparation of Modified Hydrolysis Lignin and Its Use for Filling Epoxy Polymers and Enhancing Their Flame Resistance</t>
  </si>
  <si>
    <t>Kozulin, Denis/T-7435-2019; Vesnin, Roman/T-7719-2019; Alalykin, Alexandr/AAM-6654-2020</t>
  </si>
  <si>
    <t>Vesnin, Roman/0000-0002-8359-7871; Kozulin, Denis/0000-0001-6071-0707</t>
  </si>
  <si>
    <t>10.1134/S1070427211090278</t>
  </si>
  <si>
    <t>WOS:000297357300027</t>
  </si>
  <si>
    <t>Khitrin, SV; Fuks, SL; Devyaterikova, SV</t>
  </si>
  <si>
    <t>Properties and composition of the wastes of monoethanolamine treatment of hydrogen to remove carbon dioxide</t>
  </si>
  <si>
    <t>10.1023/A:1015564806467</t>
  </si>
  <si>
    <t>WOS:000175980800015</t>
  </si>
  <si>
    <t>Skvortsov, AI</t>
  </si>
  <si>
    <t>Effect of alloying, heat treatment, and deformation on the structure and properties of damping Zn-Al alloys</t>
  </si>
  <si>
    <t>10.1007/BF01395646</t>
  </si>
  <si>
    <t>WOS:A1996XD81500008</t>
  </si>
  <si>
    <t>Korshunkov, VA</t>
  </si>
  <si>
    <t>Korshunkov, Vladimir A.</t>
  </si>
  <si>
    <t>Archival Research on the Local and Family History: The City of Omsk City and New Research of Its Past</t>
  </si>
  <si>
    <t>10.28995/2073-0101-2022-4-1271-1279</t>
  </si>
  <si>
    <t>WOS:000906584000023</t>
  </si>
  <si>
    <t>Pevzner, MZ; Sergeev, DG</t>
  </si>
  <si>
    <t>Pevzner, M. Z.; Sergeev, D. G.</t>
  </si>
  <si>
    <t>Effect of Impurities on the Properties of Brass L63 and Preventive Control of Commercial Batches of Continuously Annealed Ribbon at the Kirov Plant for Processing Nonferrous Metals</t>
  </si>
  <si>
    <t>Pevzner, Mikhail/AAE-1321-2019</t>
  </si>
  <si>
    <t>Pevzner, Mikhail/0000-0001-9894-7523; Sergeev, Denis/0000-0001-6784-6754</t>
  </si>
  <si>
    <t>1-2</t>
  </si>
  <si>
    <t>10.1007/s11041-021-00646-0</t>
  </si>
  <si>
    <t>JUN 2021</t>
  </si>
  <si>
    <t>WOS:000659035900005</t>
  </si>
  <si>
    <t>Bratukhina, EA; Lysova, EA; Lapteva, IP; Malysheva, NV</t>
  </si>
  <si>
    <t>Bratukhina, Elena A.; Lysova, Elena A.; Lapteva, Irina P.; Malysheva, Natalia, V</t>
  </si>
  <si>
    <t>MARKETING MANAGEMENT OF EDUCATION QUALITY IN THE PROCESS OF UNIVERSITY REORGANIZATION IN INDUSTRY 4.0: GOALS OF APPLICATION AND NEW TOOLS</t>
  </si>
  <si>
    <t>Bratukhina, Elena/AAB-6051-2022; Andrea Simões Braga, Francisco/GRS-0157-2022</t>
  </si>
  <si>
    <t>10.24874/IJQR14.02-03</t>
  </si>
  <si>
    <t>WOS:000531047700003</t>
  </si>
  <si>
    <t>Isotov, AI; Isotov, SA</t>
  </si>
  <si>
    <t>Isotov, A. I.; Isotov, S. A.</t>
  </si>
  <si>
    <t>Evaluation of the effectiveness of using solid lubricants to reduce the wear of the brushes of electric AC machines</t>
  </si>
  <si>
    <t>10.1088/1757-899X/971/3/032028</t>
  </si>
  <si>
    <t>WOS:000646359100129</t>
  </si>
  <si>
    <t>U.S. plans to internationalize the containment of the USSR in the Balkans in the first half of the 1950s</t>
  </si>
  <si>
    <t>10.24833/2071-8160-2020-6-75-53-76</t>
  </si>
  <si>
    <t>WOS:000605204300002</t>
  </si>
  <si>
    <t>Nemchaninova, Evgenia N.; Polovnikova, Marina Yu</t>
  </si>
  <si>
    <t>MISSIONARY ACTIVITY OF RUSSIAN ORTHODOX CHURCH IN THE SECOND HALF OF THE XIX - EARLY XX CENTURIES (VYATKA PROVINCE)</t>
  </si>
  <si>
    <t>10.24224/2227-1295-2020-4-401-419</t>
  </si>
  <si>
    <t>WOS:000530639000025</t>
  </si>
  <si>
    <t>KURDISH QUESTION IN THE MIDDLE EAST POLICY OF THE ADMINISTRATION OF J. CARTER IN 1979-1980</t>
  </si>
  <si>
    <t>10.17223/19988613/63/13</t>
  </si>
  <si>
    <t>WOS:000517821700013</t>
  </si>
  <si>
    <t>Sidorov, Vadim Veniaminovich</t>
  </si>
  <si>
    <t>ISOMORPHISMS OF SEMIRINGS OF CONTINUOUS NONNEGATIVE FUNCTIONS WITH MAX-ADDITION AND ISOMORPHISMS OF LATTICES OF THEIR SUBALGEBRAS</t>
  </si>
  <si>
    <t>SIBERIAN ELECTRONIC MATHEMATICAL REPORTS-SIBIRSKIE ELEKTRONNYE MATEMATICHESKIE IZVESTIYA</t>
  </si>
  <si>
    <t>1813-3304</t>
  </si>
  <si>
    <t>10.33048/semi.2020.17.021</t>
  </si>
  <si>
    <t>WOS:000518782500001</t>
  </si>
  <si>
    <t>Razova, E; Kotelnikov, E</t>
  </si>
  <si>
    <t>Razova, Elena; Kotelnikov, Evgeny</t>
  </si>
  <si>
    <t>Concentration Areas of Sentiment Lexica in the Word Embedding Space</t>
  </si>
  <si>
    <t>INTERNATIONAL JOURNAL OF COGNITIVE INFORMATICS AND NATURAL INTELLIGENCE</t>
  </si>
  <si>
    <t>Kotelnikov, Evgeny/A-3606-2014; Razova, Elena/U-4097-2018</t>
  </si>
  <si>
    <t>Kotelnikov, Evgeny/0000-0001-9745-1489; Razova, Elena/0000-0001-5557-5432</t>
  </si>
  <si>
    <t>1557-3958</t>
  </si>
  <si>
    <t>1557-3966</t>
  </si>
  <si>
    <t>10.4018/IJCINI.2019040104</t>
  </si>
  <si>
    <t>WOS:000501202200004</t>
  </si>
  <si>
    <t>Romanova, IV; Ponomarenko, LN; Kibishev, AN; Susloparova, MM</t>
  </si>
  <si>
    <t>Romanova, Irina, V; Ponomarenko, Larisa N.; Kibishev, Andrey N.; Susloparova, Maria M.</t>
  </si>
  <si>
    <t>Civil Values Awareness Formation in High School Students within the Educational Process</t>
  </si>
  <si>
    <t>Романова, Ирина/ABC-3457-2020; Ponomarenko, Larisa N/L-3310-2017; Kibishev, Andrey/B-2743-2019</t>
  </si>
  <si>
    <t>Романова, Ирина/0000-0001-8448-1873; Ponomarenko, Larisa N/0000-0001-5056-5446; Kibishev, Andrey/0000-0003-0723-1728</t>
  </si>
  <si>
    <t>10.13187/ejced.2018.3.541</t>
  </si>
  <si>
    <t>WOS:000445146400009</t>
  </si>
  <si>
    <t>Kislitsyna, VV; Palkina, MV</t>
  </si>
  <si>
    <t>Solovev, DB</t>
  </si>
  <si>
    <t>Kislitsyna, V. V.; Palkina, M., V</t>
  </si>
  <si>
    <t>Development of Innovative Activities in Depressed Regions</t>
  </si>
  <si>
    <t>PROCEEDINGS OF THE INTERNATIONAL SCIENTIFIC CONFERENCE FAR EAST CON (ISCFEC 2018)</t>
  </si>
  <si>
    <t>AEBMR-Advances in Economics Business and Management Research</t>
  </si>
  <si>
    <t>International Scientific Multi-Conference on Industrial Engineering and Modern Technologies (FarEastCon)</t>
  </si>
  <si>
    <t>OCT 02-04, 2018</t>
  </si>
  <si>
    <t>Vladivostok, RUSSIA</t>
  </si>
  <si>
    <t>Far Eastern Fed Univ,NE Fed Univ,Amur State Univ Humanities &amp; Pedag,Far Eastern State Transport Univ,Komsomolsk Amur State Techn Univ,Amur State Univ,Vladivostok State Univ Econ &amp; Serv,Acad, Construct &amp; Architecture, Res Inst Bldg Phys &amp; Fencing Construct,Russian Acad Sci, Econ Res Inst Far Eastern Branch,Pacific Natl Univ,Russian Fdn Basic Res</t>
  </si>
  <si>
    <t>2352-5428</t>
  </si>
  <si>
    <t>978-94-6252-656-3</t>
  </si>
  <si>
    <t>WOS:000679066800160</t>
  </si>
  <si>
    <t>The Sampling of the z-Plane Due to the Quantization of the Digital Filter Coefficients</t>
  </si>
  <si>
    <t>Chastikov, Alexander/A-5560-2014; Naumovich, Tatyana/B-8000-2017; Chastikov, Alexander/ACX-8162-2022</t>
  </si>
  <si>
    <t xml:space="preserve">Chastikov, Alexander/0000-0002-1998-7787; Naumovich, Tatyana/0000-0002-3659-2664; </t>
  </si>
  <si>
    <t>WOS:000644432200112</t>
  </si>
  <si>
    <t>Loginov, D; Stepanyan, V</t>
  </si>
  <si>
    <t>Malinovska, L; Osadcuks, V</t>
  </si>
  <si>
    <t>Loginov, Dmitriy; Stepanyan, Vladimir</t>
  </si>
  <si>
    <t>STATE SUPPORT OF AGRICULTURE OF RUSSIA - SEARCH OF APPROACHES TO BUILD MODERN, EFFECTIVE MODEL</t>
  </si>
  <si>
    <t>17TH INTERNATIONAL SCIENTIFIC CONFERENCE: ENGINEERING FOR RURAL DEVELOPMENT</t>
  </si>
  <si>
    <t>Engineering for Rural Development</t>
  </si>
  <si>
    <t>17th International Scientific Conference on Engineering for Rural Development</t>
  </si>
  <si>
    <t>MAY 23-25, 2018</t>
  </si>
  <si>
    <t>Jelgava, LATVIA</t>
  </si>
  <si>
    <t>Latvia Univ Life Sci &amp; Technologies, Fac Engn</t>
  </si>
  <si>
    <t>Loginov, Dmitrii Alekseevic/0000-0002-2458-9978</t>
  </si>
  <si>
    <t>1691-3043</t>
  </si>
  <si>
    <t>1691-5976</t>
  </si>
  <si>
    <t>10.22616/ERDev2018.17.N241</t>
  </si>
  <si>
    <t>WOS:000805412200175</t>
  </si>
  <si>
    <t>Medvedeva, E; Karlushin, K; Kurbatova, E</t>
  </si>
  <si>
    <t>Medvedeva, Elena; Karlushin, Konstantin; Kurbatova, Ekaterina</t>
  </si>
  <si>
    <t>Motion Detection Algorithm Implemented on the ARM-based Hardware</t>
  </si>
  <si>
    <t>WOS:000644432200031</t>
  </si>
  <si>
    <t>Suvorov, DM; Suvorova, LA; Pestova, IV; Baibakova, TV</t>
  </si>
  <si>
    <t>Suvorov, D. M.; Suvorova, L. A.; Pestova, I. V.; Baibakova, T. V.</t>
  </si>
  <si>
    <t>The dynamic index of urban environment quality as a tool for sustainable urban development</t>
  </si>
  <si>
    <t>INTERNATIONAL CONFERENCE ON SUSTAINABLE CITIES, 2018</t>
  </si>
  <si>
    <t>3rd International Conference on Sustainable (ICSC)</t>
  </si>
  <si>
    <t>MAY 18, 2018</t>
  </si>
  <si>
    <t>Суворов, Дмитрий/0000-0001-7415-3868</t>
  </si>
  <si>
    <t>10.1088/1755-1315/177/1/012007</t>
  </si>
  <si>
    <t>WOS:000451502800007</t>
  </si>
  <si>
    <t>Finite element models in stresses for plane elasticity problems</t>
  </si>
  <si>
    <t>10.18720/MCE.77.3</t>
  </si>
  <si>
    <t>WOS:000431443100003</t>
  </si>
  <si>
    <t>Yungblud, V; Zboyev, A</t>
  </si>
  <si>
    <t>Yungblud, Valery; Zboyev, Artyom</t>
  </si>
  <si>
    <t>THE ACTIVITY OF AMERICAN NON-GOVERNMENTAL ORGANISATIONS IN THE POST-SOVIET STATES DURING THE 1990s</t>
  </si>
  <si>
    <t>10.15826/qr.2018.1.294</t>
  </si>
  <si>
    <t>WOS:000447487200018</t>
  </si>
  <si>
    <t>Zyryanov, IA; Pozolotin, AP; Budin, AG</t>
  </si>
  <si>
    <t>Zyryanov, I. A.; Pozolotin, A. P.; Budin, A. G.</t>
  </si>
  <si>
    <t>Electrostatic field influence on wood combustion in high-enthalpy flow</t>
  </si>
  <si>
    <t>10.1088/1742-6596/1058/1/012028</t>
  </si>
  <si>
    <t>WOS:000518798300028</t>
  </si>
  <si>
    <t>Meltsov, VY; Lesnikov, VA; Dolzhenkova, ML</t>
  </si>
  <si>
    <t>Meltsov, Vasiliy Yu.; Lesnikov, Vladislav A.; Dolzhenkova, Mary L.</t>
  </si>
  <si>
    <t>Intelligent System of Knowledge Control with the Natural Language User Interface</t>
  </si>
  <si>
    <t>PROCEEDINGS OF THE 2017 INTERNATIONAL CONFERENCE QUALITY MANAGEMENT,TRANSPORT AND INFORMATION SECURITY, INFORMATION TECHNOLOGIES (IT&amp;QM&amp;IS)</t>
  </si>
  <si>
    <t>International Conference on Quality Management,Transport and Information Security, Information Technologies (IT and QM and IS)</t>
  </si>
  <si>
    <t>SEP 23-30, 2017</t>
  </si>
  <si>
    <t>St Petersburg, RUSSIA</t>
  </si>
  <si>
    <t>Meltsov, Vasily Yurevich/P-7511-2017; Lesnikov, Vladislav A./E-9558-2011</t>
  </si>
  <si>
    <t>Meltsov, Vasily Yurevich/0000-0001-5479-9979; Lesnikov, Vladislav A./0000-0002-5034-291X</t>
  </si>
  <si>
    <t>978-1-5386-0703-9</t>
  </si>
  <si>
    <t>WOS:000425868400157</t>
  </si>
  <si>
    <t>LAPIN ADVENTURE IN THE VYATKA IN MARCH 1918</t>
  </si>
  <si>
    <t>Timkin, Yuriy/J-6513-2018</t>
  </si>
  <si>
    <t>WOS:000410460100004</t>
  </si>
  <si>
    <t>Krivosheina, N; Pogodin, D; Naymova, J; Elpasheva, H</t>
  </si>
  <si>
    <t>Krivosheina, Natalia; Pogodin, Danil; Naymova, Julia; Elpasheva, Helen</t>
  </si>
  <si>
    <t>METHODS OF INTEGRATION THE HISTORICAL ARCHITECTURAL DECORATION FROM OPOKA IN THE MODERN COMPLETE KITCHEN</t>
  </si>
  <si>
    <t>SGEM 2016, BK 4: ARTS, PERFORMING ARTS, ARCHITECTURE AND DESIGN CONFERENCE PROCEEDINGS, VOL III</t>
  </si>
  <si>
    <t>3rd International Multidisciplinary Scientific Conference on Social Sciences and Arts, SGEM 2016</t>
  </si>
  <si>
    <t>AUG 24-30, 2016</t>
  </si>
  <si>
    <t>Bulgarian Acad Sci,Acad Sci Czech Republ,Latvian Acad Sci,Polish Acad Sci,Russian Acad Sci,Serbian Acad Sci &amp; Arts,Slovak Acad Sci,Natl Acad Sci Ukraine,Natl Acad Sci Armenia,Sci Council Japan,World Acad Sci,European Acad Sci Arts &amp; Letters,Acad Fine Arts Zagreb Croatia,Croatian Acad Sci &amp; Arts,Acad Sci Moldova,Montenegrin Acad Sci &amp; Arts,Georgian Acad Sci,Acad Fine Arts &amp; Design Bratislava,Russian Acad Arts,Turkish Acad Sci,Bulgarian Cultural Inst Vienna</t>
  </si>
  <si>
    <t>Naymova, Juliа/H-9872-2017; Krivosheina, Natalia V/M-8938-2018</t>
  </si>
  <si>
    <t>Naymova, Juliа/0000-0001-8611-1702; Krivosheina, Natalia V/0000-0001-7612-5174</t>
  </si>
  <si>
    <t>978-619-7105-78-0</t>
  </si>
  <si>
    <t>WOS:000395727700049</t>
  </si>
  <si>
    <t>Classification of Structures of IIR Digital Filters</t>
  </si>
  <si>
    <t>IEEE,Kharkov Natl Univ Radioelectron,IEEE Comp Soc Test Technol Tech Council</t>
  </si>
  <si>
    <t>Lesnikov, Vladislav A./E-9558-2011; Chastikov, Alexander/A-5560-2014; Naumovich, Tatyana/B-8000-2017; Chastikov, Alexander/ACX-8162-2022</t>
  </si>
  <si>
    <t xml:space="preserve">Lesnikov, Vladislav A./0000-0002-5034-291X; Chastikov, Alexander/0000-0002-1998-7787; Naumovich, Tatyana/0000-0002-3659-2664; </t>
  </si>
  <si>
    <t>WOS:000382527700045</t>
  </si>
  <si>
    <t>On the Method for Data Streams Aggregation to Predict Shoppers Loyalty</t>
  </si>
  <si>
    <t>2015 INTERNATIONAL JOINT CONFERENCE ON NEURAL NETWORKS (IJCNN)</t>
  </si>
  <si>
    <t>IEEE International Joint Conference on Neural Networks (IJCNN)</t>
  </si>
  <si>
    <t>International Joint Conference on Neural Networks (IJCNN)</t>
  </si>
  <si>
    <t>JUL 12-17, 2015</t>
  </si>
  <si>
    <t>Killarney, IRELAND</t>
  </si>
  <si>
    <t>2161-4393</t>
  </si>
  <si>
    <t>978-1-4799-1959-8</t>
  </si>
  <si>
    <t>WOS:000370730601064</t>
  </si>
  <si>
    <t>Polish Catholic priests in the Viatka exile, 1860s-1870s</t>
  </si>
  <si>
    <t>WOS:000289763200005</t>
  </si>
  <si>
    <t>Mathematical modeling of cyclic processes</t>
  </si>
  <si>
    <t>10.1134/S0040579510040056</t>
  </si>
  <si>
    <t>WOS:000280701900005</t>
  </si>
  <si>
    <t>Belykh, NY</t>
  </si>
  <si>
    <t>Belykh, N. Yu.</t>
  </si>
  <si>
    <t>Latvian citizens in the Viatlag, 1938-1955</t>
  </si>
  <si>
    <t>WOS:000279999300006</t>
  </si>
  <si>
    <t>Bagaev, S; Medvedeva, E</t>
  </si>
  <si>
    <t>Bagaev, Stanislav; Medvedeva, Elena</t>
  </si>
  <si>
    <t>Segmentation of Satellite Images of the Earth's surface using Neural Network Technologies</t>
  </si>
  <si>
    <t>PROCEEDINGS OF THE 28TH CONFERENCE OF OPEN INNOVATIONS ASSOCIATION FRUCT</t>
  </si>
  <si>
    <t>28th IEEE Conference of Open-Innovations-Association (FRUCT)</t>
  </si>
  <si>
    <t>JAN 27-29, 2021</t>
  </si>
  <si>
    <t>IEEE,IEEE Commun Soc,Joint Sect IT Chapter Russia,IEEE Commun Soc,FRUCT Assoc,Moscow Tech Univ Commun &amp; Informat</t>
  </si>
  <si>
    <t>978-9-5269-2444-1</t>
  </si>
  <si>
    <t>WOS:000672554500002</t>
  </si>
  <si>
    <t>Laletin, V., I; Malyshev, E. N.; Prismotrov, N., I</t>
  </si>
  <si>
    <t>Stepper Electric Drive with the Function of Suppressing Resonance Phenomena</t>
  </si>
  <si>
    <t>2020 INTERNATIONAL CONFERENCE ON INDUSTRIAL ENGINEERING, APPLICATIONS AND MANUFACTURING (ICIEAM)</t>
  </si>
  <si>
    <t>MAY 18-22, 2020</t>
  </si>
  <si>
    <t>S Ural State Univ,Platov S Russian State Polytechn Univ,Moscow Polytechn Univ,Volgograd State Tech Univ,IEEE,Machines</t>
  </si>
  <si>
    <t>978-1-7281-4590-7</t>
  </si>
  <si>
    <t>WOS:000607234900037</t>
  </si>
  <si>
    <t>Sadakov, DA</t>
  </si>
  <si>
    <t>Sadakov, Denis A.</t>
  </si>
  <si>
    <t>SELECTION OF THE PLACE OF THE REPUBLIC OF KOREA IN THE PACIFIC SECURITY SYSTEM OF THE UNITED STATES ON THE EVE OF THE KOREAN WAR (1948-EARLY 1950)</t>
  </si>
  <si>
    <t>10.17223/19988613/63/12</t>
  </si>
  <si>
    <t>WOS:000517821700012</t>
  </si>
  <si>
    <t>Kadochnikova, NI; Oborin, VA; Morozova, MA</t>
  </si>
  <si>
    <t>Kadochnikova, Natalia, I; Oborin, Viktor A.; Morozova, Marina A.</t>
  </si>
  <si>
    <t>The influence of dietary supplements based on fermented wheat bran on the body composition of wrestlers</t>
  </si>
  <si>
    <t>Morozova, Marina A./AAD-1191-2019; Oborin, Vladimir/B-3478-2018</t>
  </si>
  <si>
    <t xml:space="preserve">Morozova, Marina A./0000-0003-3303-3426; </t>
  </si>
  <si>
    <t>WOS:000625435700025</t>
  </si>
  <si>
    <t>The development of speed-power qualities of schoolchildren with different typologies applying coordination training</t>
  </si>
  <si>
    <t>PEDAGOGICS PSYCHOLOGY MEDICAL-BIOLOGICAL PROBLEMS OF PHYSICAL TRAINING AND SPORTS</t>
  </si>
  <si>
    <t>2308-7269</t>
  </si>
  <si>
    <t>10.15561/18189172.2019.0107</t>
  </si>
  <si>
    <t>WOS:000459821500007</t>
  </si>
  <si>
    <t>Valova, OM; Shcherbakova, TV</t>
  </si>
  <si>
    <t>Valova, O. M.; Shcherbakova, T., V</t>
  </si>
  <si>
    <t>SYNTHESIS OF PHILOSOPHY AND ART IN O. WILD'S GOTHIC STORY THE CANTERVILLE GHOST</t>
  </si>
  <si>
    <t>PHILOLOGICAL CLASS</t>
  </si>
  <si>
    <t>Valova, Olga/AAC-4111-2019; Shcherbakova, Tatyana/ABF-3243-2020</t>
  </si>
  <si>
    <t xml:space="preserve">Valova, Olga/0000-0001-7987-5317; </t>
  </si>
  <si>
    <t>2071-2405</t>
  </si>
  <si>
    <t>10.26170/FK19-02-25</t>
  </si>
  <si>
    <t>WOS:000489097600025</t>
  </si>
  <si>
    <t>Utemov, VV; Simonova, GI; Moskvin, AS; Korotysheva, NN</t>
  </si>
  <si>
    <t>Utemov, Vyacheslav V.; Simonova, Galina I.; Moskvin, Artem S.; Korotysheva, Natalia N.</t>
  </si>
  <si>
    <t>Aspects Of Implementing Mixed Training Technology In School Education Programs</t>
  </si>
  <si>
    <t>WOS:000443674500030</t>
  </si>
  <si>
    <t>On the question of interference of USSR in the parliamentary elections in Greece in 1958</t>
  </si>
  <si>
    <t>WOS:000427548200006</t>
  </si>
  <si>
    <t>US-SOVIET DIALOGUE ON THE KOREAN SETTLEMENT IN 1943-1947: BASIC PRINCIPLES AND RESULTS</t>
  </si>
  <si>
    <t>IZVESTIYA URALSKOGO FEDERALNOGO UNIVERSITETA-SERIYA 2-GUMANITARNYE NAUKI</t>
  </si>
  <si>
    <t>Sadakov, Denis/R-9556-2018</t>
  </si>
  <si>
    <t>Sadakov, Denis/0000-0003-4308-7276</t>
  </si>
  <si>
    <t>2227-2283</t>
  </si>
  <si>
    <t>2587-6929</t>
  </si>
  <si>
    <t>10.15826/izv2.2018.20.2.022</t>
  </si>
  <si>
    <t>WOS:000468389000002</t>
  </si>
  <si>
    <t>Yurchuk-Zuliar, OA; Tulyakova, OV; Kunshin, AA</t>
  </si>
  <si>
    <t>Yurchuk-Zuliar, O. A.; Tulyakova, O. V.; Kunshin, A. A.</t>
  </si>
  <si>
    <t>Physical and sexual development of 10-year-old girls in rhythmic gymnastics and acrobatics</t>
  </si>
  <si>
    <t>Yurchuk-Zuliar, Oxana/X-3429-2018; Tulyakova, Olga/O-8534-2017; Kunshin, Alexey A./F-7920-2016</t>
  </si>
  <si>
    <t>Yurchuk-Zuliar, Oxana/0000-0003-4353-5593; Tulyakova, Olga/0000-0002-2095-4309; Kunshin, Alexey A./0000-0002-8659-0472</t>
  </si>
  <si>
    <t>1818-9172</t>
  </si>
  <si>
    <t>10.15561/18189172.2018.0108</t>
  </si>
  <si>
    <t>WOS:000431046900008</t>
  </si>
  <si>
    <t>Karanina, E; Loginov, D</t>
  </si>
  <si>
    <t>Karanina, Elena; Loginov, Dmitri</t>
  </si>
  <si>
    <t>Indicators of economic security of the region: a risk-based approach to assessing and rating</t>
  </si>
  <si>
    <t>ENERGY MANAGEMENT OF MUNICIPAL TRANSPORTATION FACILITIES AND TRANSPORT (EMMFT 2017)</t>
  </si>
  <si>
    <t>19th International Scientific Conference on Energy Management of Municipal Transportation Facilities and Transport (EMMFT)</t>
  </si>
  <si>
    <t>APR 10-13, 2017</t>
  </si>
  <si>
    <t>Far Eastern State Transport Univ, Khabarovsk, RUSSIA</t>
  </si>
  <si>
    <t>Far Eastern State Transport Univ</t>
  </si>
  <si>
    <t>10.1088/1755-1315/90/1/012087</t>
  </si>
  <si>
    <t>WOS:000419816700087</t>
  </si>
  <si>
    <t>Medvedeva, EV; Kurbatova, EE</t>
  </si>
  <si>
    <t>Medvedeva, E. V.; Kurbatova, E. E.</t>
  </si>
  <si>
    <t>Method for the Restoration of Multicomponent Images Distorted by Applicative Disturbances based on Tree-dimensional Markov Chain</t>
  </si>
  <si>
    <t>WOS:000428759500052</t>
  </si>
  <si>
    <t>Shestakov, AV; Fominykh, AA</t>
  </si>
  <si>
    <t>Shestakov, Alexander V.; Fominykh, Anton A.</t>
  </si>
  <si>
    <t>Modeling of Control Processes of the Asynchronous Motor Under Pulsating Mode with Due Regard for the Influence of Real Factors</t>
  </si>
  <si>
    <t>2017 XI INTERNATIONAL IEEE SCIENTIFIC AND TECHNICAL CONFERENCE DYNAMICS OF SYSTEMS, MECHANISMS AND MACHINES (DYNAMICS)</t>
  </si>
  <si>
    <t>11th International IEEE Scientific and Technical Conference on Dynamics of Systems, Mechanisms and Machines (Dynamics)</t>
  </si>
  <si>
    <t>Inst Elect &amp; Elect Engineers,Omsk State Tech Univ,IEEE Reg 8 Russia Siberia Sect,Tomsk IEEE Chapter &amp; Student Branch,IEEE Russia Siberia Sect, Graduates Last Decade Affin Grp,Novosibirsk State Tech Univ</t>
  </si>
  <si>
    <t>Shestakov, Alexander/0000-0001-8907-7634</t>
  </si>
  <si>
    <t>WOS:000427690500083</t>
  </si>
  <si>
    <t>Shempelev, A; Iglin, P</t>
  </si>
  <si>
    <t>Shempelev, A.; Iglin, P.</t>
  </si>
  <si>
    <t>Development of Methods for Calculating the Aggressive Gas Content in Condensate at the Output from a Steam Turbine Condenser</t>
  </si>
  <si>
    <t>Iglin, Pavel/0000-0003-3731-7864</t>
  </si>
  <si>
    <t>WOS:000403604400114</t>
  </si>
  <si>
    <t>Electroconductivity of Molten Mixtures of LiCl-KCl Eutectics with Chlorides of Rare-Earth Elements</t>
  </si>
  <si>
    <t>10.1134/S0036024411010134</t>
  </si>
  <si>
    <t>WOS:000288387800025</t>
  </si>
  <si>
    <t>The doctrine of Khrushchev vs. Eisenhower doctrine, Spring-Summer 1960</t>
  </si>
  <si>
    <t>WOS:000255228700011</t>
  </si>
  <si>
    <t>Fominykh, EG; Kalinina, LA; Shirokova, GI; Ushakova, YN; Rychkova, TI; Ananchenko, BA</t>
  </si>
  <si>
    <t>Fominykh, E. G.; Kalinina, L. A.; Shirokova, G. I.; Ushakova, Yu. N.; Rychkova, T. I.; Ananchenko, B. A.</t>
  </si>
  <si>
    <t>Sulfide-conducting solid electrolytes for preparation of nonstoichiometric compounds with controlled composition and properties</t>
  </si>
  <si>
    <t>Topical Meeting of the European-Ceramic-Society</t>
  </si>
  <si>
    <t>JUN 27-29, 2006</t>
  </si>
  <si>
    <t>European Ceram Soc</t>
  </si>
  <si>
    <t>10.1134/S1087659607040104</t>
  </si>
  <si>
    <t>WOS:000249259800010</t>
  </si>
  <si>
    <t>Yurlov, IS; Ushakova, YN; Medvedeva, OV; Kalinina, LA; Shirokova, GI; Ananchenko, BA</t>
  </si>
  <si>
    <t>Yurlov, I. S.; Ushakova, Yu N.; Medvedeva, O. V.; Kalinina, L. A.; Shirokova, G. I.; Ananchenko, B. A.</t>
  </si>
  <si>
    <t>Determination of diffusion coefficients for sulfide ions in solid electrolytes on the basis of BaSm2S4 and CaGd2S4</t>
  </si>
  <si>
    <t>10.1134/S1023193507060043</t>
  </si>
  <si>
    <t>WOS:000247977600004</t>
  </si>
  <si>
    <t>Balyberdin, IA</t>
  </si>
  <si>
    <t>Balyberdin, Iu. A.</t>
  </si>
  <si>
    <t>Public organisations of the Viatka-Kama region on the eve and during the first Russian Revolution</t>
  </si>
  <si>
    <t>WOS:000241852800011</t>
  </si>
  <si>
    <t>Karaulov, VM; Palkina, MV</t>
  </si>
  <si>
    <t>Karaulov, Vasily M.; Palkina, Marina V.</t>
  </si>
  <si>
    <t>Assessment of the Innovative Development of Depressed Regions for the Sustainable Development of Their Digital Economy</t>
  </si>
  <si>
    <t>10.1007/978-3-030-70194-9_36</t>
  </si>
  <si>
    <t>WOS:000849737100035</t>
  </si>
  <si>
    <t>Dealiasing Technique for Processing of Sub-Nyquist Sampled Bandpass Analytic Signals</t>
  </si>
  <si>
    <t>Naumovich, Tatyana/B-8000-2017; Chastikov, Alexander/ACX-8162-2022; Chastikov, Alexander/A-5560-2014; Lesnikov, Vladislav A./E-9558-2011</t>
  </si>
  <si>
    <t>Naumovich, Tatyana/0000-0002-3659-2664; Chastikov, Alexander/0000-0002-1998-7787; Lesnikov, Vladislav A./0000-0002-5034-291X</t>
  </si>
  <si>
    <t>10.1109/SIBCON50419.2021.9438931</t>
  </si>
  <si>
    <t>WOS:000680842100079</t>
  </si>
  <si>
    <t>Bandakov, MP; Sannikova, AV</t>
  </si>
  <si>
    <t>Bandakov, M. P.; Sannikova, A., V</t>
  </si>
  <si>
    <t>A METHODOLOGICAL APPROACH TO DIFFERENTIATING MEANS OF DEVELOPMENT OF COORDINATION ABILITIES IN SKI-RACERS</t>
  </si>
  <si>
    <t>Bandakov, Mikhail/U-7614-2018</t>
  </si>
  <si>
    <t>Bandakov, Mikhail/0000-0002-8605-301X</t>
  </si>
  <si>
    <t>10.14529/hsm200110</t>
  </si>
  <si>
    <t>WOS:000539044700010</t>
  </si>
  <si>
    <t>Bykova, EV; Tarasov, KN</t>
  </si>
  <si>
    <t>Bykova, Ekaterina V.; Tarasov, Konstantin N.</t>
  </si>
  <si>
    <t>OLD BELIEVER ICON PAINTING IN THE SECOND HALF OF THE 19TH - EARLY 20TH CENTURIES IN THE CONTEXT OF HISTORICAL AND CULTURAL MODERNIZATION (ON THE MATERIALS OF THE VYATKA PROVINCE)</t>
  </si>
  <si>
    <t>Bykova, Ekaterina/0000-0002-6024-5398</t>
  </si>
  <si>
    <t>10.31166/VoprosyIstorii202012Statyi19</t>
  </si>
  <si>
    <t>WOS:000618381400019</t>
  </si>
  <si>
    <t>Calculation of the circular plates' stability in stresses</t>
  </si>
  <si>
    <t>Tyukalov, Yury/P-3728-2017; Tyukalov, Yury/GPS-7157-2022; Tyukalov, Yury/AAC-1554-2021</t>
  </si>
  <si>
    <t>10.1088/1757-899X/962/2/022041</t>
  </si>
  <si>
    <t>WOS:000648432000041</t>
  </si>
  <si>
    <t>Zyryanov, IA; Pozolotin, AP; Budin, AG; Kantor, EV; Viadykin, AS</t>
  </si>
  <si>
    <t>Zyryanov, I. A.; Pozolotin, A. P.; Budin, A. G.; Kantor, E., V; Viadykin, A. S.</t>
  </si>
  <si>
    <t>The experimental investigation of the electrostatic field influence on carbon monoxide and nitric oxide exhausting during the polymer combustion</t>
  </si>
  <si>
    <t>10.25750/1995-4301-2020-4-149-154</t>
  </si>
  <si>
    <t>WOS:000597810500023</t>
  </si>
  <si>
    <t>Sozinova, AA; Nabokikh, AA; Ryattel, AV; Sanovich, MA</t>
  </si>
  <si>
    <t>Sozinova, Anastasia A.; Nabokikh, Aleksei A.; Ryattel, Aleksandra V.; Sanovich, Marina A.</t>
  </si>
  <si>
    <t>Analysis of underdevelopment whirlpools as a tool of managing the regional market of education in the conditions of Industry 4.0</t>
  </si>
  <si>
    <t>Sozinova, Anastasia/F-6298-2015; Ryattel, Alexandra/AAB-8651-2021; Nabokikh, Alekseiy/AAB-8688-2021</t>
  </si>
  <si>
    <t>Sozinova, Anastasia/0000-0001-5876-2823; Nabokikh, Alekseiy/0000-0002-9046-0523</t>
  </si>
  <si>
    <t>10.1108/OTH-07-2019-0034</t>
  </si>
  <si>
    <t>WOS:000491196500007</t>
  </si>
  <si>
    <t>Vychegzhanin, SV; Kotelnikov, EV</t>
  </si>
  <si>
    <t>Vychegzhanin, S. V.; Kotelnikov, E., V</t>
  </si>
  <si>
    <t>Stance Detection Based on Ensembles of Classifiers</t>
  </si>
  <si>
    <t>PROGRAMMING AND COMPUTER SOFTWARE</t>
  </si>
  <si>
    <t>Kotelnikov, Evgeny/0000-0001-9745-1489; Vychegzhanin, Sergey/0000-0001-6456-7856</t>
  </si>
  <si>
    <t>0361-7688</t>
  </si>
  <si>
    <t>1608-3261</t>
  </si>
  <si>
    <t>10.1134/S0361768819050074</t>
  </si>
  <si>
    <t>WOS:000510646100002</t>
  </si>
  <si>
    <t>Palesheva, N; Zonova, N; Grin, S</t>
  </si>
  <si>
    <t>Palesheva, Nadezhda; Zonova, Nadezhda; Grin, Svetlana</t>
  </si>
  <si>
    <t>Outsourcing: condition and perspectives of development of accounting services in Russia</t>
  </si>
  <si>
    <t>Zonova, Nadezhda/N-7272-2018; Karanina, Elena E.V./L-1395-2016; Palesheva, Nadezhda/AAX-3899-2020; Palesheva, Nadejda/C-7401-2017</t>
  </si>
  <si>
    <t>Zonova, Nadezhda/0000-0002-2369-1364; Karanina, Elena E.V./0000-0002-5439-5912; Palesheva, Nadejda/0000-0002-9030-6577</t>
  </si>
  <si>
    <t>10.1051/e3sconf/201911002005</t>
  </si>
  <si>
    <t>WOS:000569050000094</t>
  </si>
  <si>
    <t>Development of Short-term and Long-term Memory of School Children with Different Nervous Systems through Coordination Exercises</t>
  </si>
  <si>
    <t>WOS:000464215200015</t>
  </si>
  <si>
    <t>Tolstobrov, IV; El'kin, OV; Bushuev, AN; Kondrat'ev, DA; Kozvonin, VA</t>
  </si>
  <si>
    <t>Tolstobrov, I. V.; El'kin, O. V.; Bushuev, A. N.; Kondrat'ev, D. A.; Kozvonin, V. A.</t>
  </si>
  <si>
    <t>Synthesis of Yttrium Intermetallic Compounds on the Surface of Copper Samples in an NaCl-KCl Melt</t>
  </si>
  <si>
    <t>10.1134/S0036029518080177</t>
  </si>
  <si>
    <t>WOS:000454273600016</t>
  </si>
  <si>
    <t>Kotelnikov, EV</t>
  </si>
  <si>
    <t>Kotelnikov, E., V</t>
  </si>
  <si>
    <t>TextJSM: Text Sentiment Analysis Method</t>
  </si>
  <si>
    <t>10.3103/S0005105518010089</t>
  </si>
  <si>
    <t>WOS:000435445400003</t>
  </si>
  <si>
    <t>Method of transmission of dynamic multibit digital images from micro-unmanned aerial vehicles</t>
  </si>
  <si>
    <t>10.1088/1742-6596/944/1/012088</t>
  </si>
  <si>
    <t>WOS:000431622000088</t>
  </si>
  <si>
    <t>Shempelev, AG; Suvorov, DM; Iglin, PV</t>
  </si>
  <si>
    <t>Shempelev, A. G.; Suvorov, D. M.; Iglin, P., V</t>
  </si>
  <si>
    <t>Efficiency of Using Built-In Bundles of Cogeneration Steam Turbine Condensers for Make-up Water Heating</t>
  </si>
  <si>
    <t>Iglin, Pavel V/Q-2963-2016; Anatoly, Shempelev/AAF-5257-2021</t>
  </si>
  <si>
    <t xml:space="preserve">Iglin, Pavel V/0000-0003-3731-7864; </t>
  </si>
  <si>
    <t>10.5281/zenodo.2222335</t>
  </si>
  <si>
    <t>WOS:000453865300004</t>
  </si>
  <si>
    <t>Generation and Decomposition of Digital Filter Topology</t>
  </si>
  <si>
    <t>WOS:000426878200134</t>
  </si>
  <si>
    <t>Spoken Document Retrieval System based on Phonemic Transcribing</t>
  </si>
  <si>
    <t>WOS:000426878200109</t>
  </si>
  <si>
    <t>Kustova, E</t>
  </si>
  <si>
    <t>Kustova, Elena</t>
  </si>
  <si>
    <t>Nunneries of the Urals region in the seventeens and early eighteenth centuries</t>
  </si>
  <si>
    <t>Kustova, Elena V./K-3664-2012</t>
  </si>
  <si>
    <t>Kustova, Elena V./0000-0001-7478-4424</t>
  </si>
  <si>
    <t>MAR-APR</t>
  </si>
  <si>
    <t>WOS:000374618600005</t>
  </si>
  <si>
    <t>Lesnikov, V; Chastikov, A; Garsh, D; Naumovich, T</t>
  </si>
  <si>
    <t>Lesnikov, V.; Chastikov, A.; Garsh, D.; Naumovich, T.</t>
  </si>
  <si>
    <t>Numerically Controlled Linear Chirp Oscillator</t>
  </si>
  <si>
    <t>WOS:000387159800059</t>
  </si>
  <si>
    <t>Alpatov, S; Prentkovskis, O; Sterling, RL; Kaliampakos, D</t>
  </si>
  <si>
    <t>Loginov, Dmitry; Karanina, Elena</t>
  </si>
  <si>
    <t>Risk management the national agricultural policy in the context of the challenges of the global industrial world</t>
  </si>
  <si>
    <t>15TH INTERNATIONAL SCIENTIFIC CONFERENCE UNDERGROUND URBANISATION AS A PREREQUISITE FOR SUSTAINABLE DEVELOPMENT</t>
  </si>
  <si>
    <t>15th World Conference of the Associated Research Centers for the Urban Underground Space - Underground Urbanization as a Prerequisite for Sustainable Development (ACUUS)</t>
  </si>
  <si>
    <t>SEP 12-15, 2016</t>
  </si>
  <si>
    <t>10.1016/j.proeng.2016.11.808</t>
  </si>
  <si>
    <t>WOS:000391640800110</t>
  </si>
  <si>
    <t>Savinykh, NP</t>
  </si>
  <si>
    <t>Savinykh, N. P.</t>
  </si>
  <si>
    <t>Modularity as a basis of heterochronies and heterotopies in flowering plants</t>
  </si>
  <si>
    <t>PALEONTOLOGICAL JOURNAL</t>
  </si>
  <si>
    <t>Conference on Morphogenesis in Ontogeny and Evolution: Heterochronies, Heterotopies, and Allometry</t>
  </si>
  <si>
    <t>APR 16-18, 2015</t>
  </si>
  <si>
    <t>Borissiak Paleontol Inst, Moscow, RUSSIA</t>
  </si>
  <si>
    <t>Borissiak Paleontol Inst</t>
  </si>
  <si>
    <t>0031-0301</t>
  </si>
  <si>
    <t>1555-6174</t>
  </si>
  <si>
    <t>10.1134/S0031030115140166</t>
  </si>
  <si>
    <t>WOS:000367543100016</t>
  </si>
  <si>
    <t>Balyberdin, D; Luppov, A</t>
  </si>
  <si>
    <t>Balyberdin, D.; Luppov, A.</t>
  </si>
  <si>
    <t>Locality-aware Bootstrapping Algorithm in Integrated Multifunctional P2P Owerlay Network</t>
  </si>
  <si>
    <t>2015 INTERNATIONAL SIBERIAN CONFERENCE ON CONTROL AND COMMUNICATIONS (SIBCON)</t>
  </si>
  <si>
    <t>MAY 21-23, 2015</t>
  </si>
  <si>
    <t>Russian Fdn Basic Researches project (15-07-20227),Natl Instruments R&amp;D,Inst Elect &amp; Elect Engineers (Conf #35463),Tomsk IEEE Chapter &amp; Student Branch,IEEE Microwave Theory and Techn Soc (Tomsk IEEE Chapter),IEEE Elect Devices Soc,Omsk State Tech Univ,Russia Siberia Sect IEEE,Tomsk IEEE Chapter &amp; Student Branch,Siberian Fed Univ, Russia Siberia Sect IEEE,Natl Instruments R&amp;D,IEEE youngprofessionals, Graduates Last Decade Affinity Group IEEE Russia Siberia Sect,Natl Res Tomsk Polytechn Univ</t>
  </si>
  <si>
    <t>978-1-4799-7103-9</t>
  </si>
  <si>
    <t>WOS:000380571600167</t>
  </si>
  <si>
    <t>Vorobeva, TA</t>
  </si>
  <si>
    <t>Vorobeva, T. A.</t>
  </si>
  <si>
    <t>SYRIA IN POLITICS USA IN YEARS 1939 - 1953</t>
  </si>
  <si>
    <t>WOS:000367967600001</t>
  </si>
  <si>
    <t>Prozorov, D; Chistyakov, A</t>
  </si>
  <si>
    <t>Prozorov, Dmitriy; Chistyakov, Anton</t>
  </si>
  <si>
    <t>Nonlinear filtering of pseudonoise signals using high-order Markov chain model</t>
  </si>
  <si>
    <t>PROCEEDINGS OF IEEE EAST-WEST DESIGN &amp; TEST SYMPOSIUM (EWDTS 2013)</t>
  </si>
  <si>
    <t>SEP 27-30, 2013</t>
  </si>
  <si>
    <t>Rostov on Don, RUSSIA</t>
  </si>
  <si>
    <t>IEEE,Kharkov Natl Univ Radioelectron,IEEE Comp Soc,tttc,Synopsys,Aldec,Don State Tech Univ,Tallinn Univ Technol,Virage Log,DataArt</t>
  </si>
  <si>
    <t>Zalygin, Anton/AAC-9031-2022; Prozorov, Dmitriy E./A-3548-2014</t>
  </si>
  <si>
    <t>Zalygin, Anton/0000-0003-0132-0674; Prozorov, Dmitriy E./0000-0002-3577-8838</t>
  </si>
  <si>
    <t>978-1-4799-2095-2; 978-1-4799-2096-9</t>
  </si>
  <si>
    <t>WOS:000332042400059</t>
  </si>
  <si>
    <t>Extension of Congruences on Semirings of Continuous Functions (vol 85, pg 767, 2008)</t>
  </si>
  <si>
    <t>Vechtomov, Evgenii M./I-5421-2017</t>
  </si>
  <si>
    <t>10.1134/S0001434609070165</t>
  </si>
  <si>
    <t>WOS:000269660400016</t>
  </si>
  <si>
    <t>Fominykh, EG; Kalinina, LA; Ushakova, YN; Shirokova, GI; Rychkova, TI; Ananchenko, BA</t>
  </si>
  <si>
    <t>Fominykh, E. G.; Kalinina, L. A.; Ushakova, Yu. N.; Shirokova, G. I.; Rychkova, T. I.; Ananchenko, B. A.</t>
  </si>
  <si>
    <t>Employing sulfide-conductive solid electrolytes for the production of semiconducting sulfides with controlled composition and properties</t>
  </si>
  <si>
    <t>8th Meeting on Fundamental Problems of Solid-State Ionics</t>
  </si>
  <si>
    <t>JUN 13-16, 2006</t>
  </si>
  <si>
    <t>Russian Acad Sci, Inst Problems Chem Phys, Chernogolovka, RUSSIA</t>
  </si>
  <si>
    <t>Russian Acad Sci, Inst Problems Chem Phys</t>
  </si>
  <si>
    <t>10.1134/S1023193507050072</t>
  </si>
  <si>
    <t>WOS:000247212300007</t>
  </si>
  <si>
    <t>Dmitrienko, AA</t>
  </si>
  <si>
    <t>Dmitrienko, A. A.</t>
  </si>
  <si>
    <t>Peasants of Vyatka region and the 1st State Duma</t>
  </si>
  <si>
    <t>WOS:000241086700008</t>
  </si>
  <si>
    <t>Fuks, SL; Devyaterikova, SV; Khitrin, SV; Samara, VA</t>
  </si>
  <si>
    <t>Development of processes for utilization of by-products from production of fluoropolymers</t>
  </si>
  <si>
    <t>10.1007/s11167-005-0056-y</t>
  </si>
  <si>
    <t>WOS:000225845100017</t>
  </si>
  <si>
    <t>Comrade Kerensky. The Revolution against the Monarchy and the Formation of the Cult of 'The Leader of the People' (March-June 1917).</t>
  </si>
  <si>
    <t>MAR 16</t>
  </si>
  <si>
    <t>10.1080/09668136.2023.2181591</t>
  </si>
  <si>
    <t>WOS:000974908800008</t>
  </si>
  <si>
    <t>Voronchikhin, SG; Tuev, MA</t>
  </si>
  <si>
    <t>Voronchikhin, S. G.; Tuev, M. A.</t>
  </si>
  <si>
    <t>A Device for Warming Solutions in Transfusion-Infusion Therapy</t>
  </si>
  <si>
    <t>BIOMEDICAL ENGINEERING-MEDITSINSKAYA TEKNIKA</t>
  </si>
  <si>
    <t>0006-3398</t>
  </si>
  <si>
    <t>1573-8256</t>
  </si>
  <si>
    <t>10.1007/s10527-022-10173-8</t>
  </si>
  <si>
    <t>WOS:000917953100003</t>
  </si>
  <si>
    <t>Baykova, OV; Pugach, VN; Kazakov, AV</t>
  </si>
  <si>
    <t>Baykova, O., V; Pugach, V. N.; Kazakov, A., V</t>
  </si>
  <si>
    <t>The entrepreneurial method as a way to solve the problems of processing wood waste in a circular economy</t>
  </si>
  <si>
    <t>10.25750/1995-4301-2022-4-224-231</t>
  </si>
  <si>
    <t>WOS:000929704700030</t>
  </si>
  <si>
    <t>Moscow is Far Away: Peasant Communal Traditions in the Expulsion of Collective Farm Members in the Vyatka-Kirov Region 1932-1939</t>
  </si>
  <si>
    <t>NOV 26</t>
  </si>
  <si>
    <t>10.1080/09668136.2021.1948972</t>
  </si>
  <si>
    <t>JUL 2021</t>
  </si>
  <si>
    <t>WOS:000674798100001</t>
  </si>
  <si>
    <t>PROBABILITY OF CONFLICT IN THE BALKANS AMID THE OUTBREAK OF THE KOREAN WAR: ESTIMATES OF U.S. DIPLOMATS AND MILITARY STAFF (1950-1952)</t>
  </si>
  <si>
    <t>10.17072/2219-3111-2020-1-167-178</t>
  </si>
  <si>
    <t>WOS:000589794700015</t>
  </si>
  <si>
    <t>Mashkovtseva, Victoria V.</t>
  </si>
  <si>
    <t>Children of the old believers as an object of the confessional policy of regional authorities in the second quarter of the 19th century (based on materials from the Vyatka province)</t>
  </si>
  <si>
    <t>10.31166/VoprosyIstorii202010Statyi82</t>
  </si>
  <si>
    <t>WOS:000605445400019</t>
  </si>
  <si>
    <t>A Comparative Study of the Working Conditions of Science Teachers</t>
  </si>
  <si>
    <t>10.3897/ap.2.e2633</t>
  </si>
  <si>
    <t>WOS:000671896200205</t>
  </si>
  <si>
    <t>Development of the Ability to Adapt and Rearrange Movements in Children 8-9 Years with the help of Exercises Classic's</t>
  </si>
  <si>
    <t>WOS:000496818300132</t>
  </si>
  <si>
    <t>Bespyatykh, O; Koshkina, N</t>
  </si>
  <si>
    <t>Chova, LG; Martinez, AL; Torres, IC</t>
  </si>
  <si>
    <t>Bespyatykh, O.; Koshkina, N.</t>
  </si>
  <si>
    <t>ASSESSMENT OF PROFESSIONAL COMPETENCE OF FUTURE TEACHERS OF LIFE SAFETY IN THE INTERIM ASSESSMENT USING WORLDSKILLS RUSSIA METHODS</t>
  </si>
  <si>
    <t>EDULEARN19: 11TH INTERNATIONAL CONFERENCE ON EDUCATION AND NEW LEARNING TECHNOLOGIES</t>
  </si>
  <si>
    <t>EDULEARN Proceedings</t>
  </si>
  <si>
    <t>11th International Conference on Education and New Learning Technologies (EDULEARN)</t>
  </si>
  <si>
    <t>JUL 01-03, 2019</t>
  </si>
  <si>
    <t>Palma, SPAIN</t>
  </si>
  <si>
    <t>2340-1117</t>
  </si>
  <si>
    <t>978-84-09-12031-4</t>
  </si>
  <si>
    <t>WOS:000553304904024</t>
  </si>
  <si>
    <t>Sazanova, ML; Kadochnikova, NI; Popova, GA</t>
  </si>
  <si>
    <t>Sazanova, Maria L.; Kadochnikova, Natalia I.; Popova, Galina A.</t>
  </si>
  <si>
    <t>Development of Research Skills of Future Bachelors of Pedagogics in Studying the Basic Academic Disciplines</t>
  </si>
  <si>
    <t>Sazanova, Maria/AAS-9191-2021; Sazanova, Maria/I-4211-2016</t>
  </si>
  <si>
    <t>Sazanova, Maria/0000-0003-3492-8395; Sazanova, Maria/0000-0003-3492-8395</t>
  </si>
  <si>
    <t>10.3897/ap.1.e0545</t>
  </si>
  <si>
    <t>WOS:000520005200058</t>
  </si>
  <si>
    <t>Selivanova, O</t>
  </si>
  <si>
    <t>Soare, E; Langa, C</t>
  </si>
  <si>
    <t>Selivanova, Olga</t>
  </si>
  <si>
    <t>LEARNING TECHNOLOGIES AS A METHOD OF ORGANIZATION OF PUPIL'S EDUCATIONAL ACTIVITY</t>
  </si>
  <si>
    <t>EDU WORLD 2018 - 8TH INTERNATIONAL CONFERENCE</t>
  </si>
  <si>
    <t>Edu World 8th International Conference</t>
  </si>
  <si>
    <t>NOV 09-10, 2018</t>
  </si>
  <si>
    <t>Pilesti, ROMANIA</t>
  </si>
  <si>
    <t>Selivanova, Olga/HDL-9515-2022</t>
  </si>
  <si>
    <t>10.15405/epsbs.2019.08.03.67</t>
  </si>
  <si>
    <t>WOS:000582461100067</t>
  </si>
  <si>
    <t>Tatarinova, NV; Sushchikh, VM</t>
  </si>
  <si>
    <t>Tatarinova, N., V; Sushchikh, V. M.</t>
  </si>
  <si>
    <t>Study of Flow and Power Characteristics of the Last Compartments of Cogeneration Steam Turbines</t>
  </si>
  <si>
    <t>10.5281/zenodo.3562205</t>
  </si>
  <si>
    <t>WOS:000504406100007</t>
  </si>
  <si>
    <t>Karanina, E; Ryazanova, O; Timin, A</t>
  </si>
  <si>
    <t>Murgul, V; Popovic, Z</t>
  </si>
  <si>
    <t>Karanina, Elena; Ryazanova, Olesya; Timin, Alexander</t>
  </si>
  <si>
    <t>The Risk-Based Approach to Rating the Competitiveness of Transport Enterprises in the System of Economic Security</t>
  </si>
  <si>
    <t>INTERNATIONAL SCIENTIFIC CONFERENCE ENERGY MANAGEMENT OF MUNICIPAL TRANSPORTATION FACILITIES AND TRANSPORT, EMMFT 2017</t>
  </si>
  <si>
    <t>Karanina, Elena E.V./0000-0002-5439-5912; Timin, Alexander/0000-0002-8255-5215</t>
  </si>
  <si>
    <t>2194-5365</t>
  </si>
  <si>
    <t>978-3-319-70987-1; 978-3-319-70986-4</t>
  </si>
  <si>
    <t>10.1007/978-3-319-70987-1_34</t>
  </si>
  <si>
    <t>WOS:000436502300034</t>
  </si>
  <si>
    <t>Development of the General Coordination Abilities of School Students Taking their Nervous System into Account</t>
  </si>
  <si>
    <t>WOS:000451688700021</t>
  </si>
  <si>
    <t>Sadakov, D. A.</t>
  </si>
  <si>
    <t>FOR THE EXTREME CASE: USA, SYNGMAN RHEE AND THE EVERREADY OPERATION IN THE KOREAN WAR (1952-1953)</t>
  </si>
  <si>
    <t>10.17072/2219-3111-2018-4-40-49</t>
  </si>
  <si>
    <t>WOS:000456115100005</t>
  </si>
  <si>
    <t>On Mathematical Model of Condenser Equipped with Water-Jet Ejector</t>
  </si>
  <si>
    <t>WOS:000478963800147</t>
  </si>
  <si>
    <t>Security Threats in Mobile Cognitive Radio Networks</t>
  </si>
  <si>
    <t>WOS:000517795800124</t>
  </si>
  <si>
    <t>Chernyshova, NV</t>
  </si>
  <si>
    <t>Chernyshova, N. V.</t>
  </si>
  <si>
    <t>SANITARY-EPIDEMIOLOGICAL SITUATION IN KIROV REGION IN THE YEARS OF THE GREAT PATRIOTIC WAR</t>
  </si>
  <si>
    <t>Chernysheva, Natalia/Q-4804-2016</t>
  </si>
  <si>
    <t>Chernysheva, Natalia/0000-0002-1492-5368</t>
  </si>
  <si>
    <t>WOS:000410460100012</t>
  </si>
  <si>
    <t>Basmanov, VG; Zakalata, AA; Kholmanskikh, VM</t>
  </si>
  <si>
    <t>Basmanov, V. G.; Zakalata, A. A.; Kholmanskikh, V. M.</t>
  </si>
  <si>
    <t>On the Issue of Periodicity of Non-Destructive Examination of Urban Electric Cable Lines</t>
  </si>
  <si>
    <t>WOS:000403604400157</t>
  </si>
  <si>
    <t>Fufachev, A; Luppov, A; Sintsov, A; Marenkov, D</t>
  </si>
  <si>
    <t>Fufachev, A.; Luppov, A.; Sintsov, A.; Marenkov, D.</t>
  </si>
  <si>
    <t>Adaptive Antenna Array quality estimation based on Statistical Analysis of Phase Distribution</t>
  </si>
  <si>
    <t>WOS:000380571600294</t>
  </si>
  <si>
    <t>Modification of the Architecture of a Distributed Arithmetic</t>
  </si>
  <si>
    <t>Chastikov, Alexander/ACX-8162-2022; Lesnikov, Vladislav A./E-9558-2011; Chastikov, Alexander/A-5560-2014; Naumovich, Tatyana/B-8000-2017</t>
  </si>
  <si>
    <t>Lesnikov, Vladislav A./0000-0002-5034-291X; Chastikov, Alexander/0000-0002-1998-7787; Naumovich, Tatyana/0000-0002-3659-2664</t>
  </si>
  <si>
    <t>WOS:000382527700060</t>
  </si>
  <si>
    <t>Hybrid Recommender System for Prediction of the Yelp Users Preferences</t>
  </si>
  <si>
    <t>ADVANCES IN DATA MINING: APPLICATIONS AND THEORETICAL ASPECTS</t>
  </si>
  <si>
    <t>14th Industrial Conference on Data Mining (ICDM)</t>
  </si>
  <si>
    <t>JUL 16-20, 2014</t>
  </si>
  <si>
    <t>978-3-319-08976-8; 978-3-319-08975-1</t>
  </si>
  <si>
    <t>WOS:000353450900007</t>
  </si>
  <si>
    <t>El'kin, OV; Kovalevskii, AV</t>
  </si>
  <si>
    <t>El'kin, O. V.; Kovalevskii, A. V.</t>
  </si>
  <si>
    <t>Corrosion of Gadolinium and Ytterbium in LiCl-KCl Melt</t>
  </si>
  <si>
    <t>10.1134/S1023193511070068</t>
  </si>
  <si>
    <t>WOS:000295530300015</t>
  </si>
  <si>
    <t>Leushina, AP; Kolesnikova, LA</t>
  </si>
  <si>
    <t>Transport and conduction properties of solid electrolyte CuCl-CdCl2 in the region of solid solutions</t>
  </si>
  <si>
    <t>10.1023/A:1023816608198</t>
  </si>
  <si>
    <t>WOS:000183347900008</t>
  </si>
  <si>
    <t>Sokovnin, OM; Polovnikov, VA</t>
  </si>
  <si>
    <t>Calculation of the efficiency of entraining rodlike particles by a bubble rising in a Stokes flow</t>
  </si>
  <si>
    <t>WOS:A1996UZ60600014</t>
  </si>
  <si>
    <t>Vlasova, KV</t>
  </si>
  <si>
    <t>Vlasova, K. V.</t>
  </si>
  <si>
    <t>Istanbul Canal: Turkish Pipedream or Coming Realty?</t>
  </si>
  <si>
    <t>10.31857/S0201708322040088</t>
  </si>
  <si>
    <t>WOS:000894195500008</t>
  </si>
  <si>
    <t>Chernova, OV; Zhukovin, SV</t>
  </si>
  <si>
    <t>Chernova, O., V; Zhukovin, S., V</t>
  </si>
  <si>
    <t>Fabrication of an Ni-Pr Coating by the Application of EMF in an Equimolar NaCl-KCl Melt</t>
  </si>
  <si>
    <t>Zhukovin, Sergey/F-5488-2019</t>
  </si>
  <si>
    <t>Zhukovin, Sergey/0000-0002-0532-2303</t>
  </si>
  <si>
    <t>10.1134/S0036029522020033</t>
  </si>
  <si>
    <t>WOS:000787803600016</t>
  </si>
  <si>
    <t>Kosheleva, EV; Kalinina, LA; Ushakova, YN; Ananchenko, BA</t>
  </si>
  <si>
    <t>Kosheleva, E. V.; Kalinina, L. A.; Ushakova, Yu. N.; Ananchenko, B. A.</t>
  </si>
  <si>
    <t>Comparative evaluation of the prospects of using sulfide-conducting solid electrolytes in the composition of sensors for hydrogen sulfide and sulfur dioxide</t>
  </si>
  <si>
    <t>10.25750/1995-4301-2022-3-041-048</t>
  </si>
  <si>
    <t>WOS:000885393200005</t>
  </si>
  <si>
    <t>Kutyavina, TI; Vartan, IA; Shemyakina, EV; Timina, VV</t>
  </si>
  <si>
    <t>Kutyavina, T. I.; Vartan, I. A.; Shemyakina, E. V.; Timina, V. V.</t>
  </si>
  <si>
    <t>Hydrochemical conditions for the formation of wetland ecosystems in the Bylina State Nature Reserve</t>
  </si>
  <si>
    <t>Kutyavina, Tatyana/T-1440-2017</t>
  </si>
  <si>
    <t>Kutyavina, Tatyana/0000-0001-7957-0636; Vartan, Igor'/0000-0003-1663-385X</t>
  </si>
  <si>
    <t>10.25750/1995-4301-2022-3-103-109</t>
  </si>
  <si>
    <t>WOS:000885393200013</t>
  </si>
  <si>
    <t>Bykova, EV; Valova, OM</t>
  </si>
  <si>
    <t>Bykova, Ekaterina, V; Valova, Olga M.</t>
  </si>
  <si>
    <t>Confessional Model of Image of Person in Text of Old Believer Popular Print Two roads - Two ways</t>
  </si>
  <si>
    <t>Valova, Olga/AAC-4111-2019</t>
  </si>
  <si>
    <t>Valova, Olga/0000-0001-7987-5317; Bykova, Ekaterina/0000-0002-6024-5398</t>
  </si>
  <si>
    <t>10.24224/2227-1295-2021-11-216-234</t>
  </si>
  <si>
    <t>WOS:000726493300012</t>
  </si>
  <si>
    <t>Distant Psychological Violence: Prospects for Improvement of Criminal Legislation</t>
  </si>
  <si>
    <t>10.17759/psylaw.2021110405</t>
  </si>
  <si>
    <t>WOS:000739852400005</t>
  </si>
  <si>
    <t>Timin, AN; Baybakova, TV</t>
  </si>
  <si>
    <t>Timin, Aleksandr N.; Baybakova, Tatiana V.</t>
  </si>
  <si>
    <t>The Issues of Economic Security of the Eurasian Economic Union Countries in View of Sustainable Development of Their Digital Economy</t>
  </si>
  <si>
    <t>10.1007/978-3-030-70194-9_35</t>
  </si>
  <si>
    <t>WOS:000849737100034</t>
  </si>
  <si>
    <t>Zyryanov, IA; Budin, AG; Pozolotin, AP; Vladykin, AS</t>
  </si>
  <si>
    <t>Zyryanov, I. A.; Budin, A. G.; Pozolotin, A. P.; Vladykin, A. S.</t>
  </si>
  <si>
    <t>Ways to reduce CO and NO emissions in the installation for environmentally friendly rubber incineration</t>
  </si>
  <si>
    <t>10.25750/995-4301-2021-4-058-063</t>
  </si>
  <si>
    <t>WOS:000755154100008</t>
  </si>
  <si>
    <t>Smetanina, ZV; Ivanova, GA</t>
  </si>
  <si>
    <t>Smetanina, Zoya, V; Ivanova, Galina A.</t>
  </si>
  <si>
    <t>Variations of the Word in the Regional Dictionary of Vyatka Dialects</t>
  </si>
  <si>
    <t>10.17223/15617793/451/8</t>
  </si>
  <si>
    <t>WOS:000530049500008</t>
  </si>
  <si>
    <t>Gorbushina, AV; Korchagina, GI</t>
  </si>
  <si>
    <t>Gorbushina, A., V; Korchagina, G., I</t>
  </si>
  <si>
    <t>Patterns of Changes in Teachers' Work Motivation</t>
  </si>
  <si>
    <t>PSYCHOLOGY-JOURNAL OF THE HIGHER SCHOOL OF ECONOMICS</t>
  </si>
  <si>
    <t>1813-8918</t>
  </si>
  <si>
    <t>10.17323/1813-8918-2020-4-696-718</t>
  </si>
  <si>
    <t>WOS:000607584700007</t>
  </si>
  <si>
    <t>Shempelev, AG</t>
  </si>
  <si>
    <t>Shempelev, A. G.</t>
  </si>
  <si>
    <t>Analysis of the Energy Efficiency of Different Methods of Adding Make-up Feed Water in the Steam Turbine Cycle CHPP</t>
  </si>
  <si>
    <t>Anatoly, Shempelev/AAF-5257-2021</t>
  </si>
  <si>
    <t>10.5281/zenodo.4317048</t>
  </si>
  <si>
    <t>WOS:000599902400007</t>
  </si>
  <si>
    <t>Vesnin, RL; Alalykin, AA; Vokhmyanin, MA</t>
  </si>
  <si>
    <t>Vesnin, R. L.; Alalykin, A. A.; Vokhmyanin, M. A.</t>
  </si>
  <si>
    <t>POLYETHYLENE TEREPHTHALATE WASTE RECYCLING TECHNOLOGY TO PRODUCE TEREPHTHALIC ACID AMIDE</t>
  </si>
  <si>
    <t>10.6060/ivkkt.20206302.6055</t>
  </si>
  <si>
    <t>WOS:000518856900015</t>
  </si>
  <si>
    <t>Kalinin, SI; Toropova, SI</t>
  </si>
  <si>
    <t>Kalinin, S., I; Toropova, S., I</t>
  </si>
  <si>
    <t>Statistical methods for analyzing the correlatio between air quality and the state of children's health in the Kirov region</t>
  </si>
  <si>
    <t>Toropova, Svetlana/Y-5928-2019; Kalinin, Sergey/AAK-9738-2020</t>
  </si>
  <si>
    <t>Toropova, Svetlana/0000-0003-0533-5654; Kalinin, Sergey/0000-0001-5439-9414</t>
  </si>
  <si>
    <t>10.25750/1995-4301-2019-2-143-148</t>
  </si>
  <si>
    <t>WOS:000477826000018</t>
  </si>
  <si>
    <t>Morozova, MA; Kadochnikova, N; Sazanova, M</t>
  </si>
  <si>
    <t>Morozova, Marina A.; Kadochnikova, Natalia; Sazanova, Maria</t>
  </si>
  <si>
    <t>Analysis of morphological and functional status of children with spastic tetraparesis in the process of physical recreation and hydrorehabilitation</t>
  </si>
  <si>
    <t>Morozova, Marina A./AAD-1191-2019; Sazanova, Maria/AAS-9191-2021</t>
  </si>
  <si>
    <t>Morozova, Marina A./0000-0003-3303-3426; Sazanova, Maria/0000-0003-3492-8395</t>
  </si>
  <si>
    <t>WOS:000625435700039</t>
  </si>
  <si>
    <t>Laptev, AV; Sozinova, AA</t>
  </si>
  <si>
    <t>Laptev, Alexander V.; Sozinova, Anastasia A.</t>
  </si>
  <si>
    <t>ANALYSING UNDERDEVELOPMENT WHIRLPOOLS AS A TOOL FOR MANAGING INNOVATIONS AND THE PROCESS OF REORGANIZATION OF ENTERPRISE STRUCTURES</t>
  </si>
  <si>
    <t>WOS:000450658500001</t>
  </si>
  <si>
    <t>Mosunova, L. A.</t>
  </si>
  <si>
    <t>The Formation of the Information Culture of Students in the System of Electronic Education: A Theoretical and Experimental Study</t>
  </si>
  <si>
    <t>10.3103/S0147688218030036</t>
  </si>
  <si>
    <t>WOS:000449782000002</t>
  </si>
  <si>
    <t>Chermnykh, OV</t>
  </si>
  <si>
    <t>Chermnykh, O., V</t>
  </si>
  <si>
    <t>Functional representations of lattice-ordered semirings. II</t>
  </si>
  <si>
    <t>Chermnykh, Oksana/X-8351-2018</t>
  </si>
  <si>
    <t>Chermnykh, Oksana/0000-0003-1039-7825</t>
  </si>
  <si>
    <t>10.17377/semi.2018.15.053</t>
  </si>
  <si>
    <t>WOS:000438412200053</t>
  </si>
  <si>
    <t>Kalabin, OV; Spitsin, AP</t>
  </si>
  <si>
    <t>Kalabin, O., V; Spitsin, A. P.</t>
  </si>
  <si>
    <t>Features of the heart rate variability of powerlifters under the influence of the training process</t>
  </si>
  <si>
    <t>Kalabin, Oleg/S-2458-2018; Kalabin, Oleg/HKV-1797-2023</t>
  </si>
  <si>
    <t>Kalabin, Oleg/0000-0002-5383-5007; Kalabin, Oleg/0000-0002-5383-5007</t>
  </si>
  <si>
    <t>WOS:000432656200010</t>
  </si>
  <si>
    <t>Kotelnikov, E; Razova, E; Fishcheva, I</t>
  </si>
  <si>
    <t>Filchenkov, A; Pivovarova, L; Zizka, J</t>
  </si>
  <si>
    <t>Kotelnikov, Evgeny; Razova, Elena; Fishcheva, Irina</t>
  </si>
  <si>
    <t>A Close Look at Russian Morphological Parsers: Which One Is the Best?</t>
  </si>
  <si>
    <t>ARTIFICIAL INTELLIGENCE AND NATURAL LANGUAGE</t>
  </si>
  <si>
    <t>6th Conference on Artificial Intelligence and Natural Language (AINL)</t>
  </si>
  <si>
    <t>SEP 20-23, 2017</t>
  </si>
  <si>
    <t>NLP Seminar,ITMO Univ</t>
  </si>
  <si>
    <t>Fishcheva, Irina/T-6334-2018; Razova, Elena/U-4097-2018; Kotelnikov, Evgeny/A-3606-2014</t>
  </si>
  <si>
    <t>Fishcheva, Irina/0000-0002-6941-2009; Razova, Elena/0000-0001-5557-5432; Kotelnikov, Evgeny/0000-0001-9745-1489</t>
  </si>
  <si>
    <t>978-3-319-71746-3; 978-3-319-71745-6</t>
  </si>
  <si>
    <t>10.1007/978-3-319-71746-3_12</t>
  </si>
  <si>
    <t>WOS:000437301200012</t>
  </si>
  <si>
    <t>The Experiment. Georgia's Forgotten Revolution 1918-1921</t>
  </si>
  <si>
    <t>10.1080/09668136.2018.1503891</t>
  </si>
  <si>
    <t>WOS:000446581900017</t>
  </si>
  <si>
    <t>AMERICAN DIPLOMATS IN POST-WAR PRAGUE IN 1945</t>
  </si>
  <si>
    <t>10.15688/jvolsu4.2018.4.10</t>
  </si>
  <si>
    <t>WOS:000442951100010</t>
  </si>
  <si>
    <t>The USA and the Soviet-Czechoslovakia treaty of 1943</t>
  </si>
  <si>
    <t>WOS:000408075600011</t>
  </si>
  <si>
    <t>Isupov, K; Knyazkov, V; Kuvaev, A</t>
  </si>
  <si>
    <t>Pavlyukova, E; Uzhinskaya, L; Suroegina, Z</t>
  </si>
  <si>
    <t>Isupov, Konstantin; Knyazkov, Vladimir; Kuvaev, Alexander</t>
  </si>
  <si>
    <t>Fast Power-of-Two RNS Scaling Algorithm for Large Dynamic Ranges</t>
  </si>
  <si>
    <t>2017 FOURTH INTERNATIONAL CONFERENCE ON ENGINEERING AND TELECOMMUNICATION (EN&amp;T)</t>
  </si>
  <si>
    <t>4th International Conference on Engineering and Telecommunication (EnT)</t>
  </si>
  <si>
    <t>NOV 29-30, 2017</t>
  </si>
  <si>
    <t>IEEE AESS,Moscow Inst Phys &amp; Technol,Tsinghua Univ,Univ Crne Gore,Radiophys &amp; Satellite Commun Lab,Natl Instruments,Parallels,Acronis,Virtuozzo,OPTK,MUCT,IEEE</t>
  </si>
  <si>
    <t>978-1-5386-4547-5</t>
  </si>
  <si>
    <t>10.1109/ICEnT.2017.36</t>
  </si>
  <si>
    <t>WOS:000427144900030</t>
  </si>
  <si>
    <t>Modeling of Thermal Radiation of Combustion Products in the Gas Generator</t>
  </si>
  <si>
    <t>Shmakova, Natalia/HKE-3411-2023; Kuzmin, Vladimir A/J-6741-2017</t>
  </si>
  <si>
    <t>Shmakova, Natalia/0000-0002-7718-7681; Kuzmin, Vladimir A/0000-0002-8886-8677; Kuzmin, Vladimir/0000-0001-9979-4610</t>
  </si>
  <si>
    <t>WOS:000414282400354</t>
  </si>
  <si>
    <t>Sapozhnikova, ES; Domracheva, LP; Timin, AN; Grin, SV; Loginov, DA</t>
  </si>
  <si>
    <t>Sapozhnikova, Ekaterina S.; Domracheva, Larisa P.; Timin, Alexandr N.; Grin, Svetlana V.; Loginov, Dmitry A.</t>
  </si>
  <si>
    <t>Economic Security of Agro-Industrial Complex as a Basis of National Food Security</t>
  </si>
  <si>
    <t>10.1007/978-3-319-60696-5_4</t>
  </si>
  <si>
    <t>WOS:000426114200004</t>
  </si>
  <si>
    <t>Soboleva, O; Sozinova, A; Spengler, A; Fokina, O; Savelyeva, N</t>
  </si>
  <si>
    <t>Soboleva, Olga; Sozinova, Anastasia; Spengler, Anna; Fokina, Olga; Savelyeva, Nadezhda</t>
  </si>
  <si>
    <t>Mechanisms of Regulation of Economic Processes in a Region</t>
  </si>
  <si>
    <t>Soboleva, Olga/T-1858-2018; Saveleva, Nadezda/AAP-4493-2020; Sozinova, Anastasia/F-6298-2015</t>
  </si>
  <si>
    <t>Soboleva, Olga/0000-0001-8019-7023; Saveleva, Nadezda/0000-0002-9497-6172; Sozinova, Anastasia/0000-0001-5876-2823; Fokina, Olga/0000-0002-6697-3353</t>
  </si>
  <si>
    <t>10.1007/978-3-319-60696-5_51</t>
  </si>
  <si>
    <t>WOS:000426114200051</t>
  </si>
  <si>
    <t>Kovalevskii, AV; Kondrat'ev, DA</t>
  </si>
  <si>
    <t>Kovalevskii, A. V.; Kondrat'ev, D. A.</t>
  </si>
  <si>
    <t>Electrochemical properties of a lithium-potassium chloride molten eutectic mixture held in contact with neodymium and dysprosium</t>
  </si>
  <si>
    <t>RUSSIAN JOURNAL OF NON-FERROUS METALS</t>
  </si>
  <si>
    <t>1067-8212</t>
  </si>
  <si>
    <t>1934-970X</t>
  </si>
  <si>
    <t>10.3103/S1067821214020096</t>
  </si>
  <si>
    <t>WOS:000335735500004</t>
  </si>
  <si>
    <t>Mikhailichenko, TV; Kalinina, LA; Ushakova, YN; Shirokova, GI; Tokareva, TV</t>
  </si>
  <si>
    <t>Mikhailichenko, T. V.; Kalinina, L. A.; Ushakova, Yu N.; Shirokova, G. I.; Tokareva, T. V.</t>
  </si>
  <si>
    <t>Synthesis of Complex Sulfide Phases BaSm2S4-Tm2S3 and Studies of Their Electrolytic Properties</t>
  </si>
  <si>
    <t>10th Conference on Fundamental Problems of Solid State Ionics</t>
  </si>
  <si>
    <t>Chernogolovka, RUSSIA</t>
  </si>
  <si>
    <t>10.1134/S1023193511050089</t>
  </si>
  <si>
    <t>WOS:000292270900007</t>
  </si>
  <si>
    <t>Kalinina, LA; Ushakova, YN; Medvedeva, OV; Shirokova, GI; Fominykh, EG</t>
  </si>
  <si>
    <t>Kalinina, L. A.; Ushakova, Yu. N.; Medvedeva, O. V.; Shirokova, G. I.; Fominykh, E. G.</t>
  </si>
  <si>
    <t>The thermodynamic characteristics of formation of ternary sulfides MeLn(2)S(4) and solid solutions based on them</t>
  </si>
  <si>
    <t>15th International Conference on Chemical Thermodynamics (RCCT-2005)</t>
  </si>
  <si>
    <t>JUN 27-JUL 02, 2005</t>
  </si>
  <si>
    <t>Moscow State Univ,Russian Acad Sci,Russian Fdn Basic Res,Russian Federat, Minist Nal Resources,Federal Acgy Atomic Energy,Moscow Comm Sci &amp; Technol,Int Union Pure &amp; Appl Chem,Int Assoc Chem Thermodynam</t>
  </si>
  <si>
    <t>10.1134/S0036024406110069</t>
  </si>
  <si>
    <t>WOS:000245667100006</t>
  </si>
  <si>
    <t>Bratukhina, EA; Nagovitsyna, EV; Tusin, DS</t>
  </si>
  <si>
    <t>Bratukhina, Elena A.; Nagovitsyna, Eleonora, V; Tusin, Dmitry S.</t>
  </si>
  <si>
    <t>Company Risk Management in Export Activities</t>
  </si>
  <si>
    <t>Tusin, Dmitriy/0000-0002-1455-0391; Bratukhina, Elena/0000-0001-5163-6154</t>
  </si>
  <si>
    <t>10.1007/978-3-030-93244-2_83</t>
  </si>
  <si>
    <t>WOS:000759460600083</t>
  </si>
  <si>
    <t>Khoroshavin, VS; Grudinin, VS</t>
  </si>
  <si>
    <t>Khoroshavin, V. S.; Grudinin, V. S.</t>
  </si>
  <si>
    <t>Developing a Quasi-Optimal, in Terms of Transition Time and Energy Consumption, Closed-Loop Control System for an Electrical Installation</t>
  </si>
  <si>
    <t>10.15507/2658-4123.032.202202.279-294</t>
  </si>
  <si>
    <t>WOS:000822052400007</t>
  </si>
  <si>
    <t>The Confessional Policy of the Russian Authorities in Relation to the Old Believer Books in the Second Half of the 19th - Early 20th Centuries (On the Materials of Vyatka Province)</t>
  </si>
  <si>
    <t>10.17223/15617793/465/15</t>
  </si>
  <si>
    <t>WOS:000691270200015</t>
  </si>
  <si>
    <t>The Czechoslovak Crisis of 1948 in the Perception of American Diplomats and Media</t>
  </si>
  <si>
    <t>10.24833/2071-8160-2021-4-79-26-50</t>
  </si>
  <si>
    <t>WOS:000695496900002</t>
  </si>
  <si>
    <t>Systemic and Structural Analysis of the Component Composition of the Content of Foreign-Language Education</t>
  </si>
  <si>
    <t>10.17223/15617793/460/23</t>
  </si>
  <si>
    <t>WOS:000624428700023</t>
  </si>
  <si>
    <t>Olkova, A; Zimonina, N</t>
  </si>
  <si>
    <t>Olkova, Anna; Zimonina, Natalia</t>
  </si>
  <si>
    <t>Assessment of the Toxicity of the Natural and Technogenic Environment for Motor Activity of Daphnia magna</t>
  </si>
  <si>
    <t>10.12911/22998993/125459</t>
  </si>
  <si>
    <t>WOS:000576664500002</t>
  </si>
  <si>
    <t>Stojanovic, R; Jozwiak, L; Milutinovic, V; Lutovac, B; Jurisic, D</t>
  </si>
  <si>
    <t>Reconstruction of Undersampled Analitic Signals under First Order Aliasing</t>
  </si>
  <si>
    <t>2020 9TH MEDITERRANEAN CONFERENCE ON EMBEDDED COMPUTING (MECO)</t>
  </si>
  <si>
    <t>9th Mediterranean Conference on Embedded Computing (MECO)</t>
  </si>
  <si>
    <t>JUN 08-11, 2020</t>
  </si>
  <si>
    <t>IEEE,Mant,Meco net,FER,UCG</t>
  </si>
  <si>
    <t>Chastikov, Alexander/A-5560-2014; Lesnikov, Vladislav A./E-9558-2011; Chastikov, Alexander/ACX-8162-2022; Naumovich, Tatyana/B-8000-2017</t>
  </si>
  <si>
    <t>978-1-7281-6949-1</t>
  </si>
  <si>
    <t>WOS:000612854100118</t>
  </si>
  <si>
    <t>Bardovskaya, A; Chistyakov, G; Dolzhenkova, M; Strabykin, D</t>
  </si>
  <si>
    <t>Silhavy, R</t>
  </si>
  <si>
    <t>Bardovskaya, Anastasia; Chistyakov, Gennadiy; Dolzhenkova, Maria; Strabykin, Dmitry</t>
  </si>
  <si>
    <t>The Method of Deductive Inference of Consequences with the Scheme Construction</t>
  </si>
  <si>
    <t>ARTIFICIAL INTELLIGENCE METHODS IN INTELLIGENT ALGORITHMS</t>
  </si>
  <si>
    <t>8th Computer Science On-Line Conference (CSOC)</t>
  </si>
  <si>
    <t>APR 24-27, 2019</t>
  </si>
  <si>
    <t>CZECH REPUBLIC</t>
  </si>
  <si>
    <t>OpenPublish.eu s r o</t>
  </si>
  <si>
    <t>Strabykin, Dmitry/0000-0003-2787-3525</t>
  </si>
  <si>
    <t>978-3-030-19810-7</t>
  </si>
  <si>
    <t>10.1007/978-3-030-19810-7_1</t>
  </si>
  <si>
    <t>WOS:000503762800001</t>
  </si>
  <si>
    <t>Kharina, NL; Petrov, EP; Kladova, LV</t>
  </si>
  <si>
    <t>Kharina, N. L.; Petrov, E. P.; Kladova, L. V.</t>
  </si>
  <si>
    <t>Unmatched Filters for Autocorrelation Function Side-Lobes Suppression of Complex Radar Signals</t>
  </si>
  <si>
    <t>2019 SYSTEMS OF SIGNAL SYNCHRONIZATION, GENERATING AND PROCESSING IN TELECOMMUNICATIONS (SYNCHROINFO)</t>
  </si>
  <si>
    <t>Conference on Systems of Signal Synchronization, Generating and Processing in Telecommunications (SYNCHROINFO)</t>
  </si>
  <si>
    <t>P G Demidov Yaroslavl State Univ, RUSSIA</t>
  </si>
  <si>
    <t>IEEE Russia Sect CAS Chapter,Moscow Tech Univ Commun &amp; Informat</t>
  </si>
  <si>
    <t>P G Demidov Yaroslavl State Univ</t>
  </si>
  <si>
    <t>978-1-7281-3238-9</t>
  </si>
  <si>
    <t>WOS:000560311400085</t>
  </si>
  <si>
    <t>ISOMORPHISMS OF LATTICES OF SUBALGEBRAS OF THE SEMIFIELD OF CONTINUOUS POSITIVE FUNCTIONS WITH MAX-ADDITION</t>
  </si>
  <si>
    <t>10.33048/semi.2019.16.103</t>
  </si>
  <si>
    <t>WOS:000491071700001</t>
  </si>
  <si>
    <t>Kuklina, SS; Cheremisinova, IS</t>
  </si>
  <si>
    <t>Kuklina, S. S.; Cheremisinova, I. S.</t>
  </si>
  <si>
    <t>INTERCULTURAL FOREIGN LANGUAGE COMMUNICATIVE COMPETENCE as THE BASIS of TEACHING FOREIGN LANGUAGE COMMUNICATION IN UNIVERSITIES</t>
  </si>
  <si>
    <t>YAZYK I KULTURA-LANGUAGE AND CULTURE</t>
  </si>
  <si>
    <t>Kuklina, Svetlana/ABC-7684-2020</t>
  </si>
  <si>
    <t>Kuklina, Svetlana/0000-0002-4838-9233</t>
  </si>
  <si>
    <t>1999-6195</t>
  </si>
  <si>
    <t>2311-3235</t>
  </si>
  <si>
    <t>10.17223/19996195/41/16</t>
  </si>
  <si>
    <t>WOS:000437910300016</t>
  </si>
  <si>
    <t>Isupov, K; Kuvaev, A</t>
  </si>
  <si>
    <t>Isupov, Konstantin; Kuvaev, Alexander</t>
  </si>
  <si>
    <t>Multiple-Precision Summation on Hybrid CPU-GPU Platforms Using RNS-based Floating-Point Representation</t>
  </si>
  <si>
    <t>FIFTH INTERNATIONAL CONFERENCE ON ENGINEERING AND TELECOMMUNICATION (ENT-MIPT 2018)</t>
  </si>
  <si>
    <t>5th International Conference on Engineering and Telecommunication (EnT-MIPT)</t>
  </si>
  <si>
    <t>NOV 15-16, 2018</t>
  </si>
  <si>
    <t>978-1-7281-0431-7</t>
  </si>
  <si>
    <t>10.1109/EnT-MIPT.2018.00042</t>
  </si>
  <si>
    <t>WOS:000490858200035</t>
  </si>
  <si>
    <t>Izotov, AI; Fominykh, AA; Nikulin, SV; Prokoshev, DK; Legoti, AB; Timina, NV</t>
  </si>
  <si>
    <t>Izotov, A. I.; Fominykh, A. A.; Nikulin, S. V.; Prokoshev, D. K.; Legoti, A. B.; Timina, N. V.</t>
  </si>
  <si>
    <t>Increasing operational life of brush-contact device in the turbine generator due to using lubricating molybdenum disulphide brushes</t>
  </si>
  <si>
    <t>10.1088/1742-6596/944/1/012045</t>
  </si>
  <si>
    <t>WOS:000431622000045</t>
  </si>
  <si>
    <t>Karanina, EV; Palkina, MV</t>
  </si>
  <si>
    <t>Karanina, E., V; Palkina, M., V</t>
  </si>
  <si>
    <t>Innovative Infrastructure in Depressed Regions</t>
  </si>
  <si>
    <t>Karanina, Elena E.V./0000-0002-5439-5912</t>
  </si>
  <si>
    <t>WOS:000679066800151</t>
  </si>
  <si>
    <t>Yungblyud, VT; Zorin, AV</t>
  </si>
  <si>
    <t>Yungblyud, V. T.; Zorin, A. V.</t>
  </si>
  <si>
    <t>The Problem of Returning of American Diplomats to Liberated Czechoslovak Republic</t>
  </si>
  <si>
    <t>10.21638/11701/spbu02.2018.417</t>
  </si>
  <si>
    <t>WOS:000456948700017</t>
  </si>
  <si>
    <t>Bakulin, Vladimir, I</t>
  </si>
  <si>
    <t>The historical concept of V.N. Mironov as a subject of scientific discussion</t>
  </si>
  <si>
    <t>WOS:000396961700009</t>
  </si>
  <si>
    <t>The implementation of monetary reform and the cancellation of the card system in December 1947 in the cities of the Kirov region</t>
  </si>
  <si>
    <t>WOS:000396961700011</t>
  </si>
  <si>
    <t>Isupov, K; Kuvaev, A; Popov, M; Zaviyalov, A</t>
  </si>
  <si>
    <t>Malyshkin, V</t>
  </si>
  <si>
    <t>Isupov, Konstantin; Kuvaev, Alexander; Popov, Mikhail; Zaviyalov, Anton</t>
  </si>
  <si>
    <t>Multiple-Precision Residue-Based Arithmetic Library for Parallel CPU-GPU Architectures: Data Types and Features</t>
  </si>
  <si>
    <t>PARALLEL COMPUTING TECHNOLOGIES (PACT 2017)</t>
  </si>
  <si>
    <t>14th International Conference on Parallel Computing Technologies (PaCT)</t>
  </si>
  <si>
    <t>SEP 04-08, 2017</t>
  </si>
  <si>
    <t>Nizhny Novgorod, RUSSIA</t>
  </si>
  <si>
    <t>Russian Acad Sci, Inst Computat Math &amp; Math Geophys,Lobachevsky State Univ Nizhny Novgorod,Novosibirsk State Univ,Novosibirsk State Tech Univ,Fed Agcy Sci Org,Minist Educ &amp; Sci Russian Federat,Russian Fdn Basic Res,Adv Micro Devices Inc,RSC Technologies,Intel Corp,Russian Acad Sci, Inst Computat Math &amp; Math Geophys Siberian Branch, Supercomputer Software Dept,Russian Acad Sci</t>
  </si>
  <si>
    <t>Isupov, Konstantin/K-5843-2015; Popov, Marjan/T-9849-2019</t>
  </si>
  <si>
    <t xml:space="preserve">Isupov, Konstantin/0000-0003-0239-0404; </t>
  </si>
  <si>
    <t>978-3-319-62932-2; 978-3-319-62931-5</t>
  </si>
  <si>
    <t>10.1007/978-3-319-62932-2_18</t>
  </si>
  <si>
    <t>WOS:000444105600018</t>
  </si>
  <si>
    <t>A Combined Algorithm for Texture Regions Detection on Noisy Images</t>
  </si>
  <si>
    <t>WOS:000428759500042</t>
  </si>
  <si>
    <t>Krasnykh, AA; Krivoshein, IL; Kozlov, AL</t>
  </si>
  <si>
    <t>Krasnykh, A. A.; Krivoshein, I. L.; Kozlov, A. L.</t>
  </si>
  <si>
    <t>Single-phase Earth Fault Location in a Branched Distribution Network 6-35 kV of Overhead Lines</t>
  </si>
  <si>
    <t>WOS:000403604400117</t>
  </si>
  <si>
    <t>Sadakova, V</t>
  </si>
  <si>
    <t>Sadakova, Vera</t>
  </si>
  <si>
    <t>APPLICATION OF PRE-FUSIONS IN THE COMBINED TECHNOLOGIES FOR ART PROCESSING OF GLASS</t>
  </si>
  <si>
    <t>WOS:000357943500061</t>
  </si>
  <si>
    <t>The number and composition of the merchant estate of the Viatka region, late eighteenth early twentieth centuries</t>
  </si>
  <si>
    <t>WOS:000296675600009</t>
  </si>
  <si>
    <t>Vechtomov, EM; Starostina, OV</t>
  </si>
  <si>
    <t>Vechtomov, E. M.; Starostina, O. V.</t>
  </si>
  <si>
    <t>Structure of Abelian-regular positive semirings</t>
  </si>
  <si>
    <t>RUSSIAN MATHEMATICAL SURVEYS</t>
  </si>
  <si>
    <t>Vechtomov, Evgeniy/0000-0002-3490-2956; Vechtomov, Evgenii M./0000-0002-3490-2956</t>
  </si>
  <si>
    <t>0036-0279</t>
  </si>
  <si>
    <t>10.1070/RM2007v062n01ABEH004387</t>
  </si>
  <si>
    <t>WOS:000247727000013</t>
  </si>
  <si>
    <t>Shishkina, SV; Pechenkina, ES; Dyukov, AV</t>
  </si>
  <si>
    <t>Shishkina, S. V.; Pechenkina, E. S.; Dyukov, A. V.</t>
  </si>
  <si>
    <t>Transport properties of anion-exchange membranes: Effect of the formation of complexes</t>
  </si>
  <si>
    <t>10.1134/S102319350612007X</t>
  </si>
  <si>
    <t>WOS:000243338000007</t>
  </si>
  <si>
    <t>Nizovskikh, NA</t>
  </si>
  <si>
    <t>Psychosemantic study of value-motivational orientation of personality</t>
  </si>
  <si>
    <t>PSIKHOLOGICHESKII ZHURNAL</t>
  </si>
  <si>
    <t>Nizovskikh, Nina A./B-5858-2017</t>
  </si>
  <si>
    <t>Nizovskikh, Nina A./0000-0002-5541-5049</t>
  </si>
  <si>
    <t>0205-9592</t>
  </si>
  <si>
    <t>WOS:000229563300003</t>
  </si>
  <si>
    <t>Makhanova, EV; Ryabov, SL; Leushina, AP</t>
  </si>
  <si>
    <t>Determination of the selectivity of electrodes made of a mixture of nonstoichiometric silver and copper(I) sulfides in the analysis of sulfur-containing aqueous solutions</t>
  </si>
  <si>
    <t>JOURNAL OF ANALYTICAL CHEMISTRY</t>
  </si>
  <si>
    <t>1061-9348</t>
  </si>
  <si>
    <t>10.1023/A:1016616732627</t>
  </si>
  <si>
    <t>WOS:000168892900016</t>
  </si>
  <si>
    <t>Kotelnikova, AV; Vychegzhanin, SV; Kotelnikov, EV</t>
  </si>
  <si>
    <t>Kotelnikova, Anastasia V.; Vychegzhanin, Sergey V.; Kotelnikov, Evgeny V.</t>
  </si>
  <si>
    <t>Cross-Domain Sentiment Analysis Based on Small in-Domain Fine-Tuning</t>
  </si>
  <si>
    <t>IEEE ACCESS</t>
  </si>
  <si>
    <t>2169-3536</t>
  </si>
  <si>
    <t>10.1109/ACCESS.2023.3269720</t>
  </si>
  <si>
    <t>WOS:000981905100001</t>
  </si>
  <si>
    <t>The Life of Permafrost. A History of Frozen Earth in Russian and Soviet Science</t>
  </si>
  <si>
    <t>MAY 28</t>
  </si>
  <si>
    <t>10.1080/09668136.2022.2083309</t>
  </si>
  <si>
    <t>WOS:000814439200009</t>
  </si>
  <si>
    <t>Avdeeva, M</t>
  </si>
  <si>
    <t>Avdeeva, Marina</t>
  </si>
  <si>
    <t>Adaptation to university studies affects on functional state of freshmen</t>
  </si>
  <si>
    <t>ACTA SCIENTIARUM-HEALTH SCIENCES</t>
  </si>
  <si>
    <t>1679-9291</t>
  </si>
  <si>
    <t>1807-8648</t>
  </si>
  <si>
    <t>e56397</t>
  </si>
  <si>
    <t>10.4025/actascihealthsci.v44i1.56397</t>
  </si>
  <si>
    <t>WOS:000744117000001</t>
  </si>
  <si>
    <t>Kalinina, LV</t>
  </si>
  <si>
    <t>Kalinina, Liudmila V.</t>
  </si>
  <si>
    <t>Phraseological Units as Meansof Subjective-EvaluativeCategorization on Scale 'Confidence - Probability - Uncertainty - Approximation'</t>
  </si>
  <si>
    <t>Kalinina, Liudmila/HMV-2988-2023</t>
  </si>
  <si>
    <t>10.24224/2227-1295-2022-11-7-59-73</t>
  </si>
  <si>
    <t>WOS:000886616200004</t>
  </si>
  <si>
    <t>Graphic Satire in the Soviet Union. Krokodil's Political Cartoons</t>
  </si>
  <si>
    <t>10.1080/09668136.2021.1977037</t>
  </si>
  <si>
    <t>WOS:000734240600010</t>
  </si>
  <si>
    <t>Korchagina, G; Vepreva, J</t>
  </si>
  <si>
    <t>Korchagina, Galina; Vepreva, Julia</t>
  </si>
  <si>
    <t>PSYCHOLOGICAL STRUCTURE OF PROFESSIONAL RELIABILITY AS UNIVERSITY STUDENTS' METACOGNITIVE QUALITY</t>
  </si>
  <si>
    <t>10.15405/epsbs.2021.07.02.46</t>
  </si>
  <si>
    <t>WOS:000771919100046</t>
  </si>
  <si>
    <t>Buldakova, YV</t>
  </si>
  <si>
    <t>Buldakova, Yulia, V</t>
  </si>
  <si>
    <t>PERCEPTION OF A CLASSICAL POETIC TEXT BY FAN FICTION READERS</t>
  </si>
  <si>
    <t>10.26170/FK20-03-11</t>
  </si>
  <si>
    <t>WOS:000607937300011</t>
  </si>
  <si>
    <t>Lysova, EA; Bratukhina, EA; Sozinova, AA; Matushkina, YN</t>
  </si>
  <si>
    <t>Lysova, Elena A.; Bratukhina, Elena A.; Sozinova, Anastasia A.; Matushkina, Yulia N.</t>
  </si>
  <si>
    <t>DIGITAL MODERNIZATION OF THE REGION'S EDUCATIONAL MARKET AND ITS INFLUENCE ON QUALITY OF EDUCATION</t>
  </si>
  <si>
    <t>Sozinova, Anastasia/F-6298-2015; Andrea Simões Braga, Francisco/GRS-0157-2022; Bratukhina, Elena/AAB-6051-2022</t>
  </si>
  <si>
    <t>10.24874/IJQR14.01-16</t>
  </si>
  <si>
    <t>WOS:000518417300016</t>
  </si>
  <si>
    <t>Yungblyud, V; Ilyin, D</t>
  </si>
  <si>
    <t>Yungblyud, V; Ilyin, D.</t>
  </si>
  <si>
    <t>Jackson-Vanik Amendment and Development of Soviet-American Relations in 1972-1975</t>
  </si>
  <si>
    <t>Yungblyud, Valeriy T./J-8665-2016; Ilin, Dmitrii V./N-7521-2016</t>
  </si>
  <si>
    <t xml:space="preserve">Yungblyud, Valeriy T./0000-0002-2706-3904; </t>
  </si>
  <si>
    <t>10.24833/2071-8160-2020-2-71-7-39</t>
  </si>
  <si>
    <t>WOS:000530164600001</t>
  </si>
  <si>
    <t>The Effect of Coordination Training on Switching the Attention of Schoolchildren with Different Typologies</t>
  </si>
  <si>
    <t>WOS:000477564000021</t>
  </si>
  <si>
    <t>Shishkina, IS; Mironina, AY</t>
  </si>
  <si>
    <t>Shishkina, Irina S.; Mironina, Anna Yu</t>
  </si>
  <si>
    <t>STRUCTURAL-SEMANTIC FEATURES OF PARENTHETICAL CONSTRUCTIONS (BY MATERIAL OF MODERN ENGLISH FICTION)</t>
  </si>
  <si>
    <t>Shishkina, Irina/0000-0001-5856-398X; Mironina, Anna/0000-0003-0448-2812</t>
  </si>
  <si>
    <t>10.24224/2227-1295-2019-9-159-172</t>
  </si>
  <si>
    <t>WOS:000484392200010</t>
  </si>
  <si>
    <t>Vychegzhanin, SV; Razova, EV; Kotelnikov, EV</t>
  </si>
  <si>
    <t>Assoc Comp Machinery</t>
  </si>
  <si>
    <t>Vychegzhanin, S. V.; Razova, E. V.; Kotelnikov, E. V.</t>
  </si>
  <si>
    <t>What Number of Features is Optimal? A New Method Based on Approximation Function for Stance Detection Task</t>
  </si>
  <si>
    <t>PROCEEDINGS OF 9TH INTERNATIONAL CONFERENCE ON INFORMATION COMMUNICATION AND MANAGEMENT (ICICM 2019)</t>
  </si>
  <si>
    <t>9th International Conference on Information Communication and Management (ICICM)</t>
  </si>
  <si>
    <t>AUG 23-26, 2019</t>
  </si>
  <si>
    <t>Razova, Elena/U-4097-2018; Kotelnikov, Evgeny/A-3606-2014</t>
  </si>
  <si>
    <t>Razova, Elena/0000-0001-5557-5432; Kotelnikov, Evgeny/0000-0001-9745-1489; Vychegzhanin, Sergey/0000-0001-6456-7856</t>
  </si>
  <si>
    <t>978-1-4503-7188-9</t>
  </si>
  <si>
    <t>10.1145/3357419.3357430</t>
  </si>
  <si>
    <t>WOS:000518414100009</t>
  </si>
  <si>
    <t>THE DEVELOPMENT OF THE REACTION IN CHILDREN WHO ARE ENGAGED IN FOOTBALL TAKING INTO ACCOUNT THEIR NERVOUS SYSTEM</t>
  </si>
  <si>
    <t>WOS:000434451000017</t>
  </si>
  <si>
    <t>Toropova, Svetlana I.</t>
  </si>
  <si>
    <t>METHODS OF MATHEMATICAL STATISTICS AS A MEANS OF PROFESSIONAL COMPETENCE FORMATION OF STUDENTS-ECOLOGISTS</t>
  </si>
  <si>
    <t>Toropova, Svetlana/Y-5928-2019</t>
  </si>
  <si>
    <t>Toropova, Svetlana/0000-0003-0533-5654</t>
  </si>
  <si>
    <t>10.17853/1994-5639-2018-3-53-82</t>
  </si>
  <si>
    <t>WOS:000461120400003</t>
  </si>
  <si>
    <t>Interval Estimation of Relative Values in Residue Number System</t>
  </si>
  <si>
    <t>JOURNAL OF CIRCUITS SYSTEMS AND COMPUTERS</t>
  </si>
  <si>
    <t>Isupov, Konstantin/K-5843-2015; Knyazkov, Vladimir Sergeevich/T-4089-2018</t>
  </si>
  <si>
    <t>Isupov, Konstantin/0000-0003-0239-0404; Knyazkov, Vladimir Sergeevich/0000-0003-3820-6541</t>
  </si>
  <si>
    <t>0218-1266</t>
  </si>
  <si>
    <t>1793-6454</t>
  </si>
  <si>
    <t>10.1142/S0218126618500044</t>
  </si>
  <si>
    <t>WOS:000408205300004</t>
  </si>
  <si>
    <t>Mokrushin, SA; Khoroshavin, VS; Ohapkin, SI; Zotov, AV; Grudinin, VS</t>
  </si>
  <si>
    <t>Mokrushin, S. A.; Khoroshavin, V. S.; Ohapkin, S. I.; Zotov, A. V.; Grudinin, V. S.</t>
  </si>
  <si>
    <t>The Analysis of Controllability and Stability of an Approximate Model of Heat Transfer in an Autoclave</t>
  </si>
  <si>
    <t>MORDOVIA UNIVERSITY BULLETIN</t>
  </si>
  <si>
    <t>Grudinin, Viktor/ABA-7599-2020; Mokrushin, Sergey/G-6566-2018</t>
  </si>
  <si>
    <t>Mokrushin, Sergey/0000-0002-6319-9809</t>
  </si>
  <si>
    <t>0236-2910</t>
  </si>
  <si>
    <t>2313-0636</t>
  </si>
  <si>
    <t>10.15507/0236-2910.028.201803.416-428</t>
  </si>
  <si>
    <t>WOS:000444121400010</t>
  </si>
  <si>
    <t>The Development of the Ability to Equilibrium Football players 10-11 years with different Nervous System</t>
  </si>
  <si>
    <t>JAN-MAR</t>
  </si>
  <si>
    <t>WOS:000432248900136</t>
  </si>
  <si>
    <t>Razova, EV; Kotelnikov, EV</t>
  </si>
  <si>
    <t>Wang, Y; Kwong, S; Feldman, J; Howard, N; Sheu, P; Widrow, B</t>
  </si>
  <si>
    <t>Razova, Elena, V; Kotelnikov, Evgeny, V</t>
  </si>
  <si>
    <t>The arrangement of sentiment lexica in the space of distributed word representations</t>
  </si>
  <si>
    <t>PROCEEDINGS OF 2018 IEEE 17TH INTERNATIONAL CONFERENCE ON COGNITIVE INFORMATICS &amp; COGNITIVE COMPUTING (ICCI*CC 2018)</t>
  </si>
  <si>
    <t>17th IEEE International Conference on Cognitive Informatics and Cognitive Computing (ICCI*CC)</t>
  </si>
  <si>
    <t>JUL 16-18, 2018</t>
  </si>
  <si>
    <t>Univ Calif, Berkeley, CA</t>
  </si>
  <si>
    <t>IEEE,IEEE Comp Soc,IEEE Computat Intelligence Soc,Int Inst Cognit Informat &amp; Cognit Comp</t>
  </si>
  <si>
    <t>Univ Calif</t>
  </si>
  <si>
    <t>978-1-5386-3360-1</t>
  </si>
  <si>
    <t>WOS:000618551100040</t>
  </si>
  <si>
    <t>Zlobina, E</t>
  </si>
  <si>
    <t>Zlobina, E.</t>
  </si>
  <si>
    <t>Problems of Motivation at Studying Foreign Languages in the Master's Program of Non-Linguistic Training</t>
  </si>
  <si>
    <t>WOS:000679066800223</t>
  </si>
  <si>
    <t>Baykova, O</t>
  </si>
  <si>
    <t>Baykova, Olga</t>
  </si>
  <si>
    <t>Russian borrowings in the language of the ethnic Germans in the Kirov region as a result of linguistic and cultural contact</t>
  </si>
  <si>
    <t>RUSSIAN LINGUISTICS</t>
  </si>
  <si>
    <t>Baykova, Olga Vladimirovna/A-7435-2016</t>
  </si>
  <si>
    <t>Baykova, Olga Vladimirovna/0000-0002-4859-8553</t>
  </si>
  <si>
    <t>0304-3487</t>
  </si>
  <si>
    <t>1572-8714</t>
  </si>
  <si>
    <t>10.1007/s11185-016-9174-9</t>
  </si>
  <si>
    <t>WOS:000398165000003</t>
  </si>
  <si>
    <t>Simulation of Thermal Radiation from Heterogeneous Combustion Products of Peat Burning in Power Plants</t>
  </si>
  <si>
    <t>WOS:000414282400359</t>
  </si>
  <si>
    <t>Plotnikov, SA; Kartashevich, AN; Kuimov, EA</t>
  </si>
  <si>
    <t>Plotnikov, S. A.; Kartashevich, A. N.; Kuimov, E. A.</t>
  </si>
  <si>
    <t>Development of Diesel-Eengine Bio-fuel Supply-Line Components and Systems</t>
  </si>
  <si>
    <t>10.1016/j.proeng.2017.10.692</t>
  </si>
  <si>
    <t>WOS:000425674300266</t>
  </si>
  <si>
    <t>Vikharev, AP; Repkina, NG; Pleshkova, TA</t>
  </si>
  <si>
    <t>Vikharev, A. P.; Repkina, N. G.; Pleshkova, T. A.</t>
  </si>
  <si>
    <t>Express Analysis of Changes in Amount of Deflection of Overhead Power Lines</t>
  </si>
  <si>
    <t>WOS:000414282400167</t>
  </si>
  <si>
    <t>A Modular-Positional Computation Technique for Multiple-Precision Floating-Point Arithmetic</t>
  </si>
  <si>
    <t>PARALLEL COMPUTING TECHNOLOGIES (PACT 2015)</t>
  </si>
  <si>
    <t>13th International Conference on Parallel Computing Technologies (PaCT)</t>
  </si>
  <si>
    <t>AUG 31-SEP 04, 2015</t>
  </si>
  <si>
    <t>Petrozavodsk, RUSSIA</t>
  </si>
  <si>
    <t>Inst Computat Math &amp; Math Geophys, Supercomputer Software Dept,Novosibirsk State Univ, Russian Acad Sci, Siberian Branch,Russian Fund Basic Res,Novosibirsk State Tech Univ,Inst Appl Math Res,Russian Acad Sci, Karelian Res Ctr,Petrozavodsk State Univ,Minist Educ &amp; Sci,Russian Acad Sci</t>
  </si>
  <si>
    <t>978-3-319-21909-7; 978-3-319-21908-0</t>
  </si>
  <si>
    <t>10.1007/978-3-319-21909-7_5</t>
  </si>
  <si>
    <t>WOS:000363763200005</t>
  </si>
  <si>
    <t>Prozorov, DE; Kishmereshkin, PN</t>
  </si>
  <si>
    <t>Prozorov, D. E.; Kishmereshkin, P. N.</t>
  </si>
  <si>
    <t>ADAPTIVE JOINT FILTERING OF PARAMETERS OF THE PULSED SIGNALS</t>
  </si>
  <si>
    <t>RADIOPHYSICS AND QUANTUM ELECTRONICS</t>
  </si>
  <si>
    <t>0033-8443</t>
  </si>
  <si>
    <t>1573-9120</t>
  </si>
  <si>
    <t>10.1007/s11141-007-0030-z</t>
  </si>
  <si>
    <t>WOS:000207860900009</t>
  </si>
  <si>
    <t>Characterizing and determining particle size</t>
  </si>
  <si>
    <t>NOV-DEC</t>
  </si>
  <si>
    <t>10.1023/A:1021274019713</t>
  </si>
  <si>
    <t>WOS:000180094300016</t>
  </si>
  <si>
    <t>Olkova, A; Berezin, G</t>
  </si>
  <si>
    <t>Olkova, Anna; Berezin, Grigory</t>
  </si>
  <si>
    <t>Battery of Bioassays for Diagnostics of Toxicity of Natural Water when Pollution with Aluminum Compounds</t>
  </si>
  <si>
    <t>10.12911/22998993/131029</t>
  </si>
  <si>
    <t>WOS:000615787800022</t>
  </si>
  <si>
    <t>Udalov, A</t>
  </si>
  <si>
    <t>Udalov, Aleksander</t>
  </si>
  <si>
    <t>The Limits of Applicability of the Method of Discontinuous Solutions in the Study of Pipe Drawing Processes</t>
  </si>
  <si>
    <t>OBRABOTKA METALLOV-METAL WORKING AND MATERIAL SCIENCE</t>
  </si>
  <si>
    <t>Udalov, Aleksander/0000-0003-0210-5423</t>
  </si>
  <si>
    <t>1994-6309</t>
  </si>
  <si>
    <t>2541-819X</t>
  </si>
  <si>
    <t>10.17212/1994-6309-2020-22.4-18-30</t>
  </si>
  <si>
    <t>WOS:000598224000002</t>
  </si>
  <si>
    <t>Performance data of multiple-precision scalar and vector BLAS operations on CPU and GPU</t>
  </si>
  <si>
    <t>DATA IN BRIEF</t>
  </si>
  <si>
    <t>2352-3409</t>
  </si>
  <si>
    <t>10.1016/j.dib.2020.105506</t>
  </si>
  <si>
    <t>WOS:000541974200007</t>
  </si>
  <si>
    <t>Krivosheina, NV; Elpasheva, EV</t>
  </si>
  <si>
    <t>Krivosheina, Natalya, V; Elpasheva, Elena, V</t>
  </si>
  <si>
    <t>PLOT THE PUNISHMENT OF THE YOUTHS FOR TAUNTING PROPHET ELISHA IN THE WALL PAINTING OF NARTHEX IN ST. TRINITY CHURCH IN CHUDINOVO VILLAGE OF ORLOV DISTRICT IN VYATKA PROVINCE</t>
  </si>
  <si>
    <t>VESTNIK TOMSKOGO GOSUDARSTVENNOGO UNIVERSITETA-KULTUROLOGIYA I ISKUSSTVOVEDENIE-TOMSK STATE UNIVERSITY JOURNAL OF CULTURAL STUDIES AND ART HISTORY</t>
  </si>
  <si>
    <t>2222-0836</t>
  </si>
  <si>
    <t>2311-3685</t>
  </si>
  <si>
    <t>10.17223/22220836/38/16</t>
  </si>
  <si>
    <t>WOS:000540950700016</t>
  </si>
  <si>
    <t>Saurov, YA; Perevoshchikov, DV; Uvarova, MP</t>
  </si>
  <si>
    <t>Saurov, Yury A.; Perevoshchikov, Denis, V; Uvarova, Marina P.</t>
  </si>
  <si>
    <t>The Language of Invariants as a Tool for Constructing Methods in the Didactics of Physics</t>
  </si>
  <si>
    <t>Saurov, Yuriy/Y-8735-2018; Uvarova, Marina Pavlovna/HNS-9019-2023</t>
  </si>
  <si>
    <t>Saurov, Yuriy/0000-0002-8756-8103; Uvarova, Marina Pavlovna/0000-0002-0058-8313</t>
  </si>
  <si>
    <t>10.17223/15617793/451/23</t>
  </si>
  <si>
    <t>WOS:000530049500023</t>
  </si>
  <si>
    <t>Biblical Motifs and Images in E. I. Kostrov's Poetry</t>
  </si>
  <si>
    <t>PROBLEMY ISTORICHESKOI POETIKI</t>
  </si>
  <si>
    <t>1026-9479</t>
  </si>
  <si>
    <t>2411-4642</t>
  </si>
  <si>
    <t>10.15393/j9.art.2020.6882</t>
  </si>
  <si>
    <t>WOS:000528268000005</t>
  </si>
  <si>
    <t>Polovnikova, MY; Nemchaninova, EN</t>
  </si>
  <si>
    <t>Polovnikova, Marina Yu; Nemchaninova, Evgenia N.</t>
  </si>
  <si>
    <t>CREATION OF THE VYATKA BROTHERHOOD OF THE SAINT NICHOLAS THE MIRACLE WORKER IN THE CONTEXT OF THE INTERACTION OF THE SECULAR AND SPIRITUAL AUTHORITIES OF THE VYATKA PROVINCE</t>
  </si>
  <si>
    <t>Nemcaninova, Evgenia/0000-0001-5705-776X</t>
  </si>
  <si>
    <t>10.24224/2227-1295-2020-9-420-433</t>
  </si>
  <si>
    <t>WOS:000576831000025</t>
  </si>
  <si>
    <t>AUTOMORPHISMS OF THE SEMIRING OF POLYNOMIALS R-+(V)[x] AND LATTICES OF ITS SUBALGEBRAS</t>
  </si>
  <si>
    <t>TRUDY INSTITUTA MATEMATIKI I MEKHANIKI URO RAN</t>
  </si>
  <si>
    <t>0134-4889</t>
  </si>
  <si>
    <t>10.21538/0134-4889-2020-26-3-171-186</t>
  </si>
  <si>
    <t>WOS:000592231900015</t>
  </si>
  <si>
    <t>Method of plates stability analysis based on the moments approximations</t>
  </si>
  <si>
    <t>10.18720/MCE.95.9</t>
  </si>
  <si>
    <t>WOS:000593143400009</t>
  </si>
  <si>
    <t>Loginov, DA; Stepanyan, VK</t>
  </si>
  <si>
    <t>Mantulenko, V</t>
  </si>
  <si>
    <t>Loginov, D. A.; Stepanyan, V. K.</t>
  </si>
  <si>
    <t>RECOMMENDED RATES OF CONSUMPTION AS A DRIVER OF AGRICULTURAL DEVELOPMENT IN RUSSIA</t>
  </si>
  <si>
    <t>GCPMED 2018 - INTERNATIONAL SCIENTIFIC CONFERENCE GLOBAL CHALLENGES AND PROSPECTS OF THE MODERN ECONOMIC DEVELOPMENT</t>
  </si>
  <si>
    <t>International Scientific Conference on Global Challenges and Prospects of the Modern Economic Development (GCPMED)</t>
  </si>
  <si>
    <t>DEC 06-08, 2018</t>
  </si>
  <si>
    <t>Samara State Univ Econ, Samara, RUSSIA</t>
  </si>
  <si>
    <t>Samara State Univ Econ</t>
  </si>
  <si>
    <t>10.15405/epsbs.2019.03.73</t>
  </si>
  <si>
    <t>WOS:000471325700073</t>
  </si>
  <si>
    <t>CONFESSIONAL POLICY OF THE STATE WITH RESPECT TO THE OLD-BELIEVE GIRLS IN THE SECOND QUARTER OF THE XIX TH CENTURY (ON THE MATERIALS OF THE VYATSK PROVINCE)</t>
  </si>
  <si>
    <t>10.3116/VoprosyIstorii201912Statyi45</t>
  </si>
  <si>
    <t>WOS:000514212900023</t>
  </si>
  <si>
    <t>Pushkarev, IA; Byzov, VA</t>
  </si>
  <si>
    <t>Pushkarev, I. A.; Byzov, V. A.</t>
  </si>
  <si>
    <t>DONAGHEY'S TRANSFORMATION: CAROUSEL EFFECTS AND TAME COMPONENTS</t>
  </si>
  <si>
    <t>PRIKLADNAYA DISKRETNAYA MATEMATIKA</t>
  </si>
  <si>
    <t>Byzov, Viktor/AAA-4102-2019</t>
  </si>
  <si>
    <t>Byzov, Viktor/0000-0002-3613-5949</t>
  </si>
  <si>
    <t>2071-0410</t>
  </si>
  <si>
    <t>2311-2263</t>
  </si>
  <si>
    <t>10.17223/20710410/44/2</t>
  </si>
  <si>
    <t>WOS:000476644400002</t>
  </si>
  <si>
    <t>Sozinova, AA; Burtseva, TA; Fokina, OV; Grabar, AA; Tufyakova, ES</t>
  </si>
  <si>
    <t>Sozinova, Anastasia A.; Burtseva, Tatiana A.; Fokina, Olga V.; Grabar, Anna A.; Tufyakova, Ekaterina S.</t>
  </si>
  <si>
    <t>The Concept of Industrial Enterprises' Economic Development Amid the Global Financial and Economic Crisis</t>
  </si>
  <si>
    <t>FUTURE OF THE GLOBAL FINANCIAL SYSTEM: DOWNFALL OR HARMONY</t>
  </si>
  <si>
    <t>Conference on Future of the Global Financial System - Downfall or Harmony</t>
  </si>
  <si>
    <t>APR 13-14, 2018</t>
  </si>
  <si>
    <t>Limassol, CYPRUS</t>
  </si>
  <si>
    <t>Fokina, Olga/AAX-2743-2020; Sozinova, Anastasia/F-6298-2015</t>
  </si>
  <si>
    <t>Fokina, Olga/0000-0002-6697-3353; Sozinova, Anastasia/0000-0001-5876-2823; Burtseva, Tatyana/0000-0001-9088-1208</t>
  </si>
  <si>
    <t>978-3-030-00102-5</t>
  </si>
  <si>
    <t>10.1007/978-3-030-00102-5_114</t>
  </si>
  <si>
    <t>WOS:000460581800114</t>
  </si>
  <si>
    <t>Vorobyova, T; Yungblyud, V</t>
  </si>
  <si>
    <t>Vorobyova, T.; Yungblyud, V</t>
  </si>
  <si>
    <t>The United States Are Losing an Ally in the Middle East: J. Carter's Administration Policy towards Iran, 1977-1980</t>
  </si>
  <si>
    <t>10.18254/S207987840005469-4</t>
  </si>
  <si>
    <t>WOS:000483368500016</t>
  </si>
  <si>
    <t>Refined finite element of rods for stability calculation</t>
  </si>
  <si>
    <t>Tyukalov, Yury/AAC-1554-2021; Tyukalov, Yury/GPS-7157-2022; Tyukalov, Yury/P-3728-2017</t>
  </si>
  <si>
    <t>10.18720/MCE.79.6</t>
  </si>
  <si>
    <t>WOS:000447699900006</t>
  </si>
  <si>
    <t>Utemov, VV; Simonova, GI</t>
  </si>
  <si>
    <t>Utemov, Vyacheslav V.; Simonova, Galina I.</t>
  </si>
  <si>
    <t>INTER-SUBJECT TECHNOLOGY OF ADAPTIVE LEARNING AND TESTING IN SCHOOLS</t>
  </si>
  <si>
    <t>4TH INTERNATIONAL FORUM ON TEACHER EDUCATION (IFTE 2018)</t>
  </si>
  <si>
    <t>4th International Forum on Teacher Education (IFTE)</t>
  </si>
  <si>
    <t>MAY 22-24, 2018</t>
  </si>
  <si>
    <t>Simonova, Galina/X-5789-2018; Utemov, Vyacheslav/F-1651-2017</t>
  </si>
  <si>
    <t>Simonova, Galina/0000-0002-0721-287X; Utemov, Vyacheslav/0000-0001-8156-5916</t>
  </si>
  <si>
    <t>10.15405/epsbs.2018.09.60</t>
  </si>
  <si>
    <t>WOS:000472144400060</t>
  </si>
  <si>
    <t>Bakshaeva, NS; Suvorova, IA; Cherepanov, VV</t>
  </si>
  <si>
    <t>Bakshaeva, N. S.; Suvorova, I. A.; Cherepanov, V. V.</t>
  </si>
  <si>
    <t>Voltage Quality Improving in Power Distribution Networks with Abruptly Variable Load by Application of Reactive Power Series Compensation Devices</t>
  </si>
  <si>
    <t>WOS:000414282400174</t>
  </si>
  <si>
    <t>Kalinin, A</t>
  </si>
  <si>
    <t>Kalinin, Alexander</t>
  </si>
  <si>
    <t>The Soviet Union and the Greek Civil War (1946-1949)</t>
  </si>
  <si>
    <t>WOS:000391650700009</t>
  </si>
  <si>
    <t>Lesnikov, V; Chastikov, A; Naumovich, T; Dubovcev, D</t>
  </si>
  <si>
    <t>Lesnikov, Vladislav; Chastikov, Alexander; Naumovich, Tatiana; Dubovcev, Dmitriy</t>
  </si>
  <si>
    <t>Approximation of the Central Chi-squared Distribution for On-line Computation of the Threshold for Energy Detector</t>
  </si>
  <si>
    <t>WOS:000400700700089</t>
  </si>
  <si>
    <t>Ananchenko, BA; Kalinina, LA; Ushakova, YN; Fominykh, EG; Koshurnikova, EV</t>
  </si>
  <si>
    <t>Ananchenko, B. A.; Kalinina, L. A.; Ushakova, Yu. N.; Fominykh, E. G.; Koshurnikova, E. V.</t>
  </si>
  <si>
    <t>The nature of ionic conduction of phases based on calcium thioytterbiate</t>
  </si>
  <si>
    <t>9th Conference on Fundamental Problems of Solid-State Ionics</t>
  </si>
  <si>
    <t>JUN 24-27, 2008</t>
  </si>
  <si>
    <t>10.1134/S102319350906010X</t>
  </si>
  <si>
    <t>WOS:000267670800010</t>
  </si>
  <si>
    <t>Prokashev, AM</t>
  </si>
  <si>
    <t>Gray gleyed soils with complex organic profiles in the east of the Russian Plain</t>
  </si>
  <si>
    <t>EURASIAN SOIL SCIENCE</t>
  </si>
  <si>
    <t>Prokashev, Aleksei/ABE-7729-2020</t>
  </si>
  <si>
    <t>Prokasev, Aleksei/0000-0002-3029-8093</t>
  </si>
  <si>
    <t>1064-2293</t>
  </si>
  <si>
    <t>WOS:000184314600002</t>
  </si>
  <si>
    <t>Yungblyud, VT; Il'in, DV</t>
  </si>
  <si>
    <t>Yungblyud, Valerii T.; Il'in, Dmitrii, V</t>
  </si>
  <si>
    <t>TRADE-ECONOMIC AND SCIENTIFIC-TECHNICAL RELATIONS BETWEEN THE USA AND THE USSR DURING THE YEARS OF DETENTE (Review of Russian Studies, 1972-2022)</t>
  </si>
  <si>
    <t>MIROVAYA EKONOMIKA I MEZHDUNARODNYE OTNOSHENIYA</t>
  </si>
  <si>
    <t>Ilin, Dmitrii V./N-7521-2016; Yungblyud, Valeriy T./J-8665-2016</t>
  </si>
  <si>
    <t>0131-2227</t>
  </si>
  <si>
    <t>10.20542/0131-2227-2023-67-3-116-129</t>
  </si>
  <si>
    <t>WOS:000946882600010</t>
  </si>
  <si>
    <t>Yungblyud, Valery T.; Zorin, Artem, V</t>
  </si>
  <si>
    <t>Czech and Slovak organizations in the United States during the World War II</t>
  </si>
  <si>
    <t>10.17223/19988613/76/11</t>
  </si>
  <si>
    <t>WOS:000869093900011</t>
  </si>
  <si>
    <t>Power Consumption, Control of Properties and of Continuous Annealing Process of Copper and Brass Rolled Products in Transverse Magnetic Field</t>
  </si>
  <si>
    <t>Pevzner, Mikhail/0000-0001-9894-7523</t>
  </si>
  <si>
    <t>10.1007/s11041-022-00720-1</t>
  </si>
  <si>
    <t>FEB 2022</t>
  </si>
  <si>
    <t>WOS:000761143200002</t>
  </si>
  <si>
    <t>Evaluation of the Idle time of Single-Chain and Double-Chain Overhead Power Lines of 6-10 kV by Methods of Queuing Theory</t>
  </si>
  <si>
    <t>10.52254/1857-0070.2022.4-56.01</t>
  </si>
  <si>
    <t>WOS:000904633900001</t>
  </si>
  <si>
    <t>Kapustin, AG; Aleksandrova, OA; Kovyazina, GV</t>
  </si>
  <si>
    <t>Kapustin, A. G.; Aleksandrova, O. A.; Kovyazina, G. V.</t>
  </si>
  <si>
    <t>FEMALE MULTIFUNCTIONAL EXERCISE PROGRAM FOR A HEALTHIER SPINE</t>
  </si>
  <si>
    <t>Kovyazina, Galina/U-7579-2018</t>
  </si>
  <si>
    <t>Kovyazina, Galina/0000-0003-2319-746X</t>
  </si>
  <si>
    <t>10.14529/hsm220415</t>
  </si>
  <si>
    <t>WOS:000957611400015</t>
  </si>
  <si>
    <t>Nabokikh, AA; Ryattel, AV</t>
  </si>
  <si>
    <t>Nabokikh, Aleksei A.; Ryattel, Alexandra, V</t>
  </si>
  <si>
    <t>Game-Theoretic Modeling of Competitive Interaction Between Mushroom Farming Companies</t>
  </si>
  <si>
    <t>Nabokikh, Aleksei/AAB-8688-2021</t>
  </si>
  <si>
    <t>Nabokikh, Aleksei/0000-0002-9046-0523</t>
  </si>
  <si>
    <t>10.1007/978-3-030-93244-2_47</t>
  </si>
  <si>
    <t>WOS:000759460600047</t>
  </si>
  <si>
    <t>Mosechkin, I</t>
  </si>
  <si>
    <t>Mosechkin, Ilya</t>
  </si>
  <si>
    <t>Why Women Kill: Studying Motives for Committing Crimes</t>
  </si>
  <si>
    <t>WOMEN &amp; CRIMINAL JUSTICE</t>
  </si>
  <si>
    <t>0897-4454</t>
  </si>
  <si>
    <t>1541-0323</t>
  </si>
  <si>
    <t>MAY 4</t>
  </si>
  <si>
    <t>10.1080/08974454.2021.1980483</t>
  </si>
  <si>
    <t>SEP 2021</t>
  </si>
  <si>
    <t>WOS:000702679300001</t>
  </si>
  <si>
    <t>Ivutina, E; Shishkina, A; Beltyukova, O</t>
  </si>
  <si>
    <t>Ivutina, Elena; Shishkina, Alexandra; Beltyukova, Oksana</t>
  </si>
  <si>
    <t>REFLECTION AS AN EFFECTIVENESS FACTOR OF TEACHER'S PROFESSIONAL ACTIVITY</t>
  </si>
  <si>
    <t>Ivutina, Elena/S-2598-2018; Шишкина, Александра Николаевна/AFH-7352-2022</t>
  </si>
  <si>
    <t>Ivutina, Elena/0000-0002-8665-1546; Шишкина, Александра Николаевна/0000-0003-4952-6102</t>
  </si>
  <si>
    <t>10.15405/epsbs.2021.07.02.45</t>
  </si>
  <si>
    <t>WOS:000771919100045</t>
  </si>
  <si>
    <t>Medvedeva, E; Trubin, I</t>
  </si>
  <si>
    <t>Medvedeva, Elena; Trubin, Igor</t>
  </si>
  <si>
    <t>Improving the Quality of Reconstruction of Noisy Images in the Wavelet Region</t>
  </si>
  <si>
    <t>10.1109/SIBCON50419.2021.9438904</t>
  </si>
  <si>
    <t>WOS:000680842100054</t>
  </si>
  <si>
    <t>Obukhova, ON; Baykova, OV</t>
  </si>
  <si>
    <t>Obukhova, Olga N.; Baykova, Olga, V</t>
  </si>
  <si>
    <t>MEANS OF LANGUAGE OBJECTIFICATION OF THE GERMAN KNIGHT IMAGE IN THE ARTISTIC PICTURE OF WORLD IN MIDDLE AGES</t>
  </si>
  <si>
    <t>10.24224/2227-1295-2020-7-158-176</t>
  </si>
  <si>
    <t>WOS:000568419600010</t>
  </si>
  <si>
    <t>Valova, OM</t>
  </si>
  <si>
    <t>Valova, Olga M.</t>
  </si>
  <si>
    <t>REFLECTION OF PHILOSOPHY OF UNREAL IN TRAGEDY OF O. WILDE DUCHESS OF PADUA</t>
  </si>
  <si>
    <t>Valova, Olga/0000-0001-7987-5317</t>
  </si>
  <si>
    <t>10.24224/2227-1295-2020-7-226-240</t>
  </si>
  <si>
    <t>WOS:000568419600014</t>
  </si>
  <si>
    <t>The influence of coordination on the attention stability of children with different nervous system typologies</t>
  </si>
  <si>
    <t>PRAXIS &amp; SABER</t>
  </si>
  <si>
    <t>2216-0159</t>
  </si>
  <si>
    <t>2462-8603</t>
  </si>
  <si>
    <t>SEP-DEC</t>
  </si>
  <si>
    <t>WOS:000489760100016</t>
  </si>
  <si>
    <t>Vorobyov, AD; Pozdeev, PV; Kruglova, NV; Nogovitsyna, OS; Tokareva, PV</t>
  </si>
  <si>
    <t>Vorobyov, Anatoly Dmitriyevich; Pozdeev, Pavel Vyacheslavovich; Kruglova, Nelly Viktorovna; Nogovitsyna, Olga Sergeevna; Tokareva, Polina Viktorovna</t>
  </si>
  <si>
    <t>A Unified Methodology of Strategic Management and a Knowledge Management Model</t>
  </si>
  <si>
    <t>TEM JOURNAL-TECHNOLOGY EDUCATION MANAGEMENT INFORMATICS</t>
  </si>
  <si>
    <t>Tokareva, Polina/AAB-2658-2020</t>
  </si>
  <si>
    <t>2217-8309</t>
  </si>
  <si>
    <t>2217-8333</t>
  </si>
  <si>
    <t>10.18421/TEM82-31</t>
  </si>
  <si>
    <t>WOS:000468971700031</t>
  </si>
  <si>
    <t>Kadochnikova, NI; Sazanov, AV; Sazanova, ML</t>
  </si>
  <si>
    <t>Kadochnikova, Natalia I.; Sazanov, Alexander V.; Sazanova, Maria L.</t>
  </si>
  <si>
    <t>Peculiarities of Forming Health-Preservation Competence of Bachelors and Masters of Pedagogics</t>
  </si>
  <si>
    <t>Sazanova, Maria/I-4211-2016; Sazanova, Maria/AAS-9191-2021</t>
  </si>
  <si>
    <t>10.3897/ap.1.e0254</t>
  </si>
  <si>
    <t>WOS:000520005200027</t>
  </si>
  <si>
    <t>Filtering of the Reflected Probing PM Signals With the Rayleigh Amplitude in the Formation of High-resolution Radar Images</t>
  </si>
  <si>
    <t>WOS:000560311400076</t>
  </si>
  <si>
    <t>Soboleva, EV; Shalaginova, NV</t>
  </si>
  <si>
    <t>Soboleva, Elena, V; Shalaginova, Nadezda, V</t>
  </si>
  <si>
    <t>Simulation of artificial intelligence in a computer game</t>
  </si>
  <si>
    <t>10.1088/1742-6596/1399/3/033050</t>
  </si>
  <si>
    <t>WOS:000589557100112</t>
  </si>
  <si>
    <t>Yurkin, YV; Mansurova, IA; Belozerov, VS; Zlobina, A</t>
  </si>
  <si>
    <t>Yurkin, Yu, V; Mansurova, I. A.; Belozerov, V. S.; Zlobina, A.</t>
  </si>
  <si>
    <t>Morphological and Dynamic Mechanical Analysis of Vibration Damping Composite Material Based on Different Elastomers</t>
  </si>
  <si>
    <t>Yurkin, Yuiy/AAD-4331-2021; Belozerov, Vladislav/B-7087-2019; Yurkin, Yuriy/B-2095-2014; Mansurova, Irina Alekseevna/J-3337-2016; Zlobina, Elena/O-6650-2017</t>
  </si>
  <si>
    <t>Belozerov, Vladislav/0000-0002-9930-5458; Yurkin, Yuriy/0000-0003-4310-3379; Mansurova, Irina Alekseevna/0000-0003-1197-0339; Zlobina, Elena/0000-0002-5903-5983</t>
  </si>
  <si>
    <t>WOS:000454987400002</t>
  </si>
  <si>
    <t>Maslova, A. G.</t>
  </si>
  <si>
    <t>History of Russian Literature of the 18th Century</t>
  </si>
  <si>
    <t>10.26710/fk18-01-23</t>
  </si>
  <si>
    <t>WOS:000438455300022</t>
  </si>
  <si>
    <t>Prozorov, D; Trubin, I</t>
  </si>
  <si>
    <t>Prozorov, Dmitry; Trubin, Igor</t>
  </si>
  <si>
    <t>Detection of a Signal in the SIMO System with Spatial Correlation of Noise</t>
  </si>
  <si>
    <t>WOS:000644432200115</t>
  </si>
  <si>
    <t>Demina, N; Popova, G; Sazanova, M</t>
  </si>
  <si>
    <t>Demina, Natalia; Popova, Galina; Sazanova, Maria</t>
  </si>
  <si>
    <t>DEVELOPING THE COMPETENCE IN HEALTH PROTECTION OF PEDAGOGICAL BACHELOR STUDENTS</t>
  </si>
  <si>
    <t>Sazanova, Maria/AAS-9191-2021; Sazanova, Maria/I-4211-2016; Demina, Nataliya/GON-9869-2022</t>
  </si>
  <si>
    <t xml:space="preserve">Sazanova, Maria/0000-0003-3492-8395; Sazanova, Maria/0000-0003-3492-8395; </t>
  </si>
  <si>
    <t>10.15405/epsbs.2017.08.02.17</t>
  </si>
  <si>
    <t>WOS:000432421300017</t>
  </si>
  <si>
    <t>THE INTERIOR OF ALEXANDER NEVSKY CATHEDRAL (1839-1864) BY ARCHITECT ALEXANDER VITBERG IN VYATKA</t>
  </si>
  <si>
    <t>WOS:000395727700063</t>
  </si>
  <si>
    <t>Kostin, AA; Yungblyud, VT</t>
  </si>
  <si>
    <t>Kostin, A. A.; Yungblyud, V. T.</t>
  </si>
  <si>
    <t>Subasic and Yugoslav and US policy in 1942-1945 gg</t>
  </si>
  <si>
    <t>WOS:000335425700007</t>
  </si>
  <si>
    <t>Hydrodynamics of the motion of spherical particles, droplets, and bubbles in a non-Newtonian liquid: Analytical methods of investigation</t>
  </si>
  <si>
    <t>10.1134/S0040579512020121</t>
  </si>
  <si>
    <t>WOS:000305421400001</t>
  </si>
  <si>
    <t>Nenashev, MI</t>
  </si>
  <si>
    <t>Nenashev, M., I</t>
  </si>
  <si>
    <t>Regional news-papers: a comparison</t>
  </si>
  <si>
    <t>SOTSIOLOGICHESKIE ISSLEDOVANIYA</t>
  </si>
  <si>
    <t>0132-1625</t>
  </si>
  <si>
    <t>WOS:000287838000014</t>
  </si>
  <si>
    <t>The spetsposelentsy (deported residents) at the outbreak of the Great Patriotic War</t>
  </si>
  <si>
    <t>WOS:000246945000011</t>
  </si>
  <si>
    <t>Strabykin, DA</t>
  </si>
  <si>
    <t>Parallel computations method for abductive knowledge-based inference</t>
  </si>
  <si>
    <t>Strabykin, Dmitry/T-9196-2019</t>
  </si>
  <si>
    <t>WOS:000089912600010</t>
  </si>
  <si>
    <t>Grecu, YV</t>
  </si>
  <si>
    <t>Grecu, Yuliya Vladimirovna</t>
  </si>
  <si>
    <t>Differentiated instruction: Curriculum and resources provide a roadmap to help English teachers meet students needs</t>
  </si>
  <si>
    <t>TEACHING AND TEACHER EDUCATION</t>
  </si>
  <si>
    <t>Grecu, Yuliya/0000-0002-9791-0320</t>
  </si>
  <si>
    <t>0742-051X</t>
  </si>
  <si>
    <t>1879-2480</t>
  </si>
  <si>
    <t>10.1016/j.tate.2023.104064</t>
  </si>
  <si>
    <t>FEB 2023</t>
  </si>
  <si>
    <t>WOS:000944440600001</t>
  </si>
  <si>
    <t>The Effect of Aging Temperature on Parameters of the Amplitude Dependence of Internal Friction, Hardness, and Structure of the Zr-8.1% Nb Alloy</t>
  </si>
  <si>
    <t>10.1134/S0031918X22601251</t>
  </si>
  <si>
    <t>WOS:000931264400009</t>
  </si>
  <si>
    <t>Polyakov, OY</t>
  </si>
  <si>
    <t>Polyakov, Oleg Y.</t>
  </si>
  <si>
    <t>PATHETIC LITERARY CRITICISM IN THE ESSAYS BY JOSEPH WARTON: A COMPROMISE BETWEEN AUGUSTANISM AND PRE-ROMANTICISM</t>
  </si>
  <si>
    <t>10.51762/1FK-2021-26-04-24</t>
  </si>
  <si>
    <t>WOS:000742349400006</t>
  </si>
  <si>
    <t>Soboleva, Elena V.; Karavaev, Nikita L.</t>
  </si>
  <si>
    <t>Characteristics of the Project-Based Teamwork in the Case of Developing a Smart Application in a Digital Educational Environment</t>
  </si>
  <si>
    <t>10.13187/ejced.2020.2.417</t>
  </si>
  <si>
    <t>WOS:000542265300011</t>
  </si>
  <si>
    <t>Corn Crusade: Khrushchev's Farming Revolution in the Post-Stalin Soviet Union</t>
  </si>
  <si>
    <t>ENGLISH HISTORICAL REVIEW</t>
  </si>
  <si>
    <t>0013-8266</t>
  </si>
  <si>
    <t>1477-4534</t>
  </si>
  <si>
    <t>10.1093/ehr/cez365</t>
  </si>
  <si>
    <t>WOS:000559957200058</t>
  </si>
  <si>
    <t>Isupova, SM</t>
  </si>
  <si>
    <t>Isupova, Svetlana M.</t>
  </si>
  <si>
    <t>FORMATION OF ARTISTIC HISTORICISM IN THE EARLY WORK OF I.I. LAZHECHNIKOV</t>
  </si>
  <si>
    <t>10.24224/2227-1295-2020-10-268-279</t>
  </si>
  <si>
    <t>WOS:000586248800017</t>
  </si>
  <si>
    <t>Generating Digital Radar Images Using Nonlinear Filtering Methods for Discrete and Continuous Parameters of Return PM Signals</t>
  </si>
  <si>
    <t>WOS:000649745900031</t>
  </si>
  <si>
    <t>Grishina, EN; Lysova, EA; Lapteva, IP; Nagovitsyna, EV</t>
  </si>
  <si>
    <t>Grishina, Elena N.; Lysova, Elena A.; Lapteva, Irina P.; Nagovitsyna, Eleonora V.</t>
  </si>
  <si>
    <t>Educational platform of region's digital modernization in Industry 4.0</t>
  </si>
  <si>
    <t>10.1108/OTH-07-2019-0040</t>
  </si>
  <si>
    <t>WOS:000491196500008</t>
  </si>
  <si>
    <t>THE IMPLEMENTATION OF EMOTIONALLY-VALUABLE COMPONENT OF THE CONTENT OF FOREIGN-LANGUAGE EDUCATION (ON THE MATERIAL OF STUDY COURSE SPOTLIGHT). Part I</t>
  </si>
  <si>
    <t>Sungurova, Olga/0000-0002-2013-2997</t>
  </si>
  <si>
    <t>10.17853/1994-5639-2019-6-146-170</t>
  </si>
  <si>
    <t>WOS:000497663600007</t>
  </si>
  <si>
    <t>Izotov, A; Timoshenko, V; Izotov, S</t>
  </si>
  <si>
    <t>Izotov, Anatoly; Timoshenko, Vyacheslav; Izotov, Sergey</t>
  </si>
  <si>
    <t>Reducing Wear of Brushes in Special-Purpose Starter-Generator GS-12TOK</t>
  </si>
  <si>
    <t>2019 INTERNATIONAL CONFERENCE ON INDUSTRIAL ENGINEERING, APPLICATIONS AND MANUFACTURING (ICIEAM)</t>
  </si>
  <si>
    <t>Vyacheslav, Timoshenko/AAI-8871-2021; Izotov, Anatoliy/ABA-3776-2020</t>
  </si>
  <si>
    <t>Vyacheslav, Timoshenko/0000-0002-2711-8960; Izotov, Anatoliy/0000-0003-4943-2499</t>
  </si>
  <si>
    <t>978-1-5386-8119-0</t>
  </si>
  <si>
    <t>WOS:000607240300036</t>
  </si>
  <si>
    <t>Undersampled Spectrum Reconstruction Using Multichannel Multifrequency Sampling</t>
  </si>
  <si>
    <t>Naumovich, Tatyana/B-8000-2017; Lesnikov, Vladislav A./E-9558-2011; Chastikov, Alexander/ACX-8162-2022; Chastikov, Alexander/A-5560-2014</t>
  </si>
  <si>
    <t>Naumovich, Tatyana/0000-0002-3659-2664; Lesnikov, Vladislav A./0000-0002-5034-291X; Chastikov, Alexander/0000-0002-1998-7787</t>
  </si>
  <si>
    <t>WOS:000492146100124</t>
  </si>
  <si>
    <t>Artificial intelligence and criminal liability: problems of becoming a new type of crime subject</t>
  </si>
  <si>
    <t>10.21638/spbu14.2019.304</t>
  </si>
  <si>
    <t>WOS:000490917500004</t>
  </si>
  <si>
    <t>Sapozhnikova, E; Ryazanova, O</t>
  </si>
  <si>
    <t>Sapozhnikova, Ekaterina; Ryazanova, Olesya</t>
  </si>
  <si>
    <t>The role of small farms in ensuring food security in Russia</t>
  </si>
  <si>
    <t>10.1051/e3sconf/201911002010</t>
  </si>
  <si>
    <t>WOS:000569050000099</t>
  </si>
  <si>
    <t>Purity and Compromise in the Soviet Party-State: The Struggle for the Soul of the Party, 1941-1952</t>
  </si>
  <si>
    <t>RUSSIAN REVIEW</t>
  </si>
  <si>
    <t>0036-0341</t>
  </si>
  <si>
    <t>1467-9434</t>
  </si>
  <si>
    <t>WOS:000443708100031</t>
  </si>
  <si>
    <t>Krivoshein, IL; Suslov, AA</t>
  </si>
  <si>
    <t>Krivoshein, I. L.; Suslov, A. A.</t>
  </si>
  <si>
    <t>Improvement of Determination Accuracy of Direction Search of Single-Phase Earth Fault</t>
  </si>
  <si>
    <t>WOS:000478963800045</t>
  </si>
  <si>
    <t>Repkina, NG; Repkin, DA; Levin, MN</t>
  </si>
  <si>
    <t>Repkina, N. G.; Repkin, D. A.; Levin, M. N.</t>
  </si>
  <si>
    <t>Structural Synthesis of System of Remote Interrogation of Metering Devices</t>
  </si>
  <si>
    <t>WOS:000478963800128</t>
  </si>
  <si>
    <t>Loginov, DA; Karanina, EV; Bakhtimov, AA; Ryazanova, OA</t>
  </si>
  <si>
    <t>Loginov, Dmitry A.; Karanina, Elena V.; Bakhtimov, Alexander A.; Ryazanova, Olesya A.</t>
  </si>
  <si>
    <t>Economic Security as a Basis for National Food Sovereignty</t>
  </si>
  <si>
    <t>Karanina, Elena E.V./L-1395-2016; Bakhtimov, Alexander/AAB-8499-2021</t>
  </si>
  <si>
    <t>10.1007/978-3-319-60696-5_10</t>
  </si>
  <si>
    <t>WOS:000426114200010</t>
  </si>
  <si>
    <t>Suslov, E</t>
  </si>
  <si>
    <t>Suslov, Evgenii</t>
  </si>
  <si>
    <t>Step Voltage Signaling Device</t>
  </si>
  <si>
    <t>WOS:000414282400146</t>
  </si>
  <si>
    <t>Melyukov, VV; Repkin, DA; Zapol'skikh, SN</t>
  </si>
  <si>
    <t>Melyukov, V. V.; Repkin, D. A.; Zapol'skikh, S. N.</t>
  </si>
  <si>
    <t>Optimum Control Problem of the Hybrid Welding Process</t>
  </si>
  <si>
    <t>WOS:000403604400349</t>
  </si>
  <si>
    <t>Chemodanov, I. V.</t>
  </si>
  <si>
    <t>Vyatka peasantry during the first world war</t>
  </si>
  <si>
    <t>WOS:000354658300006</t>
  </si>
  <si>
    <t>Kalinina, LA; Ushakova, YN; Ananchenko, BA; Tikhomirova, MA; Fominykh, EG</t>
  </si>
  <si>
    <t>Kalinina, L. A.; Ushakova, Yu. N.; Ananchenko, B. A.; Tikhomirova, M. A.; Fominykh, E. G.</t>
  </si>
  <si>
    <t>Sulfide ceramic materials based on CaYb2S4 with functional electrolytic properties</t>
  </si>
  <si>
    <t>20th All-Russian Conference on Temperature-Resistant Functional Coatings</t>
  </si>
  <si>
    <t>NOV 27-28, 2007</t>
  </si>
  <si>
    <t>Tikhomirova, Maria/ISS-0168-2023; Ananchenko, Boris/AAM-5831-2020</t>
  </si>
  <si>
    <t>10.1134/S1087659609010118</t>
  </si>
  <si>
    <t>WOS:000266335300011</t>
  </si>
  <si>
    <t>Monarchist organisations of the Viatka-Kama region during the first Russian revolution</t>
  </si>
  <si>
    <t>WOS:000249387600012</t>
  </si>
  <si>
    <t>Effect of structure on the damping capacity and mechanical properties of iron alloys with magnetomechanical damping</t>
  </si>
  <si>
    <t>10.1023/B:MSAT.0000043100.72622.0e</t>
  </si>
  <si>
    <t>WOS:000226016200005</t>
  </si>
  <si>
    <t>Properties of polycarboxylic acids belonging to the class of polyethers</t>
  </si>
  <si>
    <t>POLYMER SCIENCE SERIES B</t>
  </si>
  <si>
    <t>1560-0904</t>
  </si>
  <si>
    <t>7-8</t>
  </si>
  <si>
    <t>WOS:000089082400005</t>
  </si>
  <si>
    <t>Formation of structure and internal friction in nonequilibrium alloys based on Zinc and Aluminum</t>
  </si>
  <si>
    <t>WOS:A1997WU95900016</t>
  </si>
  <si>
    <t>SKVORTSOV, AI</t>
  </si>
  <si>
    <t>MOBILITY OF DOMAIN-WALLS IN BCC IRON-ALLOYS DURING MAGNETOMECHANICAL DAMPING</t>
  </si>
  <si>
    <t>FIZIKA METALLOV I METALLOVEDENIE</t>
  </si>
  <si>
    <t>0015-3230</t>
  </si>
  <si>
    <t>WOS:A1994QA42800002</t>
  </si>
  <si>
    <t>Adamovich, TA; Olkova, AS</t>
  </si>
  <si>
    <t>Adamovich, Tatyana Anatolyevna; Olkova, Anna Sergeyevna</t>
  </si>
  <si>
    <t>Railway Urbanozems: Interrelation of Physicochemical and Integral Environmental Indicators</t>
  </si>
  <si>
    <t>PERTANIKA JOURNAL OF SCIENCE AND TECHNOLOGY</t>
  </si>
  <si>
    <t>0128-7680</t>
  </si>
  <si>
    <t>10.47836/pjst.31.3.17</t>
  </si>
  <si>
    <t>WOS:000976016100017</t>
  </si>
  <si>
    <t>Tatarinova, MN; Kuklina, SS</t>
  </si>
  <si>
    <t>Tatarinova, Maya N.; Kuklina, Svetlana S.</t>
  </si>
  <si>
    <t>THE STRUCTURE AND THE CONTENT OF THE EMOTIONAL VALUE COMPONENT AND ITS TESTING IN SCHOOL FOREIGN-LANGUAGE EDUCATION</t>
  </si>
  <si>
    <t>10.17223/19996195/60/15</t>
  </si>
  <si>
    <t>WOS:000935399800015</t>
  </si>
  <si>
    <t>Thermal emission characteristics of combustion products from rocket engines. Part 2. Investigating the influence of various factors for SPRE</t>
  </si>
  <si>
    <t>10.1134/S0869864322040096</t>
  </si>
  <si>
    <t>WOS:000889060400009</t>
  </si>
  <si>
    <t>Smetanina, ZV</t>
  </si>
  <si>
    <t>Smetanina, Zoya, V</t>
  </si>
  <si>
    <t>On the second edition of the Regional Dictionary of Vyatka Dialects: A new look and new approaches</t>
  </si>
  <si>
    <t>10.17223/22274200/23/2</t>
  </si>
  <si>
    <t>WOS:000869083300002</t>
  </si>
  <si>
    <t>Olkova, A.</t>
  </si>
  <si>
    <t>Advantages of using peat gel to reduce the toxicity of soils polluted with oil products</t>
  </si>
  <si>
    <t>INTERNATIONAL JOURNAL OF ENVIRONMENTAL SCIENCE AND TECHNOLOGY</t>
  </si>
  <si>
    <t>1735-1472</t>
  </si>
  <si>
    <t>1735-2630</t>
  </si>
  <si>
    <t>10.1007/s13762-022-03971-w</t>
  </si>
  <si>
    <t>WOS:000753334600003</t>
  </si>
  <si>
    <t>Lelekova, EV; Konovalova, IA</t>
  </si>
  <si>
    <t>Lelekova, E., V; Konovalova, I. A.</t>
  </si>
  <si>
    <t>The state of forest phytocenosis after thinning in violation of technology</t>
  </si>
  <si>
    <t>10.25750/1995-4301-2022-1-056-063</t>
  </si>
  <si>
    <t>WOS:000819811100007</t>
  </si>
  <si>
    <t>Domrachev, DG; Kirillovykh, AA; Pugach, VN</t>
  </si>
  <si>
    <t>Domrachev, D. G.; Kirillovykh, A. A.; Pugach, V. N.</t>
  </si>
  <si>
    <t>Public and municipal environmental control: problems and prospects of development in the Russian Federation</t>
  </si>
  <si>
    <t>Pugach, Valentin/V-8991-2018; Domrachev, Dmitriy/K-8370-2017; Kirillovykh, Andrey/J-7815-2016</t>
  </si>
  <si>
    <t>Pugach, Valentin/0000-0003-1220-4062; Domrachev, Dmitriy/0000-0002-7967-9129; Kirillovykh, Andrey/0000-0002-0035-9035</t>
  </si>
  <si>
    <t>10.25750/1995-4301-2020-2-187-192</t>
  </si>
  <si>
    <t>WOS:000545295600026</t>
  </si>
  <si>
    <t>The Development of Balance in School children using the Exercise Classic's</t>
  </si>
  <si>
    <t>WOS:000548170500008</t>
  </si>
  <si>
    <t>Attitude to the New Economic Policy in the RCP (B) Party Organizations of the Vyatka Gubernia in 1921-1923: Archival Materials</t>
  </si>
  <si>
    <t>10.28995/2073-0101-2020-1-169-179</t>
  </si>
  <si>
    <t>WOS:000521784200013</t>
  </si>
  <si>
    <t>Yungblud, VT</t>
  </si>
  <si>
    <t>Yungblud, V. T.</t>
  </si>
  <si>
    <t>The 1945 World Order - Process with Open Continuation</t>
  </si>
  <si>
    <t>10.24833/2071-8160-2020-4-73-52-79</t>
  </si>
  <si>
    <t>WOS:000566776900002</t>
  </si>
  <si>
    <t>Gordina, EN; Zlobin, AA; Martinson, EA; Litvinets, SG</t>
  </si>
  <si>
    <t>Gordina, E. N.; Zlobin, A. A.; Martinson, E. A.; Litvinets, S. G.</t>
  </si>
  <si>
    <t>Pectic polysaccharides of callus tissue of the stem of Heracleum sosnowskyi Manden</t>
  </si>
  <si>
    <t>Martinson, Ekaterina/AAL-5413-2020; Gordina, Elena/AAE-2301-2019; Gordina, Natalya/S-8639-2017; Litvinets, Sergey/I-8188-2013</t>
  </si>
  <si>
    <t>Gordina, Elena/0000-0002-7490-9132; Gordina, Natalya/0000-0002-1067-4688; Litvinets, Sergey/0000-0001-8583-5274</t>
  </si>
  <si>
    <t>10.25750/1995-4301-2019-1-041-046</t>
  </si>
  <si>
    <t>WOS:000468565900006</t>
  </si>
  <si>
    <t>Shestakov, AV</t>
  </si>
  <si>
    <t>Shestakov, Alexander, V</t>
  </si>
  <si>
    <t>Modeling and Experimental Analysis of Dynamic Characteristics of Asynchronous Motor</t>
  </si>
  <si>
    <t>WOS:000607240300166</t>
  </si>
  <si>
    <t>Bessolitsyn, AV; Golgovskikh, AV; Novikov, AV</t>
  </si>
  <si>
    <t>Bessolitsyn, A., V; Golgovskikh, A., V; Novikov, A., V</t>
  </si>
  <si>
    <t>Estimation of Possibility to Use Electromagnetic Relays at Frequencies Below Industrial One</t>
  </si>
  <si>
    <t>WOS:000478963800091</t>
  </si>
  <si>
    <t>Galitskih, EO; Ponomarenko, LN</t>
  </si>
  <si>
    <t>Galitskih, Elena O.; Ponomarenko, Larisa N.</t>
  </si>
  <si>
    <t>FICTION AS A SOURCE OF PEDAGOGICAL KNOWLEDGE</t>
  </si>
  <si>
    <t>10.15405/epsbs.2018.09.103</t>
  </si>
  <si>
    <t>WOS:000472144400095</t>
  </si>
  <si>
    <t>Kolesnikova, OI; Igoshina, YV; Timshin, VA</t>
  </si>
  <si>
    <t>Kolesnikova, O., I; Igoshina, Yu, V; Timshin, V. A.</t>
  </si>
  <si>
    <t>Network news and the problem of the media perception culture</t>
  </si>
  <si>
    <t>MEDIAOBRAZOVANIE-MEDIA EDUCATION</t>
  </si>
  <si>
    <t>Kolesnikova, Olga Ivanovna/I-7799-2018; Vadim, Timshin/I-7736-2018</t>
  </si>
  <si>
    <t>Kolesnikova, Olga Ivanovna/0000-0002-6159-6261; Vadim, Timshin/0000-0001-6472-6976</t>
  </si>
  <si>
    <t>1994-4195</t>
  </si>
  <si>
    <t>WOS:000435214800002</t>
  </si>
  <si>
    <t>Mashkovtcev, AA; Mashkovtceva, VV</t>
  </si>
  <si>
    <t>Mashkovtcev, Andrey A.; Mashkovtceva, Viktorya V.</t>
  </si>
  <si>
    <t>Confessional policy of the government of Nicholas I regarding the Old Believers and spiritual Christians (based on the materials of the Vyatka province)</t>
  </si>
  <si>
    <t>WOS:000452093000013</t>
  </si>
  <si>
    <t>Poperekov, VS; Buldakova, NV; Bandakov, MP; Suetina, KM; Ovsyannikova, EY</t>
  </si>
  <si>
    <t>Poperekov, V. S.; Buldakova, N., V; Bandakov, M. P.; Suetina, K. M.; Ovsyannikova, E. Yu</t>
  </si>
  <si>
    <t>APPLICATION OF STATIC AND DYNAMIC EXPERIMENTAL EXERCISES DURING PE LESSONS WITH STUDENTS FROM SPECIAL MEDICAL GROUPS</t>
  </si>
  <si>
    <t>Ovsyannikova, Elena/T-2347-2018; Bandakov, Mikhail/U-7614-2018</t>
  </si>
  <si>
    <t>Ovsyannikova, Elena/0000-0003-0046-2259; Bandakov, Mikhail/0000-0002-8605-301X</t>
  </si>
  <si>
    <t>10.14529/hsm180312</t>
  </si>
  <si>
    <t>WOS:000446135400012</t>
  </si>
  <si>
    <t>Zlobina, Elena</t>
  </si>
  <si>
    <t>MOTIVATION INCREASING TO STUDY FOREIGN LANGUAGES FOR MASTER STUDENTS OF ENGINEERING EDUCATION</t>
  </si>
  <si>
    <t>10.22616/ERDev2018.17.N217</t>
  </si>
  <si>
    <t>WOS:000805412200171</t>
  </si>
  <si>
    <t>Fufachev, AS; Sintsov, AV; Krasikov, MI; Luppov, AV</t>
  </si>
  <si>
    <t>Fufachev, A. S.; Sintsov, A., V; Krasikov, M., I; Luppov, A., V</t>
  </si>
  <si>
    <t>Data Compression Techniques for Improving of Performance and Reliability of a Multifunctional Radio Receiving Center</t>
  </si>
  <si>
    <t>WOS:000414282400252</t>
  </si>
  <si>
    <t>Isupov, K; Knyazkov, V; Kuvaev, A; Popov, M</t>
  </si>
  <si>
    <t>Voevodin, V; Sobolev, S</t>
  </si>
  <si>
    <t>Isupov, Konstantin; Knyazkov, Vladimir; Kuvaev, Alexander; Popov, Mikhail</t>
  </si>
  <si>
    <t>Parallel Computation of Normalized Legendre Polynomials Using Graphics Processors</t>
  </si>
  <si>
    <t>SUPERCOMPUTING, RUSCDAYS 2016</t>
  </si>
  <si>
    <t>2nd Russian Supercomputing Days Conference (RuSCDays)</t>
  </si>
  <si>
    <t>SEP 26-27, 2016</t>
  </si>
  <si>
    <t>Supercomputing Consortium Russian Univ,Fed Agcy Sci Org,T Platforms,RSC,Intel,NVIDIA,IBM,Mellanox,Dell EMC,Hewlett Packard Enterprise,NICEVT</t>
  </si>
  <si>
    <t>978-3-319-55668-0; 978-3-319-55669-7</t>
  </si>
  <si>
    <t>10.1007/978-3-319-55669-7_14</t>
  </si>
  <si>
    <t>WOS:000429275000014</t>
  </si>
  <si>
    <t>Kuimov, A; Plotnikov, SA</t>
  </si>
  <si>
    <t>Kuimov, A.; Plotnikov, S. A.</t>
  </si>
  <si>
    <t>Evaluation of the Economic Efficiency of Various Alternative Fuels in Transport</t>
  </si>
  <si>
    <t>2ND INTERNATIONAL CONFERENCE ON INDUSTRIAL ENGINEERING (ICIE-2016)</t>
  </si>
  <si>
    <t>2nd International Conference on Industrial Engineering (ICIE)</t>
  </si>
  <si>
    <t>S Ural State Univ,Platov S Russian State Polytechn Univ,N Caucasian Inst Mining &amp; Metallurgy,Volgograd State Univ Architecture &amp; Civil Engn,S Seifullin Kazakh AgroTech Univ,Kazakh Natl Res Tech Univ,Russian Fdn Basic Res</t>
  </si>
  <si>
    <t>10.1016/j.proeng.2016.07.237</t>
  </si>
  <si>
    <t>WOS:000387965000183</t>
  </si>
  <si>
    <t>Topography of z-plane Which is Discretized Due to Quantization of Coefficients of Digital Biquad Filters</t>
  </si>
  <si>
    <t>Lesnikov, Vladislav A./E-9558-2011; Chastikov, Alexander/ACX-8162-2022; Naumovich, Tatyana/B-8000-2017; Chastikov, Alexander/A-5560-2014</t>
  </si>
  <si>
    <t>WOS:000383090900161</t>
  </si>
  <si>
    <t>Matrix Multiplication Based on Dynamic Distributed Arithmetic</t>
  </si>
  <si>
    <t>Chastikov, Alexander/A-5560-2014; Chastikov, Alexander/ACX-8162-2022; Naumovich, Tatyana/B-8000-2017; Lesnikov, Vladislav A./E-9558-2011</t>
  </si>
  <si>
    <t>Chastikov, Alexander/0000-0002-1998-7787; Naumovich, Tatyana/0000-0002-3659-2664; Lesnikov, Vladislav A./0000-0002-5034-291X</t>
  </si>
  <si>
    <t>WOS:000380571600163</t>
  </si>
  <si>
    <t>Volodchenko, AI; Tsirkin, VI</t>
  </si>
  <si>
    <t>Volodchenko, A. I.; Tsirkin, V. I.</t>
  </si>
  <si>
    <t>Effect of Propranolol, Histidine, and Trimethylhydrazine Propionate on the Capacity of Epinephrine to Change the Rate of Erythrocyte Agglutination</t>
  </si>
  <si>
    <t>BULLETIN OF EXPERIMENTAL BIOLOGY AND MEDICINE</t>
  </si>
  <si>
    <t>Tsirkin, Victor/O-1603-2017</t>
  </si>
  <si>
    <t>Tsirkin, Viktor/0000-0003-3467-3919</t>
  </si>
  <si>
    <t>0007-4888</t>
  </si>
  <si>
    <t>1573-8221</t>
  </si>
  <si>
    <t>10.1007/s10517-014-2623-9</t>
  </si>
  <si>
    <t>WOS:000343135900015</t>
  </si>
  <si>
    <t>Shishkina, SV; Zhelonkina, EA; Kononova, TV</t>
  </si>
  <si>
    <t>Shishkina, S. V.; Zhelonkina, E. A.; Kononova, T. V.</t>
  </si>
  <si>
    <t>Effect of chromium compounds on the properties of ion-exchange membranes</t>
  </si>
  <si>
    <t>10.1134/S0965544113070165</t>
  </si>
  <si>
    <t>WOS:000327218300009</t>
  </si>
  <si>
    <t>Prokashev, A. M.</t>
  </si>
  <si>
    <t>Humus Pedorelicts in Soddy Calcareous Soils of the Vyatka-Kama Interfluve</t>
  </si>
  <si>
    <t>10.1134/S1064229312110075</t>
  </si>
  <si>
    <t>WOS:000310830000002</t>
  </si>
  <si>
    <t>Skvortsov, A. I.</t>
  </si>
  <si>
    <t>ANALYSIS OF INELASTICITY IN HIGH-DAMPING Zn-Al ALLOYS, GRAY IRONS, AND IRON ALLOYS WITH INTERNAL FRICTION OF A MAGNETOMECHANICAL NATURE</t>
  </si>
  <si>
    <t>10.1007/s11041-012-9491-6</t>
  </si>
  <si>
    <t>WOS:000314271400009</t>
  </si>
  <si>
    <t>Strabykin, DA; Tomchuk, MN</t>
  </si>
  <si>
    <t>Strabykin, D. A.; Tomchuk, M. N.</t>
  </si>
  <si>
    <t>A method of logical inference of modified conclusions</t>
  </si>
  <si>
    <t>10.1134/S1064230708020111</t>
  </si>
  <si>
    <t>WOS:000255862200011</t>
  </si>
  <si>
    <t>Kalinina, LA; Ushakova, YN; Yurlov, IS; Fominykh, EG; Rossikhina, AA</t>
  </si>
  <si>
    <t>Kalinina, L. A.; Ushakova, Yu. N.; Yurlov, I. S.; Fominykh, E. G.; Rossikhina, A. A.</t>
  </si>
  <si>
    <t>Thermodynamic properties of thiosamarates of calcium and barium and phases based on them</t>
  </si>
  <si>
    <t>10.1134/S1023193507060171</t>
  </si>
  <si>
    <t>WOS:000247977600017</t>
  </si>
  <si>
    <t>Leushina, AP; Makhanova, EV; Danilov, DN</t>
  </si>
  <si>
    <t>Leushina, A. P.; Makhanova, E. V.; Danilov, D. N.</t>
  </si>
  <si>
    <t>Selecting indium-containing systems as solid electrolytes</t>
  </si>
  <si>
    <t>10.1134/S1023193507060031</t>
  </si>
  <si>
    <t>WOS:000247977600003</t>
  </si>
  <si>
    <t>Leushina, AP; Makhanova, EV</t>
  </si>
  <si>
    <t>Electrochemical sensors for sulfur- and lead-containing gases</t>
  </si>
  <si>
    <t>WOS:000227402900013</t>
  </si>
  <si>
    <t>Shishkina, SV; Kovyazina, LI; Maslenikova, IY; Pechenkina, ES</t>
  </si>
  <si>
    <t>Interaction of organic surfactants with heterogeneous ion-exchange membranes</t>
  </si>
  <si>
    <t>International Conference on the Membrane and Sorption Processes</t>
  </si>
  <si>
    <t>OCT-NOV -, 2000</t>
  </si>
  <si>
    <t>SOCI, RUSSIA</t>
  </si>
  <si>
    <t>10.1023/A:1016822030399</t>
  </si>
  <si>
    <t>WOS:000177879100015</t>
  </si>
  <si>
    <t>Khitrin, SV; Mansurova, IA; Shilov, IB; Zlobin, AA</t>
  </si>
  <si>
    <t>Thermal transformations of copolymers based on poly(methyl methacrylate) and amino-containing compounds</t>
  </si>
  <si>
    <t>Mansurova, Irina Alekseevna/J-3337-2016; Shilov, Ivan/ABA-7069-2021; Khitrin, Sergey/AAC-9299-2019</t>
  </si>
  <si>
    <t>Mansurova, Irina Alekseevna/0000-0003-1197-0339; Khitrin, Sergey/0000-0001-6874-6018; Shilov, Ivan/0000-0002-0896-095X</t>
  </si>
  <si>
    <t>WOS:000088980400006</t>
  </si>
  <si>
    <t>Kholkin, AV; Bachurinskaya, IN</t>
  </si>
  <si>
    <t>Kholkin, Anatolii, V; Bachurinskaya, Irina N.</t>
  </si>
  <si>
    <t>Principles of Selecting Objects for Cost Accounting</t>
  </si>
  <si>
    <t>Kholkin, Anatolii/C-6964-2017</t>
  </si>
  <si>
    <t>Kholkin, Anatolii/0000-0002-2790-1314</t>
  </si>
  <si>
    <t>10.1007/978-3-030-93244-2_46</t>
  </si>
  <si>
    <t>WOS:000759460600046</t>
  </si>
  <si>
    <t>The Problem of the Reader in Tomsk and Tomsk Province in the Late 19th - Early 20th Centuries</t>
  </si>
  <si>
    <t>10.17223/23062061/27/12</t>
  </si>
  <si>
    <t>WOS:000740965900012</t>
  </si>
  <si>
    <t>High-Performance Computation in Residue Number System Using Floating-Point Arithmetic</t>
  </si>
  <si>
    <t>COMPUTATION</t>
  </si>
  <si>
    <t>2079-3197</t>
  </si>
  <si>
    <t>10.3390/computation9020009</t>
  </si>
  <si>
    <t>WOS:000622388100001</t>
  </si>
  <si>
    <t>Ilyina, EN; Sanovich, MA</t>
  </si>
  <si>
    <t>Ilyina, Ekaterina N.; Sanovich, Marina A.</t>
  </si>
  <si>
    <t>EFFECTIVENESS OF QUALITY MANAGEMENT DURING IMPLEMENATION OF INNOVATIVE PROJECTS AS THE BASIS OF COMPANY'S STRATEGIC DEVELOPMENT</t>
  </si>
  <si>
    <t>Andrea Simões Braga, Francisco/GRS-0157-2022</t>
  </si>
  <si>
    <t>10.24874/IJQR15.01-18</t>
  </si>
  <si>
    <t>WOS:000617169900018</t>
  </si>
  <si>
    <t>Development and Approbation of Methodology Aimed to Define the Reasons for Turbine Unit Capacity Limitation Based on the Specified Mathematical Model of its Condenser</t>
  </si>
  <si>
    <t>10.52254/1857-0070.2021.4-52.08</t>
  </si>
  <si>
    <t>WOS:000734088800007</t>
  </si>
  <si>
    <t>Kolesnikova, OI</t>
  </si>
  <si>
    <t>Kolesnikova, Olga, I</t>
  </si>
  <si>
    <t>The Persuasive Text of Publisher's Annotations: A Linguocultural Aspect</t>
  </si>
  <si>
    <t>Kolesnikova, Olga Ivanovna/I-7799-2018</t>
  </si>
  <si>
    <t>Kolesnikova, Olga Ivanovna/0000-0002-6159-6261</t>
  </si>
  <si>
    <t>10.17223/23062061/22/8</t>
  </si>
  <si>
    <t>WOS:000530061000008</t>
  </si>
  <si>
    <t>Gorodilova, T; Khodyreva, O</t>
  </si>
  <si>
    <t>Gorodilova, T.; Khodyreva, O.</t>
  </si>
  <si>
    <t>RELIGIOUS PROCESSION AS AN EXPERIENCE OF RELIGIOUS IDENTIFICATION</t>
  </si>
  <si>
    <t>VESTNIK PRAVOSLAVNOGO SVYATO-TIKHONOVSKOGO GUMANITARNOGO UNIVERSITETA-SERIYA I-BOGOSLOVIE-FILOSOFIYA-RELIGIOVEDENIE</t>
  </si>
  <si>
    <t>1991-640X</t>
  </si>
  <si>
    <t>2409-4692</t>
  </si>
  <si>
    <t>10.15382/sturI202089.113-128</t>
  </si>
  <si>
    <t>WOS:000546888000006</t>
  </si>
  <si>
    <t>Using Floating-Point Intervals for Non-Modular Computations in Residue Number System</t>
  </si>
  <si>
    <t>10.1109/ACCESS.2020.2982365</t>
  </si>
  <si>
    <t>WOS:000527414300001</t>
  </si>
  <si>
    <t>Study of Feasibility of Controlling Tribological Situation in Sliding Current Collection Assembly of Electric Machines</t>
  </si>
  <si>
    <t>Izotov, Anatoliy/ABA-3776-2020; Vyacheslav, Timoshenko/AAI-8871-2021</t>
  </si>
  <si>
    <t>Izotov, Anatoliy/0000-0003-4943-2499; Vyacheslav, Timoshenko/0000-0002-2711-8960</t>
  </si>
  <si>
    <t>WOS:000607234900159</t>
  </si>
  <si>
    <t>Investigatory Records from the Central State Archive of the Kirov Region as a Source for Studying State Old Believers Relations in the Second Quarter of the 19th Century</t>
  </si>
  <si>
    <t>10.28995/2073-0101-2020-4-1007-1019</t>
  </si>
  <si>
    <t>WOS:000613509300004</t>
  </si>
  <si>
    <t>Meltsov, VY; Strabykin, DA; Kuvaev, AS</t>
  </si>
  <si>
    <t>Kovalev, S; Tarassov, V; Snasel, V; Sukhanov, A</t>
  </si>
  <si>
    <t>Meltsov, Vasily Yu; Strabykin, Dmitry A.; Kuvaev, Alexey S.</t>
  </si>
  <si>
    <t>Model of the Operating Device with a Tunable Structure for the Implementation of the Accelerated Deductive Inference Method</t>
  </si>
  <si>
    <t>PROCEEDINGS OF THE FOURTH INTERNATIONAL SCIENTIFIC CONFERENCE INTELLIGENT INFORMATION TECHNOLOGIES FOR INDUSTRY (IITI'19)</t>
  </si>
  <si>
    <t>4th International Scientific Conference on Intelligent Information Technologies for Industry (IITI)</t>
  </si>
  <si>
    <t>DEC 02-07, 2019</t>
  </si>
  <si>
    <t>Rostov State Transport Univ,Tech Univ Ostrava</t>
  </si>
  <si>
    <t>Kuvaev, Alexey/H-9867-2017; Meltsov, Vasily Yurevich/P-7511-2017</t>
  </si>
  <si>
    <t>Kuvaev, Alexey/0000-0003-1342-9861; Meltsov, Vasily Yurevich/0000-0001-5479-9979</t>
  </si>
  <si>
    <t>978-3-030-50097-9</t>
  </si>
  <si>
    <t>10.1007/978-3-030-50097-9_16</t>
  </si>
  <si>
    <t>WOS:000590145400016</t>
  </si>
  <si>
    <t>Bakshaeva, NS; Walz, IA</t>
  </si>
  <si>
    <t>Bakshaeva, N. S.; Walz, I. A.</t>
  </si>
  <si>
    <t>Analysis of Voltage Fluctuations in Power Supply Systems with Consumers with the Rapidly Changing Load</t>
  </si>
  <si>
    <t>10.5281/zenodo.3562179</t>
  </si>
  <si>
    <t>WOS:000504406100001</t>
  </si>
  <si>
    <t>Sarapul Ascension Brotherhood and Its Activities in the Late XIX - Early XX Centuries</t>
  </si>
  <si>
    <t>10.24224/2227-1295-2019-11-418-432</t>
  </si>
  <si>
    <t>WOS:000498897100031</t>
  </si>
  <si>
    <t>Strelnikowa, IV; Polevoy, GG</t>
  </si>
  <si>
    <t>Strelnikowa, I., V; Polevoy, G. G.</t>
  </si>
  <si>
    <t>The influence of circuit training on the development of strength and speed-power abilities in basketball players of 18-19 years old</t>
  </si>
  <si>
    <t>10.15561/20755279.2019.0206</t>
  </si>
  <si>
    <t>WOS:000465309700006</t>
  </si>
  <si>
    <t>THE PRINCIPLE OF ERGONOMICS AS A FACTOR OF BOOK CULTURE CONSERVATION IN THE ELECTRONIC ENVIRONMENT</t>
  </si>
  <si>
    <t>10.17223/23062061/16/6</t>
  </si>
  <si>
    <t>WOS:000451192400006</t>
  </si>
  <si>
    <t>Finite element models in stresses for bending plates</t>
  </si>
  <si>
    <t>10.18720/MCE.82.16</t>
  </si>
  <si>
    <t>WOS:000457172600016</t>
  </si>
  <si>
    <t>Shilov, IB; Sedlova, NG; Mansurova, IA; Kozulin, DA</t>
  </si>
  <si>
    <t>Shilov, I. B.; Sedlova, N. G.; Mansurova, I. A.; Kozulin, D. A.</t>
  </si>
  <si>
    <t>Effect Exerted on Properties of Rubber Blends and Vulcanizates by Modification of the Silicic Acid Filler with the Product of the Reaction of Methacrylic Acid with Trimethylolpropane Triglycidyl Ether</t>
  </si>
  <si>
    <t>Shilov, Ivan/ABA-7069-2021; Mansurova, Irina Alekseevna/J-3337-2016; Kozulin, Denis/T-7435-2019</t>
  </si>
  <si>
    <t>Mansurova, Irina Alekseevna/0000-0003-1197-0339; Shilov, Ivan/0000-0002-0896-095X; Sedlova, Natalia/0000-0002-8074-5445; Kozulin, Denis/0000-0001-6071-0707</t>
  </si>
  <si>
    <t>10.1134/S1070427217040152</t>
  </si>
  <si>
    <t>WOS:000406398900015</t>
  </si>
  <si>
    <t>Ozhegov, AN; Derendyaeva, LV; Dubovtseva, LV</t>
  </si>
  <si>
    <t>Ozhegov, A. N.; Derendyaeva, L., V; Dubovtseva, L., V</t>
  </si>
  <si>
    <t>Application of Diakoptics Method for Industrial Enterprise's Electrical Circuitry Decomposition by Communications Nodes in the Mode Calculation of Higher Harmonics</t>
  </si>
  <si>
    <t>WOS:000403604400155</t>
  </si>
  <si>
    <t>Kuzmin, VA; Maratkanova, EI; Zagray, IA; Rukavishnikova, RV</t>
  </si>
  <si>
    <t>Kuzmin, V. A.; Maratkanova, E. I.; Zagray, I. A.; Rukavishnikova, R. V.</t>
  </si>
  <si>
    <t>Thermal radiation of heterogeneous combustion products in the model rocket engine plume</t>
  </si>
  <si>
    <t>Zagrai, Iraida/J-6671-2017; Kuzmin, Vladimir A/J-6741-2017</t>
  </si>
  <si>
    <t>Zagrai, Iraida/0000-0002-8886-8677; Kuzmin, Vladimir A/0000-0002-8886-8677; Kuzmin, Vladimir/0000-0001-9979-4610</t>
  </si>
  <si>
    <t>10.1134/S0869864315030129</t>
  </si>
  <si>
    <t>WOS:000360647500012</t>
  </si>
  <si>
    <t>SPECIFIC THEMES AND SUBJECTS OF CHURCH PAINTING IN VYATKA</t>
  </si>
  <si>
    <t>SGEM 2015, BOOK 4: ARTS, PERFORMING ARTS, ARCHITECTURE AND DESIGN</t>
  </si>
  <si>
    <t>2nd International Multidisciplinary Scientific Conference on Social Sciences and Arts (SGEM 2015)</t>
  </si>
  <si>
    <t>AUG 26-SEP 01, 2015</t>
  </si>
  <si>
    <t>Bulgarian Acad Sci,Acad Sci Czech Republ,Latvian Acad Sci,Polish Acad Sci,Russian Acad Sci,Serbian Acad Sci &amp; Arts,Slovak Acad Sci,Natl Acad Sci Ukraine,Natl Acad Sci Armenia,Sci Council Japan,World Acad Sci,European Acad Sci, Arts &amp; Lett,Acad Fine Arts Zagreb, Croatia,Croatian Acad Sci &amp; Arts,Acad Sci Moldova,Montenegrin Acad Sci &amp; Arts,Georgian Acad Sci,Acad Fine Arts &amp; Design Bratislava,Russian Acad Arts,Turkish Acad Sci</t>
  </si>
  <si>
    <t>978-619-7105-50-6</t>
  </si>
  <si>
    <t>WOS:000378098500003</t>
  </si>
  <si>
    <t>Pakhomov, MM; Borodatyi, IL</t>
  </si>
  <si>
    <t>Pakhomov, M. M.; Borodatyi, I. L.</t>
  </si>
  <si>
    <t>Palynostratigraphy of the Pliocene-Quaternary beds in Vyatka-Kama Cisuralia based on the Upper Kama Upland</t>
  </si>
  <si>
    <t>STRATIGRAPHY AND GEOLOGICAL CORRELATION</t>
  </si>
  <si>
    <t>0869-5938</t>
  </si>
  <si>
    <t>1555-6263</t>
  </si>
  <si>
    <t>10.1134/S0869593814070053</t>
  </si>
  <si>
    <t>WOS:000346415800004</t>
  </si>
  <si>
    <t>The Formulation of Criteria of BIBO Stability of 3rd-order IIR Digital Filters in Space of Coefficients of a Denominator of Transfer Function</t>
  </si>
  <si>
    <t>2014 IEEE EAST-WEST DESIGN &amp; TEST SYMPOSIUM (EWDTS)</t>
  </si>
  <si>
    <t>Proceedings of IEEE East West Design and Test Symposium ( EWDTS 2014)</t>
  </si>
  <si>
    <t>SEP 26-29, 2014</t>
  </si>
  <si>
    <t>kiev, UKRAINE</t>
  </si>
  <si>
    <t>IEEE Comp Soc,IEEE,tttc,Synopsys,Design Verificat Comp,European Urban Regional Dev Fund,Increasing Your Future,Tempus,TTU 1918</t>
  </si>
  <si>
    <t>Lesnikov, Vladislav A./E-9558-2011; Naumovich, Tatyana/B-8000-2017; Chastikov, Alexander/A-5560-2014; Chastikov, Alexander/ACX-8162-2022</t>
  </si>
  <si>
    <t xml:space="preserve">Lesnikov, Vladislav A./0000-0002-5034-291X; Naumovich, Tatyana/0000-0002-3659-2664; Chastikov, Alexander/0000-0002-1998-7787; </t>
  </si>
  <si>
    <t>978-1-4799-7630-0</t>
  </si>
  <si>
    <t>WOS:000380470800042</t>
  </si>
  <si>
    <t>Peretyagina, AV</t>
  </si>
  <si>
    <t>Peretyagina, A. V.</t>
  </si>
  <si>
    <t>Everyday life of the French POW in the Viatica province, 1812-1814</t>
  </si>
  <si>
    <t>WOS:000311018500012</t>
  </si>
  <si>
    <t>Efficiency of the entrainment of rodlike particles by rising bubbles</t>
  </si>
  <si>
    <t>10.1023/A:1010410711855</t>
  </si>
  <si>
    <t>WOS:000169595300014</t>
  </si>
  <si>
    <t>PETROV, EP; CHASTIKOV, AV</t>
  </si>
  <si>
    <t>ANALYSIS OF THE POTENTIAL OF PROGRAMMABLE DIGITAL-FILTERS USING DIGITAL SIGNAL PROCESSORS</t>
  </si>
  <si>
    <t>IZVESTIYA VYSSHIKH UCHEBNYKH ZAVEDENII RADIOELEKTRONIKA</t>
  </si>
  <si>
    <t>Chastikov, Alexander/ACX-8162-2022; Chastikov, Alexander/A-5560-2014</t>
  </si>
  <si>
    <t>Chastikov, Alexander/0000-0002-1998-7787</t>
  </si>
  <si>
    <t>0021-3470</t>
  </si>
  <si>
    <t>A63</t>
  </si>
  <si>
    <t>A65</t>
  </si>
  <si>
    <t>WOS:A1995RQ36400016</t>
  </si>
  <si>
    <t>Bushuev, A; El'kin, O; Tolstobrov, I; Chetvertnykh, Y; Bobro, M; Saetova, N; Kuzmin, A</t>
  </si>
  <si>
    <t>Bushuev, Andrey; El'kin, Oleg; Tolstobrov, Ivan; Chetvertnykh, Yulia; Bobro, Mark; Saetova, Nailya; Kuzmin, Anton</t>
  </si>
  <si>
    <t>Development of SOFC Interconnects Based on Industrial Steels with Oxide Coating</t>
  </si>
  <si>
    <t>ENERGIES</t>
  </si>
  <si>
    <t>Kuzmin, Anton/O-4057-2014; Chetvertnykh, Yulia/HLX-7837-2023</t>
  </si>
  <si>
    <t>Kuzmin, Anton/0000-0002-0700-662X; Chetvertnykh, Yulia/0000-0001-9399-5198</t>
  </si>
  <si>
    <t>1996-1073</t>
  </si>
  <si>
    <t>10.3390/en16031237</t>
  </si>
  <si>
    <t>WOS:000930351400001</t>
  </si>
  <si>
    <t>Thermal emission characteristics of combustion products from rocket engines. Part 1. Investigating the nature and level of emission for model LPRE and SPRE</t>
  </si>
  <si>
    <t>Shmakova, Natalia/0000-0002-7718-7681; Kuzmin, Vladimir A/0000-0002-8886-8677</t>
  </si>
  <si>
    <t>10.1134/S0869864322030118</t>
  </si>
  <si>
    <t>WOS:000868305900011</t>
  </si>
  <si>
    <t>Suvorov, DM; Tatarinova, NV</t>
  </si>
  <si>
    <t>Suvorov, D. M.; Tatarinova, N. V.</t>
  </si>
  <si>
    <t>Efficiency of CHPP Operation in Heat-Supply Systems when the Transition to Lowered and Extended Schedules of Heating Regulation</t>
  </si>
  <si>
    <t>10.52254/1857-0070.2022.3-55.06</t>
  </si>
  <si>
    <t>WOS:000892787700010</t>
  </si>
  <si>
    <t>Bykova, Ekaterina, V; Tarasov, Konstantin N.</t>
  </si>
  <si>
    <t>The Problem of the Old Believers in Russian Journalism in the second half of the 19th - early 20th centuries: the Question of Preserving Traditional Values and the Historical Memory of the Russian People</t>
  </si>
  <si>
    <t>SEP 1</t>
  </si>
  <si>
    <t>10.13187/bg.2021.3.1203</t>
  </si>
  <si>
    <t>WOS:000695383200016</t>
  </si>
  <si>
    <t>Sozinova, AA; Lysova, EA</t>
  </si>
  <si>
    <t>Sozinova, Anastasiya A.; Lysova, Elena A.</t>
  </si>
  <si>
    <t>THE MARKETING APPROACH TO MANAGING THE QUALITY OF COMPANY'S PRODUCTS BASED ON INDUSTRIAL AND MANUFACTURING ENGINEERING IN THE CONDITIONS OF TRANSNATIONAL CAPITAL TRANSFORMATION</t>
  </si>
  <si>
    <t>10.24874/IJQR15.04-05</t>
  </si>
  <si>
    <t>WOS:000720953800005</t>
  </si>
  <si>
    <t>Kalinin, S., I; Pankratova, L., V</t>
  </si>
  <si>
    <t>VARIATIVE COMPONENTS OF THE UNIVERSITY COURSE OF MATHEMATICAL ANALYSIS: THE EXPERIENCE OF INTRODUCTION INTO THE PRACTICE OF TEACHING</t>
  </si>
  <si>
    <t>Kalinin, Sergey/AAK-9738-2020; Pankratova, Lyudmila/AAE-5326-2021</t>
  </si>
  <si>
    <t>Kalinin, Sergey/0000-0001-5439-9414; Pankratova, Larisa Valer'evna/0000-0002-1242-3807</t>
  </si>
  <si>
    <t>JAN 20</t>
  </si>
  <si>
    <t>10.17853/1994-5639-2020-1-113-145</t>
  </si>
  <si>
    <t>WOS:000512879700005</t>
  </si>
  <si>
    <t>Cheglakova, LS; Devetyarova, IP; Agalakova, OS; Kolesova, YA</t>
  </si>
  <si>
    <t>Cheglakova, Larisa S.; Devetyarova, Irina P.; Agalakova, Oksana S.; Kolesova, Yulia A.</t>
  </si>
  <si>
    <t>MARKETING STRATEGY OF QUALITY MANAGEMENT DURING REORGANIZATION OF REGIONAL UNIVERSITIES IN THE PROCESS OF MODERNIZATION OF EDUCATION IN THE CONDITIONS OF REGION'S TRANSITION TO INDUSTRY 4.0</t>
  </si>
  <si>
    <t>10.24874/IJQR14.01-03</t>
  </si>
  <si>
    <t>WOS:000518417300003</t>
  </si>
  <si>
    <t>Kuklina, S. S.; Shevchenko, A., I</t>
  </si>
  <si>
    <t>FORMATION OF INTERCULTURAL COMPETENCE IN THE PROFESSIONALLY ORIENTED INFORMATION EDUCATIONAL ENVIRONMENT OF A UNIVERSITY</t>
  </si>
  <si>
    <t>Shevchenko, Anna/ABB-5863-2020; Kuklina, Svetlana/ABC-7684-2020</t>
  </si>
  <si>
    <t>10.17223/19996195/47/11</t>
  </si>
  <si>
    <t>WOS:000507408400011</t>
  </si>
  <si>
    <t>Isomorphisms of Lattices of Subalgebras of Semifields of Positive Continuous Functions</t>
  </si>
  <si>
    <t>SIBERIAN MATHEMATICAL JOURNAL</t>
  </si>
  <si>
    <t>0037-4466</t>
  </si>
  <si>
    <t>1573-9260</t>
  </si>
  <si>
    <t>10.1134/S0037446619030157</t>
  </si>
  <si>
    <t>WOS:000471617300015</t>
  </si>
  <si>
    <t>Basmanov, VG; Kholmanskikh, VM; Cherepanov, VV; Ozhegov, AN; Zakalata, AA</t>
  </si>
  <si>
    <t>Basmanov, V. G.; Kholmanskikh, V. M.; Cherepanov, V. V.; Ozhegov, A. N.; Zakalata, A. A.</t>
  </si>
  <si>
    <t>Calculation of the Exchange Fund of Electrical Equipment of Industrial Enterprises</t>
  </si>
  <si>
    <t>10.5281/zenodo.2650407</t>
  </si>
  <si>
    <t>WOS:000465587600001</t>
  </si>
  <si>
    <t>FORMATION OF REALISM AS A WAY OF ARTISTIC COMPREHENSION OF REALITY IN LAZHECHNIKOV'S PROSE OF 1840-1860s</t>
  </si>
  <si>
    <t>10.24224/2227-1295-2019-11-144-154</t>
  </si>
  <si>
    <t>WOS:000498897100011</t>
  </si>
  <si>
    <t>Karanina, E; Kartavyh, K</t>
  </si>
  <si>
    <t>Karanina, Elena; Kartavyh, Ksenia</t>
  </si>
  <si>
    <t>Risk-based assessment model of the state and municipal procurement system</t>
  </si>
  <si>
    <t>10.1051/e3sconf/201911002090</t>
  </si>
  <si>
    <t>WOS:000569050000179</t>
  </si>
  <si>
    <t>Kuvaev, AS; Meltsov, VY; Lesnikov, VA</t>
  </si>
  <si>
    <t>Kuvaev, Alexey S.; Meltsov, Vasiliy Yu.; Lesnikov, Vladislav A.</t>
  </si>
  <si>
    <t>Features of the Design Operating Unit Inference Engine and Its Implementation on FPGA</t>
  </si>
  <si>
    <t>Meltsov, Vasily Yurevich/P-7511-2017; Kuvaev, Alexey/H-9867-2017; Lesnikov, Vladislav A./E-9558-2011</t>
  </si>
  <si>
    <t>Meltsov, Vasily Yurevich/0000-0001-5479-9979; Kuvaev, Alexey/0000-0003-1342-9861; Lesnikov, Vladislav A./0000-0002-5034-291X</t>
  </si>
  <si>
    <t>WOS:000469452600026</t>
  </si>
  <si>
    <t>Sadakov, D; Yungblyud, V</t>
  </si>
  <si>
    <t>Sadakov, D.; Yungblyud, V.</t>
  </si>
  <si>
    <t>US Policy of Appeasement towards Syngman Rhee in the Run-up to the 1954 Geneva Conference</t>
  </si>
  <si>
    <t>10.18254/S207987840008095-3</t>
  </si>
  <si>
    <t>WOS:000506663000033</t>
  </si>
  <si>
    <t>Evolution of the Life Forms of Flowering Plants in a Biodiversity Formation</t>
  </si>
  <si>
    <t>10.1134/S1062359019010114</t>
  </si>
  <si>
    <t>WOS:000467048800009</t>
  </si>
  <si>
    <t>Baykova, OV; Kazakov, AV; Obukhova, ON</t>
  </si>
  <si>
    <t>Baykova, Olga, V; Kazakov, Andrey, V; Obukhova, Olga N.</t>
  </si>
  <si>
    <t>METHODS OF DETERMINING AND ANALYZING COMPLETE AND INCOMPLETE INTONATION PHRASES IN SPONTANEOUS SPEECH (ON THE EXAMPLE OF STUDYING GERMAN INSULAR DIALECTS)</t>
  </si>
  <si>
    <t>Obukhova, Olga/V-4993-2018; Baykova, Olga Vladimirovna/A-7435-2016; Казаков, Андрей/AAT-4280-2020</t>
  </si>
  <si>
    <t xml:space="preserve">Baykova, Olga Vladimirovna/0000-0002-4859-8553; </t>
  </si>
  <si>
    <t>10.17223/19986645/54/1</t>
  </si>
  <si>
    <t>WOS:000448064100001</t>
  </si>
  <si>
    <t>Ilin, I; Kalinina, O</t>
  </si>
  <si>
    <t>Economic security of modern Russia: the current state and prospects</t>
  </si>
  <si>
    <t>INTERNATIONAL SCIENCE CONFERENCE SPBWOSCE-2017 BUSINESS TECHNOLOGIES FOR SUSTAINABLE URBAN DEVELOPMENT</t>
  </si>
  <si>
    <t>DEC 20-22, 2017</t>
  </si>
  <si>
    <t>Peter Great Saint Petersburg Polytechn Univ, Inst Ind Management Econ &amp; Tr, St Petersburg, RUSSIA</t>
  </si>
  <si>
    <t>Peter Great Saint Petersburg Polytechn Univ, Inst Ind Management Econ &amp; Tr</t>
  </si>
  <si>
    <t>10.1051/matecconf/201817001003</t>
  </si>
  <si>
    <t>WOS:000449660800003</t>
  </si>
  <si>
    <t>Plotnikov, S; Lanskikh, Y; Smol'nikov, M</t>
  </si>
  <si>
    <t>Plotnikov, Sergey; Lanskikh, Yury; Smol'nikov, Mikhail</t>
  </si>
  <si>
    <t>Methods of assessment of modernization of the tractor Belarus 922 to work on ethanol-containing fuel</t>
  </si>
  <si>
    <t>IX INTERNATIONAL MULTIDISCIPLINARY SCIENTIFIC AND RESEARCH CONFERENCE MODERN ISSUES IN SCIENCE AND TECHNOLOGY / WORKSHOP ADVANCED TECHNOLOGIES IN AEROSPACE, MECHANICAL AND AUTOMATION ENGINEERING</t>
  </si>
  <si>
    <t>International Workshop on Advanced Technologies in Aerospace, Mechanical and Automation Engineering - Modern Issues in Science and Technology (MIST) - Aerospace</t>
  </si>
  <si>
    <t>OCT 20, 2018</t>
  </si>
  <si>
    <t>RUSSIA</t>
  </si>
  <si>
    <t>Int &amp; Russian Union Sci &amp; Engn Assoc,Krasnoyarsk Reg Union Sci &amp; Engn Assoc,Krasnoyarsk Sci &amp; Technol City Hall,JSC Academician M F Reshetnev Informat Satellite Syst,JSC Cent Construct Bur Geofizika</t>
  </si>
  <si>
    <t>Lanskikh, Yury V./B-3801-2017; Plotnikov, Sergej A/R-8491-2016</t>
  </si>
  <si>
    <t>Lanskikh, Yury V./0000-0002-0922-1200; Plotnikov, Sergej A/0000-0002-8887-4591</t>
  </si>
  <si>
    <t>10.1088/1757-899X/450/3/032034</t>
  </si>
  <si>
    <t>WOS:000462356300069</t>
  </si>
  <si>
    <t>Karanina, E; Sapozhnikova, E; Goryachikh, S; Adamaytis, L; Petukhova, A</t>
  </si>
  <si>
    <t>Karanina, Elena; Sapozhnikova, Ekaterina; Goryachikh, Svetlana; Adamaytis, Lyudmila; Petukhova, Anastasia</t>
  </si>
  <si>
    <t>Modern Aspects of Evaluation of Russia's Food Security</t>
  </si>
  <si>
    <t>Goryachikh, Svetlana/F-2583-2019; Adamaitis, Lyudmila/N-6780-2018; Karanina, Elena E.V./L-1395-2016</t>
  </si>
  <si>
    <t>Goryachikh, Svetlana/0000-0003-0186-5308; Adamaitis, Lyudmila/0000-0002-6571-9193; Karanina, Elena E.V./0000-0002-5439-5912</t>
  </si>
  <si>
    <t>WOS:000426114200050</t>
  </si>
  <si>
    <t>Grapheme-to-Phoneme Conversion based on High-order Markov Chain for Spoken Term Detection by text query</t>
  </si>
  <si>
    <t>WOS:000426878200031</t>
  </si>
  <si>
    <t>Sozinova, AA; Fokina, OV; Shchinova, RA</t>
  </si>
  <si>
    <t>Sozinova, Amastasia A.; Fokina, Olga V.; Shchinova, Raisa A.</t>
  </si>
  <si>
    <t>Marketing Tools for Increasing Company's Reorganization Effectiveness</t>
  </si>
  <si>
    <t>10.1007/978-3-319-60696-5_40</t>
  </si>
  <si>
    <t>WOS:000426114200040</t>
  </si>
  <si>
    <t>Fuks, SL; Devyaterikova, SV; Khitrin, SV</t>
  </si>
  <si>
    <t>Fuks, S. L.; Devyaterikova, S. V.; Khitrin, S. V.</t>
  </si>
  <si>
    <t>Composite electrochemical coatings with a carbon-containing dispersed phase or polytetrafluoroethylene</t>
  </si>
  <si>
    <t>10.1134/S1070427213060116</t>
  </si>
  <si>
    <t>WOS:000322156700011</t>
  </si>
  <si>
    <t>Lesnikov, VA; Naumovich, TV; Chastikov, AV</t>
  </si>
  <si>
    <t>Lesnikov, Vladislav A.; Naumovich, Tatiana V.; Chastikov, Aleksandr V.</t>
  </si>
  <si>
    <t>SYNTHESIS OF NEW CANONIC STRUCTURES FOR A SECOND-ORDER IIR DIGITAL FILTERS</t>
  </si>
  <si>
    <t>EUROCON 2009: INTERNATIONAL IEEE CONFERENCE DEVOTED TO THE 150 ANNIVERSARY OF ALEXANDER S. POPOV, VOLS 1- 4, PROCEEDINGS</t>
  </si>
  <si>
    <t>International IEEE Conference Devoted to the 150-Anniversary of Alexander S Popov</t>
  </si>
  <si>
    <t>MAY 18-23, 2009</t>
  </si>
  <si>
    <t>978-1-4244-3967-6</t>
  </si>
  <si>
    <t>10.1109/EURCON.2009.5167811</t>
  </si>
  <si>
    <t>WOS:000272589500216</t>
  </si>
  <si>
    <t>Voznesenskaya, YI</t>
  </si>
  <si>
    <t>Voznesenskaya, Y. I.</t>
  </si>
  <si>
    <t>Communal organization of Viatka peasantry in the first years of Soviet regime, 1917-1922</t>
  </si>
  <si>
    <t>WOS:000253186900013</t>
  </si>
  <si>
    <t>Ponomarev, YN; Mikhailenko, SN; Sinitsa, LN</t>
  </si>
  <si>
    <t>About invariance of the potential function in Cartesian coordinates according to the isotope substitution - art. no. 65800B</t>
  </si>
  <si>
    <t>15th Symposium on High-Resolution Molecular Spectroscopy</t>
  </si>
  <si>
    <t>PROCEEDINGS OF THE SOCIETY OF PHOTO-OPTICAL INSTRUMENTATION ENGINEERS (SPIE)</t>
  </si>
  <si>
    <t>JUL 18-21, 2006</t>
  </si>
  <si>
    <t>Opt Soc Amer,SPIE Russia Chapter,Russian Fdn Basic Res,Bruker Ltd,Russian Acad Sci, Inst Appl Phys,Russian Acad Sci, Inst Atmospher Opt,Russian Radiat Commiss</t>
  </si>
  <si>
    <t>978-0-8194-6702-7</t>
  </si>
  <si>
    <t>B5800</t>
  </si>
  <si>
    <t>65800B</t>
  </si>
  <si>
    <t>10.1117/12.724894</t>
  </si>
  <si>
    <t>WOS:000245102200011</t>
  </si>
  <si>
    <t>Surface properties of molten binary mixtures of chlorides of alkali and rare-earth metals</t>
  </si>
  <si>
    <t>WOS:000225664900020</t>
  </si>
  <si>
    <t>Leushina, AP; Makhanova, EV; Ryabov, SL</t>
  </si>
  <si>
    <t>Possibility of using solid-electrolyte transducers to study sulfur- and lead-containing vapors</t>
  </si>
  <si>
    <t>WOS:000165979500021</t>
  </si>
  <si>
    <t>Vechtomov, EM</t>
  </si>
  <si>
    <t>Vechtomov, E. M.</t>
  </si>
  <si>
    <t>Isomorphisms of semirings of continuous binary relations on topological spaces</t>
  </si>
  <si>
    <t>SEMIGROUP FORUM</t>
  </si>
  <si>
    <t>0037-1912</t>
  </si>
  <si>
    <t>1432-2137</t>
  </si>
  <si>
    <t>10.1007/s00233-022-10327-w</t>
  </si>
  <si>
    <t>DEC 2022</t>
  </si>
  <si>
    <t>WOS:000894407100001</t>
  </si>
  <si>
    <t>Karanina, EV; Karaulov, VM; Kartavykh, KE</t>
  </si>
  <si>
    <t>Karanina, E., V; Karaulov, V. M.; Kartavykh, K. E.</t>
  </si>
  <si>
    <t>A conceptual approach to diagnosing the ecological and economic security of the region</t>
  </si>
  <si>
    <t>; Karanina, Elena/L-1395-2016</t>
  </si>
  <si>
    <t>Karaulov, Vasily/0000-0002-9599-3740; Karanina, Elena/0000-0002-5439-5912</t>
  </si>
  <si>
    <t>10.25750/1995-4301-2022-4-214-223</t>
  </si>
  <si>
    <t>WOS:000929704700029</t>
  </si>
  <si>
    <t>Pomelov, VB</t>
  </si>
  <si>
    <t>Pomelov, Vladimir Borissovich</t>
  </si>
  <si>
    <t>S. Makarenko: the father of the Soviet pedagogy</t>
  </si>
  <si>
    <t>HISTORY OF EDUCATION &amp; CHILDRENS LITERATURE</t>
  </si>
  <si>
    <t>1971-1093</t>
  </si>
  <si>
    <t>1971-1131</t>
  </si>
  <si>
    <t>WOS:000805642800025</t>
  </si>
  <si>
    <t>Yungblud, VT; Bakshaev, MV</t>
  </si>
  <si>
    <t>Yungblud, V. T.; Bakshaev, M., V</t>
  </si>
  <si>
    <t>We Will Not Change Our Attitude towards You until You Change Your Attitude towards Us. How Washingto Considered the Reaction of Western European Communist Parties to the Events In Afghanistan, 1978-1985</t>
  </si>
  <si>
    <t>10.24833/2071-8160-2022-4-85-7-42</t>
  </si>
  <si>
    <t>WOS:000874742700001</t>
  </si>
  <si>
    <t>DYNAMICS OF PHYSICAL DEVELOPMENT, FUNCTIONAL STATUS, SPEED-STRENGTH AND STRENGTH QUALITIES OF STUDENTS DURING THE FIRST YEAR OF STUDY</t>
  </si>
  <si>
    <t>10.14529/hsm210413</t>
  </si>
  <si>
    <t>WOS:000762279000013</t>
  </si>
  <si>
    <t>Chaplygin, VG; Karanina, EV; Moroz, VN</t>
  </si>
  <si>
    <t>Chaplygin, Vladimir G.; Karanina, Elena, V; Moroz, Vadim N.</t>
  </si>
  <si>
    <t>The impact of technology transfer on the implementation of innovative projects in the innovative industrial cluster (on the example of United Shipbuilding Corporation JSC)</t>
  </si>
  <si>
    <t>MARINE INTELLECTUAL TECHNOLOGIES</t>
  </si>
  <si>
    <t>2073-7173</t>
  </si>
  <si>
    <t>10.37220/MIT.2021.52.2.023</t>
  </si>
  <si>
    <t>WOS:000664516800022</t>
  </si>
  <si>
    <t>Gubernia Control Commission of the RCP (B) Fighting the Disintegration of Party Organizations in 1921-23: Archival Materials of the Vyatka Gubernia</t>
  </si>
  <si>
    <t>10.28995/2073-0101-2021-2-482-495</t>
  </si>
  <si>
    <t>WOS:000698603400013</t>
  </si>
  <si>
    <t>Savinykh, NP; Konovalova, IA; Shakleina, MN; Lelekova, EV</t>
  </si>
  <si>
    <t>Savinykh, N. P.; Konovalova, I. A.; Shakleina, M. N.; Lelekova, E., V</t>
  </si>
  <si>
    <t>Structural Organization ofNelumbo nucifera(Nelumbonaceae) Plants on the Northern Border of Their Geographic Range</t>
  </si>
  <si>
    <t>INLAND WATER BIOLOGY</t>
  </si>
  <si>
    <t>1995-0829</t>
  </si>
  <si>
    <t>1995-0837</t>
  </si>
  <si>
    <t>10.1134/S1995082920020297</t>
  </si>
  <si>
    <t>WOS:000545314100010</t>
  </si>
  <si>
    <t>Konovalova, I; Savinykh, N</t>
  </si>
  <si>
    <t>Konovalova, Irina; Savinykh, Natalya</t>
  </si>
  <si>
    <t>Biomorphs Solanum dulcamara L. and their contribution in seasonal climate grasses origin</t>
  </si>
  <si>
    <t>10.1051/bioconf/20202400039</t>
  </si>
  <si>
    <t>WOS:000624287900039</t>
  </si>
  <si>
    <t>The activities of the educators in Russia in the first half of the XVIII Century (the case of the Vyatka Province)</t>
  </si>
  <si>
    <t>Pomelov, Vladimir/AAS-2608-2020</t>
  </si>
  <si>
    <t>Pomelov, Vladimir/0000-0002-3813-7745</t>
  </si>
  <si>
    <t>WOS:000536400400017</t>
  </si>
  <si>
    <t>Zhebin, AZ; Asmolov, KV; Zakharova, LV; Un, KE; Osetrova, MY; Polenova, AL; Samsonova, VG; Suslina, SS</t>
  </si>
  <si>
    <t>Republic of Korea in the US security system in North-East Asia in the 1940s and early 1950s</t>
  </si>
  <si>
    <t>KOREYSKIY POLUOSTROV: ISTORIYA I SOVREMENNOST'</t>
  </si>
  <si>
    <t>978-5-8381-0370-3</t>
  </si>
  <si>
    <t>WOS:000588252000019</t>
  </si>
  <si>
    <t>US INTELLIGENCE ESTIMATES ON THE SOVIET, CHINESE, AND NORTH KOREAN PROPAGANDA CAMPAIGNS DURING THE KOREAN WAR</t>
  </si>
  <si>
    <t>10.15826/qr.2020.1.453</t>
  </si>
  <si>
    <t>WOS:000579426800010</t>
  </si>
  <si>
    <t>Mosechkin, IN; Krukovskiy, VY</t>
  </si>
  <si>
    <t>Mosechkin, Ilya N.; Krukovskiy, Vladimir Y.</t>
  </si>
  <si>
    <t>Victimological Measures for Preventing School Shootings: Expert View</t>
  </si>
  <si>
    <t>INTERNATIONAL JOURNAL OF CRIMINAL JUSTICE SCIENCES</t>
  </si>
  <si>
    <t>0973-5089</t>
  </si>
  <si>
    <t>JUL-DEC</t>
  </si>
  <si>
    <t>10.5281/zenodo.3722888</t>
  </si>
  <si>
    <t>WOS:000522670600013</t>
  </si>
  <si>
    <t>Lelekova, EV; Savinykh, NP</t>
  </si>
  <si>
    <t>Lelekova, E. V.; Savinykh, N. P.</t>
  </si>
  <si>
    <t>Shoot Formation of Persicaria amphibia (L.) Delarbre from Positions of Modular Organization</t>
  </si>
  <si>
    <t>10.1134/S1995082919050134</t>
  </si>
  <si>
    <t>WOS:000483728400002</t>
  </si>
  <si>
    <t>THE EFFECT OF ARTISTIC GYMNASTICS AND STEP AEROBICS ON PHYSICAL PERFORMANCE IN FIRST-YEAR FEMALE UNIVERSITY STUDENTS NOT RELATED TO SPORT</t>
  </si>
  <si>
    <t>Avdeeva, Marina S./J-9840-2018; Беличева, Татьяна/AAX-2260-2020</t>
  </si>
  <si>
    <t>Avdeeva, Marina S./0000-0002-6760-7347; Беличева, Татьяна/0000-0003-2096-8513</t>
  </si>
  <si>
    <t>10.14529/hsm190308</t>
  </si>
  <si>
    <t>WOS:000502010700008</t>
  </si>
  <si>
    <t>Traditions of Art of Old Believers of the Volga and Vyatka Region at the turn of the 19th - 20th centuries in the Historical and Cultural Context of Modernization</t>
  </si>
  <si>
    <t>Tarasov, Konstantin/AAH-8945-2019; Bykova, Ekaterina V/I-6317-2016</t>
  </si>
  <si>
    <t xml:space="preserve">Tarasov, Konstantin/0000-0002-3050-0239; </t>
  </si>
  <si>
    <t>10.13187/bg.2019.4.1811</t>
  </si>
  <si>
    <t>WOS:000501567300041</t>
  </si>
  <si>
    <t>Aspects of party and state leadership in the Kirov region in the early post-war years</t>
  </si>
  <si>
    <t>10.31166/VoprosyIstorii201908Statyil6</t>
  </si>
  <si>
    <t>WOS:000484656400012</t>
  </si>
  <si>
    <t>Kurbatova, EE; Laylina, VA</t>
  </si>
  <si>
    <t>Kurbatova, E. E.; Laylina, V. A.</t>
  </si>
  <si>
    <t>Detection of Roads from Images Based on Edge Segmentation and Morphological Operations</t>
  </si>
  <si>
    <t>WOS:000492146100097</t>
  </si>
  <si>
    <t>Ovsiannikova, EY; Koviazina, GV; Poperekov, VS; Buldakova, NV</t>
  </si>
  <si>
    <t>Ovsiannikova, E. Yu.; Koviazina, G. V.; Poperekov, V. S.; Buldakova, N. V.</t>
  </si>
  <si>
    <t>EXPERIMENTAL APPLICATION OF HIPPOTHERAPY AGAINST PROBLEMS OF SENSOR INTEGRATION IN PRESCHOOL CHILDREN WITH AUTISM SPECTRUM DISORDERS</t>
  </si>
  <si>
    <t>10.14529/hsm19s215</t>
  </si>
  <si>
    <t>WOS:000521649200015</t>
  </si>
  <si>
    <t>Determinability of Semirings of Continuous Nonnegative Functions with Max-Plus by the Lattices of Their Subalgebras</t>
  </si>
  <si>
    <t>10.1134/S1995080219010128</t>
  </si>
  <si>
    <t>WOS:000464212300011</t>
  </si>
  <si>
    <t>Vorobyova, T; Yungblud, V</t>
  </si>
  <si>
    <t>Vorobyova, T.; Yungblud, V.</t>
  </si>
  <si>
    <t>RELATIONS WITHIN TRIANGLE USA - USSR - PRC AT THE END OF DETENTE PERIOD (1977-1980)</t>
  </si>
  <si>
    <t>10.24833/2071-8160-2019-1-64-59-82</t>
  </si>
  <si>
    <t>WOS:000473744600005</t>
  </si>
  <si>
    <t>Pozolotina, NV; Darmov, IV; Marakulin, IV; Pozolotin, AP</t>
  </si>
  <si>
    <t>Pozolotina, N. V.; Darmov, I. V.; Marakulin, I. V.; Pozolotin, A. P.</t>
  </si>
  <si>
    <t>Influence of the Level of Adhesive Activity of Lactobacillus paracasei B-11821 Bacteria on the Effectiveness of the Probiotic Preparation for Use in Pig Breeding</t>
  </si>
  <si>
    <t>UCHENYE ZAPISKI KAZANSKOGO UNIVERSITETA-SERIYA ESTESTVENNYE NAUKI</t>
  </si>
  <si>
    <t>2542-064X</t>
  </si>
  <si>
    <t>2500-218X</t>
  </si>
  <si>
    <t>WOS:000438854600005</t>
  </si>
  <si>
    <t>Tulyakova, OV; Avdeeva, MS</t>
  </si>
  <si>
    <t>Tulyakova, O. V.; Avdeeva, M. S.</t>
  </si>
  <si>
    <t>Informative indices of physical and functional state of young men during the process of adaptation to learning</t>
  </si>
  <si>
    <t>Tulyakova, Olga/O-8534-2017; Avdeeva, Marina S./J-9840-2018</t>
  </si>
  <si>
    <t>Tulyakova, Olga/0000-0002-2095-4309; Avdeeva, Marina S./0000-0002-6760-7347</t>
  </si>
  <si>
    <t>10.15561/18189172.2018.0106</t>
  </si>
  <si>
    <t>WOS:000431046900006</t>
  </si>
  <si>
    <t>Research of Single-Phase Faults in 6-35 KV Branched Overhead Distribution Network</t>
  </si>
  <si>
    <t>WOS:000414282400145</t>
  </si>
  <si>
    <t>Reshetnikov, SM; Zyryanov, IA; Pozolotin, AP; Budin, AG</t>
  </si>
  <si>
    <t>Reshetnikov, S. M.; Zyryanov, I. A.; Pozolotin, A. P.; Budin, A. G.</t>
  </si>
  <si>
    <t>The distribution of excess charges in the diffusion flame of hydrocarbons</t>
  </si>
  <si>
    <t>VII CONFERENCE ON LOW TEMPERATURE PLASMA IN THE PROCESSES OF FUNCTIONAL COATING PREPARATION</t>
  </si>
  <si>
    <t>7th Conference on Low Temperature Plasma in the Processes of Functional Coating Preparation</t>
  </si>
  <si>
    <t>NOV 04-07, 2015</t>
  </si>
  <si>
    <t>Republic Tatarstan, Acad Sci, Kazan, RUSSIA</t>
  </si>
  <si>
    <t>Republic Tatarstan, Acad Sci</t>
  </si>
  <si>
    <t>10.1088/1742-6596/669/1/012040</t>
  </si>
  <si>
    <t>WOS:000371617600040</t>
  </si>
  <si>
    <t>Sadakova, V; Kladova, I</t>
  </si>
  <si>
    <t>Sadakova, Vera; Kladova, Irina</t>
  </si>
  <si>
    <t>MODERN STATUS OF ARTISTIC GLASSMAKING IN RUSSIA AND ABROAD</t>
  </si>
  <si>
    <t>Bulgarian Acad Sci,Acad Sci Czech Republ,Latvian Acad Sci,Polish Acad Sci,Russian Acad Sci,Serbian Acad Sci &amp; Arts,Slovak Acad Sci,Natl Acad Sci Ukraine,Natl Acad Sci Armenia,Sci Council Japan,World Acad Sci,European Acad Sci, Arts &amp; Letters,Acad Fine Arts Zagreb Croatia,Croatian Acad Sci &amp; Arts,Acad Sci Moldova,Montenegrin Acad Sci &amp; Arts,Georgian Acad Sci,Acad Fine Arts &amp; Design Bratislava,Russian Acad Arts,Turkish Acad Sci,Bulgarian Cultural Inst Vienna</t>
  </si>
  <si>
    <t>WOS:000395727700051</t>
  </si>
  <si>
    <t>Definability of semifields of continuous positive functions by the lattices of their subalgebras</t>
  </si>
  <si>
    <t>SBORNIK MATHEMATICS</t>
  </si>
  <si>
    <t>1064-5616</t>
  </si>
  <si>
    <t>1468-4802</t>
  </si>
  <si>
    <t>10.1070/SM8609</t>
  </si>
  <si>
    <t>WOS:000391848300004</t>
  </si>
  <si>
    <t>Fuks, SL; Khitrin, SV; Vologzhanina, YV; Pinaeva, LN; Mikhalitsyna, YS; Devyaterikova, SV</t>
  </si>
  <si>
    <t>Fuks, S. L.; Khitrin, S. V.; Vologzhanina, Yu. V.; Pinaeva, L. N.; Mikhalitsyna, Yu. S.; Devyaterikova, S. V.</t>
  </si>
  <si>
    <t>Cloused cycle of production of ulltrafine polytetrafluoroethylene and new areas of use of fluoropolymer manufacture waste</t>
  </si>
  <si>
    <t>10.1134/S10704272150110105</t>
  </si>
  <si>
    <t>WOS:000370279700010</t>
  </si>
  <si>
    <t>Strabykin, D. A.</t>
  </si>
  <si>
    <t>Logical method for predicting situation development based on abductive inference</t>
  </si>
  <si>
    <t>10.1134/S1064230713050122</t>
  </si>
  <si>
    <t>WOS:000325636200009</t>
  </si>
  <si>
    <t>Hydrodynamics of motion of spherical particles, drops, and bubbles in non-Newtonian liquid: Experimental studies</t>
  </si>
  <si>
    <t>1608-3431</t>
  </si>
  <si>
    <t>10.1134/S0040579513020103</t>
  </si>
  <si>
    <t>WOS:000323369900008</t>
  </si>
  <si>
    <t>Goreva, TV; Khranilov, YP</t>
  </si>
  <si>
    <t>Goreva, T. V.; Khranilov, Yu. P.</t>
  </si>
  <si>
    <t>Theoretical foundations and technology of electrochemical production of lead chrome pigment from electroplating waste</t>
  </si>
  <si>
    <t>10.1134/S1070427207010120</t>
  </si>
  <si>
    <t>WOS:000244828900012</t>
  </si>
  <si>
    <t>Mechanism of strong internal friction in iron-based alloys containing lamellar graphite</t>
  </si>
  <si>
    <t>WOS:000189119800014</t>
  </si>
  <si>
    <t>Rodnikov, SN</t>
  </si>
  <si>
    <t>Distinctive features of hydrogenation in the processes of electrolytic zinc plating of copper and cadmium plating of steel</t>
  </si>
  <si>
    <t>MATERIALS SCIENCE</t>
  </si>
  <si>
    <t>1068-820X</t>
  </si>
  <si>
    <t>10.1007/BF02537553</t>
  </si>
  <si>
    <t>WOS:000075783700017</t>
  </si>
  <si>
    <t>Vokhmyanin, M; Vesnin, R; Avdonin, V</t>
  </si>
  <si>
    <t>Vokhmyanin, Mikhail; Vesnin, Roman; Avdonin, Valery</t>
  </si>
  <si>
    <t>The Use of Products of Microwave Aminolytic Destruction of Polyethylene Terephthalate in Vibration-absorbing Polymer Composite Materials</t>
  </si>
  <si>
    <t>10.37358/MP.22.1.5555</t>
  </si>
  <si>
    <t>WOS:000783749900001</t>
  </si>
  <si>
    <t>Domrachev, DG; Kirillovyh, AA</t>
  </si>
  <si>
    <t>Domrachev, D. G.; Kirillovyh, A. A.</t>
  </si>
  <si>
    <t>The legal regime for limiting greenhouse gas emissions as a climate protection tool</t>
  </si>
  <si>
    <t>Domrachev, Dmitriy/K-8370-2017; Kirillovykh, Andrey/J-7815-2016</t>
  </si>
  <si>
    <t>Domrachev, Dmitriy/0000-0002-7967-9129; Kirillovykh, Andrey/0000-0002-0035-9035</t>
  </si>
  <si>
    <t>10.25750/1995-4301-2022-1-191-197</t>
  </si>
  <si>
    <t>WOS:000819811100027</t>
  </si>
  <si>
    <t>Shirokova, ES; Sozinov, PA; Cherepanova, VA; El'kin, OV; Fomin, SV; Kozulin, DA; Bushuev, AN; Tolstobrov, IV; Kraeva, IS</t>
  </si>
  <si>
    <t>Shirokova, E. S.; Sozinov, P. A.; Cherepanova, V. A.; El'kin, O. V.; Fomin, S. V.; Kozulin, D. A.; Bushuev, A. N.; Tolstobrov, I. V.; Kraeva, I. S.</t>
  </si>
  <si>
    <t>Green fabrication of poly(vinylidene fluoride) membranes for microfiltration</t>
  </si>
  <si>
    <t>Tolstobrov, Ivan/T-7734-2019; Shirokova, Evgeniya/L-2195-2017</t>
  </si>
  <si>
    <t>Tolstobrov, Ivan/0000-0002-0133-6150; Sergey, Fomin/0000-0003-0393-5613; Shirokova, Evgeniya/0000-0001-5735-3489; El'kin, Oleg/0000-0002-4540-7483</t>
  </si>
  <si>
    <t>10.25750/1995-4301-2021-4-064-070</t>
  </si>
  <si>
    <t>WOS:000755154100009</t>
  </si>
  <si>
    <t>The Development of Reaction in School children using the Exercise Classic's</t>
  </si>
  <si>
    <t>WOS:000619393300195</t>
  </si>
  <si>
    <t>The Development of Reaction in School Children Using the Exercise Classic's</t>
  </si>
  <si>
    <t>WOS:000532483500140</t>
  </si>
  <si>
    <t>DEVELOPMENT OF KINES THETIC DIFFERENTIATION OF PARAMETERS OF FOOTBALL PLAYER'S MOVEMENTS USING EXERCISES CLASSIC'S</t>
  </si>
  <si>
    <t>JAN-APR</t>
  </si>
  <si>
    <t>WOS:000563081500010</t>
  </si>
  <si>
    <t>Zorin, Artyom Viktorovich</t>
  </si>
  <si>
    <t>PROBLEM OF COMPENSATION FOR AMERICAN PROPERTY IN CZECHOSLOVAKIA IN 1945-1948</t>
  </si>
  <si>
    <t>10.15826/izv2.2020.22.4.072</t>
  </si>
  <si>
    <t>WOS:000604183000013</t>
  </si>
  <si>
    <t>Isupova, SM; Zonova, EV</t>
  </si>
  <si>
    <t>Isupova, Svetlana M.; Zonova, Elena, V</t>
  </si>
  <si>
    <t>Lexico-grammatical means of expressing comparison in the lyrical texts of I.A. Bunin</t>
  </si>
  <si>
    <t>FILOLOGICHESKIE NAUKI-NAUCHNYE DOKLADY VYSSHEI SHKOLY-PHILOLOGICAL SCIENCES-SCIENTIFIC ESSAYS OF HIGHER EDUCATION</t>
  </si>
  <si>
    <t>2310-4287</t>
  </si>
  <si>
    <t>10.20339/PhS.4-19.003</t>
  </si>
  <si>
    <t>WOS:000476942200001</t>
  </si>
  <si>
    <t>Tatarinova, MN; Kuklina, SS; Gulyaev, VS; Cheremisinova, RA; Shvetsova, MG; Shamova, NV</t>
  </si>
  <si>
    <t>Tatarinova, Maya N.; Kuklina, Svetlana S.; Gulyaev, Valentina S.; Cheremisinova, Rimma A.; Shvetsova, Marina G.; Shamova, Nina V.</t>
  </si>
  <si>
    <t>Foreign language texts of emotionally-valuable content for teaching speaking in a primary school</t>
  </si>
  <si>
    <t>DILEMAS CONTEMPORANEOS-EDUCACION POLITICA Y VALORES</t>
  </si>
  <si>
    <t>Shvetsova, Marina/AAX-1048-2020; Kuklina, Svetlana/ABC-7684-2020</t>
  </si>
  <si>
    <t>Shvetsova, Marina/0000-0002-3960-0658; Kuklina, Svetlana/0000-0002-4838-9233</t>
  </si>
  <si>
    <t>2007-7890</t>
  </si>
  <si>
    <t>WOS:000470308600018</t>
  </si>
  <si>
    <t>The Topography of a Third Order IIR Digital Filter Zeros and Poles in the z-Plane Discretized due to the Quantization of the Direct Form Coefficients</t>
  </si>
  <si>
    <t>WOS:000492146100091</t>
  </si>
  <si>
    <t>Morozova, MA; Svinar, EV</t>
  </si>
  <si>
    <t>Morozova, Marina A.; Svinar, Elena V.</t>
  </si>
  <si>
    <t>Necessity to Research Risks of Education Digitalization for Successful Training of Future Teachers</t>
  </si>
  <si>
    <t>Morozova, Marina A./AAD-1191-2019; Svinar, Elena/AAT-9070-2020</t>
  </si>
  <si>
    <t>Morozova, Marina A./0000-0003-3303-3426; Svinar, Elena/0000-0001-7987-6993</t>
  </si>
  <si>
    <t>10.3897/ap.1.e0422</t>
  </si>
  <si>
    <t>WOS:000520005200045</t>
  </si>
  <si>
    <t>GRAND DUKE SERGEY ALEXANDROVICH AND THE DEVELOPMENT OF RELIGIOUS AND EDUCATIONAL ACTIVITIES IN THE VYATKA PROVINCE IN THE LATE XIX - EARLY XX CENTURIES</t>
  </si>
  <si>
    <t>10.24224/2227-1295-2019-10-434-451</t>
  </si>
  <si>
    <t>WOS:000493393100027</t>
  </si>
  <si>
    <t>Rubleva, O</t>
  </si>
  <si>
    <t>Rubleva, Olga</t>
  </si>
  <si>
    <t>STRUCTURAL CHANGES OF SCOTS PINE WOOD CAUSED BY LOCAL PRESSING IN THE LONGITUDINAL DIRECTION</t>
  </si>
  <si>
    <t>DREWNO</t>
  </si>
  <si>
    <t>Rubleva, Olga A./Q-7239-2017</t>
  </si>
  <si>
    <t>Rubleva, Olga A./0000-0003-0756-6130</t>
  </si>
  <si>
    <t>1644-3985</t>
  </si>
  <si>
    <t>10.12841/wood.1644-3985.268.06</t>
  </si>
  <si>
    <t>WOS:000500693100002</t>
  </si>
  <si>
    <t>Popkova, EG; Ragulina, YV; Bogoviz, AV</t>
  </si>
  <si>
    <t>Causal Connections of Formation of Industry 4.0 from the Positions of the Global Economy</t>
  </si>
  <si>
    <t>INDUSTRY 4.0: INDUSTRIAL REVOLUTION OF THE 21ST CENTURY</t>
  </si>
  <si>
    <t>Studies in Systems, Decision and Control</t>
  </si>
  <si>
    <t>2198-4182</t>
  </si>
  <si>
    <t>2198-4190</t>
  </si>
  <si>
    <t>978-3-319-94310-7; 978-3-319-94309-1</t>
  </si>
  <si>
    <t>10.1007/978-3-319-94310-7_13</t>
  </si>
  <si>
    <t>10.1007/978-3-319-94310-7</t>
  </si>
  <si>
    <t>WOS:000555691800014</t>
  </si>
  <si>
    <t>Zyryanov, IA; Pozolotin, AP; Budin, AG; Kantor, EV</t>
  </si>
  <si>
    <t>Zyryanov, I. A.; Pozolotin, A. P.; Budin, A. G.; Kantor, E., V</t>
  </si>
  <si>
    <t>The possibility of reducing the toxicity of gaseous emissions of power plants by the effect of an electrostatic field on the organic fuel combustion zone</t>
  </si>
  <si>
    <t>10.25750/1995-4301-2019-1-088-093</t>
  </si>
  <si>
    <t>WOS:000468565900013</t>
  </si>
  <si>
    <t>Soboleva, EV; Karavaev, NL; Shalaginova, NV; Perevozchikova, MS</t>
  </si>
  <si>
    <t>Soboleva, Elena V.; Karavaev, Nikita L.; Shalaginova, Nadezhda V.; Perevozchikova, Marina S.</t>
  </si>
  <si>
    <t>Improvement of the Robotics Cross-Cutting Course for Training of Specialists in Professions of the Future</t>
  </si>
  <si>
    <t>Shalaginova, Nadejda/HSF-3769-2023</t>
  </si>
  <si>
    <t>10.13187/ejced.2018.4.845</t>
  </si>
  <si>
    <t>WOS:000453622300017</t>
  </si>
  <si>
    <t>Prokashev, AM; Soboleva, ES; Imenitova, AS; Vartan, IA; Matushkin, AS; Okhorzin, ND; Mokrushin, SL; Borodatyi, IL</t>
  </si>
  <si>
    <t>Prokashev, A. M.; Soboleva, E. S.; Imenitova, A. S.; Vartan, I. A.; Matushkin, A. S.; Okhorzin, N. D.; Mokrushin, S. L.; Borodatyi, I. L.</t>
  </si>
  <si>
    <t>Soddy-Podzolic Soils with a Complex Organic Profile in the Right-Bank Part of the Lower Vyatka River Basin</t>
  </si>
  <si>
    <t>Prokashev, Aleksei/ABE-7729-2020; Vartan, Igor/AAR-6107-2021</t>
  </si>
  <si>
    <t>Vartan, Igor/0000-0003-1663-385X</t>
  </si>
  <si>
    <t>1556-195X</t>
  </si>
  <si>
    <t>10.1134/S1064229318070074</t>
  </si>
  <si>
    <t>WOS:000441009400003</t>
  </si>
  <si>
    <t>Poperekov, VS; Buldakova, NV; Bandakov, MP; Zhilina, NO; Solgalov, VS</t>
  </si>
  <si>
    <t>Poperekov, V. S.; Buldakova, N., V; Bandakov, M. P.; Zhilina, N. O.; Solgalov, V. S.</t>
  </si>
  <si>
    <t>FOCUSED DEVELOPMENT OF JUMPING ABILITY IN YOUNG BASKETBALL PLAYERS BY MEANS OF CIRCUIT TRAINING</t>
  </si>
  <si>
    <t>10.14529/hsm180415</t>
  </si>
  <si>
    <t>WOS:000458656200002</t>
  </si>
  <si>
    <t>The 'March Bolsheviks': The Emergence of the Uezd Organizations of the RCP(b) in the Vyatka Gubernia in the Spring - Autumn 1918: From Archival Materials</t>
  </si>
  <si>
    <t>10.28995/2073-0101-2018-2-455-462</t>
  </si>
  <si>
    <t>WOS:000452895600011</t>
  </si>
  <si>
    <t>Method for the Restoration of Multicomponent Images Distorted by Applicative Disturbances</t>
  </si>
  <si>
    <t>2017 INTERNATIONAL SIBERIAN CONFERENCE ON CONTROL AND COMMUNICATIONS (SIBCON) PROCEEDINGS</t>
  </si>
  <si>
    <t>INTERNATIONAL SIBERIAN CONFERENCE ON CONTROL AND COMMUNICATIONS</t>
  </si>
  <si>
    <t>JUN 29-30, 2017</t>
  </si>
  <si>
    <t>Astana, KAZAKHSTAN</t>
  </si>
  <si>
    <t>S. Seifullin Kazakh Agrotechnical Univ,Tomsk IEEE Chapter &amp; Student Branch,Siberian Federal Univ,Nat Instruments R&amp;D,IEEE Young Professionals,Russia Siberia Sect IEEE,Natl Instruments,IEEE Inst Electrical &amp; Elect Engineers,IEEE Electron Devices Soc</t>
  </si>
  <si>
    <t>978-1-5090-1081-3</t>
  </si>
  <si>
    <t>WOS:000426785900169</t>
  </si>
  <si>
    <t>Peshnina, I; Sinitsina, O</t>
  </si>
  <si>
    <t>Peshnina, I.; Sinitsina, O.</t>
  </si>
  <si>
    <t>Analysis of Latest Experience in Design of Industrial Buildings Reconstruction by Constructing Additional Interfloor Overlaps</t>
  </si>
  <si>
    <t>10.1088/1757-899X/262/1/012052</t>
  </si>
  <si>
    <t>WOS:000423728200052</t>
  </si>
  <si>
    <t>Skutnev, A., V</t>
  </si>
  <si>
    <t>Ideals and installation of the clergy in the XIX - early XX century</t>
  </si>
  <si>
    <t>Skutnev, Alexey/0000-0003-3016-6805</t>
  </si>
  <si>
    <t>WOS:000430880200012</t>
  </si>
  <si>
    <t>Results of social-economic development of the agricultural sector Vyatka region at the end of 1920s</t>
  </si>
  <si>
    <t>WOS:000386421700003</t>
  </si>
  <si>
    <t>Ryazantseva, EA; Fuks, SL; Khitrin, SV</t>
  </si>
  <si>
    <t>Ryazantseva, E. A.; Fuks, S. L.; Khitrin, S. V.</t>
  </si>
  <si>
    <t>A study of the effect of waste from production of fluoropolymers on properties of zinc-fluoropolymer composite electrochemical coatings</t>
  </si>
  <si>
    <t>10.1134/S1070427212040143</t>
  </si>
  <si>
    <t>WOS:000304155200014</t>
  </si>
  <si>
    <t>Ushakova, YN; Kalinina, LA; Medvedeva, OV; Yurlov, IS; Baiderina, TV</t>
  </si>
  <si>
    <t>Ushakova, Yu. N.; Kalinina, L. A.; Medvedeva, O. V.; Yurlov, I. S.; Baiderina, T. V.</t>
  </si>
  <si>
    <t>Preparation of sulfide ceramic materials based on BaSm(2)S(4)and CaGd2S4 with the use of sol-gel and cryochemical technologies</t>
  </si>
  <si>
    <t>10.1134/S108765960903016X</t>
  </si>
  <si>
    <t>WOS:000267486100016</t>
  </si>
  <si>
    <t>Kochurova, TI</t>
  </si>
  <si>
    <t>Kochurova, T. I.</t>
  </si>
  <si>
    <t>The bottom invertebrates of small rivers in an area where pesticides were buried</t>
  </si>
  <si>
    <t>10.1134/S1995082908030139</t>
  </si>
  <si>
    <t>WOS:000259462900013</t>
  </si>
  <si>
    <t>Yungbliud, VT</t>
  </si>
  <si>
    <t>Yungbliud, V. T.</t>
  </si>
  <si>
    <t>Foreigners in the structure of St. Petersburg business in the second half of the 19th and the 20th centuries</t>
  </si>
  <si>
    <t>WOS:000245904600016</t>
  </si>
  <si>
    <t>Dyukov, AV; Shishkina, SV; Zhelonkina, EA; Ananchenko, BA</t>
  </si>
  <si>
    <t>Dyukov, A. V.; Shishkina, S. V.; Zhelonkina, E. A.; Ananchenko, B. A.</t>
  </si>
  <si>
    <t>The effect of complex formation on the sorption and transport of mercury(II) ions in ion-exchange membranes</t>
  </si>
  <si>
    <t>10.1134/S0965544114080040</t>
  </si>
  <si>
    <t>WOS:000347556300007</t>
  </si>
  <si>
    <t>Kuklina, SS; Vladimirova, EN</t>
  </si>
  <si>
    <t>Kuklina, Svetlana S.; Vladimirova, Elena N.</t>
  </si>
  <si>
    <t>Audio text as a content basis for teaching foreign language listening comprehension to school students</t>
  </si>
  <si>
    <t>10.17223/15617793/484/18</t>
  </si>
  <si>
    <t>WOS:000952852900018</t>
  </si>
  <si>
    <t>A Unit for Local Cryotherapy Based on the Ranque-Hilsch Vortex Effect</t>
  </si>
  <si>
    <t>10.1007/s10527-020-09947-9</t>
  </si>
  <si>
    <t>WOS:000748254500002</t>
  </si>
  <si>
    <t>Sabanina, VN; Buldakova, NV; Anfilatova, OV; Mikryukova, MG; Karavaeva, TL; Vavilov, AL</t>
  </si>
  <si>
    <t>Sabanina, V. N.; Buldakova, N. V.; Anfilatova, O. V.; Mikryukova, M. G.; Karavaeva, T. L.; Vavilov, A. L.</t>
  </si>
  <si>
    <t>GYMNASTIC ELEMENTS AS A MEANS OF PHYSICAL EDUCATION FOR CHILDREN AGED 7-8 WITH AUTISM SPECTRUM DISORDERS</t>
  </si>
  <si>
    <t>Karavaeva, Tatyana/B-2672-2019; Anfilatova, Olga/V-1741-2018</t>
  </si>
  <si>
    <t>Karavaeva, Tatyana/0000-0001-9232-5352; Anfilatova, Olga/0000-0002-0412-2553</t>
  </si>
  <si>
    <t>10.14529/hsm180314</t>
  </si>
  <si>
    <t>WOS:000454315400002</t>
  </si>
  <si>
    <t>Egorov, SG; Trushkov, SA; Thegleev, EA</t>
  </si>
  <si>
    <t>Egorov, Sergey G.; Trushkov, Sergey A.; Thegleev, Edward A.</t>
  </si>
  <si>
    <t>Elections of peoples courts in the Kirov Region in 1948</t>
  </si>
  <si>
    <t>10.31166/VoprosyIstorii202108Statyi20</t>
  </si>
  <si>
    <t>WOS:000729816800022</t>
  </si>
  <si>
    <t>Bakulin, MK; Zakharov, VY; Chebotarev, EV</t>
  </si>
  <si>
    <t>Intensification of microbial degradation of crude oil and oil products in the presence of perfluorodecalin</t>
  </si>
  <si>
    <t>10.1023/B:ABIM.0000025950.07659.92</t>
  </si>
  <si>
    <t>WOS:000221647800010</t>
  </si>
  <si>
    <t>Prokashev, AM; Matushkin, AS</t>
  </si>
  <si>
    <t>Prokashev, A. M.; Matushkin, A. S.</t>
  </si>
  <si>
    <t>Theoretical and Methodological Approaches to Compiling the Red Data Soil Book of Kirov Oblast</t>
  </si>
  <si>
    <t>10.1134/S106422932105015X</t>
  </si>
  <si>
    <t>WOS:000654172900015</t>
  </si>
  <si>
    <t>Gladkikh, VI; Mosechkin, IN</t>
  </si>
  <si>
    <t>Gladkikh, Viktor, I; Mosechkin, Ilya N.</t>
  </si>
  <si>
    <t>PROBLEMS OF IMPROVING CRIMINAL LAW MEASURES OF COUNTERACTING CRIMES IN THE SPHERE OF COMPUTER INFORMATION</t>
  </si>
  <si>
    <t>10.17150/2500-4255.2021.15(2).229-237</t>
  </si>
  <si>
    <t>WOS:000646592300008</t>
  </si>
  <si>
    <t>Pevzner, MZ; Smertin, SA; Khayutin, SG</t>
  </si>
  <si>
    <t>Pevzner, M. Z.; Smertin, S. A.; Khayutin, S. G.</t>
  </si>
  <si>
    <t>Relation Between Texture and Quality Characteristics of Rolled Stock and Control of Continuous Plastic Deformation</t>
  </si>
  <si>
    <t>Smertin, Stanislav/AAC-5097-2020; Pevzner, Mikhail/AAE-1321-2019</t>
  </si>
  <si>
    <t>Smertin, Stanislav/0000-0002-6883-500X; Pevzner, Mikhail/0000-0001-9894-7523</t>
  </si>
  <si>
    <t>10.1007/s11041-019-00410-5</t>
  </si>
  <si>
    <t>OCT 2019</t>
  </si>
  <si>
    <t>WOS:000492180000001</t>
  </si>
  <si>
    <t>Buldakova, NV; Nikitina, EL; Velkova, IP</t>
  </si>
  <si>
    <t>Buldakova, Natalya, V; Nikitina, Ekaterina L.; Velkova, Irina P.</t>
  </si>
  <si>
    <t>Project Management for Professional Self-Determination of Students with Intellectual Disabilities</t>
  </si>
  <si>
    <t>10.3897/ap.2.e0323</t>
  </si>
  <si>
    <t>WOS:000671896200024</t>
  </si>
  <si>
    <t>Pyatin, AA; Suvorov, DM</t>
  </si>
  <si>
    <t>Pyatin, A. A.; Suvorov, D. M.</t>
  </si>
  <si>
    <t>Extended Schedule of Heating Regulation: Assessment of the Impact on the Efficiency of Steam Turbine CHP Plants</t>
  </si>
  <si>
    <t>10.5281/zenodo.4018949</t>
  </si>
  <si>
    <t>WOS:000573617200005</t>
  </si>
  <si>
    <t>Sakharova, LG; Sakharov, VA</t>
  </si>
  <si>
    <t>Sakharova, Lyudmila G.; Sakharov, Vasiliy A.</t>
  </si>
  <si>
    <t>Upbringing of Interreligious Communication Culture as a Component of Students' Professional Training in Modem Conditions of Higher Education Development in Russia</t>
  </si>
  <si>
    <t>Sakharov, Vasily/AAG-8166-2021</t>
  </si>
  <si>
    <t>10.3897/ap.1.e0526</t>
  </si>
  <si>
    <t>WOS:000520005200056</t>
  </si>
  <si>
    <t>Leushina, AP; Danilov, DN; Zyablitseva, EV</t>
  </si>
  <si>
    <t>Leushina, A. P.; Danilov, D. N.; Zyablitseva, E. V.</t>
  </si>
  <si>
    <t>Introduction of microdoses of germanium and indium dopants into the bulk and surface layers of semiconductor materials</t>
  </si>
  <si>
    <t>10.1134/S1087659608060096</t>
  </si>
  <si>
    <t>WOS:000261789200009</t>
  </si>
  <si>
    <t>Kuzmin, VA; Zagrai, IA; Desiatkov, IA</t>
  </si>
  <si>
    <t>Kuzmin, V. A.; Zagrai, I. A.; Desiatkov, I. A.</t>
  </si>
  <si>
    <t>Investigation of emission characteristics and temperature of furnace gases in BKZ-210-140F steam boiler: milled peat combustion and support flaming with natural gas</t>
  </si>
  <si>
    <t>Kuzmin, Vladimir A/0000-0002-8886-8677</t>
  </si>
  <si>
    <t>10.1134/S0869864321020116</t>
  </si>
  <si>
    <t>WOS:000675572800011</t>
  </si>
  <si>
    <t>Shirokikh, IG; Nazarova, YI; Bakulina, AV; Abubakirova, RI</t>
  </si>
  <si>
    <t>Shirokikh, I. G.; Nazarova, Ya, I; Bakulina, A., V; Abubakirova, R., I</t>
  </si>
  <si>
    <t>New Streptomyces strains as promising biofungicides</t>
  </si>
  <si>
    <t>Nazarova, Anina/0000-0002-2945-5282; Bakulina, Anna/0000-0002-5171-2476</t>
  </si>
  <si>
    <t>10.25750/1995-4301-2021-1-172-180</t>
  </si>
  <si>
    <t>WOS:000632219100033</t>
  </si>
  <si>
    <t>Skvortsov, AI; Polev, VV</t>
  </si>
  <si>
    <t>Skvortsov, A. I.; Polev, V. V.</t>
  </si>
  <si>
    <t>Softening and Hardening of Alloys of the Al - Zn System Under Plastic Deformation</t>
  </si>
  <si>
    <t>10.1007/s11041-017-0179-9</t>
  </si>
  <si>
    <t>WOS:000415952700018</t>
  </si>
  <si>
    <t>Prozorov, DE; Chistyakov, AV; Metelyov, AP; Romanov, SV</t>
  </si>
  <si>
    <t>Prozorov, D. E.; Chistyakov, A. V.; Metelyov, A. P.; Romanov, S. V.</t>
  </si>
  <si>
    <t>Simulation of a hierarchical routing protocol for MANET</t>
  </si>
  <si>
    <t>Prozorov, Dmitriy E./A-3548-2014; Metelyov, Alexander/A-3580-2014</t>
  </si>
  <si>
    <t>Prozorov, Dmitriy E./0000-0002-3577-8838; Metelyov, Alexander/0000-0001-7246-9156</t>
  </si>
  <si>
    <t>WOS:000400700700060</t>
  </si>
  <si>
    <t>Buldakova, YV; Diner, EV</t>
  </si>
  <si>
    <t>Buldakova, Yulia, V; Diner, Elena, V</t>
  </si>
  <si>
    <t>THE TEXT OF READERS' COMMENTS ON WORKS OF LITERATURE AS A SOURCE OF STUDYING THE NATIONAL CULTURAL CODE</t>
  </si>
  <si>
    <t>10.17223/23062061/30/6</t>
  </si>
  <si>
    <t>WOS:000906501300006</t>
  </si>
  <si>
    <t>Sit, ML; Juravliov, AA; Suvorov, DM; Suvorova, LA</t>
  </si>
  <si>
    <t>Sit, M. L.; Juravliov, A. A.; Suvorov, D. M.; Suvorova, L. A.</t>
  </si>
  <si>
    <t>Combined District Heating System CHP-Local Heat Pumps. Part II</t>
  </si>
  <si>
    <t>Sit, Mikhail L./D-3801-2016</t>
  </si>
  <si>
    <t>Sit, Mikhail L./0000-0003-0456-7437</t>
  </si>
  <si>
    <t>10.5281/zenodo.3898322</t>
  </si>
  <si>
    <t>WOS:000543394200010</t>
  </si>
  <si>
    <t>Simonov, M; Burkov, A; Mokiyev, V</t>
  </si>
  <si>
    <t>Simonov, Maksim; Burkov, Aleksandr; Mokiyev, Valentin</t>
  </si>
  <si>
    <t>OPTIMISATION DESIGN AND TECHNOLOGICAL PARAMETERS OF CLOVER THRESHER K-0.3</t>
  </si>
  <si>
    <t>18TH INTERNATIONAL SCIENTIFIC CONFERENCE ENGINEERING FOR RURAL DEVELOPMENT</t>
  </si>
  <si>
    <t>18th International Scientific Conference on Engineering for Rural Development (ERD)</t>
  </si>
  <si>
    <t>MAY 22-24, 2019</t>
  </si>
  <si>
    <t>Latvia Univ Life Sci &amp; Technologies, Fac Engn,Latvian Acad Agr &amp; Forestry Sci</t>
  </si>
  <si>
    <t>Simonov, Maksim/F-7895-2018</t>
  </si>
  <si>
    <t>Simonov, Maksim/0000-0003-3805-9246</t>
  </si>
  <si>
    <t>10.22616/ERDev2019.18.N053</t>
  </si>
  <si>
    <t>WOS:000482103500009</t>
  </si>
  <si>
    <t>Kochurova, TI; Kantor, GY</t>
  </si>
  <si>
    <t>Kochurova, T. I.; Kantor, G. Ya</t>
  </si>
  <si>
    <t>Macrozoobenthos in the middle course of the Vyatka River in the area of a Chemical-Weapons Destruction Facility</t>
  </si>
  <si>
    <t>Kantor, Grigory/O-1192-2015</t>
  </si>
  <si>
    <t>Kantor, Grigory/0000-0002-6462-6702</t>
  </si>
  <si>
    <t>10.1134/S199508291304010X</t>
  </si>
  <si>
    <t>WOS:000330971500009</t>
  </si>
  <si>
    <t>Sozinova, AA; Popkova, EG</t>
  </si>
  <si>
    <t>Sozinova, Anastasiya A.; Popkova, Elena G.</t>
  </si>
  <si>
    <t>Dataset Analysis of Pandemic Risks and Risk Management Prospects Based on Management and Marketing in Conditions of COVID-19 Recession</t>
  </si>
  <si>
    <t>RISKS</t>
  </si>
  <si>
    <t>Sozinova, Anastasia/0000-0001-5876-2823; Popkova, Elena/0000-0003-2136-2767</t>
  </si>
  <si>
    <t>2227-9091</t>
  </si>
  <si>
    <t>10.3390/risks11020037</t>
  </si>
  <si>
    <t>WOS:000940113100001</t>
  </si>
  <si>
    <t>Shilov, IB; Khaziev, AI; Burkov, AA; Kutyavina, LY; Vokhmyanin, MA</t>
  </si>
  <si>
    <t>Shilov, I. B.; Khaziev, A., I; Burkov, A. A.; Kutyavina, L. Yu; Vokhmyanin, M. A.</t>
  </si>
  <si>
    <t>Reaction of Phosphorous Acid with tert-Butylphenyl Glycidyl Ether and Evaluation of the Product as a Rubber Antiaging Agent</t>
  </si>
  <si>
    <t>Shilov, Ivan/ABA-7069-2021</t>
  </si>
  <si>
    <t>10.1134/S1070427221120053</t>
  </si>
  <si>
    <t>WOS:000770333700005</t>
  </si>
  <si>
    <t>Mishchenko, NV; Svinar, EV; Makarov, AV</t>
  </si>
  <si>
    <t>Mishchenko, N., V; Svinar, E., V; Makarov, A., V</t>
  </si>
  <si>
    <t>FEATURES OF PHYSICAL ADAPTATION OF FIRST-YEAR UNIVERSITY STUDENTS TO AN URBANIZED ENVIRONMENT</t>
  </si>
  <si>
    <t>Svinar, Elena/AAT-9070-2020</t>
  </si>
  <si>
    <t>Svinar, Elena/0000-0001-7987-6993</t>
  </si>
  <si>
    <t>10.14529/hsm200102</t>
  </si>
  <si>
    <t>WOS:000539044700002</t>
  </si>
  <si>
    <t>Voroshilova, SV; Tatarinova, EP</t>
  </si>
  <si>
    <t>Voroshilova, Svetlana V.; Tatarinova, Elena P.</t>
  </si>
  <si>
    <t>Women's suffrage in the Russian Empire</t>
  </si>
  <si>
    <t>TATARINOVA, ELENA/0000-0002-2066-0618</t>
  </si>
  <si>
    <t>WOS:000438631600002</t>
  </si>
  <si>
    <t>Bukharov, VM; Baikova, OV</t>
  </si>
  <si>
    <t>Bukharov, V. M.; Baikova, O., V</t>
  </si>
  <si>
    <t>Acoustic Structure and Phonological Status of Vowel Phonemes of German Island Dialects of Villages of Sozimsky and Chernigovsky, Kirov Region</t>
  </si>
  <si>
    <t>10.24224/2227-1295-2021-11-28-49</t>
  </si>
  <si>
    <t>WOS:000726493300002</t>
  </si>
  <si>
    <t>Palkina, M; Kislitsyna, V; Chernyshev, K</t>
  </si>
  <si>
    <t>Palkina, Marina; Kislitsyna, Valentina; Chernyshev, Konstantin</t>
  </si>
  <si>
    <t>ANALYSIS OF THE RELATIONSHIP OF INVESTMENT AND DEMOGRAPHIC FACTORS IN THE DEVELOPMENT OF DEPRESSED REGIONS</t>
  </si>
  <si>
    <t>JOURNAL OF URBAN AND REGIONAL ANALYSIS</t>
  </si>
  <si>
    <t>Chernyshev, Konstantin A/H-6630-2016</t>
  </si>
  <si>
    <t>Chernyshev, Konstantin A/0000-0003-3543-4776</t>
  </si>
  <si>
    <t>2067-4082</t>
  </si>
  <si>
    <t>2068-9969</t>
  </si>
  <si>
    <t>10.37043/JURA.2021.13.1.7</t>
  </si>
  <si>
    <t>WOS:000625366100007</t>
  </si>
  <si>
    <t>Plotnikov, SA; Buzikov, SV; Taustyka, VS; Cheremisinov, PN</t>
  </si>
  <si>
    <t>Plotnikov, S. A.; Buzikov, S. V.; Taustyka, V. S.; Cheremisinov, P. N.</t>
  </si>
  <si>
    <t>Determination of Operational Parameters for Belarus 922 Tractor Running on Mixed Fuel</t>
  </si>
  <si>
    <t>Buzikov, Shamil V/I-3817-2017; Plotnikov, Sergej A/R-8491-2016</t>
  </si>
  <si>
    <t>Buzikov, Shamil V/0000-0003-3769-3253; Plotnikov, Sergej A/0000-0002-8887-4591</t>
  </si>
  <si>
    <t>10.15507/0236-2910.028.201803.445-459</t>
  </si>
  <si>
    <t>WOS:000444121400012</t>
  </si>
  <si>
    <t>Shilov, MA; Maslov, LB; Korolev, PV</t>
  </si>
  <si>
    <t>Shilov, M. A.; Maslov, L. B.; Korolev, P. V.</t>
  </si>
  <si>
    <t>STUDY OF WEAR RESISTANCE OF NANOSTRUCTURED ELASTOMERS USED AS PROTECTORS IN PNEUMATIC TYRES</t>
  </si>
  <si>
    <t>LIQUID CRYSTALS AND THEIR APPLICATION</t>
  </si>
  <si>
    <t>Korolev, Pavel/P-1306-2019; Maslov, Leonid/C-9219-2019; Shilov, Mikhail Aleksandrovich/D-9621-2017</t>
  </si>
  <si>
    <t>Korolev, Pavel/0000-0003-2196-8136; Maslov, Leonid/0000-0002-7423-3996; Shilov, Mikhail Aleksandrovich/0000-0002-6445-3303</t>
  </si>
  <si>
    <t>1991-3966</t>
  </si>
  <si>
    <t>10.18083/LCAppl.2018.1.73</t>
  </si>
  <si>
    <t>WOS:000428106400009</t>
  </si>
  <si>
    <t>Khitrin, KS; Fuks, SL; Khitrin, SV; Kazienkov, SA; Meteleva, DS</t>
  </si>
  <si>
    <t>Khitrin, K. S.; Fuks, S. L.; Khitrin, S. V.; Kazienkov, S. A.; Meteleva, D. S.</t>
  </si>
  <si>
    <t>Lignin utilization options and methods</t>
  </si>
  <si>
    <t>RUSSIAN JOURNAL OF GENERAL CHEMISTRY</t>
  </si>
  <si>
    <t>1070-3632</t>
  </si>
  <si>
    <t>1608-3350</t>
  </si>
  <si>
    <t>10.1134/S1070363212050313</t>
  </si>
  <si>
    <t>WOS:000305479400031</t>
  </si>
  <si>
    <t>Kolesnikova, OI; Kozlova, EA</t>
  </si>
  <si>
    <t>Kolesnikova, Olga I.; Kozlova, Elena A.</t>
  </si>
  <si>
    <t>THE DISCURSIVE PERSONALITY OF THE LEADER AND ITS VALUES IN THE EMOTIOGENIC REPRESENTATION</t>
  </si>
  <si>
    <t>VESTNIK VOLGOGRADSKOGO GOSUDARSTVENNOGO UNIVERSITETA-SERIYA 2-YAZYKOZNANIE</t>
  </si>
  <si>
    <t>Kolesnikova, Ol'ga/0000-0002-6159-6261</t>
  </si>
  <si>
    <t>1998-9911</t>
  </si>
  <si>
    <t>2409-1979</t>
  </si>
  <si>
    <t>10.15688/jvolsu2.2023.1.13</t>
  </si>
  <si>
    <t>WOS:000961036800002</t>
  </si>
  <si>
    <t>Loginova, M; Druzhinina, S; Smirnova, D; Paramonov, I</t>
  </si>
  <si>
    <t>Loginova, Maria; Druzhinina, Svetlana; Smirnova, Daria; Paramonov, Igor</t>
  </si>
  <si>
    <t>Recognition of an HLA-DQB1*06:319 variant, HLA-DQB1*06:319:02, in an hematopoietic stem cell donor</t>
  </si>
  <si>
    <t>HLA</t>
  </si>
  <si>
    <t>Loginova, M./Q-5438-2019</t>
  </si>
  <si>
    <t>Loginova, M./0000-0001-7088-3986</t>
  </si>
  <si>
    <t>2059-2302</t>
  </si>
  <si>
    <t>2059-2310</t>
  </si>
  <si>
    <t>10.1111/tan.14644</t>
  </si>
  <si>
    <t>MAY 2022</t>
  </si>
  <si>
    <t>WOS:000791529900001</t>
  </si>
  <si>
    <t>Kolesnikova, OI; Vakhrushev, VA</t>
  </si>
  <si>
    <t>Kolesnikova, Olga, I; Vakhrushev, Vladimir A.</t>
  </si>
  <si>
    <t>PARALINGUISTIC MEANS IN THE INFORMATION-ANALYTICAL DISCOURSE: THE PERCEPTIVE ASPECT</t>
  </si>
  <si>
    <t>VESTNIK MOSKOVSKOGO UNIVERSITETA. SERIYA 10. ZHURNALISTIKA</t>
  </si>
  <si>
    <t>0320-8079</t>
  </si>
  <si>
    <t>10.30547/vestnik.journ.3.2021.102120</t>
  </si>
  <si>
    <t>WOS:000670636000005</t>
  </si>
  <si>
    <t>An Extended Heating Regulation Schedule: Definition and Assessment of Its Efficiency in Heat-Supply Systems</t>
  </si>
  <si>
    <t>10.1134/S0040601521040066</t>
  </si>
  <si>
    <t>WOS:000755789400007</t>
  </si>
  <si>
    <t>Saurov, YA; Nizovskikh, NA</t>
  </si>
  <si>
    <t>Saurov, Yu. A.; Nizovskikh, N. A.</t>
  </si>
  <si>
    <t>PSYCHOSEMANTICS OF THE ART</t>
  </si>
  <si>
    <t>Saurov, Yuriy/Y-8735-2018; Nizovskikh, Nina A./B-5858-2017</t>
  </si>
  <si>
    <t>Saurov, Yuriy/0000-0002-8756-8103; Nizovskikh, Nina A./0000-0002-5541-5049</t>
  </si>
  <si>
    <t>WOS:000372373900016</t>
  </si>
  <si>
    <t>Loginova, M; Smirnova, D; Paramonov, I</t>
  </si>
  <si>
    <t>Loginova, Maria; Smirnova, Daria; Paramonov, Igor</t>
  </si>
  <si>
    <t>The novel HLA-DQB1 allele, DQB1*06:443</t>
  </si>
  <si>
    <t>10.1111/tan.14799</t>
  </si>
  <si>
    <t>SEP 2022</t>
  </si>
  <si>
    <t>WOS:000853294700001</t>
  </si>
  <si>
    <t>Shikhov, DV</t>
  </si>
  <si>
    <t>Shikhov, Dmitrii, V</t>
  </si>
  <si>
    <t>POST-BREXIT BRITAIN'S MILITARY STRATEGY</t>
  </si>
  <si>
    <t>10.20542/0131-2227-2021-65-2-37-44</t>
  </si>
  <si>
    <t>WOS:000628793100004</t>
  </si>
  <si>
    <t>A Vortex Insufflator Based on the Ranque-Hilsch Energy Separation Effect</t>
  </si>
  <si>
    <t>10.1007/s10527-021-10028-8</t>
  </si>
  <si>
    <t>WOS:000748264500003</t>
  </si>
  <si>
    <t>Fuks, SL; Filatov, VY; Khitrin, SV; Devyaterikova, SV</t>
  </si>
  <si>
    <t>Fuks, S. L.; Filatov, V. Y.; Khitrin, S., V; Devyaterikova, S., V</t>
  </si>
  <si>
    <t>Study of the possibility of reducing mercury contamination of the soil layer at the industrial zone of the chemical enterprise</t>
  </si>
  <si>
    <t>10.25750/1995-4301-2020-4-055-060</t>
  </si>
  <si>
    <t>WOS:000597810500008</t>
  </si>
  <si>
    <t>Vavilov, AL; Anfilatova, OV; Laptev, AV; Sirakovskaya, YV</t>
  </si>
  <si>
    <t>Vavilov, A. L.; Anfilatova, O. V.; Laptev, A. V.; Sirakovskaya, Ya. V.</t>
  </si>
  <si>
    <t>IDENTIFICATION OF PHYSICAL FITNESS TESTS FOR BASKETBALL PLAYERS</t>
  </si>
  <si>
    <t>10.14529/hsm20s106</t>
  </si>
  <si>
    <t>WOS:000581820600006</t>
  </si>
  <si>
    <t>Sysuev, VA; Aleshkin, AV; Sychugov, EV; Isupov, AY</t>
  </si>
  <si>
    <t>Sysuev, V. A.; Aleshkin, A., V; Sychugov, E., V; Isupov, A. Y.</t>
  </si>
  <si>
    <t>Combined calculation schemes in mathematical models the fractionation of grain</t>
  </si>
  <si>
    <t>Aleshkin, Aleksey/ABA-6228-2020; Sysuev, Vasilii/B-8519-2019</t>
  </si>
  <si>
    <t>Aleshkin, Aleksey/0000-0002-6949-1480; Sysuev, Vasilii/0000-0002-1172-005X; Isupov, Aleksei/0000-0002-3399-5089</t>
  </si>
  <si>
    <t>10.25750/1995-4301-2018-4-024-030</t>
  </si>
  <si>
    <t>WOS:000468565300003</t>
  </si>
  <si>
    <t>Petukhov, DV; Izmest'ev, ES; Sazanov, AV; Zaitsev, MA; Tovstik, EV</t>
  </si>
  <si>
    <t>Petukhov, D., V; Izmest'ev, E. S.; Sazanov, A., V; Zaitsev, M. A.; Tovstik, E., V</t>
  </si>
  <si>
    <t>The use of amino acids and their chelate complexes with trace elements in plant nutrition (review)</t>
  </si>
  <si>
    <t>Izmest'ev, Evgeny S./S-2021-2016; Tovstik, Evgeniya/P-1350-2017</t>
  </si>
  <si>
    <t>Tovstik, Evgeniya/0000-0003-1861-6076; Sazanov, Alexander/0000-0002-6934-3330; Petukhov, Dmitriy/0000-0002-7733-5250; Izmest'ev, Evgeniy/0000-0001-5698-6292</t>
  </si>
  <si>
    <t>10.25750/1995-4301-2022-1-167-174</t>
  </si>
  <si>
    <t>WOS:000819811100024</t>
  </si>
  <si>
    <t>Lesnikov, VA; Naumovich, TV; Chastikov, AV; Armishev, SV</t>
  </si>
  <si>
    <t>Lesnikov, Vladislav A.; Naumovich, Tatiana V.; Chastikov, Alexander V.; Armishev, Sergey V.</t>
  </si>
  <si>
    <t>Universal technique of the analysis of round-off noise in digital filters with arbitrary structure described by topological matrixes</t>
  </si>
  <si>
    <t>WOS:000332042400121</t>
  </si>
  <si>
    <t>Estimation of structural complexity of IIR digital filters</t>
  </si>
  <si>
    <t>WOS:000332042400065</t>
  </si>
  <si>
    <t>Karanina, EV; Sozinova, AA; Bunkovsky, DV</t>
  </si>
  <si>
    <t>Karanina, Elena V.; Sozinova, Anastasia A.; Bunkovsky, Dmitry V.</t>
  </si>
  <si>
    <t>QUALITY MANAGEMENT IN INDUSTRY 4.0 IN THE POST-COVID-19 PERIOD FOR ECONOMIC SECURITY AND SUSTAINABLE DEVELOPMENT</t>
  </si>
  <si>
    <t>Andrea Simões Braga, Francisco/GRS-0157-2022; Sozinova, Anastasia/F-6298-2015</t>
  </si>
  <si>
    <t>10.24874/IJQR16.03-15</t>
  </si>
  <si>
    <t>WOS:000885425500001</t>
  </si>
  <si>
    <t>Syrchina, NV; Pilip, LV</t>
  </si>
  <si>
    <t>Syrchina, N. V.; Pilip, L. V.</t>
  </si>
  <si>
    <t>Production of pigments for concrete based on iron-containing industrial waste</t>
  </si>
  <si>
    <t>Syrchina, Nadezhda/ABF-2311-2020</t>
  </si>
  <si>
    <t>Syrchina, Nadezhda/0000-0001-8049-6760</t>
  </si>
  <si>
    <t>10.25750/1995-4301-2021-4-050-057</t>
  </si>
  <si>
    <t>WOS:000755154100007</t>
  </si>
  <si>
    <t>Drovosekov, SE; Ivutina, EP; Rudnitskaya, EE; Vturina, TA; Ershova, NN; Klimenko, VS</t>
  </si>
  <si>
    <t>Drovosekov, Sergey E.; Ivutina, Elena P.; Rudnitskaya, Elena E.; Vturina, Tatyana A.; Ershova, Nina N.; Klimenko, Veronika S.</t>
  </si>
  <si>
    <t>Psychological Structure Of The Corruption Act (By The Example Of The Convicted Person)</t>
  </si>
  <si>
    <t>Ivutina, Elena/S-2598-2018</t>
  </si>
  <si>
    <t>Ivutina, Elena/0000-0002-8665-1546</t>
  </si>
  <si>
    <t>WOS:000451687200005</t>
  </si>
  <si>
    <t>Shirokikh, IG; Liskova, IV; Nazarova, YI; Gradoboeva, TP; Pislegina, SS; Bokov, NA; Abubakirova, RI</t>
  </si>
  <si>
    <t>Shirokikh, I. G.; Liskova, I. V.; Nazarova, Ya. I.; Gradoboeva, T. P.; Pislegina, S. S.; Bokov, N. A.; Abubakirova, R. I.</t>
  </si>
  <si>
    <t>Local strains of actinobacteria protect peas (Pisum sativum L.) from harmful infections</t>
  </si>
  <si>
    <t>Nazarova, Anina/0000-0002-2945-5282; Lyskova, Irina/0000-0002-1079-3513</t>
  </si>
  <si>
    <t>10.25750/1995-4301-2022-2-173-182</t>
  </si>
  <si>
    <t>WOS:000820802000022</t>
  </si>
  <si>
    <t>Terentieva, NP; Galitskikh, EO</t>
  </si>
  <si>
    <t>Terentieva, Nina P.; Galitskikh, Elena O.</t>
  </si>
  <si>
    <t>METHODS RESOURCES FOR E-LEARNING STUDENTS OF PHILOLOGY</t>
  </si>
  <si>
    <t>Terentyeva, Nina/0000-0002-1386-6116</t>
  </si>
  <si>
    <t>10.51762/1FK-2022-27-03-12</t>
  </si>
  <si>
    <t>WOS:000899445600012</t>
  </si>
  <si>
    <t>Ananchenko, BA; Litvinets, SG; Martinson, EA; Nikolaeva, AV; Troshin, MA</t>
  </si>
  <si>
    <t>Ananchenko, B. A.; Litvinets, S. G.; Martinson, E. A.; Nikolaeva, A., V; Troshin, M. A.</t>
  </si>
  <si>
    <t>Laboratory methods for assessing the effectiveness of dispersants used in various countries for oil spill response in offshore conditions</t>
  </si>
  <si>
    <t>Ananchenko, Boris/AAM-5831-2020; Litvinets, Sergey/I-8188-2013</t>
  </si>
  <si>
    <t>Ananchenko, Boris/0000-0002-7975-7828; Litvinets, Sergey/0000-0001-8583-5274</t>
  </si>
  <si>
    <t>10.25750/1995-4301-2021-1-040-052</t>
  </si>
  <si>
    <t>WOS:000632219100005</t>
  </si>
  <si>
    <t>Galitskikh, EO; Terentyeva, NP</t>
  </si>
  <si>
    <t>Galitskikh, Elena O.; Terentyeva, Nina P.</t>
  </si>
  <si>
    <t>A Digital Model of the Organization of Individual Reading for Students Studying Pedagogy</t>
  </si>
  <si>
    <t>10.3897/ap.2.e0661</t>
  </si>
  <si>
    <t>WOS:000671896200051</t>
  </si>
  <si>
    <t>Sit, ML; Juravliov, AA; Suvorov, DM; Sushchikh, VM</t>
  </si>
  <si>
    <t>Sit, M. L.; Juravliov, A. A.; Suvorov, D. M.; Sushchikh, V. M.</t>
  </si>
  <si>
    <t>Combined District Heating System CHP-Local HP</t>
  </si>
  <si>
    <t>10.5281/zenodo.3713430</t>
  </si>
  <si>
    <t>WOS:000521937900008</t>
  </si>
  <si>
    <t>Buldakova, NV; Shklyaeva, AL; Nikitina, EL</t>
  </si>
  <si>
    <t>Buldakova, Natalya V.; Shklyaeva, Anna L.; Nikitina, Ekaterina L.</t>
  </si>
  <si>
    <t>Project management on adaptation of young teachers in the general education organization</t>
  </si>
  <si>
    <t>10.3897/ap.1.e0040</t>
  </si>
  <si>
    <t>WOS:000520005200005</t>
  </si>
  <si>
    <t>Pevzner, MZ; Khayutin, SG</t>
  </si>
  <si>
    <t>Pevzner, M. Z.; Khayutin, S. G.</t>
  </si>
  <si>
    <t>VARIATION OF TEXTURE PARAMETERS IN TREATMENT OF STRIP OF ALUMINUM AND COPPER ALLOYS AND RELATIONSHIP BETWEEN TEXTURE PARAMETERS AND PHYSICAL PROPERTIES</t>
  </si>
  <si>
    <t>10.1007/s11041-011-9384-0</t>
  </si>
  <si>
    <t>WOS:000296795300017</t>
  </si>
  <si>
    <t>Demina, NL; Tsirkin, VI; Tarlovskaya, EI; Kashin, RY</t>
  </si>
  <si>
    <t>Demina, N. L.; Tsirkin, V. I.; Tarlovskaya, E. I.; Kashin, R. Yu.</t>
  </si>
  <si>
    <t>Alpha- and beta-adreno-, M-cholinomodulating and myocyte-stimulating serum activity in arterial hypertension</t>
  </si>
  <si>
    <t>CARDIOVASCULAR THERAPY AND PREVENTION</t>
  </si>
  <si>
    <t>Tarlovskaya, Ekaterina/AAN-1142-2020; Tsirkin, Victor/O-1603-2017</t>
  </si>
  <si>
    <t xml:space="preserve">Tarlovskaya, Ekaterina/0000-0002-9659-7010; </t>
  </si>
  <si>
    <t>1728-8800</t>
  </si>
  <si>
    <t>WOS:000254501900003</t>
  </si>
  <si>
    <t>Trushkova, IY; Titova, EI; Sapozhnikova, VV</t>
  </si>
  <si>
    <t>Trushkova, Irina Y.; Titova, Elena I.; Sapozhnikova, Vera V.</t>
  </si>
  <si>
    <t>The problems of reproduction of traditional culture in Russian regions in the XX century on the example of the Kirov region</t>
  </si>
  <si>
    <t>Trushkova, Irina/C-5994-2019; Трушкова, Ирина Юрьевна/AAB-4826-2022; Titova, Elena/ABG-9460-2021</t>
  </si>
  <si>
    <t>10.34069/AI/2020.27.03.29</t>
  </si>
  <si>
    <t>WOS:000521637500030</t>
  </si>
  <si>
    <t>Tereshchenko, OL; Likhachev, VA; Izotov, MV</t>
  </si>
  <si>
    <t>Influence of the composition of chloride-containing solutions on the corrosion of 12Cr18Ni10Ti steel</t>
  </si>
  <si>
    <t>10.1023/A:1019513029761</t>
  </si>
  <si>
    <t>WOS:000177753100015</t>
  </si>
  <si>
    <t>Avdonin, VV; Yurkin, YV; Shirokova, ES; Varankina, DA; Rogozhkin, RS</t>
  </si>
  <si>
    <t>Avdonin, V. V.; Yurkin, Yu. V.; Shirokova, E. S.; Varankina, D. A.; Rogozhkin, R. S.</t>
  </si>
  <si>
    <t>Effect of plasticizers on the mechanical and technological properties of styrene-isoprene block copolymer composites under cyclic loading</t>
  </si>
  <si>
    <t>MATERIALS PHYSICS AND MECHANICS</t>
  </si>
  <si>
    <t>Rogozhkin, Roman/ADV-7199-2022; Varankina, Darya/HKM-7941-2023</t>
  </si>
  <si>
    <t>Rogozhkin, Roman/0000-0003-3966-232X; Varankina, Darya/0000-0002-1651-5098</t>
  </si>
  <si>
    <t>1605-2730</t>
  </si>
  <si>
    <t>1605-8119</t>
  </si>
  <si>
    <t>10.18149/MPM.5022022_14</t>
  </si>
  <si>
    <t>WOS:000915249500014</t>
  </si>
  <si>
    <t>Koval, E; Olkova, A</t>
  </si>
  <si>
    <t>Koval, Ekaterina; Olkova, Anna</t>
  </si>
  <si>
    <t>Determination of the Sensitivity of Cyanobacteria to Rare Earth Elements La and Ce</t>
  </si>
  <si>
    <t>POLISH JOURNAL OF ENVIRONMENTAL STUDIES</t>
  </si>
  <si>
    <t>Koval, Ekaterina Viktorovna/ACK-0817-2022</t>
  </si>
  <si>
    <t>Koval, Ekaterina Viktorovna/0000-0003-3179-1557</t>
  </si>
  <si>
    <t>1230-1485</t>
  </si>
  <si>
    <t>2083-5906</t>
  </si>
  <si>
    <t>10.15244/pjoes/139375</t>
  </si>
  <si>
    <t>WOS:000799779000042</t>
  </si>
  <si>
    <t>Petukhov, DV; Tovstik, EV; Bakulina, AV; Sazanova, ML; Burkov, AA</t>
  </si>
  <si>
    <t>Petukhov, D., V; Tovstik, E., V; Bakulina, A., V; Sazanova, M. L.; Burkov, A. A.</t>
  </si>
  <si>
    <t>Soil Streptomyces sp. strain 2K1: phylogenetic position, effect on Fusarium proliferatum growth</t>
  </si>
  <si>
    <t>Sazanova, Maria/AAS-9191-2021; Burkov, Andrey/ABB-8219-2021; Tovstik, Evgeniya/P-1350-2017; Burkov, Andrei/N-5302-2016; Bakulina, Anna/AAH-3534-2019; Petukhov, Dmitry/AAX-5896-2020</t>
  </si>
  <si>
    <t>Sazanova, Maria/0000-0003-3492-8395; Tovstik, Evgeniya/0000-0003-1861-6076; Burkov, Andrei/0000-0002-3627-1262; Bakulina, Anna/0000-0002-5171-2476; Petukhov, Dmitriy/0000-0002-7733-5250</t>
  </si>
  <si>
    <t>10.25750/1995-4301-2020-2-111-116</t>
  </si>
  <si>
    <t>WOS:000545295600015</t>
  </si>
  <si>
    <t>Filatov, VY; Murin, AV; Kazienkov, SA; Khitrin, SV; Fuks, SL</t>
  </si>
  <si>
    <t>Filatov, V. Yu.; Murin, A. V.; Kazienkov, S. A.; Khitrin, S. V.; Fuks, S. L.</t>
  </si>
  <si>
    <t>Depolymerization of polytetrafluoroethylene in the presence of water vapor or fluorine-transfer agent</t>
  </si>
  <si>
    <t>10.1134/S1070427211010265</t>
  </si>
  <si>
    <t>WOS:000287500700026</t>
  </si>
  <si>
    <t>Burkov, A; Simonov, M; Mokiyev, V; Lazykin, V</t>
  </si>
  <si>
    <t>Burkov, Aleksandr; Simonov, Maksim; Mokiyev, Valentin; Lazykin, Viktor</t>
  </si>
  <si>
    <t>TESTING CS-0.2 CLOVER THRESHER AND SCARIFIER FEATURING IMPROVED DRUM DESIGN</t>
  </si>
  <si>
    <t>19TH INTERNATIONAL SCIENTIFIC CONFERENCE ENGINEERING FOR RURAL DEVELOPMENT</t>
  </si>
  <si>
    <t>19th International Scientific Conference on Engineering for Rural Development</t>
  </si>
  <si>
    <t>MAY 20-22, 2020</t>
  </si>
  <si>
    <t>10.22616/ERDev.2020.19.TF157</t>
  </si>
  <si>
    <t>WOS:000815085500095</t>
  </si>
  <si>
    <t>Shempelev, AG; Suvorov, DM; Gutorov, VF; Iglin, PV</t>
  </si>
  <si>
    <t>Shempelev, A. G.; Suvorov, D. M.; Gutorov, V. F.; Iglin, P., V</t>
  </si>
  <si>
    <t>Make-up Water Heating Capability, Conditions, and Efficiency in Built in Bundles when Cooling Water Is Concurrently Piped through the Main Condenser Bundles</t>
  </si>
  <si>
    <t>Суворов, Дмитрий/S-9053-2019; Iglin, Pavel/Q-2963-2016</t>
  </si>
  <si>
    <t>Суворов, Дмитрий/0000-0001-7415-3868; Iglin, Pavel/0000-0003-3731-7864</t>
  </si>
  <si>
    <t>10.1134/S0040601519020071</t>
  </si>
  <si>
    <t>WOS:000755490600005</t>
  </si>
  <si>
    <t>Musikhina, TA; Iurlov, AA; Zemtsova, EA; Filatov, VY</t>
  </si>
  <si>
    <t>Musikhina, T. A.; Iurlov, A. A.; Zemtsova, E. A.; Filatov, V. Yu.</t>
  </si>
  <si>
    <t>Comprehensive assessment of the toxicity of river and waste waters, formed on the territory contaminated by industrial waste</t>
  </si>
  <si>
    <t>10.25750/1995-4301-2021-4-133-139</t>
  </si>
  <si>
    <t>WOS:000755154100019</t>
  </si>
  <si>
    <t>Pevzner, MZ</t>
  </si>
  <si>
    <t>Pevzner, M. Z.</t>
  </si>
  <si>
    <t>Advancing the process of production of brass strips using continuous induction heat treatment in transverse magnetic field</t>
  </si>
  <si>
    <t>10.1007/s11041-012-9478-3</t>
  </si>
  <si>
    <t>WOS:000312342200016</t>
  </si>
  <si>
    <t>Karanina, EV; Selivanova, MA; Skudnova, IA</t>
  </si>
  <si>
    <t>Karanina, Elena, V; Selivanova, Marina A.; Skudnova, Irina A.</t>
  </si>
  <si>
    <t>DIAGNOSTICS OF ECONOMIC SECURITY RISKS AS A MANIFESTATION OF MANAGEMENT QUALITY IN THE GLOBAL FINANCIAL MARKETS: FACTORS, THREATS, CRITERIA AND INDICATORS OF INDUSTRIAL AND MANUFACTURING ENGINEERING</t>
  </si>
  <si>
    <t>10.24874/IJQR15.03-16</t>
  </si>
  <si>
    <t>WOS:000686366800016</t>
  </si>
  <si>
    <t>Bogacheva, NV; Pozolotina, NV; Savinykh, NP; Konovalova, IA</t>
  </si>
  <si>
    <t>Bogacheva, N., V; Pozolotina, N., V; Savinykh, N. P.; Konovalova, I. A.</t>
  </si>
  <si>
    <t>Checkout of methods for isolation and preparation of basidiomycete cultures for mycorrhization of soil</t>
  </si>
  <si>
    <t>10.25750/1995-4301-2020-3-046-051</t>
  </si>
  <si>
    <t>WOS:000580337700007</t>
  </si>
  <si>
    <t>The identification of two novel HLA alleles, HLA-C*06:02:103 and HLA-DRB1*01:139 in two Russian individuals</t>
  </si>
  <si>
    <t>10.1111/tan.14848</t>
  </si>
  <si>
    <t>OCT 2022</t>
  </si>
  <si>
    <t>WOS:000869708600001</t>
  </si>
  <si>
    <t>Tsirkin, VI; Nozdrachev, AD; Sizova, EN; Mal'chikova, SV; Gulyaeva, SF</t>
  </si>
  <si>
    <t>Effect of physical training on blood level of endogenous modulators of beta-adreno- and m-cholinoreactivity in patients with a history of myocardial infarction</t>
  </si>
  <si>
    <t>Nozdrachev, Aleksandr/P-2667-2017; Tsirkin, Victor/O-1603-2017</t>
  </si>
  <si>
    <t>Nozdrachev, Aleksandr/0000-0003-0753-5633; Tsirkin, Viktor/0000-0003-3467-3919</t>
  </si>
  <si>
    <t>10.1023/A:1026068208764</t>
  </si>
  <si>
    <t>WOS:000187861200004</t>
  </si>
  <si>
    <t>Strelnikova, AI; Tsirkin, VI; Krysova, AV; Hlybova, SV; Dmitrieva, SL</t>
  </si>
  <si>
    <t>Strelnikova, A. I.; Tsirkin, V. I.; Krysova, A. V.; Hlybova, S. V.; Dmitrieva, S. L.</t>
  </si>
  <si>
    <t>M-Cholinoreactivity of Erythrocytes of Non-Pregnant and Pregnant Women Evaluated by Changes in the Rate of Erythrocyte Agglutination under the Influence of Acetylcholine</t>
  </si>
  <si>
    <t>10.1007/s10517-012-1905-3</t>
  </si>
  <si>
    <t>WOS:000312334000002</t>
  </si>
  <si>
    <t>Lisovskii, VA; Lisovskaya, OB; Kochetkova, LP; Favstov, YK</t>
  </si>
  <si>
    <t>Lisovskii, V. A.; Lisovskaya, O. B.; Kochetkova, L. P.; Favstov, Yu. K.</t>
  </si>
  <si>
    <t>Sparingly alloyed bell bronzes with elevated parameters of mechanical properties</t>
  </si>
  <si>
    <t>Лисовский, Виталий/ABC-4782-2020</t>
  </si>
  <si>
    <t>Лисовский, Виталий/0000-0001-8429-7638</t>
  </si>
  <si>
    <t>10.1007/s11041-007-0041-6</t>
  </si>
  <si>
    <t>WOS:000251500300004</t>
  </si>
  <si>
    <t>A Mobile Medical Thermostatic Unit Based on the Ranque-Hilsch Vortex Effect</t>
  </si>
  <si>
    <t>10.1007/s10527-019-09848-6</t>
  </si>
  <si>
    <t>WOS:000748252900016</t>
  </si>
  <si>
    <t>Influence of Speed-Power Abilities on Memory in Children with Different Strength of the Nervous System</t>
  </si>
  <si>
    <t>INTERNATIONAL JOURNAL OF PEDIATRICS-MASHHAD</t>
  </si>
  <si>
    <t>2345-5047</t>
  </si>
  <si>
    <t>2345-5055</t>
  </si>
  <si>
    <t>10.22038/ijp.2021.57107.4477</t>
  </si>
  <si>
    <t>WOS:000643937900010</t>
  </si>
  <si>
    <t>Monitoring the formation of nitrogen oxides in the furnace of a steam boiler for protection of atmospheric air from pollution</t>
  </si>
  <si>
    <t>10.25750/1995-4301-2021-3-126-132</t>
  </si>
  <si>
    <t>WOS:000700413300017</t>
  </si>
  <si>
    <t>Formation of Structure, Texture and Properties and Control of Continuous Induction Heat Treatment of Brass Strips</t>
  </si>
  <si>
    <t>10.1007/s11041-020-00598-x</t>
  </si>
  <si>
    <t>NOV 2020</t>
  </si>
  <si>
    <t>WOS:000591585000003</t>
  </si>
  <si>
    <t>Plotnikov, SA; Kartashevich, AN; Zabolotskikh, GE</t>
  </si>
  <si>
    <t>Plotnikov, S. A.; Kartashevich, A. N.; Zabolotskikh, G. E.</t>
  </si>
  <si>
    <t>Original The Study of Compositions and Methods of Supplying New Fuels with Additives of Brassica Rapa Oil to the Diesel</t>
  </si>
  <si>
    <t>10.15507/2658-4123.033.202301.100-113</t>
  </si>
  <si>
    <t>WOS:000994427200005</t>
  </si>
  <si>
    <t>Benavent-Climent, A; Escolano-Margarit, D; Yurkin, Y; Ponce-Parra, H; Arcos-Espada, J</t>
  </si>
  <si>
    <t>Benavent-Climent, Amadeo; Escolano-Margarit, David; Yurkin, Yuriy; Ponce-Parra, Hermes; Arcos-Espada, Julio</t>
  </si>
  <si>
    <t>Shake table tests on a reinforced concrete waffle-flat plate structure with new hybrid energy dissipation devices</t>
  </si>
  <si>
    <t>EARTHQUAKE ENGINEERING &amp; STRUCTURAL DYNAMICS</t>
  </si>
  <si>
    <t>Benavent-Climent, Amadeo/M-1033-2014</t>
  </si>
  <si>
    <t>Benavent-Climent, Amadeo/0000-0002-9406-6726; Ponce-Parra, Hermes/0000-0002-0069-5792; Escolano Margarit, David/0000-0001-9324-0799; Arcos Espada, Julio/0000-0003-0902-9718</t>
  </si>
  <si>
    <t>0098-8847</t>
  </si>
  <si>
    <t>1096-9845</t>
  </si>
  <si>
    <t>10.1002/eqe.3785</t>
  </si>
  <si>
    <t>WOS:000892774100001</t>
  </si>
  <si>
    <t>Baykova, O; Kazakov, A; Kryukova, N</t>
  </si>
  <si>
    <t>Baykova, Olga; Kazakov, Andrey; Kryukova, Nataliya</t>
  </si>
  <si>
    <t>Socio-demographic parameters and speech behavior of russian germans in foreign-language environment (as exemplified by the ethnic german minority in the Kirov region)</t>
  </si>
  <si>
    <t>Baykova, Olga Vladimirovna/A-7435-2016; Казаков, Андрей/AAT-4280-2020</t>
  </si>
  <si>
    <t>WOS:000493331800025</t>
  </si>
  <si>
    <t>Vavilov, AL; Anfilatova, OV; Vavilova, SA</t>
  </si>
  <si>
    <t>Vavilov, Aleksey Leonidovich; Anfilatova, Olga Viktorovna; Vavilova, S. A.</t>
  </si>
  <si>
    <t>FACTOR ANALYSIS OF TESTS FOR TECHNICAL PREPAREDNESS IN BASKETBALL PLAYERS</t>
  </si>
  <si>
    <t>Anfilatova, Olga/V-1741-2018</t>
  </si>
  <si>
    <t>Anfilatova, Olga/0000-0002-0412-2553</t>
  </si>
  <si>
    <t>10.14529/hsm190207</t>
  </si>
  <si>
    <t>WOS:000475456800007</t>
  </si>
  <si>
    <t>Baibakova, T; Epinina, V; Korobova, S</t>
  </si>
  <si>
    <t>Russkova, EG</t>
  </si>
  <si>
    <t>Baibakova, Tatiana; Epinina, Veronica; Korobova, Svetlana</t>
  </si>
  <si>
    <t>Evaluating Product Competitiveness of the Regional Dairy Product Subcomplex (using Kirov region as an example)</t>
  </si>
  <si>
    <t>PROCEEDINGS OF THE INTERNATIONAL SCIENTIFIC CONFERENCE COMPETITIVE, SUSTAINABLE AND SECURE DEVELOPMENT OF THE REGIONAL ECONOMY: RESPONSE TO GLOBAL CHALLENGES (CSSDRE 2018)</t>
  </si>
  <si>
    <t>International Scientific Conference on Competitive, Sustainable and Secure Development of the Regional Economy - Response to Global Challenges (CSSDRE)</t>
  </si>
  <si>
    <t>APR 18-20, 2018</t>
  </si>
  <si>
    <t>Volgograd State Univ, Volgograd, RUSSIA</t>
  </si>
  <si>
    <t>Volgograd State Univ</t>
  </si>
  <si>
    <t>978-94-6252-514-6</t>
  </si>
  <si>
    <t>WOS:000515721900080</t>
  </si>
  <si>
    <t>Shilova, ZV; Sibgatullina, TV</t>
  </si>
  <si>
    <t>Shilova, Zoia V.; Sibgatullina, Tatiana V.</t>
  </si>
  <si>
    <t>Methodology Features of Teaching Stochastics to University Students of the Biology Specialization</t>
  </si>
  <si>
    <t>EURASIA JOURNAL OF MATHEMATICS SCIENCE AND TECHNOLOGY EDUCATION</t>
  </si>
  <si>
    <t>Sibgatullina, Tatiana/N-1132-2013; Shilova, Zoia V/G-3073-2017</t>
  </si>
  <si>
    <t>Shilova, Zoia V/0000-0003-1715-2513</t>
  </si>
  <si>
    <t>1305-8215</t>
  </si>
  <si>
    <t>1305-8223</t>
  </si>
  <si>
    <t>10.12973/eurasia.2017.00960a</t>
  </si>
  <si>
    <t>WOS:000409067500025</t>
  </si>
  <si>
    <t>Improving the functional capabilities of the body of children with respiratory diseases</t>
  </si>
  <si>
    <t>MEDICAL SCIENCE</t>
  </si>
  <si>
    <t>R, Seenivasagam/ITR-8742-2023</t>
  </si>
  <si>
    <t>2321-7359</t>
  </si>
  <si>
    <t>2321-7367</t>
  </si>
  <si>
    <t>10.54905/disssi/v27i134/e200ms3017</t>
  </si>
  <si>
    <t>WOS:000994185800011</t>
  </si>
  <si>
    <t>Ganebnykh, E; Mottaeva, A; Larinina, T; Petrova, E</t>
  </si>
  <si>
    <t>Ganebnykh, Elena; Mottaeva, Asiiat; Larinina, Tatyana; Petrova, Elena</t>
  </si>
  <si>
    <t>Franchising technologies for sustainable economic development</t>
  </si>
  <si>
    <t>Ganebnykh, Elena/I-2839-2017; Petrova, Elena/V-1011-2018</t>
  </si>
  <si>
    <t>Ganebnykh, Elena/0000-0003-0669-8318; Petrova, Elena/0000-0002-5094-3694; Mottaeva, Asiiat/0000-0001-5854-6944; Mottaeva, Angela/0000-0001-8904-4154</t>
  </si>
  <si>
    <t>10.1051/matecconf/201817001044</t>
  </si>
  <si>
    <t>WOS:000449660800044</t>
  </si>
  <si>
    <t>Savel'eva, N; Prokopenko, L; Zueva, N; Kuklin, A; Yanov, I</t>
  </si>
  <si>
    <t>Savel'eva, Nadezhda; Prokopenko, Lyudmila; Zueva, Nadezhda; Kuklin, Andrey; Yanov, Ilia</t>
  </si>
  <si>
    <t>Method of determining the efficiency of price and non-price competition in service sector</t>
  </si>
  <si>
    <t>10.1051/matecconf/201710608084</t>
  </si>
  <si>
    <t>WOS:000426426600269</t>
  </si>
  <si>
    <t>Sergeev, AV; Bratukhina, EV; Kushova, IA; Ovsyukov, DA</t>
  </si>
  <si>
    <t>Sergeev, Alexander V.; Bratukhina, Ekaterina V.; Kushova, Irina A.; Ovsyukov, Dmitriy A.</t>
  </si>
  <si>
    <t>Liability of minors in Russian criminal law practice XVIII - first half of XIX century</t>
  </si>
  <si>
    <t>10.31166/VoprosyIstorii202012Statyi70</t>
  </si>
  <si>
    <t>WOS:000611219500022</t>
  </si>
  <si>
    <t>Shilov, MA; Korolev, PV; Fomin, SV; Maslov, LB</t>
  </si>
  <si>
    <t>Shilov, M. A.; Korolev, P., V; Fomin, S., V; Maslov, L. B.</t>
  </si>
  <si>
    <t>ROLLING WEAR OF NANOSTRUCTURED ELASTOMERS FOR PNEUMATIC TIRES</t>
  </si>
  <si>
    <t>Shilov, Mikhail Aleksandrovich/D-9621-2017; Maslov, Leonid/C-9219-2019</t>
  </si>
  <si>
    <t>Shilov, Mikhail Aleksandrovich/0000-0002-6445-3303; Maslov, Leonid/0000-0002-7423-3996</t>
  </si>
  <si>
    <t>10.18083/LCAppl.2019.2.85</t>
  </si>
  <si>
    <t>WOS:000472958800010</t>
  </si>
  <si>
    <t>Grebnev, IA</t>
  </si>
  <si>
    <t>Grebnev, I. A.</t>
  </si>
  <si>
    <t>Problems of state regulation of the organization of protection zones for hunting resources</t>
  </si>
  <si>
    <t>Grebnev, Ivan/0000-0002-8028-0713</t>
  </si>
  <si>
    <t>10.25750/1995-4301-2019-1-122-128</t>
  </si>
  <si>
    <t>WOS:000468565900018</t>
  </si>
  <si>
    <t>Korzhavina, AS; Knyazkov, VS</t>
  </si>
  <si>
    <t>Korzhavina, Anastasia S.; Knyazkov, Vladimir S.</t>
  </si>
  <si>
    <t>The Multiplication Method with Scaling the Result for High-Precision Residue Positional Interval Logarithmic Computations</t>
  </si>
  <si>
    <t>Knyazkov, Vladimir Sergeevich/T-4089-2018; Korzhavina, Anastasia S/S-1877-2018</t>
  </si>
  <si>
    <t>Knyazkov, Vladimir Sergeevich/0000-0003-3820-6541; Korzhavina, Anastasia S/0000-0001-8270-2097</t>
  </si>
  <si>
    <t>10.15507/2658-4123.029.201902.187-204</t>
  </si>
  <si>
    <t>WOS:000487855200003</t>
  </si>
  <si>
    <t>Petrov, I; Zemtsov, M; Butyrin, A</t>
  </si>
  <si>
    <t>Petrov, Igor; Zemtsov, Maxim; Butyrin, Andrey</t>
  </si>
  <si>
    <t>Digital transformation method for value mapping in public management</t>
  </si>
  <si>
    <t>Butyrin, Andrey/AAE-9126-2022</t>
  </si>
  <si>
    <t>10.1051/e3sconf/201911002151</t>
  </si>
  <si>
    <t>WOS:000569050000240</t>
  </si>
  <si>
    <t>Udalov, A; Parshin, S; Udalov, A</t>
  </si>
  <si>
    <t>Udalov, Andrei; Parshin, Sergei; Udalov, Aleksandr</t>
  </si>
  <si>
    <t>Indentation size effect during measuring the hardness of materials by pyramidal indenter</t>
  </si>
  <si>
    <t>SEP 09-13, 2019</t>
  </si>
  <si>
    <t>Udalov, Aleksander/0000-0003-0210-5423; Udalov, Andrey/0000-0003-0886-3014</t>
  </si>
  <si>
    <t>10.1016/j.matpr.2019.07.068</t>
  </si>
  <si>
    <t>WOS:000507473500050</t>
  </si>
  <si>
    <t>Leushina, AP; Makhanova, EV; Orzhaeva, OP; Zlomanov, VP</t>
  </si>
  <si>
    <t>Development of methods for the production of electrodes of nonstoichiometric compositions for solid-electrolyte sensors with predictable sensitivity</t>
  </si>
  <si>
    <t>10.1007/s11175-005-0118-8</t>
  </si>
  <si>
    <t>WOS:000230551900008</t>
  </si>
  <si>
    <t>Loginova, M; Smirnova, D; Druzhinina, S; Paramonov, I</t>
  </si>
  <si>
    <t>Loginova, Maria; Smirnova, Daria; Druzhinina, Svetlana; Paramonov, Igor</t>
  </si>
  <si>
    <t>Genomic full-length sequence of the HLA-B*44:348 allele was identified by next generation sequencing</t>
  </si>
  <si>
    <t>10.1111/tan.14615</t>
  </si>
  <si>
    <t>WOS:000776605400001</t>
  </si>
  <si>
    <t>Loginova, M; Smirnova, D; Druzhinina, S; Kashin, K; Paramonov, I</t>
  </si>
  <si>
    <t>Loginova, Maria; Smirnova, Daria; Druzhinina, Svetlana; Kashin, Konstantin; Paramonov, Igor</t>
  </si>
  <si>
    <t>Characterization of the novel HLA-DRB113:03:12 allele by two next-generation sequencing methods</t>
  </si>
  <si>
    <t>Loginova, M./0000-0001-7088-3986; Kashin, Konstantin/0000-0003-4694-3904</t>
  </si>
  <si>
    <t>10.1111/tan.14610</t>
  </si>
  <si>
    <t>WOS:000780680000001</t>
  </si>
  <si>
    <t>Trudonoshyn, O; Randelzhofer, P; Korner, C</t>
  </si>
  <si>
    <t>Trudonoshyn, O.; Randelzhofer, P.; Koerner, C.</t>
  </si>
  <si>
    <t>Heat treatment of high-pressure die casting Al-Mg-Si-Mn-Zn alloys</t>
  </si>
  <si>
    <t>JOURNAL OF ALLOYS AND COMPOUNDS</t>
  </si>
  <si>
    <t>0925-8388</t>
  </si>
  <si>
    <t>1873-4669</t>
  </si>
  <si>
    <t>AUG 15</t>
  </si>
  <si>
    <t>10.1016/j.jallcom.2021.159692</t>
  </si>
  <si>
    <t>APR 2021</t>
  </si>
  <si>
    <t>WOS:000647674900002</t>
  </si>
  <si>
    <t>Elsebaie, N; Ganebnykh, E; Lunyakov, M</t>
  </si>
  <si>
    <t>Elsebaie, Nazeeh; Ganebnykh, Elena; Lunyakov, Mikhail</t>
  </si>
  <si>
    <t>Mumpreneurship for urban development</t>
  </si>
  <si>
    <t>Ganebnykh, Elena/I-2839-2017; Lunyakov, Mikhail/ABG-9701-2021</t>
  </si>
  <si>
    <t>Ganebnykh, Elena/0000-0003-0669-8318; Lunyakov, Mikhail/0000-0001-7093-3779</t>
  </si>
  <si>
    <t>10.1051/e3sconf/201911002155</t>
  </si>
  <si>
    <t>WOS:000569050000244</t>
  </si>
  <si>
    <t>Kozlova, EA; Kolesnikova, OI</t>
  </si>
  <si>
    <t>Kozlova, E. A.; Kolesnikova, O., I</t>
  </si>
  <si>
    <t>RHETORICAL LACUNES: CAUSES, IMPLICATIONS, WARNING</t>
  </si>
  <si>
    <t>10.26170/FK19-02-15</t>
  </si>
  <si>
    <t>WOS:000489097600015</t>
  </si>
  <si>
    <t>Danilov, DN; Leushina, AP; Zlomanov, VP</t>
  </si>
  <si>
    <t>Danilov, D. N.; Leushina, A. P.; Zlomanov, V. P.</t>
  </si>
  <si>
    <t>T-x diagram and transport properties of the GeSe-GeI2 solid electrolyte</t>
  </si>
  <si>
    <t>10.1134/S0036024406110288</t>
  </si>
  <si>
    <t>WOS:000245667100028</t>
  </si>
  <si>
    <t>Gavrilov, G; Bratuhin, A; Marinin, E</t>
  </si>
  <si>
    <t>Gavrilov, Gennady; Bratuhin, Anatoly; Marinin, Evgeny</t>
  </si>
  <si>
    <t>Laser-thermal Hardening of the Tools Set for Cold-forming Fasteners</t>
  </si>
  <si>
    <t>International Conference on Modern Trends in Manufacturing Technologies and Equipment (ICMTMTE) - Materials Science</t>
  </si>
  <si>
    <t>SEP 10-14, 2018</t>
  </si>
  <si>
    <t>Gavrilov, Gennadiy/0000-0002-8306-2965; Marinin, Evgeny/0000-0003-0676-9438</t>
  </si>
  <si>
    <t>10.1016/j.matpr.2018.12.154</t>
  </si>
  <si>
    <t>WOS:000463193400058</t>
  </si>
  <si>
    <t>Komlev, V; Barmina, E; Feoktistova, O</t>
  </si>
  <si>
    <t>Komlev, Vitaliy; Barmina, Elena; Feoktistova, Oksana</t>
  </si>
  <si>
    <t>Digitalization of labor market parameters to improve the efficiency of the enterprise's personnel policy</t>
  </si>
  <si>
    <t>Komlev, Vitaliy/0000-0001-8198-6331; Barmina, Elena/0000-0001-8296-6498</t>
  </si>
  <si>
    <t>10.1051/e3sconf/201911002150</t>
  </si>
  <si>
    <t>WOS:000569050000239</t>
  </si>
  <si>
    <t>Medvedeva, OV; Kalinina, LA; Metlin, YG; Ushakova, YN</t>
  </si>
  <si>
    <t>Synthesis and electrolytic properties of phases based on calcium thiogadolinate as a function of method of the precursor synthesis</t>
  </si>
  <si>
    <t>7th Meeting on Fundamental Problems of Solid-State Ionics</t>
  </si>
  <si>
    <t>JUN 16-18, 2004</t>
  </si>
  <si>
    <t>Russian Acad Sci, Inst Problems Chem Phys, Moscow, RUSSIA</t>
  </si>
  <si>
    <t>10.1007/s11175-005-0105-0</t>
  </si>
  <si>
    <t>WOS:000229725000018</t>
  </si>
  <si>
    <t>Recognition of the HLA-C*07:1047 allele in a Russian bone marrow donor</t>
  </si>
  <si>
    <t>10.1111/tan.14952</t>
  </si>
  <si>
    <t>WOS:000905834100001</t>
  </si>
  <si>
    <t>Efficient GPU Implementation of Multiple-Precision Addition based on Residue Arithmetic</t>
  </si>
  <si>
    <t>INTERNATIONAL JOURNAL OF ADVANCED COMPUTER SCIENCE AND APPLICATIONS</t>
  </si>
  <si>
    <t>2158-107X</t>
  </si>
  <si>
    <t>2156-5570</t>
  </si>
  <si>
    <t>WOS:000592987700002</t>
  </si>
  <si>
    <t>Sychugova, LP; Belozerova, AV; Lepikhova, LY; Akinshina, NV; Sukhanova, YS</t>
  </si>
  <si>
    <t>Cindori, S; Larouk, O; Malushko, EYU; Rebrina, LN; Shamne, NL</t>
  </si>
  <si>
    <t>Sychugova, L. P.; Belozerova, A., V; Lepikhova, L. Y.; Akinshina, N., V; Sukhanova, Y. S.</t>
  </si>
  <si>
    <t>Synergetic basis of author's educational cognitive dictionaries</t>
  </si>
  <si>
    <t>INTERNATIONAL SCIENTIFIC AND PRACTICAL CONFERENCE CURRENT ISSUES OF LINGUISTICS AND DIDACTICS: THE INTERDISCIPLINARY APPROACH IN HUMANITIES AND SOCIAL SCIENCES (CILDIAH-2019)</t>
  </si>
  <si>
    <t>SHS Web of Conferences</t>
  </si>
  <si>
    <t>International Scientific and Practical Conference on Current Issues of Linguistics and Didactics - The Interdisciplinary Approach in Humanities and Social Sciences (CILDIAH)</t>
  </si>
  <si>
    <t>APR 23-28, 2019</t>
  </si>
  <si>
    <t>2261-2424</t>
  </si>
  <si>
    <t>10.1051/shsconf/20196900017</t>
  </si>
  <si>
    <t>WOS:000543686000016</t>
  </si>
  <si>
    <t>Vychegzhanin, S; Razova, E; Kotelnikov, E; Milov, V</t>
  </si>
  <si>
    <t>Vychegzhanin, Sergey; Razova, Elena; Kotelnikov, Evgeny; Milov, Vladimir</t>
  </si>
  <si>
    <t>Selecting an Optimal Feature Set for Stance Detection</t>
  </si>
  <si>
    <t>Kotelnikov, Evgeny/0000-0001-9745-1489; Razova, Elena/0000-0001-5557-5432; Vychegzhanin, Sergey/0000-0001-6456-7856</t>
  </si>
  <si>
    <t>10.1007/978-3-030-37334-4_22</t>
  </si>
  <si>
    <t>WOS:000611787800022</t>
  </si>
  <si>
    <t>Udalov, AA; Parshin, SV; Udalov, AV</t>
  </si>
  <si>
    <t>Udalov, Andrey A.; Parshin, Sergey V.; Udalov, Aleksandr V.</t>
  </si>
  <si>
    <t>Theoretical investigation of the effect of the taper angle of the deforming roller on the limiting degrees of deformation in the process of flow forming</t>
  </si>
  <si>
    <t>INTERNATIONAL CONFERENCE ON MODERN TRENDS IN MANUFACTURING TECHNOLOGIES AND EQUIPMENT (ICMTMTE 2018)</t>
  </si>
  <si>
    <t>Sevastopol State Univ,Natl Univ Sci &amp; Technol MISIS,Polzunov Altai State Tech Univ,Inlink Ltd,Int Union Machine Builders</t>
  </si>
  <si>
    <t>10.1051/matecconf/201822401040</t>
  </si>
  <si>
    <t>WOS:000476933600040</t>
  </si>
  <si>
    <t>Savinykh, NP; Shabalkina, SV; Maltseya, TA</t>
  </si>
  <si>
    <t>Savinykh, Natalya P.; Shabalkina, Svetlana V.; Maltseya, Tatyana A.</t>
  </si>
  <si>
    <t>Structural organization of semi-rosette hygrohelophytes</t>
  </si>
  <si>
    <t>WULFENIA</t>
  </si>
  <si>
    <t>1561-882X</t>
  </si>
  <si>
    <t>WOS:000417887400021</t>
  </si>
  <si>
    <t>Favstov, YK; Zhuravel, LV; Kochetkova, LP</t>
  </si>
  <si>
    <t>Structure and damping capacity of Br022 bell bronze</t>
  </si>
  <si>
    <t>10.1023/B:MSAT.0000019201.56753.34</t>
  </si>
  <si>
    <t>WOS:000221016500011</t>
  </si>
  <si>
    <t>The Development of Endurance Through Prolonged Running and Its Effect on the Attention of 9-10-Year-Olds</t>
  </si>
  <si>
    <t>ENTOMOLOGY AND APPLIED SCIENCE LETTERS</t>
  </si>
  <si>
    <t>2349-2864</t>
  </si>
  <si>
    <t>10.51847/2GXBEcgNwL</t>
  </si>
  <si>
    <t>WOS:000971992100003</t>
  </si>
  <si>
    <t>Three novel alleles, HLA-A*03:446, HLA-C*02:213, and HLA-C*02:214, identified by next-generation sequencing</t>
  </si>
  <si>
    <t>Loginova, M./0000-0001-7088-3986; Paramonov, Igor/0000-0002-7205-912X</t>
  </si>
  <si>
    <t>10.1111/tan.14748</t>
  </si>
  <si>
    <t>AUG 2022</t>
  </si>
  <si>
    <t>WOS:000837478000001</t>
  </si>
  <si>
    <t>Okhapkina, E; Tarasov, A; Okhapkin, V</t>
  </si>
  <si>
    <t>Okhapkina, Elena; Tarasov, Alexander; Okhapkin, Valentine</t>
  </si>
  <si>
    <t>Problem of identifying destructive informational influence in social networks</t>
  </si>
  <si>
    <t>2016 THIRD INTERNATIONAL CONFERENCE ON DIGITAL INFORMATION PROCESSING, DATA MINING, AND WIRELESS COMMUNICATIONS (DIPDMWC)</t>
  </si>
  <si>
    <t>3rd International Conference on Digital Information Processing, Data Mining, and Wireless Communications (DIPDMWC)</t>
  </si>
  <si>
    <t>JUL 06-08, 2016</t>
  </si>
  <si>
    <t>Okhapkin, Valentin/N-8058-2017; Okhapkina, Elena P/N-8013-2017</t>
  </si>
  <si>
    <t>Okhapkin, Valentin/0000-0002-3592-8699; Okhapkina, Elena P/0000-0002-2382-0891</t>
  </si>
  <si>
    <t>978-1-4673-9379-9</t>
  </si>
  <si>
    <t>WOS:000382516300009</t>
  </si>
  <si>
    <t>Paimushin, V; Firsov, V; Gunal, I; Shishkin, V</t>
  </si>
  <si>
    <t>Crocker, MJ; Pawelczyk, M; Pedrielli, F; Carletti, E; Luzzi, S</t>
  </si>
  <si>
    <t>Paimushin, Vitaliy; Firsov, Vyacheslav; Gunal, Ibrahim; Shishkin, Victor</t>
  </si>
  <si>
    <t>THEORETICAL-EXPERIMENTAL METHOD FOR INVESTIGATING THE DAMPING PROPERTIES OF MATERIALS</t>
  </si>
  <si>
    <t>PROCEEDINGS OF THE 22ND INTERNATIONAL CONGRESS ON SOUND AND VIBRATION: MAJOR CHALLENGES IN ACOUSTICS, NOISE AND VIBRATION RESEARCH, 2015</t>
  </si>
  <si>
    <t>22nd International Congress on Sound and Vibration (ICSV)</t>
  </si>
  <si>
    <t>JUL 12-16, 2015</t>
  </si>
  <si>
    <t>Florence, ITALY</t>
  </si>
  <si>
    <t>Gunal, Ibrahim/A-2110-2011</t>
  </si>
  <si>
    <t>Gunal, Ibrahim/0000-0001-6478-8579</t>
  </si>
  <si>
    <t>978-88-88942-48-3</t>
  </si>
  <si>
    <t>WOS:000398997004110</t>
  </si>
  <si>
    <t>Ushakova, YN; Kalinina, LA; Yurlov, IS; Fominykh, EG; Ananchenko, BA; Rossikhina, AA; Murin, IV</t>
  </si>
  <si>
    <t>Ushakova, Yu. N.; Kalinina, L. A.; Yurlov, I. S.; Fominykh, E. G.; Ananchenko, B. A.; Rossikhina, A. A.; Murin, I. V.</t>
  </si>
  <si>
    <t>Transport properties of solid electrolytes based on MeSm2S4</t>
  </si>
  <si>
    <t>Ananchenko, Boris/AAM-5831-2020; Murin, Igor V/L-6482-2013</t>
  </si>
  <si>
    <t>Ananchenko, Boris/0000-0002-7975-7828; Murin, Igor V/0000-0003-1869-7590; Kalinina, Ludmila/0000-0001-9471-2778</t>
  </si>
  <si>
    <t>10.1134/S1087659607040116</t>
  </si>
  <si>
    <t>WOS:000249259800011</t>
  </si>
  <si>
    <t>Babenko, MV; Chermnykh, VV</t>
  </si>
  <si>
    <t>Babenko, Marina Vladimirovna; Chermnykh, Vasiliy Vladimirovich</t>
  </si>
  <si>
    <t>Hilbert's basis theorem for a semiring of skew polynomials.</t>
  </si>
  <si>
    <t>10.21538/0134-4889-2022-28-2-56-65</t>
  </si>
  <si>
    <t>WOS:000905209900004</t>
  </si>
  <si>
    <t>The Influence of speed-power abilities on the intellectual abilities of school children with different strength of the nervous system</t>
  </si>
  <si>
    <t>10.53350/pjmhs211562072</t>
  </si>
  <si>
    <t>WOS:000691814600100</t>
  </si>
  <si>
    <t>Ushakova, YN; Kalinina, LA; Fominykh, EG; Yurlov, IS; Murin, IV</t>
  </si>
  <si>
    <t>Electrochemical methods for studying transport properties and the type of ionic conduction in solid electrolytes based on CaPr2S4 and Ca(Ba)SM2S4</t>
  </si>
  <si>
    <t>10.1007/s11175-005-0115-y</t>
  </si>
  <si>
    <t>WOS:000230551900005</t>
  </si>
  <si>
    <t>Rykova, TS; Turkina, EY</t>
  </si>
  <si>
    <t>Transport properties of glasses in the silver-germanium-selenium system</t>
  </si>
  <si>
    <t>WOS:000089046200011</t>
  </si>
  <si>
    <t>Aleshkin, AV; Bulatov, SY; Nechaev, VN; Nizovtsev, SL</t>
  </si>
  <si>
    <t>V. Aleshkin, A.; Bulatov, S. Yu.; Nechaev, V. N.; Nizovtsev, S. L.</t>
  </si>
  <si>
    <t>Influence of Suction Hole Diameter of Precision Seed Machine on the Characteristics of Feeding Corn and Sunflower Seeds</t>
  </si>
  <si>
    <t>10.15507/2658-4123.033.202301.037-051</t>
  </si>
  <si>
    <t>WOS:000994427200002</t>
  </si>
  <si>
    <t>Pentin, MA; Kalinina, LA; Kosheleva, EV; Ushakova, YN; Murin, IV</t>
  </si>
  <si>
    <t>Pentin, M. A.; Kalinina, L. A.; Kosheleva, E., V; Ushakova, Yu N.; Murin, I., V</t>
  </si>
  <si>
    <t>Research of Composite Materials BaSm2S4-ZrS2, CaY2S4-ZrS2</t>
  </si>
  <si>
    <t>10.1134/S1023193521070107</t>
  </si>
  <si>
    <t>WOS:000694843300004</t>
  </si>
  <si>
    <t>Babenko, M. V.; Chermnykh, V. V.</t>
  </si>
  <si>
    <t>Pierce stalks of semirings of skew polynomials</t>
  </si>
  <si>
    <t>Vasiliy, Chermnykh/AIC-7495-2022</t>
  </si>
  <si>
    <t>10.21538/0134-4889-2021-27-4-48-60</t>
  </si>
  <si>
    <t>WOS:000756004700004</t>
  </si>
  <si>
    <t>Vychegzhanin, S; Kotelnikov, E</t>
  </si>
  <si>
    <t>Vychegzhanin, Sergey; Kotelnikov, Evgeny</t>
  </si>
  <si>
    <t>A New Method for Stance Detection Based on Feature Selection Techniques and Ensembles of Classifiers</t>
  </si>
  <si>
    <t>10.1109/ACCESS.2021.3116657</t>
  </si>
  <si>
    <t>WOS:000704104400001</t>
  </si>
  <si>
    <t>Dmitriev, A; Ziganshin, B; Khaliullin, D; Aleshkin, A</t>
  </si>
  <si>
    <t>Dmitriev, Andrey; Ziganshin, Bulat; Khaliullin, Damir; Aleshkin, Alexey</t>
  </si>
  <si>
    <t>STUDY OF EFFICIENCY OF PEELING MACHINE WITH VARIABLE DECK</t>
  </si>
  <si>
    <t>Ziganshin, Bulat/U-8784-2017; Халиуллин, Дамир Т/F-7177-2018; Aleshkin, Aleksey/ABA-6228-2020</t>
  </si>
  <si>
    <t>Халиуллин, Дамир Т/0000-0002-1941-0013; Aleshkin, Aleksey/0000-0002-6949-1480</t>
  </si>
  <si>
    <t>10.22616/ERDev.2020.19.TF249</t>
  </si>
  <si>
    <t>WOS:000815085500148</t>
  </si>
  <si>
    <t>Gorev, PM; Masalimova, AR</t>
  </si>
  <si>
    <t>Gorev, Pavel M.; Masalimova, Alfiya R.</t>
  </si>
  <si>
    <t>Development of Meta-subject Competencies of the 7-9 Grades Basic School Students through the Implementation of Interdisciplinary Mathematical Courses</t>
  </si>
  <si>
    <t>Masalimova, Alfiya/K-3840-2015</t>
  </si>
  <si>
    <t>Masalimova, Alfiya/0000-0003-3711-2527; Gorev, Pavel/0000-0002-0640-8184</t>
  </si>
  <si>
    <t>10.12973/eurasia.2017.00764a</t>
  </si>
  <si>
    <t>WOS:000404607800063</t>
  </si>
  <si>
    <t>Loginova, M; Smirnova, D; Druzhinina, S; Yaroshenko, K; Paramonov, I</t>
  </si>
  <si>
    <t>Loginova, Maria; Smirnova, Daria; Druzhinina, Svetlana; Yaroshenko, Kristina; Paramonov, Igor</t>
  </si>
  <si>
    <t>Detection of the HLA-A*68:99:02 allele in a Russian unrelated hematopoietic cell donor</t>
  </si>
  <si>
    <t>10.1111/tan.14552</t>
  </si>
  <si>
    <t>WOS:000762015700001</t>
  </si>
  <si>
    <t>Elikov, AV; Tsapok, PI; Karpova, EM; Loktev, DB; Kozvonin, VA; Shmakova, LN</t>
  </si>
  <si>
    <t>Elikov, A. V.; Tsapok, P. I.; Karpova, E. M.; Loktev, D. B.; Kozvonin, V. A.; Shmakova, L. N.</t>
  </si>
  <si>
    <t>The effect of dried blueberries and food products enriched with them on metabolic parameters of carbon tetrachloride intoxication</t>
  </si>
  <si>
    <t>Kozvonin, Valeriy/0000-0002-2447-6949; Karpova, Evgeniya/0000-0002-4160-9440</t>
  </si>
  <si>
    <t>10.25750/1995-4301-2022-2-070-076</t>
  </si>
  <si>
    <t>WOS:000820802000009</t>
  </si>
  <si>
    <t>Development of Kinesthetic Differentiation of Movement Parameters of Children Aged 8-9 Years Using a Gymnastic Stick</t>
  </si>
  <si>
    <t>10.51847/zTI27OVMot</t>
  </si>
  <si>
    <t>WOS:000899150500009</t>
  </si>
  <si>
    <t>Meltsov, VY; Lapitsky, AA; Zhukova, NA; Vodyaho, AI</t>
  </si>
  <si>
    <t>Meltsov, Vasily Yu; Lapitsky, Alexey A.; Zhukova, Nataly A.; Vodyaho, Alexander, I</t>
  </si>
  <si>
    <t>Unit of One-Clock SRC Error Correction for transponder on FPGA</t>
  </si>
  <si>
    <t>PROCEEDINGS OF THE 2021 IEEE CONFERENCE OF RUSSIAN YOUNG RESEARCHERS IN ELECTRICAL AND ELECTRONIC ENGINEERING (ELCONRUS)</t>
  </si>
  <si>
    <t>IEEE Conference of Russian Young Researchers in Electrical and Electronic Engineering (ElConRus)</t>
  </si>
  <si>
    <t>JAN 26-28, 2021</t>
  </si>
  <si>
    <t>Saint Petersburg Electrotechn Univ, RUSSIA</t>
  </si>
  <si>
    <t>Saint Petersburg Electrotechn Univ</t>
  </si>
  <si>
    <t>Meltsov, Vasily Yurevich/P-7511-2017</t>
  </si>
  <si>
    <t>Meltsov, Vasily Yurevich/0000-0001-5479-9979</t>
  </si>
  <si>
    <t>978-1-6654-0476-1</t>
  </si>
  <si>
    <t>10.1109/ElConRus51938.2021.9396681</t>
  </si>
  <si>
    <t>WOS:000669709800035</t>
  </si>
  <si>
    <t>Rudenko, LG; Goryachikh, SP</t>
  </si>
  <si>
    <t>Rudenko, L. G.; Goryachikh, S. P.</t>
  </si>
  <si>
    <t>The Mechanism of Infrastructure Support for Development of Small Youth Entrepreneurship</t>
  </si>
  <si>
    <t>PROCEEDINGS OF THE INTERNATIONAL SCIENTIFIC CONFERENCE - FAR EAST CON (ISCFEC 2020)</t>
  </si>
  <si>
    <t>International Scientific Conference on Far East Con (ISCFEC)</t>
  </si>
  <si>
    <t>OCT 01-04, 2019</t>
  </si>
  <si>
    <t>Rudenko, Lyudmila/P-7868-2015; Goryachikh, Svetlana/F-2583-2019</t>
  </si>
  <si>
    <t>Rudenko, Lyudmila/0000-0001-7059-0198; Goryachikh, Svetlana/0000-0003-0186-5308</t>
  </si>
  <si>
    <t>978-94-6252-929-8</t>
  </si>
  <si>
    <t>WOS:000701397800051</t>
  </si>
  <si>
    <t>Paimushin, VN; Firsov, VA; Gyunal, I; Shishkin, VM</t>
  </si>
  <si>
    <t>Paimushin, V. N.; Firsov, V. A.; Gyunal, I.; Shishkin, V. M.</t>
  </si>
  <si>
    <t>Theoretical-Experimental Method for Evaluating the Elastic and Damping Characteristics of Soft Materials Based on Studying the Resonance Flexural Vibrations of Test Specimens</t>
  </si>
  <si>
    <t>MECHANICS OF COMPOSITE MATERIALS</t>
  </si>
  <si>
    <t>Gunal, Ibrahim/A-2110-2011; Shishkin, Viktor/U-2323-2018</t>
  </si>
  <si>
    <t>Gunal, Ibrahim/0000-0001-6478-8579; Shishkin, Viktor/0000-0002-1237-2309; Vyacheslav, Firsov/0000-0002-8948-1570</t>
  </si>
  <si>
    <t>0191-5665</t>
  </si>
  <si>
    <t>1573-8922</t>
  </si>
  <si>
    <t>10.1007/s11029-016-9608-x</t>
  </si>
  <si>
    <t>WOS:000389992300001</t>
  </si>
  <si>
    <t>Leushina, AP; Makhanova, EV; Zlomanov, VP</t>
  </si>
  <si>
    <t>Leushina, A. P.; Makhanova, E. V.; Zlomanov, V. P.</t>
  </si>
  <si>
    <t>Influence of the nature and density of defects on the thermodynamic and electrical properties of semiconductor materials</t>
  </si>
  <si>
    <t>INORGANIC MATERIALS</t>
  </si>
  <si>
    <t>0020-1685</t>
  </si>
  <si>
    <t>10.1134/S0020168510030118</t>
  </si>
  <si>
    <t>WOS:000275748500011</t>
  </si>
  <si>
    <t>Stakhov, AI; Landerson, NV; Domrachev, DG</t>
  </si>
  <si>
    <t>Stakhov, Alexander I.; Landerson, Natalia, V; Domrachev, Dmitry G.</t>
  </si>
  <si>
    <t>PUBLIC ADMINISTRATION IN RUSSIA AS A SUBJECT OF ADMINISTRATIVE PROCEDURE</t>
  </si>
  <si>
    <t>PRAVOPRIMENENIE-LAW ENFORCEMENT REVIEW</t>
  </si>
  <si>
    <t>Domrachev, Dmitriy/K-8370-2017</t>
  </si>
  <si>
    <t>Domrachev, Dmitriy/0000-0002-7967-9129</t>
  </si>
  <si>
    <t>2542-1514</t>
  </si>
  <si>
    <t>2658-4050</t>
  </si>
  <si>
    <t>10.52468/2542-1514.2021.5(4).55-77</t>
  </si>
  <si>
    <t>WOS:000744098400005</t>
  </si>
  <si>
    <t>Andryushchenko, IA; Berezina, YV; Skurikhina, OV</t>
  </si>
  <si>
    <t>Andryushchenko, I. A.; Berezina, Yu, V; Skurikhina, O., V</t>
  </si>
  <si>
    <t>PECULIARITIES OF THE LANGUAGE OF CRIMEAN BULGARIANS (BASED ON THE POPULATION CENSUS AND INTERVIEWS OF NATIVE BULGARIAN SPEAKERS IN CRIMEA)</t>
  </si>
  <si>
    <t>Andryushchenko, Irina/HDN-9865-2022</t>
  </si>
  <si>
    <t>Andryushchenko, Irina/0000-0002-6160-6052</t>
  </si>
  <si>
    <t>WOS:000572971200043</t>
  </si>
  <si>
    <t>Baykova, O; Bukharov, V; Porchesku, G</t>
  </si>
  <si>
    <t>Baykova, Olga; Bukharov, Valeriy; Porchesku, Galina</t>
  </si>
  <si>
    <t>LINGUISTIC INTERFERENCE IN CONTACTING LANGUAGES OF GERMAN-RUSSIAN BILINGUALS</t>
  </si>
  <si>
    <t>Baykova, Olga Vladimirovna/A-7435-2016; Porchesku, Galina/AAZ-8186-2020</t>
  </si>
  <si>
    <t>Baykova, Olga Vladimirovna/0000-0002-4859-8553; Porchesku, Galina/0000-0003-1423-3510</t>
  </si>
  <si>
    <t>WOS:000572971200002</t>
  </si>
  <si>
    <t>Trudonoshyn, O</t>
  </si>
  <si>
    <t>Trudonoshyn, O.</t>
  </si>
  <si>
    <t>Studying the Structure of Al-Mg-Si Casting Alloys Doped by Lithium</t>
  </si>
  <si>
    <t>10.1134/S0031918X2007011X</t>
  </si>
  <si>
    <t>WOS:000565173800011</t>
  </si>
  <si>
    <t>Domnina, EA; Ogorodnikova, SY; Pestov, SV; Ashikhmina, TY</t>
  </si>
  <si>
    <t>Domnina, E. A.; Ogorodnikova, S. Yu; Pestov, S., V; Ashikhmina, T. Ya</t>
  </si>
  <si>
    <t>Lichenoindication methods for assessing atmospheric air pollution by phosphorus compounds</t>
  </si>
  <si>
    <t>Pestov, Sergey V./N-2018-2013; Ashikhmina, Tamara/O-1326-2015</t>
  </si>
  <si>
    <t>Pestov, Sergey V./0000-0003-4919-0047; Ashikhmina, Tamara/0000-0003-4919-0047</t>
  </si>
  <si>
    <t>10.25750/1995-4301-2019-4-037-044</t>
  </si>
  <si>
    <t>WOS:000504049400005</t>
  </si>
  <si>
    <t>Paimushin, VN; Shishkin, VM</t>
  </si>
  <si>
    <t>Paimushin, V. N.; Shishkin, V. M.</t>
  </si>
  <si>
    <t>MODELING THE ELASTIC AND DAMPING PROPERTIES OF THE MULTILAYERED TORSION BAR-BLADE STRUCTURE OF ROTORS OF LIGHT HELICOPTERS OF THE NEW GENERATION 2. FINITE-ELEMENT APPROXIMATION OF BLADES AND A MODEL OF COUPLING OF THE TORSION BAR WITH THE BLADES</t>
  </si>
  <si>
    <t>Shishkin, Viktor/U-2323-2018; Paimusin, Vitalii/J-4458-2013</t>
  </si>
  <si>
    <t>Shishkin, Viktor/0000-0002-1237-2309; Paimusin, Vitalii/0000-0003-4070-2579</t>
  </si>
  <si>
    <t>10.1007/s11029-016-9548-5</t>
  </si>
  <si>
    <t>WOS:000368729200010</t>
  </si>
  <si>
    <t>Seledkin, EM; Kukhar, VD; Tsepin, MA; Apatov, KY</t>
  </si>
  <si>
    <t>Seledkin, E. M.; Kukhar', V. D.; Tsepin, M. A.; Apatov, K. Yu.</t>
  </si>
  <si>
    <t>Calculation of Reversible Gas Formation of Hollow Shells from the Sheet</t>
  </si>
  <si>
    <t>Kukhar, Vladimir D./L-7559-2016</t>
  </si>
  <si>
    <t>Kukhar, Vladimir D./0000-0001-6991-3041</t>
  </si>
  <si>
    <t>10.3103/S1067821210040103</t>
  </si>
  <si>
    <t>WOS:000282068400010</t>
  </si>
  <si>
    <t>Development of Vestibular Stability of Children in Physical Education Lessons</t>
  </si>
  <si>
    <t>INTERNATIONAL JOURNAL OF LIFE SCIENCE AND PHARMA RESEARCH</t>
  </si>
  <si>
    <t>2250-0480</t>
  </si>
  <si>
    <t>L104</t>
  </si>
  <si>
    <t>L108</t>
  </si>
  <si>
    <t>10.22376/ijlpr.2023.13.1.L104-108</t>
  </si>
  <si>
    <t>WOS:000912047300001</t>
  </si>
  <si>
    <t>Development of Spatial Orientation of Children Aged 8-9 Years Using a Gymnastic Stick</t>
  </si>
  <si>
    <t>INTERNATIONAL JOURNAL OF PHARMACEUTICAL RESEARCH AND ALLIED SCIENCES</t>
  </si>
  <si>
    <t>2277-3657</t>
  </si>
  <si>
    <t>10.51847/bvPSNlJliW</t>
  </si>
  <si>
    <t>WOS:000904502200001</t>
  </si>
  <si>
    <t>Udalov, AV; Udalov, AA</t>
  </si>
  <si>
    <t>Udalov, Aleksandr Viktorovich; Udalov, Andrey Aleksandrovich</t>
  </si>
  <si>
    <t>Investigation of Changes in the Resistance to Deformation of Low-Carbon Steel in the Process of Flow Forming</t>
  </si>
  <si>
    <t>Udalov, Aleksander/AAA-2488-2019</t>
  </si>
  <si>
    <t>10.17212/1994-6309-2019-21.3-59-71</t>
  </si>
  <si>
    <t>WOS:000485750300005</t>
  </si>
  <si>
    <t>Fufacheva, LA; Lepeshkin, SM; Fokina, OV; Sozinova, AA; Shchinova, RA</t>
  </si>
  <si>
    <t>Fufacheva, Lyudmila A.; Lepeshkin, Sergey M.; Fokina, Olga V.; Sozinova, Anastasia A.; Shchinova, Raisa A.</t>
  </si>
  <si>
    <t>Improvement of the Mechanism of Provision of Food Security of Russia Within Management of Risk System of Entrepreneurship</t>
  </si>
  <si>
    <t>Fokina, Olga/0000-0002-6697-3353; Sozinova, Anastasia/0000-0001-5876-2823</t>
  </si>
  <si>
    <t>10.1007/978-3-319-60696-5_2</t>
  </si>
  <si>
    <t>WOS:000426114200002</t>
  </si>
  <si>
    <t>Shelikhov, ES; Chernousova, AM; Vasilevykh, SL</t>
  </si>
  <si>
    <t>Shelikhov, E. S.; Chernousova, A. M.; Vasilevykh, S. L.</t>
  </si>
  <si>
    <t>Automatic Correction Control Program Method Realization of the CNC Machine Tool under Industrial Conditions</t>
  </si>
  <si>
    <t>WOS:000414282400059</t>
  </si>
  <si>
    <t>Domracheva, LI; Dabakh, EV; Kondakova, LV; Varaksina, AI</t>
  </si>
  <si>
    <t>Domracheva, L. I.; Dabakh, E. V.; Kondakova, L. V.; Varaksina, A. I.</t>
  </si>
  <si>
    <t>Algal-mycological complexes in soils upon their chemical pollution</t>
  </si>
  <si>
    <t>Ashikhmina, Tamara/O-1326-2015</t>
  </si>
  <si>
    <t>Ashikhmina, Tamara/0000-0003-4919-0047</t>
  </si>
  <si>
    <t>S91</t>
  </si>
  <si>
    <t>S97</t>
  </si>
  <si>
    <t>10.1134/S1064229306130151</t>
  </si>
  <si>
    <t>WOS:000245221500014</t>
  </si>
  <si>
    <t>Loginova, M; Repnicyna, K; Paramonov, I</t>
  </si>
  <si>
    <t>Loginova, Maria; Repnicyna, Kristina; Paramonov, Igor</t>
  </si>
  <si>
    <t>Next-generation sequencing identifies two novel HLA-DRB1 alleles, HLA-DRB1*04:362 and HLA-DRB1*07:148</t>
  </si>
  <si>
    <t>10.1111/tan.15037</t>
  </si>
  <si>
    <t>MAR 2023</t>
  </si>
  <si>
    <t>WOS:000955109100001</t>
  </si>
  <si>
    <t>Development to Adapt and Rebuild Motor Actions of Children Aged 8-9 Years Using a Coordination Ladder</t>
  </si>
  <si>
    <t>ARCHIVES OF PHARMACY PRACTICE</t>
  </si>
  <si>
    <t>2320-5210</t>
  </si>
  <si>
    <t>2045-080X</t>
  </si>
  <si>
    <t>10.51847/yDF12GeLiV</t>
  </si>
  <si>
    <t>WOS:000906730900003</t>
  </si>
  <si>
    <t>Litvinets, SG; Martinson, EA; Kuznetsov, SM; Zadorina, EO; Novikova, OA; Komosko, VG; Nikolaeva, AV; Troshin, MA; Gaysin, MT</t>
  </si>
  <si>
    <t>Litvinets, S. G.; Martinson, E. A.; Kuznetsov, S. M.; Zadorina, E. O.; Novikova, O. A.; Komosko, V. G.; Nikolaeva, A., V; Troshin, M. A.; Gaysin, M. T.</t>
  </si>
  <si>
    <t>Comparative evaluation of the efficiency of solid and liquid dispersants in simulation of oil and oil product spills</t>
  </si>
  <si>
    <t>Litvinets, Sergey/I-8188-2013</t>
  </si>
  <si>
    <t>Litvinets, Sergey/0000-0001-8583-5274; Zadorina, Elena/0000-0002-2509-8193</t>
  </si>
  <si>
    <t>10.25750/1995-4301-2022-1-115-123</t>
  </si>
  <si>
    <t>WOS:000819811100016</t>
  </si>
  <si>
    <t>Milchik, IV; Grishina, EN; Nagovitsyna, EV</t>
  </si>
  <si>
    <t>Milchik, Irina, V; Grishina, Elena N.; Nagovitsyna, Eleonora, V</t>
  </si>
  <si>
    <t>INVESTMENTS IN THE INNOVATIVE DEVELOPMENT OF REGIONAL ECONOMY: CONSEQUENCES FOR QUALITY OF REGIONAL ENTREPRENEURSHIP'S PRODUCTS</t>
  </si>
  <si>
    <t>10.24874/IJQR15.04-08</t>
  </si>
  <si>
    <t>WOS:000720953800008</t>
  </si>
  <si>
    <t>Petrov, I; Zemtsov, M; Bokareva, D; Ivashchenko, A</t>
  </si>
  <si>
    <t>Rudoy, D; Olshevskaya, A; Kankhva, V</t>
  </si>
  <si>
    <t>Petrov, Igor; Zemtsov, Maxim; Bokareva, Daria; Ivashchenko, Andrey</t>
  </si>
  <si>
    <t>Individual adaptation of targeted advertising to digital environment</t>
  </si>
  <si>
    <t>INNOVATIVE TECHNOLOGIES IN SCIENCE AND EDUCATION (ITSE-2020)</t>
  </si>
  <si>
    <t>8th Annual International Scientific and Practical Conference on Innovative Technologies in Science and Education (ITSE)</t>
  </si>
  <si>
    <t>AUG 19-30, 2020</t>
  </si>
  <si>
    <t>Don State Tech Univ, Fac Agribusiness, Divnomorskoe, RUSSIA</t>
  </si>
  <si>
    <t>Don State Tech Univ, Fac Agribusiness</t>
  </si>
  <si>
    <t>10.1051/e3sconf/202021013037</t>
  </si>
  <si>
    <t>WOS:000659867301086</t>
  </si>
  <si>
    <t>Komlev, V; Cheglakova, L; Timin, A; Kubrak, I</t>
  </si>
  <si>
    <t>Komlev, Vitaliy; Cheglakova, Larisa; Timin, Alexander; Kubrak, Irina</t>
  </si>
  <si>
    <t>Trends and priorities for sustainable development antirecession Russian business</t>
  </si>
  <si>
    <t>Cheglakova, Larisa/0000-0003-4128-0451; Komlev, Vitaliy/0000-0001-8198-6331</t>
  </si>
  <si>
    <t>10.1051/matecconf/201710608088</t>
  </si>
  <si>
    <t>WOS:000426426600273</t>
  </si>
  <si>
    <t>DEVELOPMENT OF AN IMPROVED TECHNIQUE FOR IDENTIFICATION OF THE DAMPING PROPERTIES OF ORTHOGONALLY REINFORCED COMPOSITES IN SHEAR</t>
  </si>
  <si>
    <t>Paimusin, Vitalii/0000-0003-4070-2579; Shishkin, Viktor/0000-0002-1237-2309; Vyacheslav, Firsov/0000-0002-8948-1570</t>
  </si>
  <si>
    <t>10.1007/s11029-016-9566-3</t>
  </si>
  <si>
    <t>WOS:000376306600001</t>
  </si>
  <si>
    <t>Loginova, M; Smirnova, D; Paramonov, I; Belyaev, A</t>
  </si>
  <si>
    <t>Loginova, Maria; Smirnova, Daria; Paramonov, Igor; Belyaev, Andrey</t>
  </si>
  <si>
    <t>Identification of two novel HLA alleles, HLA-A*03:344:02 and-DQB1*04:02:24 in Russian individuals</t>
  </si>
  <si>
    <t>10.1111/tan.14944</t>
  </si>
  <si>
    <t>WOS:000903700500001</t>
  </si>
  <si>
    <t>Vlasova, KV; Timchenko, VA</t>
  </si>
  <si>
    <t>Vlasova, Ksenia V.; Timchenko, Vladislav A.</t>
  </si>
  <si>
    <t>UN reform and its impact on the contemporary international relations system</t>
  </si>
  <si>
    <t>10.17223/15617793/476/13</t>
  </si>
  <si>
    <t>WOS:000868947100013</t>
  </si>
  <si>
    <t>Shilov, MA; Fomin, SV; Britova, AA; Korolev, PV</t>
  </si>
  <si>
    <t>Shilov, M. A.; Fomin, S., V; Britova, A. A.; Korolev, P., V</t>
  </si>
  <si>
    <t>INVESTIGATION OF PHYSICAL AND MECHANICAL PROPERTIES OF RUBBERS REINFORCED BY CARBON NANOSTRUCTURED COMPONENTS</t>
  </si>
  <si>
    <t>Shilov, Mikhail Aleksandrovich/D-9621-2017</t>
  </si>
  <si>
    <t>Shilov, Mikhail Aleksandrovich/0000-0002-6445-3303</t>
  </si>
  <si>
    <t>10.18083/LCAppl.2020.4.93</t>
  </si>
  <si>
    <t>WOS:000604530500010</t>
  </si>
  <si>
    <t>Kuznetsov, SM; Alalykin, AA; Lobanova, EO; Novikova, OA; Komosko, VG; Litvinets, SG; Martinson, EA; Nikolaeva, AV; Troshin, MA</t>
  </si>
  <si>
    <t>Kuznetsov, S. M.; Alalykin, A. A.; Lobanova, E. O.; Novikova, O. A.; Komosko, V. G.; Litvinets, S. G.; Martinson, E. A.; Nikolaeva, A., V; Troshin, M. A.</t>
  </si>
  <si>
    <t>The ability of certain oil destructive bacteria to produce biosurfactants</t>
  </si>
  <si>
    <t>Litvinets, Sergey/0000-0001-8583-5274</t>
  </si>
  <si>
    <t>10.25750/1995-4301-2020-2-130-135</t>
  </si>
  <si>
    <t>WOS:000545295600018</t>
  </si>
  <si>
    <t>Makarov, AN; Kirichuk, EV</t>
  </si>
  <si>
    <t>Makarov, Arkadii N.; Kirichuk, Elena, V</t>
  </si>
  <si>
    <t>IMAGE OF MARY STUART IN TRAGEDIES OF C.H. SPIESS AND F. SCHILLER</t>
  </si>
  <si>
    <t>Kirichuk, Elena/Y-1095-2018; Makarov, Arkadii/ABC-1625-2020</t>
  </si>
  <si>
    <t xml:space="preserve">Kirichuk, Elena/0000-0003-2907-5439; </t>
  </si>
  <si>
    <t>10.24224/2227-1295-2020-7-266-283</t>
  </si>
  <si>
    <t>WOS:000568419600017</t>
  </si>
  <si>
    <t>Udalov, AA; Udalov, AV; Vasilevykh, SL</t>
  </si>
  <si>
    <t>Udalov, A. A.; Udalov, A., V; Vasilevykh, S. L.</t>
  </si>
  <si>
    <t>Strength Parameters of Hardening Cylindrical Workpieces by Tapered Roller</t>
  </si>
  <si>
    <t>PROCEEDINGS OF THE 5TH INTERNATIONAL CONFERENCE ON INDUSTRIAL ENGINEERING, ICIE 2019, VOL II</t>
  </si>
  <si>
    <t>Udalov, Andrey/0000-0003-0886-3014; Udalov, Aleksander/0000-0003-0210-5423</t>
  </si>
  <si>
    <t>978-3-030-22063-1; 978-3-030-22062-4</t>
  </si>
  <si>
    <t>10.1007/978-3-030-22063-1_37</t>
  </si>
  <si>
    <t>WOS:000613005500037</t>
  </si>
  <si>
    <t>Shilov, MA; Korolev, PV; Maslov, LB; Shirokova, ES</t>
  </si>
  <si>
    <t>Shilov, M. A.; Korolev, P. V.; Maslov, L. B.; Shirokova, E. S.</t>
  </si>
  <si>
    <t>Modelling of quasistatic rolling of pneumatic tyre in Abaqus program complex</t>
  </si>
  <si>
    <t>INTERNATIONAL CONFERENCE OF YOUNG SCIENTISTS AND STUDENTS: TOPICAL PROBLEMS OF MECHANICAL ENGINEERING 2018</t>
  </si>
  <si>
    <t>30th International Conference of Young Scientists and Students - Topical Problems of Mechanical Engineering (TopME)</t>
  </si>
  <si>
    <t>NOV 20-23, 2018</t>
  </si>
  <si>
    <t>Russian Acad Sci, Blagonravov Mech Engn Res Inst</t>
  </si>
  <si>
    <t>Maslov, Leonid/C-9219-2019; Korolev, Pavel/P-1306-2019; E.S., Shirokova/L-2195-2017; Shilov, Mikhail Aleksandrovich/D-9621-2017</t>
  </si>
  <si>
    <t>Maslov, Leonid/0000-0002-7423-3996; Korolev, Pavel/0000-0003-2196-8136; E.S., Shirokova/0000-0001-5735-3489; Shilov, Mikhail Aleksandrovich/0000-0002-6445-3303</t>
  </si>
  <si>
    <t>10.1088/1757-899X/489/1/012030</t>
  </si>
  <si>
    <t>WOS:000471174700030</t>
  </si>
  <si>
    <t>Khodyreva, EA; Youngblood, VT</t>
  </si>
  <si>
    <t>Khodyreva, Elena A.; Youngblood, Valery T.</t>
  </si>
  <si>
    <t>QUALITY OF PSYCHO-PEDAGOGICAL TRAINING OF PROSPECTIVE TEACHERS: THE EMPLOYER'S PERSPECTIVE</t>
  </si>
  <si>
    <t>Yungblyud, Valeriy T./J-8665-2016; Khodyreva, Elena/AAE-3535-2019</t>
  </si>
  <si>
    <t>10.15405/epsbs.2018.09.2</t>
  </si>
  <si>
    <t>WOS:000472144400002</t>
  </si>
  <si>
    <t>Karanina, E; Ilysheva, N; Krylov, S</t>
  </si>
  <si>
    <t>Loster, T; Pavelka, T</t>
  </si>
  <si>
    <t>Karanina, Elena; Ilysheva, Nina; Krylov, Sergey</t>
  </si>
  <si>
    <t>CONCEPTUAL AND ANALYTICAL ASPECTS OF THE RISK SYSTEM IN A REGIONAL ECONOMY</t>
  </si>
  <si>
    <t>11TH INTERNATIONAL DAYS OF STATISTICS AND ECONOMICS</t>
  </si>
  <si>
    <t>11th International Days of Statistics and Economics</t>
  </si>
  <si>
    <t>SEP 14-16, 2017</t>
  </si>
  <si>
    <t>Univ Econ, Dept Microecon,Dept Stat &amp; Probabil,Tech Univ Kosice, Fac Econ,Ton Duc Thung Univ,Vysoka Skola Ekonomicka Praze</t>
  </si>
  <si>
    <t>Karanina, Elena E.V./L-1395-2016; Krylov, Sergey Ivanovich/C-1814-2013</t>
  </si>
  <si>
    <t>Karanina, Elena E.V./0000-0002-5439-5912; Krylov, Sergey Ivanovich/0000-0001-6750-085X</t>
  </si>
  <si>
    <t>978-80-87990-12-4</t>
  </si>
  <si>
    <t>WOS:000455325300065</t>
  </si>
  <si>
    <t>IDENTIFICATION OF THE ELASTICITY AND DAMPING CHARACTERISTICS OF A FIBERGLASS BASED ON A STUDY OF DYING FLEXURAL VIBRATIONS OF TEST SAMPLES</t>
  </si>
  <si>
    <t>Gunal, Ibrahim/A-2110-2011; Shishkin, Viktor/U-2323-2018; Paimusin, Vitalii/J-4458-2013</t>
  </si>
  <si>
    <t>Gunal, Ibrahim/0000-0001-6478-8579; Shishkin, Viktor/0000-0002-1237-2309; Vyacheslav, Firsov/0000-0002-8948-1570; Paimusin, Vitalii/0000-0003-4070-2579</t>
  </si>
  <si>
    <t>10.1007/s11029-015-9500-0</t>
  </si>
  <si>
    <t>WOS:000360935200003</t>
  </si>
  <si>
    <t>Ushakova, YN; Kalinina, LA; Yurlov, IS; Bayderina, TV; Murin, IV</t>
  </si>
  <si>
    <t>Ushakova, Yu. N.; Kalinina, L. A.; Yurlov, I. S.; Bayderina, T. V.; Murin, I. V.</t>
  </si>
  <si>
    <t>Electrochemical properties of solid electrolytes based on BaSm2S4</t>
  </si>
  <si>
    <t>10.1134/S1023193509060093</t>
  </si>
  <si>
    <t>WOS:000267670800009</t>
  </si>
  <si>
    <t>Kalinina, LA; Shirokova, GI; Murin, IV; Ushakova, YN; Fominykh, EG; Lyalina, MY</t>
  </si>
  <si>
    <t>Sulfide-conducting solid electrolytes</t>
  </si>
  <si>
    <t>WOS:000166725200018</t>
  </si>
  <si>
    <t>Design and implementation of multiple-precision BLAS Level 1 functions for graphics processing units</t>
  </si>
  <si>
    <t>JOURNAL OF PARALLEL AND DISTRIBUTED COMPUTING</t>
  </si>
  <si>
    <t>0743-7315</t>
  </si>
  <si>
    <t>1096-0848</t>
  </si>
  <si>
    <t>10.1016/j.jpdc.2020.02.006</t>
  </si>
  <si>
    <t>WOS:000527288900003</t>
  </si>
  <si>
    <t>Cherkasov, V; Avdonin, V; Yurkin, Y; Suntsov, D</t>
  </si>
  <si>
    <t>Cherkasov, Vasiliy; Avdonin, Valeriy; Yurkin, Yuriy; Suntsov, Dmitrii</t>
  </si>
  <si>
    <t>PREDICTION OF RADIATION SHIELDING PROPERTIES OF SELF ADHESIVE ELASTIC COATING</t>
  </si>
  <si>
    <t>10.18720/MPM.4262019_14</t>
  </si>
  <si>
    <t>WOS:000504843000014</t>
  </si>
  <si>
    <t>Vasilevykh, S; Udalov, A; Shelikhov, E</t>
  </si>
  <si>
    <t>Vasilevykh, Sergey; Udalov, Alexander; Shelikhov, Evgeny</t>
  </si>
  <si>
    <t>The study of the dynamics of the cutting process of longitudinal turning of non-rigid shafts</t>
  </si>
  <si>
    <t>10.1016/j.matpr.2019.07.680</t>
  </si>
  <si>
    <t>WOS:000507473500119</t>
  </si>
  <si>
    <t>Huang, TH; Nikulin, V; Chen, LB</t>
  </si>
  <si>
    <t>Matsuo, T; Kanzaki, A; Komoda, N; Hiramatsu, A</t>
  </si>
  <si>
    <t>Huang, Tian-Hsiang; Nikulin, Vladimir; Chen, Liang-Bi</t>
  </si>
  <si>
    <t>Detection of Abnormalities in Driving Style Based on Moving Object Trajectories without Labels</t>
  </si>
  <si>
    <t>PROCEEDINGS 2016 5TH IIAI INTERNATIONAL CONGRESS ON ADVANCED APPLIED INFORMATICS IIAI-AAI 2016</t>
  </si>
  <si>
    <t>5th IIAI International Congress on Advanced Applied Informatics (IIAI-AAI)</t>
  </si>
  <si>
    <t>JUL 10-14, 2016</t>
  </si>
  <si>
    <t>Kumamoto, JAPAN</t>
  </si>
  <si>
    <t>Int Inst Appl Informat</t>
  </si>
  <si>
    <t>Chen, Liang-Bi/I-7928-2019; Huang, Tian-Hsiang/AAC-7389-2019</t>
  </si>
  <si>
    <t>Chen, Liang-Bi/0000-0003-3181-4480; Huang, Tian-Hsiang/0000-0001-6114-0144</t>
  </si>
  <si>
    <t>978-1-4673-8985-3</t>
  </si>
  <si>
    <t>10.1109/IIAI-AAI.2016.92</t>
  </si>
  <si>
    <t>WOS:000389501300131</t>
  </si>
  <si>
    <t>Kalinina, LA; Shirokova, GI; Ushakova, YN; Fominykh, EG; Medvedeva, OV; Murin, IV</t>
  </si>
  <si>
    <t>Utilizing sulfide-selective membranes with regenerated properties in sensors of sulfur-containing gases</t>
  </si>
  <si>
    <t>10.1007/s11175-005-0116-x</t>
  </si>
  <si>
    <t>WOS:000230551900006</t>
  </si>
  <si>
    <t>Oliferova, LA; Statkus, MA; Tikhomirova, TI; Baskin, ZL; Tsizin, GI</t>
  </si>
  <si>
    <t>Preconcentration of naphthalene, biphenyl, and acenaphthene on fluoroplastic sorbents</t>
  </si>
  <si>
    <t>Tikhomirova, Tatyana/D-1376-2015; Tsysin, Grigoriy I/E-2034-2012; Statkus, Mikhail/E-2011-2012</t>
  </si>
  <si>
    <t>Statkus, Mikhail/0000-0003-3175-9338</t>
  </si>
  <si>
    <t>1608-3199</t>
  </si>
  <si>
    <t>10.1023/B:JANC.0000040698.44884.ad</t>
  </si>
  <si>
    <t>WOS:000224141700006</t>
  </si>
  <si>
    <t>Loginova, M.; Smirnova, D.; Druzhinina, S.; Paramonov, I.</t>
  </si>
  <si>
    <t>Description of two new alleles: HLA-B*50:79 and HLA-DRB1*04:332</t>
  </si>
  <si>
    <t>10.1111/tan.14558</t>
  </si>
  <si>
    <t>WOS:000749250800001</t>
  </si>
  <si>
    <t>Buldakova, YV; Shishkin, DA</t>
  </si>
  <si>
    <t>Buldakova, Yulia, V; Shishkin, Dmitry A.</t>
  </si>
  <si>
    <t>Comics in Russia: Transmedia Narrative and Publishing Strategies</t>
  </si>
  <si>
    <t>Yulia, Buldakova/AAD-1856-2021</t>
  </si>
  <si>
    <t>Yulia, Buldakova/0000-0001-5391-5333</t>
  </si>
  <si>
    <t>10.17223/23062061/23/7</t>
  </si>
  <si>
    <t>WOS:000574371400007</t>
  </si>
  <si>
    <t>Rozhentsova, I; Mottaeva, A</t>
  </si>
  <si>
    <t>Rozhentsova, Irina; Mottaeva, Angela</t>
  </si>
  <si>
    <t>Terms of orientation on customer needs in the housing sector</t>
  </si>
  <si>
    <t>Mottaeva, Angela/AAD-2189-2022</t>
  </si>
  <si>
    <t>Mottaeva, Angela/0000-0001-8904-4154</t>
  </si>
  <si>
    <t>10.1051/matecconf/201710608076</t>
  </si>
  <si>
    <t>WOS:000426426600261</t>
  </si>
  <si>
    <t>T-x phase diagrams of the GeSe-GeI2 and NaI-GeI2 systems</t>
  </si>
  <si>
    <t>10.1134/S0020168506050049</t>
  </si>
  <si>
    <t>WOS:000237676000004</t>
  </si>
  <si>
    <t>Development to Coordinate (Connect-Unit) Movements of Children Aged 8-9 Years Using a Coordination Ladder</t>
  </si>
  <si>
    <t>10.51847/h2jlKTkM26</t>
  </si>
  <si>
    <t>WOS:000899154600008</t>
  </si>
  <si>
    <t>Rubleva, OA; Gorokhovsky, AG</t>
  </si>
  <si>
    <t>Rubleva, O. A.; Gorokhovsky, A. G.</t>
  </si>
  <si>
    <t>EXPERIMENTAL EVALUATION OF STRENGTH OF END JOINTS WITH RECTANGULAR PRESSED FINGERS</t>
  </si>
  <si>
    <t>LESNOY ZHURNAL-FORESTRY JOURNAL</t>
  </si>
  <si>
    <t>0536-1036</t>
  </si>
  <si>
    <t>10.37482/0536-1036-2020-3-128-142</t>
  </si>
  <si>
    <t>WOS:000540068900010</t>
  </si>
  <si>
    <t>Kondakova, LV; Bezdenezhnykh, KA; Ashikhmina, TY</t>
  </si>
  <si>
    <t>Kondakova, L., V; Bezdenezhnykh, K. A.; Ashikhmina, T. Ya</t>
  </si>
  <si>
    <t>Algological analysis of soil state in the vicinity of the plant Maradykovskiy after it finished functioning</t>
  </si>
  <si>
    <t>10.25750/1995-4301-2019-1-023-029</t>
  </si>
  <si>
    <t>WOS:000468565900003</t>
  </si>
  <si>
    <t>Cherkasov, VD; Avdonin, VV; Suntsov, DL</t>
  </si>
  <si>
    <t>Cherkasov, V. D.; Avdonin, V. V.; Suntsov, D. L.</t>
  </si>
  <si>
    <t>Influence of filler content on adhesive properties of radiation-protective sheeting</t>
  </si>
  <si>
    <t>10.1088/1757-899X/451/1/012205</t>
  </si>
  <si>
    <t>WOS:000648426900205</t>
  </si>
  <si>
    <t>Mottaeva, A; Gritsuk, N</t>
  </si>
  <si>
    <t>Mottaeva, Asiiat; Gritsuk, Natalia</t>
  </si>
  <si>
    <t>Development of infrastructure of support of small and medium business</t>
  </si>
  <si>
    <t>Mottaeva, Angela/0000-0001-8904-4154; Mottaeva, Asiiat/0000-0001-5854-6944</t>
  </si>
  <si>
    <t>10.1051/matecconf/201710608083</t>
  </si>
  <si>
    <t>WOS:000426426600268</t>
  </si>
  <si>
    <t>Savel'eva, N; Lapteva, I; Araslanova, O; Matushkina, Y; Koykova, T; Graboyy, K</t>
  </si>
  <si>
    <t>Savel'eva, Nadezhda; Lapteva, Irina; Araslanova, Olga; Matushkina, Yulia; Koykova, Tatyana; Graboyy, Kirill</t>
  </si>
  <si>
    <t>Integrated assessment technology in management of competition efficiency in business corporations</t>
  </si>
  <si>
    <t>Saveleva, Nadezda/0000-0002-9497-6172; Koikova, Tatyana/0000-0003-1729-5880</t>
  </si>
  <si>
    <t>10.1051/matecconf/201710608086</t>
  </si>
  <si>
    <t>WOS:000426426600271</t>
  </si>
  <si>
    <t>Sadakova, V; Safin, R</t>
  </si>
  <si>
    <t>Sadakova, Vera; Safin, Ruslan</t>
  </si>
  <si>
    <t>METHODS OF CREATION SO-CALLED CHAOTIC PATTERNS ON A SURFACE AND IN A VOLUME OF A GLASS SAMPLE</t>
  </si>
  <si>
    <t>Safin, Ruslan R/O-9355-2015</t>
  </si>
  <si>
    <t>Safin, Ruslan R/0000-0002-0226-4232</t>
  </si>
  <si>
    <t>WOS:000378098500062</t>
  </si>
  <si>
    <t>Dyatlov, VA; Grebeneva, TA; Rustamov, IR; Koledenkov, AA; Kolotilova, NV; Kireev, VV; Prudskov, BM</t>
  </si>
  <si>
    <t>Dyatlov, V. A.; Grebeneva, T. A.; Rustamov, I. R.; Koledenkov, A. A.; Kolotilova, N. V.; Kireev, V. V.; Prudskov, B. M.</t>
  </si>
  <si>
    <t>Hydrolysis of polyacrylonitrile in aqueous solution of sodium carbonate</t>
  </si>
  <si>
    <t>Kireev, Vjacheslav/D-8447-2014</t>
  </si>
  <si>
    <t>Kireev, Vyacheslav/0000-0001-8543-6353</t>
  </si>
  <si>
    <t>1555-6123</t>
  </si>
  <si>
    <t>10.1134/S1560090412030050</t>
  </si>
  <si>
    <t>WOS:000303357200005</t>
  </si>
  <si>
    <t>Loginova, M; Druzhinina, S; Paramonov, I</t>
  </si>
  <si>
    <t>Loginova, Maria; Druzhinina, Svetlana; Paramonov, Igor</t>
  </si>
  <si>
    <t>Characterization of two new HLA class I alleles: HLAA*02:1065 and HLA-C*02:216N</t>
  </si>
  <si>
    <t>10.1111/tan.14802</t>
  </si>
  <si>
    <t>WOS:000853301800001</t>
  </si>
  <si>
    <t>Characterization of the novel HLA-C*03:598 allele</t>
  </si>
  <si>
    <t>10.1111/tan.14683</t>
  </si>
  <si>
    <t>JUN 2022</t>
  </si>
  <si>
    <t>WOS:000807523600001</t>
  </si>
  <si>
    <t>The Effect of Speed and Strength Training on the Indicators of Attention Stability of Children Aged 13-14 Years with different Typologies</t>
  </si>
  <si>
    <t>10.22038/IJP.2021.56526.4442</t>
  </si>
  <si>
    <t>WOS:000641158200005</t>
  </si>
  <si>
    <t>Ilysheva, NN; Karanina, EV; Kyzyurov, MS</t>
  </si>
  <si>
    <t>Ilysheva, Nina N.; Karanina, Elena, V; Kyzyurov, Mihail S.</t>
  </si>
  <si>
    <t>Diagnostics of Threats to Regional Fiscal Security</t>
  </si>
  <si>
    <t>EKONOMIKA REGIONA-ECONOMY OF REGION</t>
  </si>
  <si>
    <t>2072-6414</t>
  </si>
  <si>
    <t>2411-1406</t>
  </si>
  <si>
    <t>10.17059/ekon.reg.2021-4-22</t>
  </si>
  <si>
    <t>WOS:000753139500022</t>
  </si>
  <si>
    <t>Pirogova, O; Makarevich, M; Khareva, V; Saveleva, N</t>
  </si>
  <si>
    <t>Pirogova, Oksana; Makarevich, Marina; Khareva, Victoria; Saveleva, Nadezhda</t>
  </si>
  <si>
    <t>Improving the use effectiveness of trading enterprises intellectual capital at the stages of the life cycle in the context of digitalization</t>
  </si>
  <si>
    <t>INTERNATIONAL SCIENTIFIC CONFERENCE DIGITAL TRANSFORMATION ON MANUFACTURING, INFRASTRUCTURE AND SERVICE</t>
  </si>
  <si>
    <t>International Scientific Conference on Digital Transformation on Manufacturing, Infrastructure and Service (DTMIS)</t>
  </si>
  <si>
    <t>NOV 21-22, 2019</t>
  </si>
  <si>
    <t>St. Petersburg, RUSSIA</t>
  </si>
  <si>
    <t>10.1088/1757-899X/940/1/012053</t>
  </si>
  <si>
    <t>WOS:000632620800053</t>
  </si>
  <si>
    <t>Huang, TH; Nikulin, V</t>
  </si>
  <si>
    <t>Peng, WC; Wang, H; Bailey, J; Tseng, VS; Ho, TB; Zhou, ZH; Chen, ALP</t>
  </si>
  <si>
    <t>Huang, Tian-Hsiang; Nikulin, Vladimir</t>
  </si>
  <si>
    <t>Two Algorithms Under Stochastic Gradient Descent Framework for Recommender Systems</t>
  </si>
  <si>
    <t>TRENDS AND APPLICATIONS IN KNOWLEDGE DISCOVERY AND DATA MINING</t>
  </si>
  <si>
    <t>18th Pacific-Asia Conference on Knowledge Discovery and Data Mining (PAKDD)</t>
  </si>
  <si>
    <t>MAY 13-16, 2014</t>
  </si>
  <si>
    <t>Tainan, TAIWAN</t>
  </si>
  <si>
    <t>Huang, Tian-Hsiang/AAC-7389-2019</t>
  </si>
  <si>
    <t>Huang, Tian-Hsiang/0000-0001-6114-0144</t>
  </si>
  <si>
    <t>978-3-319-13186-3; 978-3-319-13185-6</t>
  </si>
  <si>
    <t>10.1007/978-3-319-13186-3_21</t>
  </si>
  <si>
    <t>WOS:000354705300021</t>
  </si>
  <si>
    <t>Vechtomov, EM; Chermnykh, VV</t>
  </si>
  <si>
    <t>Vechtomov, E. M.; Chermnykh, V. V.</t>
  </si>
  <si>
    <t>Lambek Functional Representation of Generalized Symmetric Semirings</t>
  </si>
  <si>
    <t>RUSSIAN MATHEMATICS</t>
  </si>
  <si>
    <t>1066-369X</t>
  </si>
  <si>
    <t>1934-810X</t>
  </si>
  <si>
    <t>10.3103/S1066369X2302007X</t>
  </si>
  <si>
    <t>WOS:000998928200002</t>
  </si>
  <si>
    <t>A novel HLA-B57 allele, HLA-B57:163, was identified by next generation sequencing typing</t>
  </si>
  <si>
    <t>10.1111/tan.14838</t>
  </si>
  <si>
    <t>WOS:000865644000001</t>
  </si>
  <si>
    <t>Raskovalov, AA; Saetova, NS; Vlasov, MI; Antonov, BD</t>
  </si>
  <si>
    <t>Raskovalov, A. A.; Saetova, N. S.; Vlasov, M. I.; Antonov, B. D.</t>
  </si>
  <si>
    <t>Electric Conductivity of Glasses in the MgO-V2O5-P2O5 System</t>
  </si>
  <si>
    <t>Vlasov, Maxim/M-1739-2016</t>
  </si>
  <si>
    <t>Vlasov, Maxim/0000-0002-7814-7489</t>
  </si>
  <si>
    <t>10.1134/S1023193521090056</t>
  </si>
  <si>
    <t>WOS:000702661000003</t>
  </si>
  <si>
    <t>Kalinin, AA; Davidyuk, DS; Bokov, NA; Abubalarova, RI; Shirokikh, AA</t>
  </si>
  <si>
    <t>Kalinin, A. A.; Davidyuk, D. S.; Bokov, N. A.; Abubalarova, R., I; Shirokikh, A. A.</t>
  </si>
  <si>
    <t>Effect of the new biological product created on the basis of Trichoderma on soil microorganisms and plants of different taxons</t>
  </si>
  <si>
    <t>; Shirokikh, Alexandr/X-1684-2018</t>
  </si>
  <si>
    <t>daviduk, dmitrii/0000-0002-4014-9673; Shirokikh, Alexandr/0000-0002-7808-0376</t>
  </si>
  <si>
    <t>10.25750/1995-4301-2021-2-115-121</t>
  </si>
  <si>
    <t>WOS:000667025400016</t>
  </si>
  <si>
    <t>Domrachev, DG; KirillovYkh, AA; Pugach, VN; Gordeeva, YM</t>
  </si>
  <si>
    <t>Domrachev, D. G.; KirillovYkh, A. A.; Pugach, V. N.; Gordeeva, Y. M.</t>
  </si>
  <si>
    <t>Environmental safety of consumer products: legal and regulatory issues</t>
  </si>
  <si>
    <t>Gordeeva, Yelena M./AAD-1740-2019; Pugach, Valentin/V-8991-2018; Kirillovykh, Andrey/J-7815-2016; Domrachev, Dmitriy/K-8370-2017</t>
  </si>
  <si>
    <t>Gordeeva, Yelena M./0000-0003-4337-6721; Pugach, Valentin/0000-0003-1220-4062; Kirillovykh, Andrey/0000-0002-0035-9035; Domrachev, Dmitriy/0000-0002-7967-9129</t>
  </si>
  <si>
    <t>10.25750/1995-4301-2019-2-131-136</t>
  </si>
  <si>
    <t>WOS:000477826000016</t>
  </si>
  <si>
    <t>Snigireva, EA; Lebedeva, OV</t>
  </si>
  <si>
    <t>Snigireva, E. A.; Lebedeva, O., V</t>
  </si>
  <si>
    <t>Y Forming Future Economists' Competitiveness as a Qualitative Indicator of Human Capital</t>
  </si>
  <si>
    <t>WOS:000679066800117</t>
  </si>
  <si>
    <t>Utemov, VV; Masalimova, AR</t>
  </si>
  <si>
    <t>Utemov, Vyacheslav V.; Masalimova, Alfiya R.</t>
  </si>
  <si>
    <t>Differentiation of Creative Mathematical Problems for Primary School Students</t>
  </si>
  <si>
    <t>Utemov, Vyacheslav V/F-1651-2017; Masalimova, Alfiya/K-3840-2015</t>
  </si>
  <si>
    <t>Utemov, Vyacheslav V/0000-0001-8156-5916; Masalimova, Alfiya/0000-0003-3711-2527</t>
  </si>
  <si>
    <t>10.12973/eurasia.2017.00931a</t>
  </si>
  <si>
    <t>WOS:000409067500002</t>
  </si>
  <si>
    <t>Modeling the Elastic and Damping Properties of the Multilayered Torsion Bar-Blade Structure of Rotors of Light Helicopters of the New Generation. 1. Finite-Element Approximation of the Torsion Bar</t>
  </si>
  <si>
    <t>10.1007/s11029-015-9531-6</t>
  </si>
  <si>
    <t>WOS:000365271200007</t>
  </si>
  <si>
    <t>Nikulin, V; Huang, TH; Lu, JD</t>
  </si>
  <si>
    <t>Nikulin, Vladimir; Huang, Tian-Hsiang; Lu, Jian-De</t>
  </si>
  <si>
    <t>Mining Shoppers Data Streams to Predict Customers Loyalty</t>
  </si>
  <si>
    <t>2015 10TH INTERNATIONAL CONFERENCE ON INTELLIGENT SYSTEMS AND KNOWLEDGE ENGINEERING (ISKE)</t>
  </si>
  <si>
    <t>International Conference on Knowledge and Systems Engineering</t>
  </si>
  <si>
    <t>10th International Conference on Intelligent Systems and Knowledge Engineering (ISKE)</t>
  </si>
  <si>
    <t>NOV 24-27, 2015</t>
  </si>
  <si>
    <t>Taipei, TAIWAN</t>
  </si>
  <si>
    <t>Natl Taiwan Univ Sci &amp; Technol,SW Jiaotong Univ,Taiwan Tech,IEEE Taipei Sect,Minist Sci &amp; Technol,Univ Technol Sydney,IEEE Comp Soc</t>
  </si>
  <si>
    <t>2164-2508</t>
  </si>
  <si>
    <t>978-1-4673-9323-2</t>
  </si>
  <si>
    <t>10.1109/ISKE.2015.28</t>
  </si>
  <si>
    <t>WOS:000380396100006</t>
  </si>
  <si>
    <t>Use of sulfide-selective membranes in sensors for sulfur-containing gasses</t>
  </si>
  <si>
    <t>Meeting of the European-Ceramic-Society</t>
  </si>
  <si>
    <t>JUL 05-07, 2004</t>
  </si>
  <si>
    <t>10.1007/s10720-005-0067-z</t>
  </si>
  <si>
    <t>WOS:000230552700013</t>
  </si>
  <si>
    <t>Leushina, AP; Danilov, DN; Zlomanov, VP</t>
  </si>
  <si>
    <t>Dependences on the composition and a comparison of electrolytic properties of some germanium-containing quasi-binary salt systems</t>
  </si>
  <si>
    <t>10.1007/s11175-005-0102-3</t>
  </si>
  <si>
    <t>WOS:000229725000015</t>
  </si>
  <si>
    <t>Perevozchikova, MS; Sokolova, AN; Gavrilovskaya, NV; Benin, DM</t>
  </si>
  <si>
    <t>Perevozchikova, Marina S.; Sokolova, Anna N.; Gavrilovskaya, Nadezhda V.; Benin, Dmitrii M.</t>
  </si>
  <si>
    <t>Research of the Possibilities of Interactive Simulators in Intercultural Communication for the Formation of Students' Algorithmic Thinking</t>
  </si>
  <si>
    <t>Sokolova, Anna Nikolaevna/G-9341-2017</t>
  </si>
  <si>
    <t>Sokolova, Anna Nikolaevna/0000-0002-7619-0627</t>
  </si>
  <si>
    <t>10.13187/ejced.2023.1.173</t>
  </si>
  <si>
    <t>WOS:000961369300014</t>
  </si>
  <si>
    <t>Olkova, AS; Mahanova, EV</t>
  </si>
  <si>
    <t>Olkova, A. S.; Mahanova, E., V</t>
  </si>
  <si>
    <t>Comparative analysis of the ecological state of soils near waste landfills of different periods of operation</t>
  </si>
  <si>
    <t>Mahanova, Elena/0000-0002-6611-8349</t>
  </si>
  <si>
    <t>10.25750/1995-4301-2020-4-035-042</t>
  </si>
  <si>
    <t>WOS:000597810500005</t>
  </si>
  <si>
    <t>Baibakova, TV; Suvorova, LA; Epinina, VS; Azmina, YM</t>
  </si>
  <si>
    <t>Karpov, AY; Martyushev, N</t>
  </si>
  <si>
    <t>Baibakova, T., V; Suvorova, L. A.; Epinina, V. S.; Azmina, Y. M.</t>
  </si>
  <si>
    <t>Methodical Aspects of Economic Evaluation of Functioning Efficiency for Vertically-integrated Associations of Enterprises</t>
  </si>
  <si>
    <t>PROCEEDINGS OF THE INTERNATIONAL CONFERENCE ON TRENDS OF TECHNOLOGIES AND INNOVATIONS IN ECONOMIC AND SOCIAL STUDIES 2017</t>
  </si>
  <si>
    <t>International Conference on Trends of Technologies and Innovations in Economic and Social Studies (TTIESS)</t>
  </si>
  <si>
    <t>JUN 28-30, 2017</t>
  </si>
  <si>
    <t>Suvorova, Larisa/H-4616-2016; Epinina, Veronika/AFN-5350-2022; Baibakova, Tatiana/J-7342-2017</t>
  </si>
  <si>
    <t>Suvorova, Larisa/0000-0001-6611-4906; Epinina, Veronika/0000-0002-8771-3198; Baibakova, Tatiana/0000-0003-4503-3001</t>
  </si>
  <si>
    <t>978-94-6252-408-8</t>
  </si>
  <si>
    <t>WOS:000416099600006</t>
  </si>
  <si>
    <t>Vasilevykh, S; Buravlev, V; Shelihov, E</t>
  </si>
  <si>
    <t>Vasilevykh, S.; Buravlev, V.; Shelihov, E.</t>
  </si>
  <si>
    <t>Method of Mathematical Model Development to Study Vibration Resistance of Non-Rigid Shaft Linear Turning</t>
  </si>
  <si>
    <t>10.1016/j.proeng.2017.10.488</t>
  </si>
  <si>
    <t>WOS:000425674300061</t>
  </si>
  <si>
    <t>Nizovskih, NA; Maralov, VG; Kirilova, EP</t>
  </si>
  <si>
    <t>Nizovskih, N. A.; Maralov, V. G.; Kirilova, E. P.</t>
  </si>
  <si>
    <t>IV All Russian scientific conference with international participation Psychology of person's self-development</t>
  </si>
  <si>
    <t>Maralov, Vladimir/X-5925-2018; Nizovskikh, Nina A./B-5858-2017</t>
  </si>
  <si>
    <t>Maralov, Vladimir/0000-0002-9627-2304; Nizovskikh, Nina A./0000-0002-5541-5049</t>
  </si>
  <si>
    <t>WOS:000357702500014</t>
  </si>
  <si>
    <t>Kuklina, SS; Vladimirova, YN</t>
  </si>
  <si>
    <t>Kuklina, S. S.; Vladimirova, Ye N.</t>
  </si>
  <si>
    <t>THE SYSTEM OF MULTIFUNCTIONAL EXERCISES FOR TEACHING SCHOOL STUDENTS FOREIGN LANGUAGE LISTENING COMPREHENSION</t>
  </si>
  <si>
    <t>10.17223/19996195/53/14</t>
  </si>
  <si>
    <t>WOS:000654299500014</t>
  </si>
  <si>
    <t>Ananchenko, BA; Myakishev, AO; Kalinina, LA; Kosheleva, EV; Murin, IV</t>
  </si>
  <si>
    <t>Ananchenko, B. A.; Myakishev, A. O.; Kalinina, L. A.; Kosheleva, E. V.; Murin, I. V.</t>
  </si>
  <si>
    <t>Effect of composition on character of defect formation and ion transport in (1-x)[Ca1-y Yb (y) (2+) ]Yb (2) (3+) S4-delta-xYb(2)S(3) phases</t>
  </si>
  <si>
    <t>Kalinina, Ludmila/AAB-8217-2020; Murin, Igor V/L-6482-2013; Ananchenko, Boris/AAM-5831-2020</t>
  </si>
  <si>
    <t>Murin, Igor V/0000-0003-1869-7590; Ananchenko, Boris/0000-0002-7975-7828; Kalinina, Ludmila/0000-0001-9471-2778</t>
  </si>
  <si>
    <t>10.1134/S102319351708002X</t>
  </si>
  <si>
    <t>WOS:000409010200001</t>
  </si>
  <si>
    <t>Karanina, E; Sapozhnikova, E; Loginov, D; Holkin, A; Sergievskaya, E; Zurakhovskii, A</t>
  </si>
  <si>
    <t>Karanina, Elena; Sapozhnikova, Ekaterina; Loginov, Dmitry; Holkin, Anatoly; Sergievskaya, Elena; Zurakhovskii, Andrew</t>
  </si>
  <si>
    <t>National aspects of food security of Russia</t>
  </si>
  <si>
    <t>Karanina, Elena E.V./L-1395-2016; Kholkin, Anatolii/C-6964-2017</t>
  </si>
  <si>
    <t>Karanina, Elena E.V./0000-0002-5439-5912; Kholkin, Anatolii/0000-0002-2790-1314; Zhurakhovsky, Andrey/0000-0001-7184-7549; Loginov, Dmitrii Alekseevic/0000-0002-2458-9978</t>
  </si>
  <si>
    <t>10.1051/matecconf/201710608079</t>
  </si>
  <si>
    <t>WOS:000426426600264</t>
  </si>
  <si>
    <t>Petrov, EP; Medvedeva, EV; Kharina, NL; Tchobanou, MK</t>
  </si>
  <si>
    <t>Petrov, E. P.; Medvedeva, E. V.; Kharina, N. L.; Tchobanou, M. K.</t>
  </si>
  <si>
    <t>Intra frame compression and video restoration based on conditional markov processes theory</t>
  </si>
  <si>
    <t>MULTIDIMENSIONAL SYSTEMS AND SIGNAL PROCESSING</t>
  </si>
  <si>
    <t>Medvedeva, Elena V./A-5714-2014; TCHOBANOU, MIKHAIL K/D-4962-2014</t>
  </si>
  <si>
    <t xml:space="preserve">Medvedeva, Elena V./0000-0002-0677-1418; </t>
  </si>
  <si>
    <t>0923-6082</t>
  </si>
  <si>
    <t>1573-0824</t>
  </si>
  <si>
    <t>10.1007/s11045-016-0394-3</t>
  </si>
  <si>
    <t>WOS:000374691700006</t>
  </si>
  <si>
    <t>Balanov, M; Prozorov, D</t>
  </si>
  <si>
    <t>Balanov, Michael; Prozorov, Dmitriy</t>
  </si>
  <si>
    <t>Extended Recursive Soft Sequential Estimation of m-sequences</t>
  </si>
  <si>
    <t>Balanov, Michael/G-5543-2018; Prozorov, Dmitriy E./A-3548-2014</t>
  </si>
  <si>
    <t>Prozorov, Dmitriy E./0000-0002-3577-8838; Balanov, Michael/0000-0001-7085-4149</t>
  </si>
  <si>
    <t>WOS:000380404000079</t>
  </si>
  <si>
    <t>Mikhailichenko, TV; Kalinina, LA; Ushakova, YN; Murin, IV</t>
  </si>
  <si>
    <t>Mikhailichenko, T. V.; Kalinina, L. A.; Ushakova, Yu N.; Murin, I. V.</t>
  </si>
  <si>
    <t>Ion conductivity type and thermodynamics of dissolution of binary sulfides Sm2S3 and Tm2S3 in BaSm2S4</t>
  </si>
  <si>
    <t>10.1134/S1023193513080132</t>
  </si>
  <si>
    <t>WOS:000323258500008</t>
  </si>
  <si>
    <t>Genomic sequence of the HLA-B*13:177, HLA-C*06:02:104, and HLA-C*07:1062N alleles identified in bone marrow donors</t>
  </si>
  <si>
    <t>10.1111/tan.15042</t>
  </si>
  <si>
    <t>WOS:000955626700001</t>
  </si>
  <si>
    <t>Babenko, M., V; Chermnykh, V. V.</t>
  </si>
  <si>
    <t>On the Semiring of Skew Polynomials over a Bezout Semiring</t>
  </si>
  <si>
    <t>10.1134/S0001434622030014</t>
  </si>
  <si>
    <t>WOS:000787851100001</t>
  </si>
  <si>
    <t>Bazhenov, EI; Mokrushin, SA; Okhapkin, SI</t>
  </si>
  <si>
    <t>Bazhenov, E., I; Mokrushin, S. A.; Okhapkin, S., I</t>
  </si>
  <si>
    <t>SOFTWARE FOR THE MOBILE ROBOT SPATIAL ORIENTATION SYSTEM</t>
  </si>
  <si>
    <t>BULLETIN OF THE SOUTH URAL STATE UNIVERSITY SERIES-MATHEMATICAL MODELLING PROGRAMMING &amp; COMPUTER SOFTWARE</t>
  </si>
  <si>
    <t>Mokrushin, Sergey/G-6566-2018</t>
  </si>
  <si>
    <t>Mokrushin, Sergey/0000-0002-6319-9809; Bazenov, Evgenii/0009-0007-2607-5894</t>
  </si>
  <si>
    <t>2071-0216</t>
  </si>
  <si>
    <t>2308-0256</t>
  </si>
  <si>
    <t>10.14529/mmp210206</t>
  </si>
  <si>
    <t>WOS:000657624800006</t>
  </si>
  <si>
    <t>Onoshko, V; Kryukova, N; Murashkina, E</t>
  </si>
  <si>
    <t>Onoshko, Viacheslav; Kryukova, Natalya; Murashkina, Elvira</t>
  </si>
  <si>
    <t>THE USE OF BLOG TECHNOLOGY TO DEVELOP SOCIOCULTURAL SKILLS OF UNIVERSITY STUDENTS AT THE GERMAN LESSONS</t>
  </si>
  <si>
    <t>WOS:000572971200050</t>
  </si>
  <si>
    <t>Marinin, E; Gavrilov, G; Chirkov, A</t>
  </si>
  <si>
    <t>Marinin, Evgeny; Gavrilov, Gennady; Chirkov, Anatoly</t>
  </si>
  <si>
    <t>The Increasing of the Operational Stability of Wood-Working tools by the laser cementation</t>
  </si>
  <si>
    <t>10.1016/j.matpr.2018.12.138</t>
  </si>
  <si>
    <t>WOS:000463193400042</t>
  </si>
  <si>
    <t>Nekrasova, GN; Novikova, NN</t>
  </si>
  <si>
    <t>Nekrasova, Galina N.; Novikova, Natalya N.</t>
  </si>
  <si>
    <t>Preparing Technology Teachers for Professional Activities in the Information Space of Technological Education</t>
  </si>
  <si>
    <t>10.3897/ap.1.e0448</t>
  </si>
  <si>
    <t>WOS:000520005200048</t>
  </si>
  <si>
    <t>Zolotova, TA; Pozdeev, VA</t>
  </si>
  <si>
    <t>Zolotova, Tat'iana A.; Pozdeev, Viacheslav A.</t>
  </si>
  <si>
    <t>OBJECT REALITIES AS GENRE INDICATORS OF RITUAL TEXTS IN THE VOLGA REGION (SAMOLENA/POZLASHCHENA BORODA AND SVINYE NOZHKI)</t>
  </si>
  <si>
    <t>Pozdeev, Vijacheslav A/Q-2451-2017</t>
  </si>
  <si>
    <t>Pozdeev, Viacheslav/0000-0002-2880-8162</t>
  </si>
  <si>
    <t>10.17223/19986645/54/4</t>
  </si>
  <si>
    <t>WOS:000448064100004</t>
  </si>
  <si>
    <t>Kotelnikov, EV; Milov, VR</t>
  </si>
  <si>
    <t>Kotelnikov, E. V.; Milov, V. R.</t>
  </si>
  <si>
    <t>Comparison of rule induction, decision trees and formal concept analysis approaches for classification</t>
  </si>
  <si>
    <t>Kotelnikov, Evgeny/A-3606-2014; Milov, Vladimir R/D-7365-2014</t>
  </si>
  <si>
    <t>Kotelnikov, Evgeny/0000-0001-9745-1489; Milov, Vladimir R/0000-0002-8746-0100</t>
  </si>
  <si>
    <t>10.1088/1742-6596/1015/3/032068</t>
  </si>
  <si>
    <t>WOS:000446952000087</t>
  </si>
  <si>
    <t>Ganebnykh, E; Fokina, O; Burtseva, T; Yanov, I</t>
  </si>
  <si>
    <t>Ganebnykh, Elena; Fokina, Olga; Burtseva, Tatyana; Yanov, Ilia</t>
  </si>
  <si>
    <t>Evaluating the effectiveness of franchise in tourism</t>
  </si>
  <si>
    <t>Fokina, Olga/AAX-2743-2020; Burtseva, Tatyana/AAH-4039-2019; Ganebnykh, Elena/I-2839-2017</t>
  </si>
  <si>
    <t>Fokina, Olga/0000-0002-6697-3353; Burtseva, Tatyana/0000-0001-9088-1208; Ganebnykh, Elena/0000-0003-0669-8318</t>
  </si>
  <si>
    <t>10.1051/matecconf/201710608082</t>
  </si>
  <si>
    <t>WOS:000426426600267</t>
  </si>
  <si>
    <t>Improved Recursive Soft Sequental Estimation Algorithm for m-sequence Acquisition</t>
  </si>
  <si>
    <t>Prozorov, Dmitriy E./A-3548-2014; Balanov, Michael/G-5543-2018</t>
  </si>
  <si>
    <t>WOS:000380571600028</t>
  </si>
  <si>
    <t>Vlasova, Ksenia V.</t>
  </si>
  <si>
    <t>GREECE AND NORTH MACEDONIA: BREAKTHROUGH IN BILATERAL RELATIONS</t>
  </si>
  <si>
    <t>10.20542/0131-2227-2020-64-8-91-100</t>
  </si>
  <si>
    <t>WOS:000569062500010</t>
  </si>
  <si>
    <t>Zinnatullina, Z; Khabibullina, L; Polyakov, OY</t>
  </si>
  <si>
    <t>Zinnatullina, Zulfiya; Khabibullina, Liliya; Polyakov, Oleg Yurievich</t>
  </si>
  <si>
    <t>Analysing the Linguistic Aspects and the Image of the Hermitage in A. Burgess's Novels Honey for the Bears and Any Old Iron</t>
  </si>
  <si>
    <t>JOURNAL OF RESEARCH IN APPLIED LINGUISTICS</t>
  </si>
  <si>
    <t>7th International Conference on Applied Linguistics Issues (ALI)</t>
  </si>
  <si>
    <t>JUN 13-14, 2020</t>
  </si>
  <si>
    <t>Zinnatullina, Zulfiya R./D-3531-2015</t>
  </si>
  <si>
    <t>2345-3303</t>
  </si>
  <si>
    <t>2588-3887</t>
  </si>
  <si>
    <t>SUM-FAL</t>
  </si>
  <si>
    <t>10.22055/RALS.2020.16291</t>
  </si>
  <si>
    <t>WOS:000611609000013</t>
  </si>
  <si>
    <t>Gladkikh, VI; Konovalova, AB; Mosechkin, IN; Redikultseva, EN</t>
  </si>
  <si>
    <t>Gladkikh, Viktor I.; Konovalova, Alla B.; Mosechkin, Ilya N.; Redikultseva, Elena N.</t>
  </si>
  <si>
    <t>ON IMPROVING CRIMINAL LAW NORMS THAT ESTABLISH LIABILITY FOR THE POLLUTION OF MARINE ENVIRONMENT (ART. 252 OF THE CRIMINAL CODE OF THE RUSSIAN FEDERATION)</t>
  </si>
  <si>
    <t>Mosechkin, Elya Nikolaevich/I-8772-2017; Редикульцева, Елена/GSX-0043-2022</t>
  </si>
  <si>
    <t xml:space="preserve">Mosechkin, Elya Nikolaevich/0000-0002-9724-9552; </t>
  </si>
  <si>
    <t>10.17150/2500-4255.2019.13(3).489-497</t>
  </si>
  <si>
    <t>WOS:000474306700012</t>
  </si>
  <si>
    <t>Prediction model for the pressing process in an innovative forming joints technology for woodworking</t>
  </si>
  <si>
    <t>INTERNATIONAL WORKSHOP ADVANCED TECHNOLOGIES IN MATERIAL SCIENCE, MECHANICAL AND AUTOMATION ENGINEERING - MIP: ENGINEERING - 2019</t>
  </si>
  <si>
    <t>International Workshop on Advanced Technologies in Material Science, Mechanical and Automation Engineering (MIP) - Engineering</t>
  </si>
  <si>
    <t>APR 04-06, 2019</t>
  </si>
  <si>
    <t>Krasnoyarsk, RUSSIA</t>
  </si>
  <si>
    <t>JSC Verder Sci</t>
  </si>
  <si>
    <t>10.1088/1757-899X/537/2/022064</t>
  </si>
  <si>
    <t>WOS:000561105300065</t>
  </si>
  <si>
    <t>Vasilevykh, SL; Udalov, AV; Shelihov, ES</t>
  </si>
  <si>
    <t>Vasilevykh, Sergey L.; Udalov, Alexandr V.; Shelihov, Evgeniy S.</t>
  </si>
  <si>
    <t>Method for constructing an equivalent mechanical model of an elastic system of a machine with various technological equipment</t>
  </si>
  <si>
    <t>10.1051/matecconf/201822402008</t>
  </si>
  <si>
    <t>WOS:000476933600146</t>
  </si>
  <si>
    <t>Zelenina, NA; Khuziakhmetov, AN</t>
  </si>
  <si>
    <t>Zelenina, Natalia A.; Khuziakhmetov, Anvar N.</t>
  </si>
  <si>
    <t>Formation of Schoolchildren's Creative Activity on the Final Stage of Solving a Mathematical Problem</t>
  </si>
  <si>
    <t>Zelenina, Natalia Alekseevna/G-9824-2017; Khuziakhmetov, Anvar Nuriakhmetovic/M-8936-2013</t>
  </si>
  <si>
    <t>Zelenina, Natalia Alekseevna/0000-0003-4238-6282; Khuziakhmetov, Anvar Nuriakhmetovic/0000-0003-2842-4289</t>
  </si>
  <si>
    <t>10.12973/eurasia.2017.00934a</t>
  </si>
  <si>
    <t>WOS:000409067500005</t>
  </si>
  <si>
    <t>Nurutdinova, AN; Lushavina, AA; Argunova, VN</t>
  </si>
  <si>
    <t>Nurutdinova, Aida Nailevna; Lushavina, Alina Aleksandrovna; Argunova, Vera Nikolaevna</t>
  </si>
  <si>
    <t>EDUCATION AND SOCIAL TRUST CASE STUDY: ANTI-VACCINATION PRACTICES IN RUSSIA</t>
  </si>
  <si>
    <t>REVISTA ON LINE DE POLITICA E GESTAO EDUCACIONAL</t>
  </si>
  <si>
    <t>1519-9029</t>
  </si>
  <si>
    <t>WOS:000759318000002</t>
  </si>
  <si>
    <t>Identification of the Elastic and Damping Characteristics of Soft Materials Based on the Analysis of Damped Flexural Vibrations of Test Specimens</t>
  </si>
  <si>
    <t>Shishkin, Viktor/U-2323-2018</t>
  </si>
  <si>
    <t>Vyacheslav, Firsov/0000-0002-8948-1570; Shishkin, Viktor/0000-0002-1237-2309</t>
  </si>
  <si>
    <t>10.1007/s11029-016-9596-x</t>
  </si>
  <si>
    <t>WOS:000384347800001</t>
  </si>
  <si>
    <t>Kalinina, L; Ushakova, J; Fominykh, H; Shirokova, G; Murin, I; Medvedeva, O</t>
  </si>
  <si>
    <t>Kalinina, L.; Ushakova, Ju.; Fominykh, H.; Shirokova, G.; Murin, I.; Medvedeva, O.</t>
  </si>
  <si>
    <t>Sulphur conductive solid electrolytes in MeS-Ln(2)S(3) systems</t>
  </si>
  <si>
    <t>CURRENT APPLIED PHYSICS</t>
  </si>
  <si>
    <t>1567-1739</t>
  </si>
  <si>
    <t>10.1016/j.cap.2007.04.013</t>
  </si>
  <si>
    <t>WOS:000251159400020</t>
  </si>
  <si>
    <t>Chermnykh, VV; Chermnykh, OV</t>
  </si>
  <si>
    <t>Chermnykh, V. V.; Chermnykh, O., V</t>
  </si>
  <si>
    <t>FUNCTIONAL REPRESENTATIONS OF LATTICE-ORDERED SEMIRINGS. III</t>
  </si>
  <si>
    <t>10.21538/0134-4889-2020-26-3-235-248</t>
  </si>
  <si>
    <t>WOS:000592231900020</t>
  </si>
  <si>
    <t>Yukhneva, N; Mokerova, O; Kukhtin, P</t>
  </si>
  <si>
    <t>Yukhneva, Nina; Mokerova, Olga; Kukhtin, Peter</t>
  </si>
  <si>
    <t>The regulatory role of the state strategic management in the development of the regional entrepreneurial sphere</t>
  </si>
  <si>
    <t>10.1051/matecconf/201710608089</t>
  </si>
  <si>
    <t>WOS:000426426600274</t>
  </si>
  <si>
    <t>Efremova, VA; Dabakh, EV; Kondakova, LV</t>
  </si>
  <si>
    <t>Efremova, V. A.; Dabakh, E. V.; Kondakova, L. V.</t>
  </si>
  <si>
    <t>A chemical and biological assessment of the state of urban soils</t>
  </si>
  <si>
    <t>10.1134/S1995425513050028</t>
  </si>
  <si>
    <t>WOS:000325009100015</t>
  </si>
  <si>
    <t>Leushina, AP; Kolesnikova, LA; Makhanova, EV; Zlomanov, VP</t>
  </si>
  <si>
    <t>Thermodynamics of binary and ternary copper-, cadmium, and indium-containing semiconducting phases: An electrochemical study</t>
  </si>
  <si>
    <t>10.1007/s11175-005-0117-9</t>
  </si>
  <si>
    <t>WOS:000230551900007</t>
  </si>
  <si>
    <t>Pankratova, EM; Borodina, NV; Reznik, EN</t>
  </si>
  <si>
    <t>Nitrogen fixation by the nonheterocystous cyanobacterium Phormidium inundatum</t>
  </si>
  <si>
    <t>WOS:000077638900005</t>
  </si>
  <si>
    <t>Identification of three new HLA alleles, HLA-A68:298, HLA-C07:1054N and HLA-DRB115:216</t>
  </si>
  <si>
    <t>10.1111/tan.14969</t>
  </si>
  <si>
    <t>JAN 2023</t>
  </si>
  <si>
    <t>WOS:000919397900001</t>
  </si>
  <si>
    <t>Bugaychuk, T; Koryakovtseva, O; Rubleva, O; Burakova, G</t>
  </si>
  <si>
    <t>Lubkina, V; Indriksons, A</t>
  </si>
  <si>
    <t>Bugaychuk, Tatyana; Koryakovtseva, Olga; Rubleva, Olga; Burakova, Galina</t>
  </si>
  <si>
    <t>PROFESSIONAL SELF-CONSCIOUSNESS OF STUDENTS OF A PEDAGOGICAL UNIVERSITY: RESULTS OF THE RESEARCH</t>
  </si>
  <si>
    <t>SOCIETY. INTEGRATION. EDUCATION, VOL. I: HIGHER EDUCATION</t>
  </si>
  <si>
    <t>Sabiedriba Integracija Izglitiba-Society Integration Education</t>
  </si>
  <si>
    <t>International Scientific Conference on Society, Integration, Education</t>
  </si>
  <si>
    <t>MAY 22-23, 2020</t>
  </si>
  <si>
    <t>Rezekne Acad Technologies, Rezekne, LATVIA</t>
  </si>
  <si>
    <t>Rezekne Acad Technologies, Fac Educ, Language &amp; Design,Klaipeda Univ,Rigan Stradina Univ,Politechnika Bialostocka,Inst Pedag Neas Ukraine,European Union, European Reg Dev Fund,Natl Dev Plan 2020</t>
  </si>
  <si>
    <t>Rezekne Acad Technologies</t>
  </si>
  <si>
    <t>Koryakovtseva, Olga/V-8232-2018</t>
  </si>
  <si>
    <t>1691-5887</t>
  </si>
  <si>
    <t>10.17770/sie2020vol1.5079</t>
  </si>
  <si>
    <t>WOS:000835616400005</t>
  </si>
  <si>
    <t>Krasnopeeva, TO; Shevchenko, AI; Gural, SK</t>
  </si>
  <si>
    <t>Krasnopeeva, T. O.; Shevchenko, A., I; Gural, S. K.</t>
  </si>
  <si>
    <t>DESIGN OF INDIVIDUAL EDUCATIONAL TRAJECTORIES IN THE INFORMATION EDUCATIONAL ENVIRONMENT</t>
  </si>
  <si>
    <t>Gural, Svetlana K/A-7176-2016; Shevchenko, Anna/ABB-5863-2020</t>
  </si>
  <si>
    <t>10.17223/19996195/51/8</t>
  </si>
  <si>
    <t>WOS:000581055000008</t>
  </si>
  <si>
    <t>Isupov, K; Kuvaev, A; Knyazkov, V</t>
  </si>
  <si>
    <t>Isupov, Konstantin; Kuvaev, Alexander; Knyazkov, Vladimir</t>
  </si>
  <si>
    <t>Data-Parallel High-Precision Multiplication on Graphics Processing Units</t>
  </si>
  <si>
    <t>SUPERCOMPUTING (RUSCDAYS 2019)</t>
  </si>
  <si>
    <t>5th Russian Supercomputing Days Conference (RuSCDays)</t>
  </si>
  <si>
    <t>SEP 23-24, 2019</t>
  </si>
  <si>
    <t>Supercomputing Consortium Russian Univ,NVIDIA,Russian Acad Sci,T Platforms,Lenovo,Mellanox,Xilinx,AMD,RSC,Intel,Dell,NEC,EAS,DDN</t>
  </si>
  <si>
    <t>978-3-030-36592-9; 978-3-030-36591-2</t>
  </si>
  <si>
    <t>10.1007/978-3-030-36592-9_2</t>
  </si>
  <si>
    <t>WOS:000651202100002</t>
  </si>
  <si>
    <t>Leushina, A. P.; Danilov, D. N.; Zlomanov, V. P.</t>
  </si>
  <si>
    <t>Use of solid electrolyte GeSe-GeI2 for electrochemical doping with germanium</t>
  </si>
  <si>
    <t>8th International Meeting on Fundamental Problems of Solid-State Ionics</t>
  </si>
  <si>
    <t>10.1134/S1023193507040179</t>
  </si>
  <si>
    <t>WOS:000246338500017</t>
  </si>
  <si>
    <t>Medvedeva, OV; Kalinina, LA; Ushakova, YN; Metlin, YG</t>
  </si>
  <si>
    <t>Synthesis of sulfide-conducting solid electrolytes with different precursor prehistories</t>
  </si>
  <si>
    <t>10.1007/s10720-005-0066-0</t>
  </si>
  <si>
    <t>WOS:000230552700012</t>
  </si>
  <si>
    <t>Characterization of three novel HLA alleles: HLA-B44:481:02, HLA-DQB103:338N, and HLA-DQB106:467</t>
  </si>
  <si>
    <t>10.1111/tan.15034</t>
  </si>
  <si>
    <t>WOS:000956066600001</t>
  </si>
  <si>
    <t>Bukharov, V; Baykova, O; Obukhova, O</t>
  </si>
  <si>
    <t>Bukharov, Valeriy; Baykova, Olga; Obukhova, Olga</t>
  </si>
  <si>
    <t>THE SWABIAN DIALECT IN THE GERMAN LANGUAGE ISLAND IN RUSSIA</t>
  </si>
  <si>
    <t>WOS:000583783100022</t>
  </si>
  <si>
    <t>Cherkasov, V; Yurkin, Y; Avdonin, V; Suntsov, D</t>
  </si>
  <si>
    <t>Cherkasov, Vasiliy; Yurkin, Yuiy; Avdonin, Valeriy; Suntsov, Dmitriy</t>
  </si>
  <si>
    <t>Self-adhesion X-ray Shielding Composite Material of EPDM Rubber with Barite: Mechanical Properties</t>
  </si>
  <si>
    <t>10.37358/mp.20.1.5309</t>
  </si>
  <si>
    <t>WOS:000528195000005</t>
  </si>
  <si>
    <t>Plotnikov, SA; Kantor, PY; Kozlov, IS; Vtyurina, MN</t>
  </si>
  <si>
    <t>Plotnikov, S. A.; Kantor, P. Ya; Kozlov, I. S.; Vtyurina, M. N.</t>
  </si>
  <si>
    <t>Estimating Ecological Properties of Rapeseed Oils for Using as Agricultural Tractor Motor Fuel</t>
  </si>
  <si>
    <t>Plotnikov, Sergej A/0000-0002-8887-4591; Kantor, Pavel/0000-0002-3033-6512</t>
  </si>
  <si>
    <t>10.15507/2658-4123.030.202001.043-059</t>
  </si>
  <si>
    <t>WOS:000520879000003</t>
  </si>
  <si>
    <t>Udalov, AA; Parshin, SV; Udalov, AV; Vasilevykh, SL</t>
  </si>
  <si>
    <t>Udalov, A. A.; Parshin, S. V.; Udalov, A. V.; Vasilevykh, S. L.</t>
  </si>
  <si>
    <t>Power parameters of the process of hardening of cylindrical parts by a toroidal roller by the method of surface plastic deformation</t>
  </si>
  <si>
    <t>XII INTERNATIONAL SCIENTIFIC AND TECHNICAL CONFERENCE APPLIED MECHANICS AND SYSTEMS DYNAMICS</t>
  </si>
  <si>
    <t>12th International Scientific and Technical Conference on Applied Mechanics and Systems Dynamics</t>
  </si>
  <si>
    <t>NOV 13-15, 2018</t>
  </si>
  <si>
    <t>Parshin, Sergey/M-8063-2019</t>
  </si>
  <si>
    <t>10.1088/1742-6596/1210/1/012150</t>
  </si>
  <si>
    <t>WOS:000481604500150</t>
  </si>
  <si>
    <t>Voroshilova, SV; Sergeev, AV; Tatarinova, EP</t>
  </si>
  <si>
    <t>Voroshilova, Svetlana V.; Sergeev, Alexander, V; Tatarinova, Elena P.</t>
  </si>
  <si>
    <t>A woman and a court in the Russian Empire: the protection of the property</t>
  </si>
  <si>
    <t>Voroshilova, Svetlana/CAG-0664-2022; Tatarinova, Elena/AAU-3047-2021</t>
  </si>
  <si>
    <t>10.31166/VoprosyIstorii201911Statyi01</t>
  </si>
  <si>
    <t>WOS:000504079400001</t>
  </si>
  <si>
    <t>Bakharia, A; Nikulin, V</t>
  </si>
  <si>
    <t>Bakharia, Aneesha; Nikulin, Vladimir</t>
  </si>
  <si>
    <t>A nonparametric criterion for the selection of the number of factors and nonnegative extension for gradient-based matrix factorization</t>
  </si>
  <si>
    <t>2012 INTERNATIONAL JOINT CONFERENCE ON NEURAL NETWORKS (IJCNN)</t>
  </si>
  <si>
    <t>JUN 10-15, 2012</t>
  </si>
  <si>
    <t>Brisbane, AUSTRALIA</t>
  </si>
  <si>
    <t>978-1-4673-1490-9</t>
  </si>
  <si>
    <t>WOS:000309341303039</t>
  </si>
  <si>
    <t>Endurance development using long running at school and its impact on children's memory</t>
  </si>
  <si>
    <t>e191ms2989</t>
  </si>
  <si>
    <t>10.54905/disssi/v27i134/e191ms2989</t>
  </si>
  <si>
    <t>WOS:000994185800021</t>
  </si>
  <si>
    <t>Two new HLA alleles, HLA-B*58:140 and -DRB*107:145, detected in inhabitants from Russia</t>
  </si>
  <si>
    <t>10.1111/tan.14946</t>
  </si>
  <si>
    <t>WOS:000904767800001</t>
  </si>
  <si>
    <t>Elistratov, VE; Khabibullina, LF; Polyakov, OY</t>
  </si>
  <si>
    <t>Elistratov, Vladislav E.; Khabibullina, Liliya F.; Polyakov, Oleg Y.</t>
  </si>
  <si>
    <t>Medical Case as a Plot-Basing Element of Sybil by Flora Rheta Schreiber</t>
  </si>
  <si>
    <t>10.22055/RALS.2019.15172</t>
  </si>
  <si>
    <t>WOS:000520842700066</t>
  </si>
  <si>
    <t>Konysheva, AV; Ibragimova, EN</t>
  </si>
  <si>
    <t>Konysheva, Aliya V.; Ibragimova, Elena N.</t>
  </si>
  <si>
    <t>Training of Engineers in Mathematics at University on the Basis of the Information Cybernetic Approach</t>
  </si>
  <si>
    <t>10.12973/eurasia.2017.00933a</t>
  </si>
  <si>
    <t>WOS:000409067500004</t>
  </si>
  <si>
    <t>Gorev, PM; Kalimullin, AM</t>
  </si>
  <si>
    <t>Gorev, Pavel M.; Kalimullin, Aydar M.</t>
  </si>
  <si>
    <t>Structure and Maintenance of a Mathematical Creative Lesson as a Mean of Pupils' Meta-Subject Results Achievement</t>
  </si>
  <si>
    <t>Kalimullin, Aydar/N-1528-2013</t>
  </si>
  <si>
    <t>Kalimullin, Aydar/0000-0001-7788-7728; Gorev, Pavel/0000-0002-0640-8184</t>
  </si>
  <si>
    <t>10.12973/eurasia.2017.01248a</t>
  </si>
  <si>
    <t>WOS:000404604700062</t>
  </si>
  <si>
    <t>Akhmetov, LG; Merzon, EE; Nekrasova, GN</t>
  </si>
  <si>
    <t>Akhmetov, Linar G.; Merzon, Elena E.; Nekrasova, Galina N.</t>
  </si>
  <si>
    <t>EARLY PROFESSIONALIZATION OF GIFTED SCHOOLCHILDREN IN THE CONTEXT OF EXTENDED EDUCATION</t>
  </si>
  <si>
    <t>Merzon, Elena/Y-3541-2018; Akhmetov, Linar/AAD-2724-2020</t>
  </si>
  <si>
    <t>Merzon, Elena/0000-0001-7708-2946; Akhmetov, Linar/0000-0002-5442-8489</t>
  </si>
  <si>
    <t>10.15405/epsbs.2017.08.02.4</t>
  </si>
  <si>
    <t>WOS:000432421300004</t>
  </si>
  <si>
    <t>Cherkasov, VD; Yurkin, YV; Avdonin, VV</t>
  </si>
  <si>
    <t>Cherkasov, V. D.; Yurkin, Yu V.; Avdonin, V. V.</t>
  </si>
  <si>
    <t>Damping Properties of Sandwich Beams with Viscoelastic Layer</t>
  </si>
  <si>
    <t>Yurkin, Yuiy/AAD-4331-2021; Yurkin, Yuriy/B-2095-2014; Avdonin, Valeriy V. V./N-3233-2016</t>
  </si>
  <si>
    <t>Yurkin, Yuriy/0000-0003-4310-3379; Avdonin, Valeriy V. V./0000-0002-1069-2413</t>
  </si>
  <si>
    <t>10.1088/1757-899X/262/1/012024</t>
  </si>
  <si>
    <t>WOS:000423728200024</t>
  </si>
  <si>
    <t>Kataeva, N; Berezina, E; Sysolyatin, A; Meshcheryakova, T; Zurakhovskaya, I; Sholotonova, E</t>
  </si>
  <si>
    <t>Kataeva, Natalya; Berezina, Ekaterina; Sysolyatin, Alexey; Meshcheryakova, Tatyana; Zurakhovskaya, Irina; Sholotonova, Ekaterina</t>
  </si>
  <si>
    <t>A proposed assessment method for image of regional educational institutions</t>
  </si>
  <si>
    <t>Berezina, Ekaterina Alexandrovna/H-4087-2017; Катаева, Наталья Николаевна/AAB-5555-2022</t>
  </si>
  <si>
    <t>Berezina, Ekaterina Alexandrovna/0000-0001-7877-7205; Катаева, Наталья Николаевна/0000-0002-4695-1536; Meshcheryakova, Tatiana/0000-0001-5610-6179</t>
  </si>
  <si>
    <t>10.1051/matecconf/201710608078</t>
  </si>
  <si>
    <t>WOS:000426426600263</t>
  </si>
  <si>
    <t>Sadakova, Vera; Safin, RusIan</t>
  </si>
  <si>
    <t>TECHNOLOGY OF A GLASS MOSAIC WITH USE OF TACK FUSING</t>
  </si>
  <si>
    <t>WOS:000378098500079</t>
  </si>
  <si>
    <t>Pentin, MA; Ananchenko, BA; Kalinina, LA; Kosheleva, EV; Ushakova, YN; Murin, IV</t>
  </si>
  <si>
    <t>Pentin, M. A.; Ananchenko, B. A.; Kalinina, L. A.; Kosheleva, E., V; Ushakova, Yu N.; Murin, I., V</t>
  </si>
  <si>
    <t>Sulfide-Conducting Ionic Conductors with the CaFe2O4 and Yb3S4 Structure Doped with Zirconium Disulfide</t>
  </si>
  <si>
    <t>Kalinina, Ludmila/AAB-8217-2020; Ananchenko, Boris/AAM-5831-2020</t>
  </si>
  <si>
    <t>10.1134/S1023193519080111</t>
  </si>
  <si>
    <t>WOS:000487550800008</t>
  </si>
  <si>
    <t>Bushmeleva, NA; Baklashova, TA</t>
  </si>
  <si>
    <t>Bushmeleva, Natalya A.; Baklashova, Tatiana A.</t>
  </si>
  <si>
    <t>Methodological Teaching System of Mathematical Foundations of Formal Languages as a Means of Fundamentalization of Education</t>
  </si>
  <si>
    <t>Baklashova, Tatiana/L-3436-2013; A., Bushmeleva Natalia/AAQ-6397-2020</t>
  </si>
  <si>
    <t>Baklashova, Tatiana/0000-0002-3038-6990; A., Bushmeleva Natalia/0000-0002-9709-1804</t>
  </si>
  <si>
    <t>10.12973/eurasia.2017.00989a</t>
  </si>
  <si>
    <t>WOS:000409067500057</t>
  </si>
  <si>
    <t>Gyunal, I; Paimushin, VN; Firsov, VA; Shishkin, VM</t>
  </si>
  <si>
    <t>Gyunal, I.; Paimushin, V. N.; Firsov, V. A.; Shishkin, V. M.</t>
  </si>
  <si>
    <t>Identification of the Damping Properties of Rigid Isotropic Materials by Studying the Damping Flexural Vibrations of Test Specimens</t>
  </si>
  <si>
    <t>MECHANICS OF SOLIDS</t>
  </si>
  <si>
    <t>Gunal, Ibrahim/0000-0001-6478-8579; Vyacheslav, Firsov/0000-0002-8948-1570; Shishkin, Viktor/0000-0002-1237-2309</t>
  </si>
  <si>
    <t>0025-6544</t>
  </si>
  <si>
    <t>1934-7936</t>
  </si>
  <si>
    <t>10.3103/S0025654417020108</t>
  </si>
  <si>
    <t>WOS:000405488900010</t>
  </si>
  <si>
    <t>Vasilevykh, SL; Shelihov, ES</t>
  </si>
  <si>
    <t>Vasilevykh, Sergey L.; Shelihov, Evgeniy S.</t>
  </si>
  <si>
    <t>Research of vibration resistance of non-rigid shafts turning with various technological set-ups</t>
  </si>
  <si>
    <t>10.1051/matecconf/201712901023</t>
  </si>
  <si>
    <t>WOS:000426431000023</t>
  </si>
  <si>
    <t>Paimushin, VN; Firsov, VA; Gunal, I; Shishkin, VM</t>
  </si>
  <si>
    <t>Sverbilov, V; Plummer, AR</t>
  </si>
  <si>
    <t>Paimushin, V. N.; Firsov, V. A.; Gunal, I.; Shishkin, V. M.</t>
  </si>
  <si>
    <t>Theoretical-experimental method for determining the material damping properties based on the damped flexural vibrations of test samples</t>
  </si>
  <si>
    <t>PROCEEDINGS OF THE 2ND INTERNATIONAL CONFERENCE ON DYNAMICS AND VIBROACOUSTICS OF MACHINES (DVM2014)</t>
  </si>
  <si>
    <t>2nd International Conference on Dynamics and Vibroacoustics of Machines (DVM)</t>
  </si>
  <si>
    <t>SEP 15-20, 2015</t>
  </si>
  <si>
    <t>Samara State Aerosp Univ</t>
  </si>
  <si>
    <t>Gunal, Ibrahim/0000-0001-6478-8579; Vyacheslav, Firsov/0000-0002-8948-1570; Shishkin, Viktor/0000-0002-1237-2309; Paimusin, Vitalii/0000-0003-4070-2579</t>
  </si>
  <si>
    <t>10.1016/j.proeng.2015.06.029</t>
  </si>
  <si>
    <t>WOS:000381100700028</t>
  </si>
  <si>
    <t>Koshurnikova, EV; Kalinina, LA; Ushakova, YN; P'yankova, MV; Murin, IV</t>
  </si>
  <si>
    <t>Koshurnikova, E. V.; Kalinina, L. A.; Ushakova, Yu N.; P'yankova, M. V.; Murin, I. V.</t>
  </si>
  <si>
    <t>Synthesis, structure, and physico-chemical properties of sulfide ceramics CaY2S4-Yb2S3</t>
  </si>
  <si>
    <t>10.1134/S1023193513080107</t>
  </si>
  <si>
    <t>WOS:000323258500007</t>
  </si>
  <si>
    <t>Korotaeva, KN; Tsirkin, VI; Vyaznikov, VA</t>
  </si>
  <si>
    <t>Korotaeva, K. N.; Tsirkin, V. I.; Vyaznikov, V. A.</t>
  </si>
  <si>
    <t>Positive Inotropic Effect of Tyrosine, Histidine, and Tryptophan in Experiments on Isolated Human Myocardium</t>
  </si>
  <si>
    <t>10.1007/s10517-012-1640-9</t>
  </si>
  <si>
    <t>WOS:000305517000014</t>
  </si>
  <si>
    <t>Loginova, M; Druzhinina, S; Paramonov, I; Zarubin, M</t>
  </si>
  <si>
    <t>Loginova, Maria; Druzhinina, Svetlana; Paramonov, Igor; Zarubin, Maksim</t>
  </si>
  <si>
    <t>Discovery of the novel HLA-DQB106:02:01:32 allele, a variant of HLA-DQB106:02:01:01, in a Russian individual</t>
  </si>
  <si>
    <t>10.1111/tan.15032</t>
  </si>
  <si>
    <t>WOS:000955728700001</t>
  </si>
  <si>
    <t>Kalabin, OV; Molchanov, SA; Soitsin, AP</t>
  </si>
  <si>
    <t>Kalabin, O. V.; Molchanov, S. A.; Soitsin, A. P.</t>
  </si>
  <si>
    <t>DYNAMIC CONTROL OF FUNCTIONAL FITNESS OF VOLLEYBALL PLAYERS THROUGH HEART RATE VARIABILITY ANALYSIS</t>
  </si>
  <si>
    <t>Kalabin, Oleg/HKV-1797-2023</t>
  </si>
  <si>
    <t>Kalabin, Oleg/0000-0002-5383-5007</t>
  </si>
  <si>
    <t>10.14529/hsm220106</t>
  </si>
  <si>
    <t>WOS:000795506200006</t>
  </si>
  <si>
    <t>Meltsov, V; Novokshonov, P; Repkin, D; Nechaev, A; Zhukova, N</t>
  </si>
  <si>
    <t>Meltsov, Vasily; Novokshonov, Pavel; Repkin, Dmitry; Nechaev, Alexander; Zhukova, Nataly</t>
  </si>
  <si>
    <t>Development of an Intelligent Module for Monitoring and Analysis of Client's Bank Transactions</t>
  </si>
  <si>
    <t>Nechaev, Alexander/ABE-9128-2021; Meltsov, Vasily Yurevich/P-7511-2017; Repkin, Dmitry A/Y-9184-2018</t>
  </si>
  <si>
    <t>Nechaev, Alexander/0000-0002-0464-9961; Meltsov, Vasily Yurevich/0000-0001-5479-9979; Repkin, Dmitry A/0000-0003-4161-3527; Zhukova, Nataly/0000-0001-5877-4461</t>
  </si>
  <si>
    <t>WOS:000469999300036</t>
  </si>
  <si>
    <t>Piligrimova, EG; Kazantseva, OA; Nikulin, NA; Shadrin, AM</t>
  </si>
  <si>
    <t>Piligrimova, Emma G.; Kazantseva, Olesya A.; Nikulin, Nikita A.; Shadrin, Andrey M.</t>
  </si>
  <si>
    <t>Bacillus Phage vB_BtS_B83 Previously Designated as a Plasmid May Represent a New Siphoviridae Genus</t>
  </si>
  <si>
    <t>VIRUSES-BASEL</t>
  </si>
  <si>
    <t>Shadrin, Andrey/J-5025-2012; Kazantseva, Olesya/AAQ-5702-2021; nikulin, nikita/AAU-7995-2020</t>
  </si>
  <si>
    <t>Shadrin, Andrey/0000-0002-2957-4003; Kazantseva, Olesya/0000-0002-5199-7387; Nikulin, Nikita/0000-0002-6024-1725</t>
  </si>
  <si>
    <t>1999-4915</t>
  </si>
  <si>
    <t>10.3390/v11070624</t>
  </si>
  <si>
    <t>WOS:000478667800002</t>
  </si>
  <si>
    <t>Mansurova, IA; Burkov, AA; Shilov, IB; Dolgiy, EO; Belozerov, VS; Khousainov, AD</t>
  </si>
  <si>
    <t>Mansurova, I. A.; Burkov, A. A.; Shilov, I. B.; Dolgiy, E. O.; Belozerov, V. S.; Khousainov, A. D.</t>
  </si>
  <si>
    <t>EFFECT OF HYBRID CARBON BLACK/CARBON NANOTUBES FILLER ON VULCANIZATES RELAXATION BEHAVIOR</t>
  </si>
  <si>
    <t>Belozerov, Vladislav/B-7087-2019; Burkov, Andrey/ABB-8219-2021; Shilov, Ivan/ABA-7069-2021</t>
  </si>
  <si>
    <t>Belozerov, Vladislav/0000-0002-9930-5458; Shilov, Ivan/0000-0002-0896-095X; Burkov, Andrey/0000-0002-3627-1262</t>
  </si>
  <si>
    <t>10.6060/ivkkt.20196211.5979</t>
  </si>
  <si>
    <t>WOS:000497988300011</t>
  </si>
  <si>
    <t>Tsirkin, VI; DVoryanskii, SA; Nozdrachev, AD; Bratukhina, SV; Morozova, MA; Sizova, EN; Osokina, AA; Tumanova, TV; Shushkanova, EG; Vidyakina, GY</t>
  </si>
  <si>
    <t>Adrenomodulate effects of human blood, liquor, urine, saliva and amniotic fluid</t>
  </si>
  <si>
    <t>DOKLADY AKADEMII NAUK</t>
  </si>
  <si>
    <t>Morozova, Marina A./AAD-1191-2019; Nozdrachev, Aleksandr/P-2667-2017; Morozova, Margarita Alekseevna/D-9098-2015; Tsirkin, Victor/O-1603-2017; Polezhaeva, Tatyana/J-8109-2018</t>
  </si>
  <si>
    <t>Morozova, Marina A./0000-0003-3303-3426; Nozdrachev, Aleksandr/0000-0003-0753-5633; Morozova, Margarita Alekseevna/0000-0002-7847-2716; Tsirkin, Viktor/0000-0003-3467-3919; Polezhaeva, Tatyana/0000-0003-4999-3077; Shushkanova, Elena/0000-0002-4588-604X</t>
  </si>
  <si>
    <t>0869-5652</t>
  </si>
  <si>
    <t>WOS:A1997WP64600032</t>
  </si>
  <si>
    <t>Ratmanov, VA; Gavrilov, GN; Marinin, EA; Beltukov, AS; Razheva, KV</t>
  </si>
  <si>
    <t>Ratmanov, V. A.; Gavrilov, G. N.; Marinin, E. A.; Beltukov, A. S.; Razheva, K., V</t>
  </si>
  <si>
    <t>The use of laser radiation for cutting of blind grooves and small-sized through cuts in thin-walled cylindrical bodies</t>
  </si>
  <si>
    <t>Gavrilov, Gennadiy/0000-0002-8306-2965</t>
  </si>
  <si>
    <t>10.1088/1757-899X/971/2/022047</t>
  </si>
  <si>
    <t>WOS:000646359100047</t>
  </si>
  <si>
    <t>Burkov, A; Kraev, A; Grishin, M; Vesnin, R; Fomin, S; Iordanskii, A</t>
  </si>
  <si>
    <t>Burkov, Andrey; Kraev, Alexander; Grishin, Maxim; Vesnin, Roman; Fomin, Sergey; Iordanskii, Alexey</t>
  </si>
  <si>
    <t>Structural Features and Properties' Characterization of Polylactic Acid/Natural Rubber Blends with Epoxidized Soybean Oil</t>
  </si>
  <si>
    <t>POLYMERS</t>
  </si>
  <si>
    <t>Burkov, Andrei/N-5302-2016; Burkov, Andrey/ABB-8219-2021</t>
  </si>
  <si>
    <t>Burkov, Andrei/0000-0002-3627-1262; Iordanskii, Alexey/0000-0003-0771-0825; Kraev, Alexander/0000-0002-9086-347X</t>
  </si>
  <si>
    <t>2073-4360</t>
  </si>
  <si>
    <t>10.3390/polym13071101</t>
  </si>
  <si>
    <t>WOS:000638769200001</t>
  </si>
  <si>
    <t>Kostyunina, NY; Latypova, LA; Luchinina, AO; Grudeva, MI</t>
  </si>
  <si>
    <t>Kostyunina, Nadezhda Yu.; Latypova, Liliia A.; Luchinina, Anastasiya O.; Grudeva, Marinela I.</t>
  </si>
  <si>
    <t>Students' Victim Behavior on The Internet: Motives and Features</t>
  </si>
  <si>
    <t>10.3897/ap.1.e1014</t>
  </si>
  <si>
    <t>WOS:000520005200105</t>
  </si>
  <si>
    <t>Khramchenkova, R; Sitdikov, A; Kaisin, A</t>
  </si>
  <si>
    <t>Khramchenkova, Rezida; Sitdikov, Airat; Kaisin, Alexei</t>
  </si>
  <si>
    <t>POST-MEDIEVAL GLASS WORKSHOP FROM THE EXCAVATION IN THE KAZAN KREMLIN</t>
  </si>
  <si>
    <t>SGEM 2016, BK 3: ANTHROPOLOGY, ARCHAEOLOGY, HISTORY &amp; PHILOSOPHY CONFERENCE PROCEEDINGS, VOL II</t>
  </si>
  <si>
    <t>Sitdikov, Ayrat G/M-2592-2013; Sitdikov, Ayrat/L-6509-2017; Rezida, Khramchenkova/H-8881-2017</t>
  </si>
  <si>
    <t>Sitdikov, Ayrat G/0000-0001-6314-3568; Rezida, Khramchenkova/0000-0001-9598-2024</t>
  </si>
  <si>
    <t>978-619-7105-77-3</t>
  </si>
  <si>
    <t>WOS:000395727400036</t>
  </si>
  <si>
    <t>Verbitsky, AA; Iliazova, MD; Ainalieva, AR; Shilova, ZV</t>
  </si>
  <si>
    <t>Shipunova, OD; Bylieva, DS</t>
  </si>
  <si>
    <t>Verbitsky, Andrey A.; Iliazova, Mariam D.; Ainalieva, Ailida R.; Shilova, Zoia, V</t>
  </si>
  <si>
    <t>STUDENTS' MULTICULTURAL TOLERANCE CORRELATES: STUDY GROUP MOSAICITY AND DEVELOPMENTAL LEVEL</t>
  </si>
  <si>
    <t>PROFESSIONAL CULTURE OF THE SPECIALIST OF THE FUTURE &amp; COMMUNICATIVE STRATEGIES OF INFORMATION SOCIETY</t>
  </si>
  <si>
    <t>20th Conference on Professional Culture of the Specialist of the Future (PCSF)</t>
  </si>
  <si>
    <t>NOV 26-27, 2020</t>
  </si>
  <si>
    <t>Peter Great St Petersburg Polytechn Univ, St Petersburg, RUSSIA</t>
  </si>
  <si>
    <t>Peter Great St Petersburg Polytechn Univ</t>
  </si>
  <si>
    <t>Shilova, Zoia V/G-3073-2017</t>
  </si>
  <si>
    <t>10.15405/epsbs.2020.12.03.36</t>
  </si>
  <si>
    <t>WOS:000758194100036</t>
  </si>
  <si>
    <t>Cheranev, V; Smirnova, D; Jankevic, T; Loginova, M; Rebrikov, D</t>
  </si>
  <si>
    <t>Cheranev, Valery; Smirnova, Daria; Jankevic, Tatiana; Loginova, Maria; Rebrikov, Denis</t>
  </si>
  <si>
    <t>Description of the novel HLA-C allele, HLA-C12:376, identified in a deceased COVID-19 patient</t>
  </si>
  <si>
    <t>10.1111/tan.14967</t>
  </si>
  <si>
    <t>WOS:000913829400001</t>
  </si>
  <si>
    <t>Tsyrkin, VI; Dvoryanskii, SA; Nozdrachev, AD; Zaugolnikov, VS; Sizova, EN</t>
  </si>
  <si>
    <t>beta-adrenoreactivity increase of coronary arteries by blood serum</t>
  </si>
  <si>
    <t>Nozdrachev, Aleksandr/P-2667-2017</t>
  </si>
  <si>
    <t>Nozdrachev, Aleksandr/0000-0003-0753-5633</t>
  </si>
  <si>
    <t>WOS:A1996WM80200035</t>
  </si>
  <si>
    <t>Krivosheina, NV; Golynets, GV</t>
  </si>
  <si>
    <t>Krivosheina, Natalia V.; Golynets, Galina V.</t>
  </si>
  <si>
    <t>MONUMENTAL PAINTING OF ALTARS OF VYATKA CHURCHES BETWEEN THE 19th AND EARLY 20th CENTURIES</t>
  </si>
  <si>
    <t>Golynets, Galina/ABG-4228-2021; Krivosheina, Natalia V/M-8938-2018</t>
  </si>
  <si>
    <t>Golynets, Galina/0000-0001-8939-0153; Krivosheina, Natalia V/0000-0001-7612-5174</t>
  </si>
  <si>
    <t>10.15826/izv2.2020.22.2.038</t>
  </si>
  <si>
    <t>WOS:000545469200019</t>
  </si>
  <si>
    <t>Fokina, OV; Sozinova, AA; Glebova, AG; Nikonova, NV</t>
  </si>
  <si>
    <t>Fokina, Olga Vasilyevna; Sozinova, Anastasia Andreevna; Glebova, Anna Gennadyevna; Nikonova, Natalia Valeryevna</t>
  </si>
  <si>
    <t>Improving the quality of project management at energytech through marketing in support of sustainable and environmental development of energy economics</t>
  </si>
  <si>
    <t>FRONTIERS IN ENERGY RESEARCH</t>
  </si>
  <si>
    <t>2296-598X</t>
  </si>
  <si>
    <t>AUG 4</t>
  </si>
  <si>
    <t>10.3389/fenrg.2022.943447</t>
  </si>
  <si>
    <t>WOS:000843654400001</t>
  </si>
  <si>
    <t>The influence of speed and strength training at school on the indicators of attention switching in children aged 13-14 years with different typologies</t>
  </si>
  <si>
    <t>JOURNAL OF EDUCATION AND HEALTH PROMOTION</t>
  </si>
  <si>
    <t>2277-9531</t>
  </si>
  <si>
    <t>2319-6440</t>
  </si>
  <si>
    <t>10.4103/jehp.jehp_413_21</t>
  </si>
  <si>
    <t>WOS:000766948600023</t>
  </si>
  <si>
    <t>Savinyh, P; Nechaev, V; Nechaeva, M; Ivanovs, S</t>
  </si>
  <si>
    <t>Savinyh, Peter; Nechaev, Vladimir; Nechaeva, Marina; Ivanovs, Semjons</t>
  </si>
  <si>
    <t>MOTION OF GRAIN PARTICLE ALONG BLADE OF ROTOR FAN OF HAMMER CRUSHER</t>
  </si>
  <si>
    <t>15TH INTERNATIONAL SCIENTIFIC CONFERENCE: ENGINEERING FOR RURAL DEVELOPMENT</t>
  </si>
  <si>
    <t>15th International Scientific Conference on Engineering for Rural Development</t>
  </si>
  <si>
    <t>MAY 25-27, 2016</t>
  </si>
  <si>
    <t>Latvia Univ Agr, Fac Engn,Latvian Acad Agr &amp; Forestry Sci,Fortum,Silja,LLU TF LTI UZC</t>
  </si>
  <si>
    <t>Ivanovs, Semjons/AAD-7303-2022</t>
  </si>
  <si>
    <t>Ivanovs, Semjons/0000-0002-9072-1340</t>
  </si>
  <si>
    <t>WOS:000390059500167</t>
  </si>
  <si>
    <t>Nikolenko, NV; Samchilev, IS; Kalashnikova, AN; Ananchenko, BA</t>
  </si>
  <si>
    <t>Nikolenko, N. V.; Samchilev, I. S.; Kalashnikova, A. N.; Ananchenko, B. A.</t>
  </si>
  <si>
    <t>Thermodynamic and kinetic analyses of the decomposition of iron molybdate with soda ash solutions</t>
  </si>
  <si>
    <t>Ananchenko, Boris/AAM-5831-2020; Nikolenko, Mykola/C-8093-2019</t>
  </si>
  <si>
    <t>Ananchenko, Boris/0000-0002-7975-7828; Nikolenko, Mykola/0000-0001-9289-2680</t>
  </si>
  <si>
    <t>10.1134/S1070427215020044</t>
  </si>
  <si>
    <t>WOS:000355184300004</t>
  </si>
  <si>
    <t>Saetova, NS; Shirokova, ES; Krainova, DA; Chebykin, NS; Ananchenko, BA; Tolstobrov, IV; Belozerov, KS; Kuzmin, AV</t>
  </si>
  <si>
    <t>Saetova, N. S.; Shirokova, E. S.; Krainova, D. A.; Chebykin, N. S.; Ananchenko, B. A.; Tolstobrov, I., V; Belozerov, K. S.; Kuzmin, A., V</t>
  </si>
  <si>
    <t>The development of 3D technology for the creation of glass sealants for tubular oxide fuel cells</t>
  </si>
  <si>
    <t>INTERNATIONAL JOURNAL OF APPLIED GLASS SCIENCE</t>
  </si>
  <si>
    <t>Kuzmin, Anton/O-4057-2014; Tolstobrov, Ivan/T-7734-2019; Shirokova, Evgeniya/L-2195-2017</t>
  </si>
  <si>
    <t>Kuzmin, Anton/0000-0002-0700-662X; Tolstobrov, Ivan/0000-0002-0133-6150; Shirokova, Evgeniya/0000-0001-5735-3489</t>
  </si>
  <si>
    <t>2041-1286</t>
  </si>
  <si>
    <t>2041-1294</t>
  </si>
  <si>
    <t>10.1111/ijag.16578</t>
  </si>
  <si>
    <t>WOS:000780783500001</t>
  </si>
  <si>
    <t>Buldakova, N; Ignateva, E; Korshunova, O</t>
  </si>
  <si>
    <t>Buldakova, Natalya; Ignateva, Elena; Korshunova, Olga</t>
  </si>
  <si>
    <t>PEDAGOGICAL SEMIOTICS: NEW GUIDELINES IN PERSONALITY DEVELOPMENT</t>
  </si>
  <si>
    <t>10.15405/epsbs.2021.07.02.43</t>
  </si>
  <si>
    <t>WOS:000771919100043</t>
  </si>
  <si>
    <t>Zlobin, AA; Martinson, EA; Ovechkina, IA; Durnev, EA; Ovodova, RG; Litvinets, SG</t>
  </si>
  <si>
    <t>Zlobin, A. A.; Martinson, E. A.; Ovechkina, I. A.; Durnev, E. A.; Ovodova, R. G.; Litvinets, S. G.</t>
  </si>
  <si>
    <t>Composition and properties of pectin polysaccharides of St. John's wort Hypericum Perforatum L.</t>
  </si>
  <si>
    <t>RUSSIAN JOURNAL OF BIOORGANIC CHEMISTRY</t>
  </si>
  <si>
    <t>Litvinets, Sergey G./I-8188-2013</t>
  </si>
  <si>
    <t>Litvinets, Sergey G./0000-0001-8583-5274</t>
  </si>
  <si>
    <t>1068-1620</t>
  </si>
  <si>
    <t>1608-330X</t>
  </si>
  <si>
    <t>10.1134/S1068162012070230</t>
  </si>
  <si>
    <t>WOS:000312062700003</t>
  </si>
  <si>
    <t>Loginova, M; Druzhinina, S; Ivan, O; Paramonov, I; Zarubin, M</t>
  </si>
  <si>
    <t>Loginova, Maria; Druzhinina, Svetlana; Ivan, Obukhov; Paramonov, Igor; Zarubin, Maksim</t>
  </si>
  <si>
    <t>The HLA-C*15:250 allele identified in a volunteer bone marrow donor</t>
  </si>
  <si>
    <t>10.1111/tan.14639</t>
  </si>
  <si>
    <t>WOS:000785894900001</t>
  </si>
  <si>
    <t>Grinshkun, AV; Perevozchikova, MS; Razova, EV; Khlobystova, IY</t>
  </si>
  <si>
    <t>Grinshkun, Aleksandr, V; Perevozchikova, Marina S.; Razova, Elena, V; Khlobystova, Irina Yu</t>
  </si>
  <si>
    <t>Using Methods and Means of the Augmented Reality Technology When Training Future Teachers of the Digital School</t>
  </si>
  <si>
    <t>Khlobystova, Irina/0000-0001-7672-0838</t>
  </si>
  <si>
    <t>10.13187/ejced.2021.2.358</t>
  </si>
  <si>
    <t>WOS:000669658200007</t>
  </si>
  <si>
    <t>Krainova, DA; Saetova, NS; Farlenkov, AS; Belyakov, SA; Kuz'min, AV</t>
  </si>
  <si>
    <t>Krainova, D. A.; Saetova, N. S.; Farlenkov, A. S.; Belyakov, S. A.; Kuz'min, A., V</t>
  </si>
  <si>
    <t>Effect of Chromium Oxide Additions on the Stability of Glass Ceramic Sealants for Solid Oxide Fuel Cells</t>
  </si>
  <si>
    <t>Belyakov, Semyon/L-5930-2017; Kuzmin, Anton/O-4057-2014</t>
  </si>
  <si>
    <t>Kuzmin, Anton/0000-0002-0700-662X; Belyakov, Semyon/0000-0001-9237-8307</t>
  </si>
  <si>
    <t>10.1134/S1070427221030083</t>
  </si>
  <si>
    <t>WOS:000653905200008</t>
  </si>
  <si>
    <t>Trushkova, IY; Grachev, SP; Flaksman, AL; Prigarin, AA</t>
  </si>
  <si>
    <t>Trushkova, I. Yu; Grachev, S. P.; Flaksman, A. L.; Prigarin, A. A.</t>
  </si>
  <si>
    <t>Expanding the field of applied research of CAD / CAM / CAE technologies through ethnographic museology</t>
  </si>
  <si>
    <t>Trushkova, Irina/C-5994-2019; Трушкова, Ирина Юрьевна/AAB-4826-2022</t>
  </si>
  <si>
    <t>10.1088/1757-899X/971/3/032059</t>
  </si>
  <si>
    <t>WOS:000646359100160</t>
  </si>
  <si>
    <t>Recognition of the novel HLA-DQB1*05:02:01:15 allele in a Russian bone marrow donor</t>
  </si>
  <si>
    <t>10.1111/tan.14968</t>
  </si>
  <si>
    <t>WOS:000914027400001</t>
  </si>
  <si>
    <t>Khranilov, YP; Zakharov, AV; Kovalenko, VL; Kotok, VA</t>
  </si>
  <si>
    <t>Khranilov, Yu P.; Zakharov, A., V; Kovalenko, V. L.; Kotok, V. A.</t>
  </si>
  <si>
    <t>Electrochemical utilization of disperse copper-iron waste</t>
  </si>
  <si>
    <t>Kotok, Valerii/P-2977-2016; Kovalenko, Vadym/C-5386-2019</t>
  </si>
  <si>
    <t>Kotok, Valerii/0000-0001-8879-7189; Kovalenko, Vadym/0000-0002-8012-6732</t>
  </si>
  <si>
    <t>10.25750/1995-4301-2020-1-136-143</t>
  </si>
  <si>
    <t>WOS:000522789400020</t>
  </si>
  <si>
    <t>Bykova, EV; Klyaus, MP</t>
  </si>
  <si>
    <t>Bykova, Ekaterina V.; Klyaus, Marina P.</t>
  </si>
  <si>
    <t>NATIONALANDINTERNATIONAL IN ORGANIZING OF THE SPACE OF BULGARIAN SETTLEMENTSIN THE KOMI REPUBLIC</t>
  </si>
  <si>
    <t>VESTNIK SLAVIANSKIKH KULTUR-BULLETIN OF SLAVIC CULTURES-SCIENTIFIC AND INFORMATIONAL JOURNAL</t>
  </si>
  <si>
    <t>2073-9567</t>
  </si>
  <si>
    <t>10.37816/2073-9567-2023-67-277-292</t>
  </si>
  <si>
    <t>WOS:000996372300018</t>
  </si>
  <si>
    <t>Egorova, NY; Suleymanova, VN; Ryabova, EV</t>
  </si>
  <si>
    <t>Egorova, N. Y.; Suleymanova, V. N.; Ryabova, E. V.</t>
  </si>
  <si>
    <t>Ecological and demographic characteristics of Cypripedium calceolus L. coenopopulations in the Kirov region</t>
  </si>
  <si>
    <t>10.25750/1995-4301-2022-3-166-174</t>
  </si>
  <si>
    <t>WOS:000885393200021</t>
  </si>
  <si>
    <t>The Influence of Speed-Strength Training on the Vestibular Stability of Children Aged 13-14 Years with Different Strengths of the Nervous System</t>
  </si>
  <si>
    <t>10.22038/IJP.2021.58495.4571</t>
  </si>
  <si>
    <t>WOS:000733418900013</t>
  </si>
  <si>
    <t>Abramova, IV; Shilova, ZV; Varankina, VI; Rubanova, IV</t>
  </si>
  <si>
    <t>Abramova, Irina, V; Shilova, Zoya, V; Varankina, Vera, I; Rubanova, Irina, V</t>
  </si>
  <si>
    <t>Pedagogical Model of Integrative-Modular Training in Professional Preparation of Students</t>
  </si>
  <si>
    <t>Varankina, Vera I./G-9891-2017</t>
  </si>
  <si>
    <t>Varankina, Vera I./0000-0003-4166-1182; Abramova, Irina/0000-0001-6570-4007</t>
  </si>
  <si>
    <t>10.13187/ejced.2019.1.187</t>
  </si>
  <si>
    <t>WOS:000462498700014</t>
  </si>
  <si>
    <t>Sitnikova, EL; Chernysheva, NV</t>
  </si>
  <si>
    <t>Sitnikova, Evgenia L.; Chernysheva, Natalia, V</t>
  </si>
  <si>
    <t>Retrospective memory of Leningraders on the evacuation and life on the Home Front: A historical and sociological analysis</t>
  </si>
  <si>
    <t>Sitnikova, Evgenia/AAV-1364-2020; Chernysheva, Natalia/Q-4804-2016</t>
  </si>
  <si>
    <t>Sitnikova, Evgenia/0000-0002-4774-5689; Chernysheva, Natalia/0000-0002-1492-5368</t>
  </si>
  <si>
    <t>10.31166/VoprosyIstorii202206Statyi23</t>
  </si>
  <si>
    <t>WOS:000814316500021</t>
  </si>
  <si>
    <t>Measures against Illegal Migration in Greece</t>
  </si>
  <si>
    <t>10.15211/soveurope62019161171</t>
  </si>
  <si>
    <t>WOS:000553160200016</t>
  </si>
  <si>
    <t>Belova, K; Dushina, E; Popov, S; Zlobin, A; Martinson, E; Vityazev, F; Litvinets, S</t>
  </si>
  <si>
    <t>Belova, Kseniya; Dushina, Elena; Popov, Sergey; Zlobin, Andrey; Martinson, Ekaterina; Vityazev, Fedor; Litvinets, Sergey</t>
  </si>
  <si>
    <t>Enrichment of 3D-Printed k-Carrageenan Food Gel with Callus Tissue of Narrow-Leaved Lupin Lupinus angustifolius</t>
  </si>
  <si>
    <t>GELS</t>
  </si>
  <si>
    <t>Dushina, Elena/HMV-1878-2023; Belova, Kseniya/HMV-4528-2023; Litvinets, Sergey/I-8188-2013; Popov, Sergey/F-7627-2016</t>
  </si>
  <si>
    <t>Dushina, Elena/0000-0003-2846-4993; Belova, Kseniya/0000-0003-2823-2316; Litvinets, Sergey/0000-0001-8583-5274; Popov, Sergey/0000-0003-1763-8898</t>
  </si>
  <si>
    <t>2310-2861</t>
  </si>
  <si>
    <t>10.3390/gels9010045</t>
  </si>
  <si>
    <t>WOS:000917468800001</t>
  </si>
  <si>
    <t>Kotok, VA; Kovalenko, VL</t>
  </si>
  <si>
    <t>Kotok, V. A.; Kovalenko, V. L.</t>
  </si>
  <si>
    <t>General information on the recycling of chemical power sources. Complex recycling of lead-acid batteries</t>
  </si>
  <si>
    <t>10.25750/1995-4301-2020-4-022-029</t>
  </si>
  <si>
    <t>WOS:000597810500003</t>
  </si>
  <si>
    <t>Sofiina, EV</t>
  </si>
  <si>
    <t>Sofiina, Elena, V</t>
  </si>
  <si>
    <t>MODERN SYSTEMWIDE PROCESSES OF QUALITY MANAGEMENT IN AGRICULTURAL TENURE AT THE REGIONAL LEVEL</t>
  </si>
  <si>
    <t>Sof'ina, Elena/AAZ-6148-2020</t>
  </si>
  <si>
    <t>Sof'ina, Elena/0000-0002-4265-530X</t>
  </si>
  <si>
    <t>10.24874/IJQR14.02-08</t>
  </si>
  <si>
    <t>WOS:000531047700008</t>
  </si>
  <si>
    <t>Soboleva, EV; Suvorova, TN; Chuprakov, DV; Khlobystova, IY</t>
  </si>
  <si>
    <t>Soboleva, Elena, V; Suvorova, Tatiana N.; Chuprakov, Dmitriy, V; Khlobystova, Irina Yu.</t>
  </si>
  <si>
    <t>Formation of Teamwork Skills in Future Teachers when Creating Didactic Games with Traditional and Digital Components</t>
  </si>
  <si>
    <t>Suvorova, Tatiana/0000-0003-3628-129X</t>
  </si>
  <si>
    <t>10.13187/ejced.2023.1.188</t>
  </si>
  <si>
    <t>WOS:000961369300015</t>
  </si>
  <si>
    <t>Mamaeva, EA; Grinshkun, AV; Masharova, TV; Shunina, LA</t>
  </si>
  <si>
    <t>Mamaeva, Ekaterina A.; Grinshkun, Aleksandr, V; Masharova, Tatyana, V; Shunina, Liubov A.</t>
  </si>
  <si>
    <t>Augmented Reality Technology as a Means of Forming Master's Degree Students' Multicultural Competence</t>
  </si>
  <si>
    <t>Mamaeva, Ekaterina/0000-0002-7721-8820</t>
  </si>
  <si>
    <t>10.13187/ejced.2022.4.1147</t>
  </si>
  <si>
    <t>WOS:000914876300009</t>
  </si>
  <si>
    <t>Soboleva, EV; Suvorova, TN; Grinshkun, AV; Bocharov, MI</t>
  </si>
  <si>
    <t>Soboleva, Elena, V; Suvorova, Tatyana N.; Grinshkun, Aleksandr, V; Bocharov, Mikhail, I</t>
  </si>
  <si>
    <t>Applying Gamification in Learning the Basics of Algorithmization and Programming to Improve the Quality of Students' Educational Results</t>
  </si>
  <si>
    <t>10.13187/ejced.2021.4.987</t>
  </si>
  <si>
    <t>WOS:000739150200013</t>
  </si>
  <si>
    <t>Rossinskii, AP; Adalykin, AA; Chagaev, SV; Kimel'blat, VI; Makhotin, AA</t>
  </si>
  <si>
    <t>Rossinskii, A. P.; Adalykin, A. A.; Chagaev, S. V.; Kimel'blat, V. I.; Makhotin, A. A.</t>
  </si>
  <si>
    <t>AP-U resin as modifying additive for polymeric formulations</t>
  </si>
  <si>
    <t>10.1134/S1070427210100290</t>
  </si>
  <si>
    <t>WOS:000284652000029</t>
  </si>
  <si>
    <t>Baykova, O; Obukhova, O; Berezina, Y; Porchesku, G; Kryukova, N</t>
  </si>
  <si>
    <t>Baykova, Olga; Obukhova, Olga; Berezina, Yulia; Porchesku, Galina; Kryukova, Natalia</t>
  </si>
  <si>
    <t>LANGUAGE AS A CONSOLIDATING FACTOR OF ETHNIC IDENTITY OF THE RUSSIAN GERMANS</t>
  </si>
  <si>
    <t>REVISTA ENTRELINGUAS</t>
  </si>
  <si>
    <t>Porchesku, Galina/AAZ-8186-2020; Baykova, Olga Vladimirovna/A-7435-2016</t>
  </si>
  <si>
    <t>Porchesku, Galina/0000-0003-1423-3510; Baykova, Olga Vladimirovna/0000-0002-4859-8553; Olga, Obukhova/0000-0002-8658-6000</t>
  </si>
  <si>
    <t>2447-4045</t>
  </si>
  <si>
    <t>2447-3529</t>
  </si>
  <si>
    <t>e021024</t>
  </si>
  <si>
    <t>10.29051/el.v7iesp.2.15150</t>
  </si>
  <si>
    <t>WOS:000659373500022</t>
  </si>
  <si>
    <t>Demina, NL; Tsirkin, VI; Tarlovskaya, EI; Kostyaev, AA</t>
  </si>
  <si>
    <t>Demina, N. L.; Tsirkin, V., I; Tarlovskaya, E., I; Kostyaev, A. A.</t>
  </si>
  <si>
    <t>Serum alpha-adrenomodulating activity in arterial hypertension</t>
  </si>
  <si>
    <t>RUSSIAN JOURNAL OF CARDIOLOGY</t>
  </si>
  <si>
    <t>Tarlovskaya, Ekaterina/AAN-1142-2020; Tsirkin, Victor/O-1603-2017; Gorodilova, Elena/H-3682-2017</t>
  </si>
  <si>
    <t>Tarlovskaya, Ekaterina/0000-0002-9659-7010; Gorodilova, Elena/0000-0002-5714-2785</t>
  </si>
  <si>
    <t>1560-4071</t>
  </si>
  <si>
    <t>WOS:000254496200012</t>
  </si>
  <si>
    <t>Smirnova, D; Loginova, M; Druzhinina, S; Paramonov, I; Abramova, A; Simakova, T</t>
  </si>
  <si>
    <t>Smirnova, Daria; Loginova, Maria; Druzhinina, Svetlana; Paramonov, Igor; Abramova, Anna; Simakova, Tamara</t>
  </si>
  <si>
    <t>Distributions of HLA-A, -B, -C,-DRB1 and-DQB1 alleles typed by next generation sequencing in Russian volunteer donors</t>
  </si>
  <si>
    <t>Loginova, M./0000-0001-7088-3986; Simakova, Tamara/0000-0001-9023-4852; Paramonov, Igor/0000-0002-7205-912X; Druzhinina, Svetlana/0000-0002-2371-4044</t>
  </si>
  <si>
    <t>10.1111/tan.15007</t>
  </si>
  <si>
    <t>WOS:000943276600001</t>
  </si>
  <si>
    <t>Kalabin, OV; Litvin, FB; Bruk, TM; Bykova, IV; Udovenko, EV</t>
  </si>
  <si>
    <t>Kalabin, O., V; Litvin, F. B.; Bruk, T. M.; Bykova, I., V; Udovenko, E., V</t>
  </si>
  <si>
    <t>Influence of radioecological pollution on heart rate variability in young men of different somatotypes</t>
  </si>
  <si>
    <t>10.25750/1995-4301-2022-4-232-239</t>
  </si>
  <si>
    <t>WOS:000929704700031</t>
  </si>
  <si>
    <t>Chernysheva, NV; Svintsova, MN; Sakovich, NV</t>
  </si>
  <si>
    <t>Chernysheva, Natalia, V; Svintsova, Marina N.; Sakovich, Natalia, V</t>
  </si>
  <si>
    <t>Child and infant mortality in the areas of the Volga-Vyatka region on the eve of and during the Great Patriotic War</t>
  </si>
  <si>
    <t>Марина, Свинцова/AAU-4461-2020; Chernysheva, Natalia/Q-4804-2016</t>
  </si>
  <si>
    <t>10.31166/VoprosyIstorii201911Statyi11</t>
  </si>
  <si>
    <t>WOS:000504079400009</t>
  </si>
  <si>
    <t>Cherkasov, KV; Osipov, DA</t>
  </si>
  <si>
    <t>Cherkasov, Konstantin V.; Osipov, Daniil A.</t>
  </si>
  <si>
    <t>PRINCIPLES OF ORGANISATION AND ACTIVITIES OF COMMISSIONERS OF THE AUTHORITIES OF THE SUBJECTS OF THE RUSSIAN FEDERATION: THEORY AND PRACTICE</t>
  </si>
  <si>
    <t>Osipov, Daniil/AAG-1652-2019; Cherkasov, Konstantin/G-3785-2016</t>
  </si>
  <si>
    <t>Cherkasov, Konstantin/0000-0002-9754-9619</t>
  </si>
  <si>
    <t>10.17223/15617793/430/29</t>
  </si>
  <si>
    <t>WOS:000438858600029</t>
  </si>
  <si>
    <t>Loginova, M; Smirnova, D; Druzhinina, S; Paramonov, I; Zarubin, M</t>
  </si>
  <si>
    <t>Loginova, Maria; Smirnova, Daria; Druzhinina, Svetlana; Paramonov, Igor; Zarubin, Maksim</t>
  </si>
  <si>
    <t>Characterization of seven new HLA alleles, HLA-A*01:407, -A*01:408, -A*03:434, -B*40:508N, -B*40:511N,-DRB1*04:336, and-DRB1*11:297Q</t>
  </si>
  <si>
    <t>e14559</t>
  </si>
  <si>
    <t>10.1111/tan.14559</t>
  </si>
  <si>
    <t>JAN 2022</t>
  </si>
  <si>
    <t>WOS:000749651400001</t>
  </si>
  <si>
    <t>Brodskiy, VA; Sakharov, DA; Kolesnikov, AV; Ashikhmina, TY; Ivanov, KN</t>
  </si>
  <si>
    <t>Brodskiy, V. A.; Sakharov, D. A.; Kolesnikov, A., V; Ashikhmina, T. Ya; Ivanov, K. N.</t>
  </si>
  <si>
    <t>Problems of neutralization and utilization of highly toxic industrial wastes, their processing with obtaining valuable components</t>
  </si>
  <si>
    <t>10.25750/1995-4301-2022-4-088-095</t>
  </si>
  <si>
    <t>WOS:000929704700012</t>
  </si>
  <si>
    <t>Soboleva, EV; Suvorova, TN; Zenkina, SV; Bocharov, MI</t>
  </si>
  <si>
    <t>Soboleva, Elena, V; Suvorova, Tatyana N.; Zenkina, Svetlana, V; Bocharov, Mikhail, I</t>
  </si>
  <si>
    <t>Developing Computational Thinking of Specialists of the Future Through Designing Computer Games for Educational Purposes</t>
  </si>
  <si>
    <t>Bocharov, Mikhail/C-2359-2011</t>
  </si>
  <si>
    <t>Bocharov, Mikhail/0000-0002-3356-3251; Suvorova, Tatiana/0000-0003-3628-129X</t>
  </si>
  <si>
    <t>10.13187/ejced.2021.2.462</t>
  </si>
  <si>
    <t>WOS:000669658200014</t>
  </si>
  <si>
    <t>Byvalov, AA; Konyshev, IV</t>
  </si>
  <si>
    <t>Byvalov, A. A.; Konyshev, I., V</t>
  </si>
  <si>
    <t>YERSINIA PSEUDOTUBERCULOSIS-DERIVED ADHESINS</t>
  </si>
  <si>
    <t>INFEKTSIYA I IMMUNITET</t>
  </si>
  <si>
    <t>Konyshev, Ilya V./A-9370-2019; Byvalov, Andrey A./Y-6825-2018</t>
  </si>
  <si>
    <t>Konyshev, Ilya V./0000-0001-6575-9630; Byvalov, Andrey A./0000-0003-1117-5896</t>
  </si>
  <si>
    <t>2220-7619</t>
  </si>
  <si>
    <t>2313-7398</t>
  </si>
  <si>
    <t>10.15789/2220-7619-2019-3-4-437-448</t>
  </si>
  <si>
    <t>WOS:000497425100002</t>
  </si>
  <si>
    <t>Bykova, EV; Prigarin, AA</t>
  </si>
  <si>
    <t>Bykova, Ekaterina V.; Prigarin, Aleksandr A.</t>
  </si>
  <si>
    <t>The world of visual images of the Tuva Old Believers: from icons and popular prints to photos*</t>
  </si>
  <si>
    <t>NOVYE ISSLEDOVANIYA TUVY-NEW RESEARCH OF TUVA</t>
  </si>
  <si>
    <t>2079-8482</t>
  </si>
  <si>
    <t>10.25178/nit.2019.1.6</t>
  </si>
  <si>
    <t>WOS:000993913200006</t>
  </si>
  <si>
    <t>Popkova, EG; Sozinova, AA; Menshchikova, VI</t>
  </si>
  <si>
    <t>Popkova, Elena G.; Sozinova, Anastasia A.; Menshchikova, Vera, I</t>
  </si>
  <si>
    <t>MANAGING THE ADAPTATION OF MODERN SOCIETY TO THE INDUSTRY 4.0 BASED ON INFORMATION WAVES AND IMPULSES</t>
  </si>
  <si>
    <t>THEORETICAL AND PRACTICAL ISSUES OF JOURNALISM</t>
  </si>
  <si>
    <t>MENSHCHIKOVA, Vera/ABH-9254-2020; Sozinova, Anastasia/F-6298-2015; Popkova, Elena G/C-8484-2014</t>
  </si>
  <si>
    <t>MENSHCHIKOVA, Vera/0000-0001-8216-2326; Sozinova, Anastasia/0000-0001-5876-2823; Popkova, Elena G/0000-0003-2136-2767</t>
  </si>
  <si>
    <t>2308-6203</t>
  </si>
  <si>
    <t>2308-6211</t>
  </si>
  <si>
    <t>10.17150/2308-6203.2019.8(2).438-446</t>
  </si>
  <si>
    <t>WOS:000468390900016</t>
  </si>
  <si>
    <t>Loginova, M; Druzhinina, S; Paramonov, I; Suslova, T</t>
  </si>
  <si>
    <t>Loginova, Maria; Druzhinina, Svetlana; Paramonov, Igor; Suslova, Tatiana</t>
  </si>
  <si>
    <t>Characterization of the novel HLA-DQB1*02:02:23 allele in a Russian hematopoietic stem cell donor</t>
  </si>
  <si>
    <t>10.1111/tan.14965</t>
  </si>
  <si>
    <t>WOS:000911908900001</t>
  </si>
  <si>
    <t>Cheranev, V; Smirnova, D; Jankevic, T; Loginova, M; Korostin, D</t>
  </si>
  <si>
    <t>Cheranev, Valery; Smirnova, Daria; Jankevic, Tatiana; Loginova, Maria; Korostin, Dmitry</t>
  </si>
  <si>
    <t>Description of the novel allele HLA-B*07:473, identified in a bone marrow donor</t>
  </si>
  <si>
    <t>Loginova, M./0000-0001-7088-3986; Korostin, Dmitriy/0000-0003-1343-2550</t>
  </si>
  <si>
    <t>10.1111/tan.14962</t>
  </si>
  <si>
    <t>WOS:000908076200001</t>
  </si>
  <si>
    <t>Ashikhmina, TY; Ogorodnikova, SY</t>
  </si>
  <si>
    <t>Ashikhmina, T. Y.; Ogorodnikova, S. Y.</t>
  </si>
  <si>
    <t>Ecological forum in Kirov</t>
  </si>
  <si>
    <t>WOS:000755154100036</t>
  </si>
  <si>
    <t>Savinykh, NP; Cheryomushkina, VA</t>
  </si>
  <si>
    <t>Savinykh, N. P.; Cheryomushkina, V. A.</t>
  </si>
  <si>
    <t>Biomorphology: Current status and prospects</t>
  </si>
  <si>
    <t>Cheryomushkina, V. A/O-4924-2015</t>
  </si>
  <si>
    <t>Vera, Cheryomushkina/0000-0003-1502-7006; Savinykh, Natalia/0000-0003-4996-8269</t>
  </si>
  <si>
    <t>10.1134/S1995425515050121</t>
  </si>
  <si>
    <t>WOS:000363241200001</t>
  </si>
  <si>
    <t>Influence of Speed-Strength Training on the Speed of Movement of Schoolchildren with Different Strength of the Nervous System</t>
  </si>
  <si>
    <t>10.22038/ijp.2021.57347.4500</t>
  </si>
  <si>
    <t>WOS:000652648300023</t>
  </si>
  <si>
    <t>Kolobova, EV; Dvoryanskii, SA; Nozdrachev, AD; Tsirkin, VI</t>
  </si>
  <si>
    <t>Estimation of erythrocytes beta-adrenoreactivity by their sedimentation rate in the presence of adrenergic drugs</t>
  </si>
  <si>
    <t>WOS:000072655200032</t>
  </si>
  <si>
    <t>Sozinova, AA; Saveleva, NK; Bogoviz, AV; Popkova, EG</t>
  </si>
  <si>
    <t>Sozinova, Anastasia A.; Saveleva, Nadezhda K.; Bogoviz, Aleksei V.; Popkova, Elena G.</t>
  </si>
  <si>
    <t>A STUDY OF THE ORDER OF IMPLEMENTING TEMPORARY GOVERNMENT REGULATION OF COMMODITY PRICES IN THE EAEU: A VIEW FROM THE POSITIONS OF QUALITY</t>
  </si>
  <si>
    <t>10.24874/IJQR16.03-19</t>
  </si>
  <si>
    <t>WOS:000891388900001</t>
  </si>
  <si>
    <t>Andrianov, I; Shatrov, A</t>
  </si>
  <si>
    <t>Andrianov, Igor; Shatrov, Anatoly</t>
  </si>
  <si>
    <t>Pade Approximants, Their Properties, and Applications to Hydrodynamic Problems</t>
  </si>
  <si>
    <t>SYMMETRY-BASEL</t>
  </si>
  <si>
    <t>Igor, Andrianov/G-8772-2016</t>
  </si>
  <si>
    <t>Igor, Andrianov/0000-0002-2762-8565</t>
  </si>
  <si>
    <t>2073-8994</t>
  </si>
  <si>
    <t>10.3390/sym13101869</t>
  </si>
  <si>
    <t>WOS:000717100900001</t>
  </si>
  <si>
    <t>Professional Self-Determination Support for Students in the Digital Educational Space</t>
  </si>
  <si>
    <t>10.13187/ejced.2020.3.603</t>
  </si>
  <si>
    <t>WOS:000567722400011</t>
  </si>
  <si>
    <t>Makhnev, AA</t>
  </si>
  <si>
    <t>Makhnev, Aleksandr Alekseevich</t>
  </si>
  <si>
    <t>AUTOMORPHISMS OF DISTANCE-REGULAR GRAPH WITH INTERSECTION ARRAY {24, 18, 9; 1, 1, 16}</t>
  </si>
  <si>
    <t>10.33048/semi.2019.16.105</t>
  </si>
  <si>
    <t>WOS:000492154000001</t>
  </si>
  <si>
    <t>A novel HLA-DQB1*03 allele, HLA-DQB1*03:509N, was identified by next generation sequencing</t>
  </si>
  <si>
    <t>10.1111/tan.14960</t>
  </si>
  <si>
    <t>WOS:000908688000001</t>
  </si>
  <si>
    <t>SPEED-STRENGTH TRAINING INFLUENCE ON THE INDICATORS OF THE VOLUME OF ATTENTION OF SCHOOLCHILDREN WITH DIFFERENT TYPOLOGY</t>
  </si>
  <si>
    <t>PHARMACOPHORE</t>
  </si>
  <si>
    <t>2229-5402</t>
  </si>
  <si>
    <t>10.51847/1A2QGmzKEo</t>
  </si>
  <si>
    <t>WOS:000685660400001</t>
  </si>
  <si>
    <t>CAD-technologies in archaeological reconstructions: scientific and educational experience of Vyatka State University</t>
  </si>
  <si>
    <t>10.1088/1757-899X/971/3/032060</t>
  </si>
  <si>
    <t>WOS:000646359100161</t>
  </si>
  <si>
    <t>Characterization of two new alleles: HLA-B*51:363 and HLA-DRB1*13:322N</t>
  </si>
  <si>
    <t>10.1111/tan.14617</t>
  </si>
  <si>
    <t>WOS:000777103700001</t>
  </si>
  <si>
    <t>Ivanov, A; Plekhanov, M; Kuzmin, A</t>
  </si>
  <si>
    <t>Ivanov, A.; Plekhanov, M.; Kuzmin, A.</t>
  </si>
  <si>
    <t>The influence of formation features on SOFC electrochemical performance and long-term stability</t>
  </si>
  <si>
    <t>JOURNAL OF APPLIED ELECTROCHEMISTRY</t>
  </si>
  <si>
    <t>Kuzmin, Anton/O-4057-2014; Plekhanov, Maksim/X-2719-2018</t>
  </si>
  <si>
    <t>Kuzmin, Anton/0000-0002-0700-662X; Plekhanov, Maksim/0000-0002-2701-4619</t>
  </si>
  <si>
    <t>0021-891X</t>
  </si>
  <si>
    <t>1572-8838</t>
  </si>
  <si>
    <t>10.1007/s10800-022-01667-0</t>
  </si>
  <si>
    <t>WOS:000740198900003</t>
  </si>
  <si>
    <t>Voroshilova, SV; Tatarinova, EP; Sergeev, AV; Bratukhina, EV</t>
  </si>
  <si>
    <t>Voroshilova, Svetlana V.; Tatarinova, Elena P.; Sergeev, Alexander, V; Bratukhina, Ekaterina, V</t>
  </si>
  <si>
    <t>About the sphinx of Russian law: the phenomenon of legal separation of property of the spouses</t>
  </si>
  <si>
    <t>Voroshilova, Svetlana/CAG-0664-2022</t>
  </si>
  <si>
    <t>10.31166/VoprosyIstorii202111Statyi33</t>
  </si>
  <si>
    <t>WOS:000729818300025</t>
  </si>
  <si>
    <t>Kuklin, AV; Bratukhina, EA; Gorokhovitskaya, YO</t>
  </si>
  <si>
    <t>Kuklin, Andrey, V; Bratukhina, Elena A.; Gorokhovitskaya, Yulia O.</t>
  </si>
  <si>
    <t>QUALITY AS THE KEY LANDMARK OF EDUCATION MANAGEMENT IN THE REGIONAL ECONOMY</t>
  </si>
  <si>
    <t>Andrea Simões Braga, Francisco/GRS-0157-2022; Bratukhina, Elena/AAB-6051-2022</t>
  </si>
  <si>
    <t>10.24874/IJQR15.02-06</t>
  </si>
  <si>
    <t>WOS:000655011600006</t>
  </si>
  <si>
    <t>Meltsov, V; Kuvaev, A; Zhukova, N</t>
  </si>
  <si>
    <t>Arseniev, DG; Overmeyer, L; Kalviainen, H; Katalinic, B</t>
  </si>
  <si>
    <t>Meltsov, Vasily; Kuvaev, Alexey; Zhukova, Natalya</t>
  </si>
  <si>
    <t>Knowledge Processing Method with Calculated Functors</t>
  </si>
  <si>
    <t>CYBER-PHYSICAL SYSTEMS AND CONTROL</t>
  </si>
  <si>
    <t>International Conference on Cyber-Physical Systems and Control (CPS and C)</t>
  </si>
  <si>
    <t>Meltsov, Vasily Yurevich/P-7511-2017; Kuvaev, Alexey/H-9867-2017</t>
  </si>
  <si>
    <t>Meltsov, Vasily Yurevich/0000-0001-5479-9979; Kuvaev, Alexey/0000-0003-1342-9861</t>
  </si>
  <si>
    <t>978-3-030-34983-7; 978-3-030-34982-0</t>
  </si>
  <si>
    <t>10.1007/978-3-030-34983-7_19</t>
  </si>
  <si>
    <t>WOS:000613140000019</t>
  </si>
  <si>
    <t>Palkina, M; Matveeva, N; Psareva, N</t>
  </si>
  <si>
    <t>Palkina, Marina; Matveeva, Nadezhda; Psareva, Nadezhda</t>
  </si>
  <si>
    <t>The innovative activity in depressed regions of the Russian Federation</t>
  </si>
  <si>
    <t>Matveeva, Nadezhda/G-9735-2017</t>
  </si>
  <si>
    <t>10.1051/e3sconf/202021016021</t>
  </si>
  <si>
    <t>WOS:000659867302022</t>
  </si>
  <si>
    <t>Non-Metallic Films Electroplating on the Low-Conductivity Substrates: The Conscious Selection of Conditions Using Ni(OH)(2) Deposition as an Example</t>
  </si>
  <si>
    <t>JOURNAL OF THE ELECTROCHEMICAL SOCIETY</t>
  </si>
  <si>
    <t>Kovalenko, Vadym/C-5386-2019; Kotok, Valerii/P-2977-2016</t>
  </si>
  <si>
    <t>Kovalenko, Vadym/0000-0002-8012-6732; Kotok, Valerii/0000-0001-8879-7189</t>
  </si>
  <si>
    <t>0013-4651</t>
  </si>
  <si>
    <t>1945-7111</t>
  </si>
  <si>
    <t>JUN 6</t>
  </si>
  <si>
    <t>D395</t>
  </si>
  <si>
    <t>D408</t>
  </si>
  <si>
    <t>10.1149/2.0561910jes</t>
  </si>
  <si>
    <t>WOS:000470231700001</t>
  </si>
  <si>
    <t>El'kin, OV; Kovalevskii, AV; Chebykin, VV</t>
  </si>
  <si>
    <t>El'kin, O. V.; Kovalevskii, A. V.; Chebykin, V. V.</t>
  </si>
  <si>
    <t>No-current diffusion saturation of nickel with gadolinium in the LiCl-KCl-GdCl3 melt</t>
  </si>
  <si>
    <t>10.3103/S106782121105004X</t>
  </si>
  <si>
    <t>WOS:000296792700008</t>
  </si>
  <si>
    <t>Fokina, O; Krupnov, Y</t>
  </si>
  <si>
    <t>Fokina, Olga; Krupnov, Yuri</t>
  </si>
  <si>
    <t>Evaluation of the company's organizational culture</t>
  </si>
  <si>
    <t>Krupnov, Yuriy/0000-0002-9524-3747</t>
  </si>
  <si>
    <t>10.1051/e3sconf/202021010007</t>
  </si>
  <si>
    <t>WOS:000659867301032</t>
  </si>
  <si>
    <t>Piskunov, M; Karzin, E; Lukina, V; Lukinov, V; Kholkin, A</t>
  </si>
  <si>
    <t>Piskunov, Maksim; Karzin, Evgeny; Lukina, Valentina; Lukinov, Vitaly; Kholkin, Anatolii</t>
  </si>
  <si>
    <t>Stabilization of marly soils with portland cement</t>
  </si>
  <si>
    <t>; Kholkin, Anatolii/C-6964-2017</t>
  </si>
  <si>
    <t>, vitaly/0000-0001-9544-3522; Kholkin, Anatolii/0000-0002-2790-1314</t>
  </si>
  <si>
    <t>10.1088/1755-1315/90/1/012125</t>
  </si>
  <si>
    <t>WOS:000419816700125</t>
  </si>
  <si>
    <t>Gornostaeva, EA; Berezin, GI; Dabak, EV</t>
  </si>
  <si>
    <t>Gornostaeva, E. A.; Berezin, G. I.; Dabak, E. V.</t>
  </si>
  <si>
    <t>Heavy metals in snow cover and urban soils</t>
  </si>
  <si>
    <t>Berezin, Grigorii/0000-0002-0603-0652; Gornostaeva, Elena/0000-0003-4888-5736</t>
  </si>
  <si>
    <t>10.25750/1995-4301-2022-3-110-117</t>
  </si>
  <si>
    <t>WOS:000885393200014</t>
  </si>
  <si>
    <t>Polevoy, GG; Egorycheva, EV; Fedorov, AV</t>
  </si>
  <si>
    <t>Polevoy, G. G.; Egorycheva, E., V; Fedorov, A., V</t>
  </si>
  <si>
    <t>Development of coordination abilities of football players taking into account the strength of their nervous system</t>
  </si>
  <si>
    <t>Egorycheva, Elina/W-1099-2017; Polevoy, Georgiy/M-2155-2016</t>
  </si>
  <si>
    <t>Egorycheva, Elina/0000-0002-7261-4760; Polevoy, Georgiy/0000-0002-3300-3908</t>
  </si>
  <si>
    <t>10.53350/pjmhs211592651</t>
  </si>
  <si>
    <t>WOS:000729254000003</t>
  </si>
  <si>
    <t>Soboleva, EV; Suvorova, TN; Grinshkun, AV; Nimatulaev, MM</t>
  </si>
  <si>
    <t>Soboleva, Elena, V; Suvorova, Tatyana N.; Grinshkun, Aleksandr, V; Nimatulaev, Magomedkhan M.</t>
  </si>
  <si>
    <t>Formation of Group Creative Thinking When Working with Virtual Walls</t>
  </si>
  <si>
    <t>10.13187/ejced.2021.3.726</t>
  </si>
  <si>
    <t>WOS:000705970600015</t>
  </si>
  <si>
    <t>Fedyaeva, A; Lezhnina, O; Marinina, A; Belinskaya, D</t>
  </si>
  <si>
    <t>Fedyaeva, Anna; Lezhnina, Olga; Marinina, Anastasia; Belinskaya, Daria</t>
  </si>
  <si>
    <t>Socio-psychological motivation of academic teaching staff</t>
  </si>
  <si>
    <t>10.1051/e3sconf/202021017027</t>
  </si>
  <si>
    <t>WOS:000659867302065</t>
  </si>
  <si>
    <t>Paimushin, VN; Firsov, VA; Gazizullin, RK; Kholmogorov, SA; Shishkin, VM</t>
  </si>
  <si>
    <t>Paimushin, V. N.; Firsov, V. A.; Gazizullin, R. K.; Kholmogorov, S. A.; Shishkin, V. M.</t>
  </si>
  <si>
    <t>Theoretical-Experimental Method for Determining the Short- and Long-Term Creep Parameters of Technical Rubber in Shear</t>
  </si>
  <si>
    <t>Gazizullin, Ruslan/GVS-2706-2022; Shishkin, Viktor/U-2323-2018</t>
  </si>
  <si>
    <t>Vyacheslav, Firsov/0000-0002-8948-1570; Gazizullin, Ruslan/0000-0001-7655-7049</t>
  </si>
  <si>
    <t>10.1007/s11029-019-09824-x</t>
  </si>
  <si>
    <t>WOS:000489505400001</t>
  </si>
  <si>
    <t>Rybak, AV; Belykh, ES; Maystrenko, TA; Velegzhaninov, IO</t>
  </si>
  <si>
    <t>Rybak, Anna V.; Belykh, Elena S.; Maystrenko, Tatiana A.; Velegzhaninov, Ilya O.</t>
  </si>
  <si>
    <t>Microsatellite polymorphism of Trifolium pratense population at the conditions of radioactive and chemical contamination of soil (Komi republic, Russia)</t>
  </si>
  <si>
    <t>ENVIRONMENTAL SCIENCE AND POLLUTION RESEARCH</t>
  </si>
  <si>
    <t>Velegzhaninov, Ilya O./P-9554-2015; Belykh, Elena/I-5106-2016; Rybak, Anna/Q-1926-2015</t>
  </si>
  <si>
    <t>Velegzhaninov, Ilya O./0000-0002-4715-4053; Belykh, Elena/0000-0002-0182-6475</t>
  </si>
  <si>
    <t>0944-1344</t>
  </si>
  <si>
    <t>1614-7499</t>
  </si>
  <si>
    <t>10.1007/s11356-018-3375-2</t>
  </si>
  <si>
    <t>WOS:000451954700078</t>
  </si>
  <si>
    <t>Gunter, EA; Melekhin, AK; Belozerov, VS; Ananchenko, BA; Martinson, EA; Litvinets, SG</t>
  </si>
  <si>
    <t>Gunter, Elena A.; Melekhin, Anatoliy K.; Belozerov, Vladislav S.; Ananchenko, Boris A.; Martinson, Ekaterina A.; Litvinets, Sergey G.</t>
  </si>
  <si>
    <t>Adhesive properties of calcium pectinate gels prepared from callus cultures pectins</t>
  </si>
  <si>
    <t>INTERNATIONAL JOURNAL OF BIOLOGICAL MACROMOLECULES</t>
  </si>
  <si>
    <t>Ananchenko, Boris/AAM-5831-2020; Litvinets, Sergey G./I-8188-2013; Gunter, Elena/C-4345-2018; Martinson, Ekaterina/AAL-5413-2020; A.K, Melekhin/AAH-2990-2019; Belozerov, Vladislav/B-7087-2019</t>
  </si>
  <si>
    <t>Ananchenko, Boris/0000-0002-7975-7828; Litvinets, Sergey G./0000-0001-8583-5274; Gunter, Elena/0000-0002-2915-6928; A.K, Melekhin/0000-0002-7574-7323; Belozerov, Vladislav/0000-0002-9930-5458</t>
  </si>
  <si>
    <t>0141-8130</t>
  </si>
  <si>
    <t>1879-0003</t>
  </si>
  <si>
    <t>10.1016/j.ijbiomac.2018.02.053</t>
  </si>
  <si>
    <t>WOS:000430522400106</t>
  </si>
  <si>
    <t>Suslova, GN; Tomashevskaya, NP; Kuvyrchenkova, TV; Gaidashov, AV; Redikultceva, EN</t>
  </si>
  <si>
    <t>Suslova, Galina Nikolaevna; Tomashevskaya, Natalya Petrovna; Kuvyrchenkova, Tatyana Vladimirovna; Gaidashov, Alexander Vasilyevich; Redikultceva, Elena Nikolaevna</t>
  </si>
  <si>
    <t>PROBLEMS OF BRINGING MINORS TO ADMINISTRATIVE LIABILITY IN THE RUSSIAN FEDERATION</t>
  </si>
  <si>
    <t>WOS:000572957200008</t>
  </si>
  <si>
    <t>Mamontov, AI; Petrakov, AP; Zimin, SP</t>
  </si>
  <si>
    <t>Mamontov, A., I; Petrakov, A. P.; Zimin, S. P.</t>
  </si>
  <si>
    <t>POROSITY AND SURFACE MORPHOLOGY OF LEAD SELENIDE - TIN SELENIDE LAYERS ON SILICON SUBSTRATES: X-RAY DIFFRACTION STUDIES</t>
  </si>
  <si>
    <t>ST PETERSBURG POLYTECHNIC UNIVERSITY JOURNAL-PHYSICS AND MATHEMATICS</t>
  </si>
  <si>
    <t>Zimin, Sergey P./AAO-2425-2020</t>
  </si>
  <si>
    <t>2405-7223</t>
  </si>
  <si>
    <t>10.18721/JPM.11110</t>
  </si>
  <si>
    <t>WOS:000457081500010</t>
  </si>
  <si>
    <t>Byvalov, AA; Dudina, LG; Konyshev, IV; Litvinets, SG; Martinson, EA</t>
  </si>
  <si>
    <t>Byvalov, A. A.; Dudina, L. G.; Konyshev, I. V.; Litvinets, S. G.; Martinson, E. A.</t>
  </si>
  <si>
    <t>Immunochemical Nature of Receptors of Pseudotuberculosis Diagnostic Bacteriophage</t>
  </si>
  <si>
    <t>Byvalov, Andrey A./Y-6825-2018; Dudina, Liubov G./C-7171-2017; Konyshev, Ilya V./A-9370-2019; Martinson, Ekaterina/AAL-5413-2020; Litvinets, Sergey G./I-8188-2013</t>
  </si>
  <si>
    <t>Byvalov, Andrey A./0000-0003-1117-5896; Dudina, Liubov G./0000-0002-2172-9015; Konyshev, Ilya V./0000-0001-6575-9630; Litvinets, Sergey G./0000-0001-8583-5274</t>
  </si>
  <si>
    <t>10.1007/s10517-016-3246-0</t>
  </si>
  <si>
    <t>WOS:000373646500022</t>
  </si>
  <si>
    <t>Shirokikh, IG; Ashikhmina, TY</t>
  </si>
  <si>
    <t>Shirokikh, I. G.; Ashikhmina, T. Ya</t>
  </si>
  <si>
    <t>Actinobacteria in protecting the environment from industrial pollution</t>
  </si>
  <si>
    <t>10.25750/1995-4301-2022-4-014-021</t>
  </si>
  <si>
    <t>WOS:000929704700002</t>
  </si>
  <si>
    <t>Tovstik, EV; Skugoreva, SG; Adamovich, TA; Ashikhmina, TY</t>
  </si>
  <si>
    <t>Tovstik, E., V; Skugoreva, S. G.; Adamovich, T. A.; Ashikhmina, T. Ya</t>
  </si>
  <si>
    <t>Approaches to testing controlled fertilizers</t>
  </si>
  <si>
    <t>Tovstik, Evgeniya/P-1350-2017; Ashikhmina, Tamara/O-1326-2015; Skugoreva, Svetlana/O-1406-2015</t>
  </si>
  <si>
    <t>Tovstik, Evgeniya/0000-0003-1861-6076; Ashikhmina, Tamara/0000-0003-4919-0047; Skugoreva, Svetlana/0000-0002-5902-5187</t>
  </si>
  <si>
    <t>10.25750/1995-4301-2022-1-182-190</t>
  </si>
  <si>
    <t>WOS:000819811100026</t>
  </si>
  <si>
    <t>Paimushin, VN; Firsov, VA; Shishkin, VM</t>
  </si>
  <si>
    <t>Paimushin, V. N.; Firsov, V. A.; Shishkin, V. M.</t>
  </si>
  <si>
    <t>Numerical Modeling of Resonant Vibrations of an Elongate Plate with an Integral Damping Coating</t>
  </si>
  <si>
    <t>10.1007/s11029-020-09869-3</t>
  </si>
  <si>
    <t>MAY 2020</t>
  </si>
  <si>
    <t>WOS:000535381800001</t>
  </si>
  <si>
    <t>Pestova, SV; Petukhov, DV; Izmest'ev, ES; Rubtsova, SA</t>
  </si>
  <si>
    <t>Pestova, S. V.; Petukhov, D. V.; Izmest'ev, E. S.; Rubtsova, S. A.</t>
  </si>
  <si>
    <t>Synthesis of Dehydroabietane-derived Sulfonamides with a Lysine Fragment</t>
  </si>
  <si>
    <t>RUSSIAN JOURNAL OF ORGANIC CHEMISTRY</t>
  </si>
  <si>
    <t>Izmest'ev, Evgeny S./S-2021-2016; Rubtsova, Svetlana A/O-2508-2017</t>
  </si>
  <si>
    <t>Rubtsova, Svetlana A/0000-0003-1224-8751; Petukhov, Dmitriy/0000-0002-7733-5250</t>
  </si>
  <si>
    <t>1070-4280</t>
  </si>
  <si>
    <t>1608-3393</t>
  </si>
  <si>
    <t>10.1134/S1070428022080139</t>
  </si>
  <si>
    <t>WOS:000864642400013</t>
  </si>
  <si>
    <t>Byvalov, A; Konyshev, I; Ananchenko, B; Belozerov, V</t>
  </si>
  <si>
    <t>Byvalov, Andrey; Konyshev, Ilya; Ananchenko, Boris; Belozerov, Vladislav</t>
  </si>
  <si>
    <t>Force spectroscopy of interactions between Yersinia pseudotuberculosis and Yersinia pestis cells and monoclonal antibodies using optical tweezers</t>
  </si>
  <si>
    <t>EUROPEAN BIOPHYSICS JOURNAL WITH BIOPHYSICS LETTERS</t>
  </si>
  <si>
    <t>Byvalov, Andrey A./Y-6825-2018; Konyshev, Ilya V./A-9370-2019; Belozerov, Vladislav/B-7087-2019</t>
  </si>
  <si>
    <t>Byvalov, Andrey A./0000-0003-1117-5896; Konyshev, Ilya V./0000-0001-6575-9630; Belozerov, Vladislav/0000-0002-9930-5458</t>
  </si>
  <si>
    <t>0175-7571</t>
  </si>
  <si>
    <t>1432-1017</t>
  </si>
  <si>
    <t>10.1007/s00249-022-01592-2</t>
  </si>
  <si>
    <t>WOS:000766407600001</t>
  </si>
  <si>
    <t>Slyudova, A; Trudonoshyn, O; Prach, O; Lisovskii, V</t>
  </si>
  <si>
    <t>Slyudova, Anna; Trudonoshyn, Oleksandr; Prach, Olena; Lisovskii, Vitaliy</t>
  </si>
  <si>
    <t>Morphology and Nucleation of Intermetallic Phases in Casting Al-Mg-Si Alloys</t>
  </si>
  <si>
    <t>METALLOGRAPHY MICROSTRUCTURE AND ANALYSIS</t>
  </si>
  <si>
    <t>2192-9262</t>
  </si>
  <si>
    <t>2192-9270</t>
  </si>
  <si>
    <t>10.1007/s13632-020-00702-w</t>
  </si>
  <si>
    <t>DEC 2020</t>
  </si>
  <si>
    <t>WOS:000598989600001</t>
  </si>
  <si>
    <t>Ganebnykh, E; Lezhnina, O; Zhukova, J; Kashintseva, V</t>
  </si>
  <si>
    <t>Ganebnykh, Elena; Lezhnina, Olga; Zhukova, Julia; Kashintseva, Valentina</t>
  </si>
  <si>
    <t>Diagnostics of company processes</t>
  </si>
  <si>
    <t>Кашинцева, Валентина/AAC-6594-2022; Ganebnykh, Elena/I-2839-2017</t>
  </si>
  <si>
    <t>Кашинцева, Валентина/0000-0002-0629-0796; Ganebnykh, Elena/0000-0003-0669-8318</t>
  </si>
  <si>
    <t>10.1051/e3sconf/202021010008</t>
  </si>
  <si>
    <t>WOS:000659867301033</t>
  </si>
  <si>
    <t>Shilov, MA; Smirnova, AI; Stolbov, DN; Usol'tseva, NV</t>
  </si>
  <si>
    <t>Shilov, M. A.; Smirnova, A., I; Stolbov, D. N.; Usol'tseva, N., V</t>
  </si>
  <si>
    <t>MODELLING OF DEFORMATION PROCESSES OF CARBON NANOTUBES</t>
  </si>
  <si>
    <t>Usol'tseva, Nadezhda V/I-9502-2017; Stolbov, Dmitrii/AAD-2560-2022; Smirnova, Antonina I/N-6946-2016; Stolbov, Dmitrii/GVS-7607-2022; Stolbov, Dmitrii/U-4262-2019; Shilov, Mikhail Aleksandrovich/D-9621-2017</t>
  </si>
  <si>
    <t>Usol'tseva, Nadezhda V/0000-0001-8963-8024; Smirnova, Antonina I/0000-0002-5234-1283; Stolbov, Dmitrii/0000-0001-8682-2328; Stolbov, Dmitrii/0000-0001-8682-2328; Shilov, Mikhail Aleksandrovich/0000-0002-6445-3303</t>
  </si>
  <si>
    <t>10.18083/LCAppl.2020.1.85</t>
  </si>
  <si>
    <t>WOS:000522216800010</t>
  </si>
  <si>
    <t>Paimushin, VN; Firsov, VA; Gazizullin, RK; Shishkin, VM</t>
  </si>
  <si>
    <t>Paimushin, V. N.; Firsov, V. A.; Gazizullin, R. K.; Shishkin, V. M.</t>
  </si>
  <si>
    <t>Theoretical and experimental method for determining the frequency-dependent dynamic modulus of elasticity and damping characteristics of a titanium alloy OT-4</t>
  </si>
  <si>
    <t>12TH INTERNATIONAL CONFERENCE - MESH METHODS FOR BOUNDARY: VALUE PROBLEMS AND APPLICATIONS</t>
  </si>
  <si>
    <t>12th International Conference on Mesh Methods for Boundary - Value Problems and Applications</t>
  </si>
  <si>
    <t>SEP 20-25, 2018</t>
  </si>
  <si>
    <t>Kazan Fed Univ,Russian Acad Sci, Keldysh Inst Appl Math,Tatarstan Acad Sci,Lomonosov Moscow State Univ</t>
  </si>
  <si>
    <t>Shishkin, Viktor/U-2323-2018; Gazizullin, Ruslan/GVS-2706-2022</t>
  </si>
  <si>
    <t>Gazizullin, Ruslan/0000-0001-7655-7049; Vyacheslav, Firsov/0000-0002-8948-1570</t>
  </si>
  <si>
    <t>10.1088/1742-6596/1158/3/032044</t>
  </si>
  <si>
    <t>WOS:000560244900092</t>
  </si>
  <si>
    <t>Dyakova, G; Izmaylova, S; Mottaeva, A; Karanina, E</t>
  </si>
  <si>
    <t>Dyakova, Galina; Izmaylova, Svetlana; Mottaeva, Angela; Karanina, Elena</t>
  </si>
  <si>
    <t>Priority directions of the improvement of energy management at the enterprise</t>
  </si>
  <si>
    <t>Mottaeva, Angela/AAD-2189-2022; Karanina, Elena E.V./L-1395-2016</t>
  </si>
  <si>
    <t>Karanina, Elena E.V./0000-0002-5439-5912; Mottaeva, Angela/0000-0001-8904-4154</t>
  </si>
  <si>
    <t>10.1088/1755-1315/90/1/012218</t>
  </si>
  <si>
    <t>WOS:000419816700218</t>
  </si>
  <si>
    <t>Pykhtin, K; Simankina, T; Karmokova, K; Zonova, A</t>
  </si>
  <si>
    <t>Pykhtin, Kirill; Simankina, Tatyana; Karmokova, Kristina; Zonova, Alevtina</t>
  </si>
  <si>
    <t>Determination of the optimal proportions of public and private funds in project budget management</t>
  </si>
  <si>
    <t>Simankina, Tatyana Leonidovna/AHA-9338-2022; Zonova, Alevtina/U-9925-2018</t>
  </si>
  <si>
    <t>Zonova, Alevtina/0000-0003-2125-8257</t>
  </si>
  <si>
    <t>10.1088/1755-1315/90/1/012208</t>
  </si>
  <si>
    <t>WOS:000419816700208</t>
  </si>
  <si>
    <t>Shchegolikhin, AN; Iordanskii, AL; Filatova, A; Gumargalieva, KZ; Fomin, SV; Potapov, EE</t>
  </si>
  <si>
    <t>Shchegolikhin, Alexander N.; Iordanskii, Alexey L.; Filatova, Anna; Gumargalieva, Klara Z.; Fomin, Sergey V.; Potapov, Evgeniy E.</t>
  </si>
  <si>
    <t>Water transport, FTIR, and morphology characterizations of novel biodegradable blends based on poly(3-hydroxybutyrate)</t>
  </si>
  <si>
    <t>JOURNAL OF POLYMER ENGINEERING</t>
  </si>
  <si>
    <t>Runnova, Anastasiya/M-2363-2016; Shchegolikhin, Alexander N./AAZ-7530-2021</t>
  </si>
  <si>
    <t>Runnova, Anastasiya/0000-0002-2102-164X; Sergey, Fomin/0000-0003-0393-5613; Shchegolikhin, Alexander/0000-0002-9403-4003; Iordanskii, Alexey/0000-0003-0771-0825</t>
  </si>
  <si>
    <t>0334-6447</t>
  </si>
  <si>
    <t>2191-0340</t>
  </si>
  <si>
    <t>2-3</t>
  </si>
  <si>
    <t>10.1515/POLYENG.2011.058</t>
  </si>
  <si>
    <t>WOS:000294413400033</t>
  </si>
  <si>
    <t>Ryabov, VM; Ryabova, EV; Ashikhmina, TY</t>
  </si>
  <si>
    <t>Ryabov, V. M.; Ryabova, E., V; Ashikhmina, T. Ya</t>
  </si>
  <si>
    <t>Assessment of biodiversity as a mechanism for changing the status of specially protected natural areas</t>
  </si>
  <si>
    <t>Ashikhmina, Tamara/O-1326-2015; Владимир, Рябов/ABD-4335-2021</t>
  </si>
  <si>
    <t xml:space="preserve">Ashikhmina, Tamara/0000-0003-4919-0047; </t>
  </si>
  <si>
    <t>10.25750/1995-4301-2021-3-111-117</t>
  </si>
  <si>
    <t>WOS:000700413300015</t>
  </si>
  <si>
    <t>Dyuzhilova, OM; Samylina, YN; Tolstova, IA; Kishko, VA; Smirnova, AA</t>
  </si>
  <si>
    <t>Dyuzhilova, Olga Mikhailovna; Samylina, Yulia Nikolaevna; Tolstova, Irina Aleksandrovna; Kishko, Vladimir Arkadievich; Smirnova, Anastasiya Alexandrovna</t>
  </si>
  <si>
    <t>SHADOW ECONOMY AS A WAY OF BUSINESS SURVIVAL</t>
  </si>
  <si>
    <t>Dyuzhilova, Olga/ABF-6407-2020</t>
  </si>
  <si>
    <t>WOS:000572957200013</t>
  </si>
  <si>
    <t>Kutyavina, TI; Rutman, VV; Ashikhmina, TY</t>
  </si>
  <si>
    <t>Kutyavina, T., I; Rutman, V. V.; Ashikhmina, T. Ya</t>
  </si>
  <si>
    <t>Determination of the trophic status of the water reservoir and spatial distribution of aquatic vegetation by integral indicators</t>
  </si>
  <si>
    <t>Kutyavina, Tatyana/AAX-3781-2021; Rutman, Vyacheslav V/C-5357-2019; Kutyavina, Tatyana/T-1440-2017; Ashikhmina, Tamara/O-1326-2015</t>
  </si>
  <si>
    <t>Kutyavina, Tatyana/0000-0001-7957-0636; Rutman, Vyacheslav V/0000-0002-9025-3487; Kutyavina, Tatyana/0000-0001-7957-0636; Ashikhmina, Tamara/0000-0003-4919-0047</t>
  </si>
  <si>
    <t>10.25750/1995-4301-2020-1-042-046</t>
  </si>
  <si>
    <t>WOS:000522789400006</t>
  </si>
  <si>
    <t>Palesheva, N; Sergievskaya, N; Rorokov, A</t>
  </si>
  <si>
    <t>Palesheva, Nadezhda; Sergievskaya, Natalia; Rorokov, Andrew</t>
  </si>
  <si>
    <t>The conceptual framework of the impact of money supply on economic growth</t>
  </si>
  <si>
    <t>Palesheva, Nadezhda/AAX-3899-2020; Karanina, Elena E.V./L-1395-2016; Palesheva, Nadejda/C-7401-2017</t>
  </si>
  <si>
    <t>Karanina, Elena E.V./0000-0002-5439-5912; Palesheva, Nadejda/0000-0002-9030-6577</t>
  </si>
  <si>
    <t>10.1051/matecconf/201710608077</t>
  </si>
  <si>
    <t>WOS:000426426600262</t>
  </si>
  <si>
    <t>Grabar, A; Starkova, D; Soboleva, O; Kondratyeva, T</t>
  </si>
  <si>
    <t>Grabar, Anna; Starkova, Darya; Soboleva, Olga; Kondratyeva, Tatyana</t>
  </si>
  <si>
    <t>Economic factors of electricity transport based on energy consumption forecasting</t>
  </si>
  <si>
    <t>Grabar, Anna/AHB-8210-2022; Soboleva, Olga/T-1858-2018</t>
  </si>
  <si>
    <t>Soboleva, Olga/0000-0001-8019-7023</t>
  </si>
  <si>
    <t>10.1051/e3sconf/202021013036</t>
  </si>
  <si>
    <t>WOS:000659867301085</t>
  </si>
  <si>
    <t>Sun, H; Varankina, VI; Sadovaya, VV</t>
  </si>
  <si>
    <t>Sun, Hai; Varankina, Vera I.; Sadovaya, Victoriya V.</t>
  </si>
  <si>
    <t>Didactic Aspects of the Academic Discipline History and Methodology of Mathematics</t>
  </si>
  <si>
    <t>Sadovaya, Viktoriya V/B-1879-2016; Varankina, Vera I./G-9891-2017</t>
  </si>
  <si>
    <t>Sadovaya, Viktoriya V/0000-0002-0124-5953; Varankina, Vera I./0000-0003-4166-1182</t>
  </si>
  <si>
    <t>10.12973/eurasia.2017.00727a</t>
  </si>
  <si>
    <t>WOS:000404607800009</t>
  </si>
  <si>
    <t>Identification of the elastic and damping characteristics of carbon fiber-reinforced plastic based on a study of damping flexural vibrations of test specimens</t>
  </si>
  <si>
    <t>JOURNAL OF APPLIED MECHANICS AND TECHNICAL PHYSICS</t>
  </si>
  <si>
    <t>0021-8944</t>
  </si>
  <si>
    <t>1573-8620</t>
  </si>
  <si>
    <t>10.1134/S0021894416040179</t>
  </si>
  <si>
    <t>WOS:000386562700017</t>
  </si>
  <si>
    <t>Shirokikh, IG; Shirokikh, AA</t>
  </si>
  <si>
    <t>Shirokikh, I. G.; Shirokikh, A. A.</t>
  </si>
  <si>
    <t>Antagonism and Resistance to Antibiotics of Actinomycetes from Soils of Three Specially Protected Natural Territories</t>
  </si>
  <si>
    <t>Shirikikh, Alexandr A.A.S./W-7606-2018; Shirokikh, Irina G/V-3449-2017</t>
  </si>
  <si>
    <t>Shirokikh, Irina G/0000-0002-3319-2729</t>
  </si>
  <si>
    <t>10.1134/S1064229319100132</t>
  </si>
  <si>
    <t>WOS:000491515600009</t>
  </si>
  <si>
    <t>Gerasimov, A; Shakhova, E; Rogozhkin, S</t>
  </si>
  <si>
    <t>Gerasimov, A.; Shakhova, E.; Rogozhkin, S.</t>
  </si>
  <si>
    <t>Heterologous expression of fungus Neonothopanus nambi hispidin-3-hydroxylase in yeast Komagataella phaffii (Pichia Pastoris)</t>
  </si>
  <si>
    <t>FEBS OPEN BIO</t>
  </si>
  <si>
    <t>2211-5463</t>
  </si>
  <si>
    <t>P-41-042</t>
  </si>
  <si>
    <t>WOS:000486972406174</t>
  </si>
  <si>
    <t>Petrova, EA; Masutin, VV; Zhuykova, IA</t>
  </si>
  <si>
    <t>Petrova, Ekaterina A.; Masutin, Vladimir V.; Zhuykova, Irina A.</t>
  </si>
  <si>
    <t>Two incomplete skeletons of woolly mammoth (Mammuthus primigenius) from the late Pleistocene in the Kirov Region, European Russia</t>
  </si>
  <si>
    <t>RUSSIAN JOURNAL OF THERIOLOGY</t>
  </si>
  <si>
    <t>Petrova, Ekaterina/AAH-3386-2019</t>
  </si>
  <si>
    <t>1682-3559</t>
  </si>
  <si>
    <t>10.15298/rusjtheriol.16.2.05</t>
  </si>
  <si>
    <t>WOS:000418853400005</t>
  </si>
  <si>
    <t>Zheltenkov, A; Syuzeva, O; Vasilyeva, E; Sapozhnikova, E</t>
  </si>
  <si>
    <t>Zheltenkov, Alexander; Syuzeva, Olga; Vasilyeva, Elena; Sapozhnikova, Ekaterina</t>
  </si>
  <si>
    <t>Development of investment infrastructure as the factor of the increase in investment attractiveness of the region</t>
  </si>
  <si>
    <t>Vasilyeva, Elena/AAD-1693-2019</t>
  </si>
  <si>
    <t>Vasilyeva, Elena/0000-0001-7797-1954; Kasiyanov, Vitaly/0000-0001-8573-9258</t>
  </si>
  <si>
    <t>10.1088/1755-1315/90/1/012122</t>
  </si>
  <si>
    <t>WOS:000419816700122</t>
  </si>
  <si>
    <t>Pestov, SV; Ogorodnikova, SY</t>
  </si>
  <si>
    <t>Pestov, S. V.; Ogorodnikova, S. Yu.</t>
  </si>
  <si>
    <t>Status of the Photosynthetic Apparatus of Woody Plants Damaged by Gall Mites</t>
  </si>
  <si>
    <t>10.1134/S1062359020100179</t>
  </si>
  <si>
    <t>WOS:000608058700021</t>
  </si>
  <si>
    <t>Trudonoshyn, O; Prach, O; Slyudova, A; Lisovskii, V</t>
  </si>
  <si>
    <t>Trudonoshyn, Oleksandr; Prach, Olena; Slyudova, Anna; Lisovskii, Vitaliy</t>
  </si>
  <si>
    <t>Structure formation and multistep nucleation in CASTING Al-Mg-Si alloys</t>
  </si>
  <si>
    <t>INTERNATIONAL JOURNAL OF CAST METALS RESEARCH</t>
  </si>
  <si>
    <t>1364-0461</t>
  </si>
  <si>
    <t>1743-1336</t>
  </si>
  <si>
    <t>SEP 2</t>
  </si>
  <si>
    <t>10.1080/13640461.2020.1822632</t>
  </si>
  <si>
    <t>SEP 2020</t>
  </si>
  <si>
    <t>WOS:000569199100001</t>
  </si>
  <si>
    <t>Adamovich, TA; Skugoreva, SG; Tovstik, EV; Ashikhmina, TY</t>
  </si>
  <si>
    <t>Adamovich, T. A.; Skugoreva, S. G.; Tovstik, E., V; Ashikhmina, T. Ya</t>
  </si>
  <si>
    <t>Study of the chemical composition of water bodies protected area for use as a regional background</t>
  </si>
  <si>
    <t>Adamovich, Tatyana/N-3967-2016; Ashikhmina, Tamara/O-1326-2015; Tovstik, Evgeniya/P-1350-2017; Skugoreva, Svetlana/O-1406-2015</t>
  </si>
  <si>
    <t>Adamovich, Tatyana/0000-0002-8684-927X; Ashikhmina, Tamara/0000-0003-4919-0047; Tovstik, Evgeniya/0000-0003-1861-6076; Skugoreva, Svetlana/0000-0002-5902-5187</t>
  </si>
  <si>
    <t>10.25750/1995-4301-2020-1-089-096</t>
  </si>
  <si>
    <t>WOS:000522789400013</t>
  </si>
  <si>
    <t>Tovstik, EV; Adamovich, TA; Ashikhmina, TY</t>
  </si>
  <si>
    <t>Tovstik, E., V; Adamovich, T. A.; Ashikhmina, T. Ya</t>
  </si>
  <si>
    <t>Identification of sites of mass growth of Heracleum sosnowskyi Manden. using spectral indices according to Sentinel-2 images</t>
  </si>
  <si>
    <t>Ashikhmina, Tamara/O-1326-2015; Adamovich, Tatyana/N-3967-2016; Tovstik, Evgeniya/P-1350-2017</t>
  </si>
  <si>
    <t>Ashikhmina, Tamara/0000-0003-4919-0047; Adamovich, Tatyana/0000-0002-8684-927X; Tovstik, Evgeniya/0000-0003-1861-6076</t>
  </si>
  <si>
    <t>10.25750/1995-4301-2019-3-034-040</t>
  </si>
  <si>
    <t>WOS:000490704900005</t>
  </si>
  <si>
    <t>Glushkov, VN; Sarancha, DA</t>
  </si>
  <si>
    <t>Glushkov, V. N.; Sarancha, D. A.</t>
  </si>
  <si>
    <t>A complex mathematical modeling method for biological objects. Modeling the tundra community</t>
  </si>
  <si>
    <t>AUTOMATION AND REMOTE CONTROL</t>
  </si>
  <si>
    <t>0005-1179</t>
  </si>
  <si>
    <t>1608-3032</t>
  </si>
  <si>
    <t>10.1134/S0005117913020069</t>
  </si>
  <si>
    <t>WOS:000315199600006</t>
  </si>
  <si>
    <t>Onoshko, V; Kryukova, N; Oborina, M; Osipova, O; Drygina, I</t>
  </si>
  <si>
    <t>Onoshko, Viacheslav; Kryukova, Natalya; Oborina, Marina; Osipova, Olga; Drygina, Inna</t>
  </si>
  <si>
    <t>ON THE ACOUSTIC STRUCTURE AND THE PHONOLOGICAL STATUS OF DIPHTHONGS IN GERMAN ISLAND DIALECTICS (ON THE EXAMPLE OF THE SETTLEMENTS OF SOZIMSKY AND CHERNIGOVSKY IN THE KIROV REGION)</t>
  </si>
  <si>
    <t>Drygina, Inna/0000-0002-5090-8506</t>
  </si>
  <si>
    <t>e021086</t>
  </si>
  <si>
    <t>WOS:000717948200021</t>
  </si>
  <si>
    <t>Identification of Parameters of Short-Time Creep of Plexiglas By Means of Studying Decaying Flexural Vibrations of Test Samples</t>
  </si>
  <si>
    <t>Vyacheslav, Firsov/0000-0002-8948-1570</t>
  </si>
  <si>
    <t>10.1134/S0021894418030173</t>
  </si>
  <si>
    <t>WOS:000437448600017</t>
  </si>
  <si>
    <t>Agapitova, E; Chahkiev, G; Gerasimova, V</t>
  </si>
  <si>
    <t>Agapitova, Elena; Chahkiev, Gennady; Gerasimova, Vera</t>
  </si>
  <si>
    <t>The factors to assess the quality of management of housing and communal services</t>
  </si>
  <si>
    <t>10.1051/matecconf/201710608075</t>
  </si>
  <si>
    <t>WOS:000426426600260</t>
  </si>
  <si>
    <t>Konyshev, IV; Novikova, OD; Portnyagina, O; Byvalov, AA</t>
  </si>
  <si>
    <t>Konyshev, I. V.; Novikova, O. D.; Portnyagina, O. Yu.; Byvalov, A. A.</t>
  </si>
  <si>
    <t>IMMUNOCHEMICAL ACTIVITY OF YERSINIA PSEUDOTUBERCULOSIS OmpF AND OmpC PORINS EVALUATED BY OPTICAL TRAPPING</t>
  </si>
  <si>
    <t>Konyshev, Ilya V./A-9370-2019</t>
  </si>
  <si>
    <t>Konyshev, Ilya V./0000-0001-6575-9630</t>
  </si>
  <si>
    <t>10.15789/2220-7619-IAO-2007</t>
  </si>
  <si>
    <t>WOS:000921018100018</t>
  </si>
  <si>
    <t>MODELING THE DYNAMIC RESPONSE OF A CARBON-FIBER-REINFORCED PLATE AT RESONANT VIBRATIONS CONSIDERING THE INTERNAL FRICTION IN THE MATERIAL AND THE EXTERNAL AERODYNAMIC DAMPING</t>
  </si>
  <si>
    <t>Shishkin, Viktor/0000-0002-1237-2309; Vyacheslav, Firsov/0000-0002-8948-1570</t>
  </si>
  <si>
    <t>10.1007/s11029-017-9673-9</t>
  </si>
  <si>
    <t>WOS:000410474000001</t>
  </si>
  <si>
    <t>Izmest'ev, ES; Pestova, SV; Petukhov, DV; Rubtsova, SA</t>
  </si>
  <si>
    <t>Izmest'ev, Evgeniy S.; Pestova, Svetlana, V; Petukhov, Dmitriy, V; Rubtsova, Svetlana A.</t>
  </si>
  <si>
    <t>Benzylic functionalization of dehydroabietane derivatives as a convenient way to sulfur compounds</t>
  </si>
  <si>
    <t>CHEMICAL PAPERS</t>
  </si>
  <si>
    <t>Rubtsova, Svetlana A/0000-0003-1224-8751; Izmest'ev, Evgeniy/0000-0001-5698-6292</t>
  </si>
  <si>
    <t>0366-6352</t>
  </si>
  <si>
    <t>2585-7290</t>
  </si>
  <si>
    <t>10.1007/s11696-022-02234-9</t>
  </si>
  <si>
    <t>WOS:000790677400002</t>
  </si>
  <si>
    <t>Syrchina, NV; Ashikhmina, TY; Bogatyryova, NN; Kantor, GY</t>
  </si>
  <si>
    <t>Syrchina, N., V; Ashikhmina, T. Ya; Bogatyryova, N. N.; Kantor, G. Ya</t>
  </si>
  <si>
    <t>Glauconites of the Vyatka-Kama phosphorite-bearing basin</t>
  </si>
  <si>
    <t>Богатырёва, Надежда/ABF-2671-2020; Ashikhmina, Tamara/O-1326-2015; Syrchina, Nadezhda/ABF-2311-2020</t>
  </si>
  <si>
    <t>Ashikhmina, Tamara/0000-0003-4919-0047; Syrchina, Nadezhda/0000-0001-8049-6760</t>
  </si>
  <si>
    <t>10.25750/1995-4301-2020-2-117-122</t>
  </si>
  <si>
    <t>WOS:000545295600016</t>
  </si>
  <si>
    <t>Markov, PA; Khramova, DS; Shumikhin, KV; Nikitina, IR; Beloserov, VS; Martinson, EA; Litvinets, SG; Popov, SV</t>
  </si>
  <si>
    <t>Markov, Pavel A.; Khramova, Darya S.; Shumikhin, Konstantin V.; Nikitina, Ida R.; Beloserov, Vladislav S.; Martinson, Ekaterina A.; Litvinets, Sergey G.; Popov, Sergey V.</t>
  </si>
  <si>
    <t>Mechanical properties of the pectin hydrogels and inflammation response to their subcutaneous implantation</t>
  </si>
  <si>
    <t>JOURNAL OF BIOMEDICAL MATERIALS RESEARCH PART A</t>
  </si>
  <si>
    <t>Popov, Sergey V/F-7627-2016; Popov, Sergey/AAM-6438-2021; Martinson, Ekaterina/AAL-5413-2020; Belozerov, Vladislav/B-7087-2019; Khramova, Daria/AAH-7690-2019; Markov, Pavel/Q-2677-2016</t>
  </si>
  <si>
    <t>Popov, Sergey V/0000-0003-1763-8898; Popov, Sergey/0000-0003-1763-8898; Belozerov, Vladislav/0000-0002-9930-5458; Khramova, Daria/0000-0003-0970-9203; Markov, Pavel/0000-0002-4803-4803</t>
  </si>
  <si>
    <t>1549-3296</t>
  </si>
  <si>
    <t>1552-4965</t>
  </si>
  <si>
    <t>10.1002/jbm.a.36721</t>
  </si>
  <si>
    <t>WOS:000475476600021</t>
  </si>
  <si>
    <t>Bogoviz, AV; Sozinova, AA; Ostrovskaya, VV</t>
  </si>
  <si>
    <t>Endovitsky, DA; Popkova, EG</t>
  </si>
  <si>
    <t>Bogoviz, Aleksei V.; Sozinova, Anastasiya A.; Ostrovskaya, Viktoria V.</t>
  </si>
  <si>
    <t>Approaches to Managing Economic Growth of Socio-economic Systems</t>
  </si>
  <si>
    <t>MANAGEMENT OF CHANGES IN SOCIO-ECONOMIC SYSTEMS</t>
  </si>
  <si>
    <t>Sozinova, Anastasia/F-6298-2015; Bogoviz, Aleksei/H-1867-2017; Ostrovskaya, Victoria/AAA-9164-2021</t>
  </si>
  <si>
    <t>Sozinova, Anastasia/0000-0001-5876-2823; Bogoviz, Aleksei/0000-0002-6667-5284; Ostrovskaya, Victoria/0000-0001-6148-1037</t>
  </si>
  <si>
    <t>978-3-319-72613-7; 978-3-319-72612-0</t>
  </si>
  <si>
    <t>10.1007/978-3-319-72613-7_11</t>
  </si>
  <si>
    <t>10.1007/978-3-319-72613-7</t>
  </si>
  <si>
    <t>WOS:000554931000012</t>
  </si>
  <si>
    <t>Gunter, EA; Popeyko, OV; Markov, PA; Martinson, EA; Litvinets, SG; Durnev, EA; Popov, SV; Ovodov, YS</t>
  </si>
  <si>
    <t>Guenter, Elena A.; Popeyko, Oxana V.; Markov, Pavel A.; Martinson, Ekaterina A.; Litvinets, Sergey G.; Durnev, Eugene A.; Popov, Sergey V.; Ovodov, Yury S.</t>
  </si>
  <si>
    <t>Swelling and morphology of calcium pectinate gel beads obtained from Silene vulgaris callus modified pectins</t>
  </si>
  <si>
    <t>CARBOHYDRATE POLYMERS</t>
  </si>
  <si>
    <t>Popeyko, Oksana/AAE-7935-2019; Popov, Sergey V/F-7627-2016; Markov, Pavel/Q-2677-2016; Litvinets, Sergey G./I-8188-2013; Gunter, Elena/C-4345-2018; Martinson, Ekaterina/AAL-5413-2020; Popov, Sergey/AAM-6438-2021</t>
  </si>
  <si>
    <t>Popov, Sergey V/0000-0003-1763-8898; Markov, Pavel/0000-0002-4803-4803; Litvinets, Sergey G./0000-0001-8583-5274; Gunter, Elena/0000-0002-2915-6928; Popov, Sergey/0000-0003-1763-8898</t>
  </si>
  <si>
    <t>0144-8617</t>
  </si>
  <si>
    <t>1879-1344</t>
  </si>
  <si>
    <t>MAR 15</t>
  </si>
  <si>
    <t>10.1016/j.carbpol.2013.12.071</t>
  </si>
  <si>
    <t>WOS:000332812600072</t>
  </si>
  <si>
    <t>Kondakova, LV; Dabakh, EV</t>
  </si>
  <si>
    <t>Kondakova, L., V; Dabakh, E., V</t>
  </si>
  <si>
    <t>Monitoring of algocyanobacterial communities on the technogenic territory</t>
  </si>
  <si>
    <t>10.25750/1995-4301-2022-1-084-090</t>
  </si>
  <si>
    <t>WOS:000819811100011</t>
  </si>
  <si>
    <t>Cherkasov, KV; Ivanova, OS; Chalykh, IS</t>
  </si>
  <si>
    <t>Cherkasov, Konstantin, V; Ivanova, Olga S.; Chalykh, Irina S.</t>
  </si>
  <si>
    <t>State Support of Religious Associations in the Modern Secular State: Foreign Experience of Legal Regulation and Law Enforcement</t>
  </si>
  <si>
    <t>Chalykh, Irina Sergeyevna/G-2039-2016; Cherkasov, Konstantin/G-3785-2016</t>
  </si>
  <si>
    <t>Chalykh, Irina Sergeyevna/0000-0002-7854-0475; Cherkasov, Konstantin/0000-0002-9754-9619</t>
  </si>
  <si>
    <t>10.17223/15617793/462/31</t>
  </si>
  <si>
    <t>WOS:000637601600031</t>
  </si>
  <si>
    <t>Lyalina, EI; Fokina, AI; Ashikhmina, TY; Olkova, AS; Beresneva, EV; Darovskikh, LV; Yarmolenko, AS</t>
  </si>
  <si>
    <t>Lyalina, E., I; Fokina, A., I; Ashikhmina, T. Ya; Olkova, A. S.; Beresneva, E., V; Darovskikh, L., V; Yarmolenko, A. S.</t>
  </si>
  <si>
    <t>Comprehensive chemical-toxicological research of copper(II) sulfate solutions containing reduced glutathione</t>
  </si>
  <si>
    <t>10.25750/1995-4301-2018-2-101/2-107/1</t>
  </si>
  <si>
    <t>WOS:000468564500013</t>
  </si>
  <si>
    <t>Gunter, EA; Popeyko, OV; Belozerov, VS; Martinson, EA; Litvinets, SG</t>
  </si>
  <si>
    <t>Gunter, Elena A.; Popeyko, Oxana, V; Belozerov, Vladislav S.; Martinson, Ekaterina A.; Litvinets, Sergey G.</t>
  </si>
  <si>
    <t>Composite callus culture pectin/alginate hydrogel matrices stable in the gastrointestinal environment: physicochemical properties, morphology and swelling behavior</t>
  </si>
  <si>
    <t>JOURNAL OF POLYMER RESEARCH</t>
  </si>
  <si>
    <t>Popeyko, Oksana/AAE-7935-2019; Belozerov, Vladislav/B-7087-2019; Gunter, Elena/C-4345-2018</t>
  </si>
  <si>
    <t>Belozerov, Vladislav/0000-0002-9930-5458; Gunter, Elena/0000-0002-2915-6928</t>
  </si>
  <si>
    <t>1022-9760</t>
  </si>
  <si>
    <t>1572-8935</t>
  </si>
  <si>
    <t>10.1007/s10965-022-03042-1</t>
  </si>
  <si>
    <t>WOS:000792653100004</t>
  </si>
  <si>
    <t>Kontsevaya, S; Kontsevoy, G; Adamaytis, L</t>
  </si>
  <si>
    <t>Jedlicka, P; Maresova, P; Soukal, I</t>
  </si>
  <si>
    <t>Kontsevaya, Stanislava; Kontsevoy, Grigoriy; Adamaytis, Ludmila</t>
  </si>
  <si>
    <t>Development of Agricultural Insurance in the Russian Federation</t>
  </si>
  <si>
    <t>HRADEC ECONOMIC DAYS, VOL. 9, ISSUE I</t>
  </si>
  <si>
    <t>Hradec Economic Days</t>
  </si>
  <si>
    <t>17th International Scientific Conference on Hradec Economic Days</t>
  </si>
  <si>
    <t>FEB 05-06, 2019</t>
  </si>
  <si>
    <t>Hradec Kralove, CZECH REPUBLIC</t>
  </si>
  <si>
    <t>Univ Hradec Kralove, Fac Informat &amp; Management,Wroclaw Univ Econ,Cracow Univ Econ,Univ S Bohemia, Off Transfer Technologies,Czech Natl Bank</t>
  </si>
  <si>
    <t>Kontsevaya, Stanislava Rolanovna/F-2088-2017; Adamaitis, Lyudmila/N-6780-2018</t>
  </si>
  <si>
    <t>Kontsevaya, Stanislava Rolanovna/0000-0002-1222-1682; Adamaitis, Lyudmila/0000-0002-6571-9193</t>
  </si>
  <si>
    <t>2464-6059</t>
  </si>
  <si>
    <t>2464-6067</t>
  </si>
  <si>
    <t>978-80-7435-735-0</t>
  </si>
  <si>
    <t>WOS:000461883000041</t>
  </si>
  <si>
    <t>ACCOUNTING FOR THE FREQUENCY-DEPENDENT DYNAMIC ELASTIC MODULUS OF DURALUMIN IN DEFORMATION PROBLEMS</t>
  </si>
  <si>
    <t>10.1134/S0021894417030178</t>
  </si>
  <si>
    <t>WOS:000406338900017</t>
  </si>
  <si>
    <t>Isupova, NI; Mamaeva, EA; Bocharov, MI; Bocharova, TI</t>
  </si>
  <si>
    <t>Isupova, Natalya I.; Mamaeva, Ekaterina A.; Bocharov, Mikhail, I; Bocharova, Tatyana, I</t>
  </si>
  <si>
    <t>Practical Activity on Developing a System of Tasks as a Condition for Training A Future Digital School Teacher</t>
  </si>
  <si>
    <t>Бочарова, Татьяна/AAH-4416-2021; Bocharov, Mikhail/C-2359-2011; Mamaeva, Ekaterina/AAP-9683-2020</t>
  </si>
  <si>
    <t>Бочарова, Татьяна/0000-0002-7230-4068; Bocharov, Mikhail/0000-0002-3356-3251; Mamaeva, Ekaterina/0000-0002-7721-8820</t>
  </si>
  <si>
    <t>10.13187/ejced.2021.3.638</t>
  </si>
  <si>
    <t>WOS:000705970600008</t>
  </si>
  <si>
    <t>Paimushin, V; Firsov, V; Shishkin, V</t>
  </si>
  <si>
    <t>Matveenko, VP; Trusov, PV; Yants, AY; Faerman, VA</t>
  </si>
  <si>
    <t>Paimushin, Vitaly; Firsov, Vyacheslav; Shishkin, Victor</t>
  </si>
  <si>
    <t>Modeling of the Resonant Vibrations of an Elongated Plate with an Integrated Damping Coating Taking into Account the Amplitude-Dependent Internal Friction in the Material of the Damping Layers</t>
  </si>
  <si>
    <t>28TH RUSSIAN CONFERENCE ON MATHEMATICAL MODELLING IN NATURAL SCIENCES</t>
  </si>
  <si>
    <t>AIP Conference Proceedings</t>
  </si>
  <si>
    <t>28th Russian Conference on Mathematical Modelling in Natural Sciences (RuMoNaS)</t>
  </si>
  <si>
    <t>OCT 02-05, 2019</t>
  </si>
  <si>
    <t>Perm Natl Res Polytechn Univ, Perm, RUSSIA</t>
  </si>
  <si>
    <t>Perm Natl Res Polytechn Univ</t>
  </si>
  <si>
    <t>0094-243X</t>
  </si>
  <si>
    <t>978-0-7354-1970-4</t>
  </si>
  <si>
    <t>10.1063/5.0003363</t>
  </si>
  <si>
    <t>WOS:000558065900007</t>
  </si>
  <si>
    <t>Gunter, EA; Khramova, DS; Markov, PA; Popeyko, OV; Melekhin, AK; Beloserov, VS; Martinson, EA; Litvinets, SG; Popov, SV</t>
  </si>
  <si>
    <t>Gunter, Elena A.; Khramova, Daria S.; Markov, Pavel A.; Popeyko, Oxana V.; Melekhin, Anatoliy K.; Beloserov, Vladislav S.; Martinson, Ekaterina A.; Litvinets, Sergey G.; Popov, Sergey V.</t>
  </si>
  <si>
    <t>Swelling behavior and satiating effect of the gel microparticles obtained from callus cultures pectins</t>
  </si>
  <si>
    <t>Litvinets, Sergey G./I-8188-2013; Khramova, Daria/AAH-7690-2019; Popeyko, Oksana/AAE-7935-2019; A.K, Melekhin/AAH-2990-2019; Popov, Sergey V/F-7627-2016; Popov, Sergey/AAM-6438-2021; Martinson, Ekaterina/AAL-5413-2020; Gunter, Elena/C-4345-2018; Belozerov, Vladislav/B-7087-2019; Markov, Pavel/Q-2677-2016</t>
  </si>
  <si>
    <t>Litvinets, Sergey G./0000-0001-8583-5274; Khramova, Daria/0000-0003-0970-9203; A.K, Melekhin/0000-0002-7574-7323; Popov, Sergey V/0000-0003-1763-8898; Popov, Sergey/0000-0003-1763-8898; Gunter, Elena/0000-0002-2915-6928; Belozerov, Vladislav/0000-0002-9930-5458; Markov, Pavel/0000-0002-4803-4803</t>
  </si>
  <si>
    <t>FEB 15</t>
  </si>
  <si>
    <t>10.1016/j.ijbiomac.2018.11.081</t>
  </si>
  <si>
    <t>WOS:000456760100035</t>
  </si>
  <si>
    <t>Sysuev, V; Savinyh, P; Aleshkin, A; Ivanovs, S</t>
  </si>
  <si>
    <t>Sysuev, Vasiliy; Savinyh, Peter; Aleshkin, Alexey; Ivanovs, Semjons</t>
  </si>
  <si>
    <t>SIMULATION OF ELASTIC DEFORMATION PROPAGATION OF GRAIN UNDER IMPACT CRUSHING IN CRUSHER</t>
  </si>
  <si>
    <t>Ivanovs, Semjons/AAD-7303-2022; Aleshkin, Aleksey/ABA-6228-2020; Sysuev, Vasilii/B-8519-2019</t>
  </si>
  <si>
    <t>Ivanovs, Semjons/0000-0002-9072-1340; Aleshkin, Aleksey/0000-0002-6949-1480; Sysuev, Vasilii/0000-0002-1172-005X</t>
  </si>
  <si>
    <t>WOS:000390059500166</t>
  </si>
  <si>
    <t>Domnina, EA; Adamovich, TA; Timonov, AS; Ashikhmina, TY</t>
  </si>
  <si>
    <t>Domnina, E. A.; Adamovich, T. A.; Timonov, A. S.; Ashikhmina, T. Ya.</t>
  </si>
  <si>
    <t>Monitoring of overgrowing of abandoned agricultural lands using high-resolution satellite images</t>
  </si>
  <si>
    <t>10.25750/1995-4301-2022-3-082-089</t>
  </si>
  <si>
    <t>WOS:000885393200010</t>
  </si>
  <si>
    <t>Bezdenezhnyk, KA; Kondakova, LV; Dabakh, EV; Ashikhmina, TY</t>
  </si>
  <si>
    <t>Bezdenezhnyk, K. A.; Kondakova, L., V; Dabakh, E., V; Ashikhmina, T. Ya</t>
  </si>
  <si>
    <t>Algological monitoring of soils in the vicinity of the plant Maradykovskiy</t>
  </si>
  <si>
    <t>10.25750/1995-4301-2021-2-081-088</t>
  </si>
  <si>
    <t>WOS:000667025400012</t>
  </si>
  <si>
    <t>The use of the normalized relative algoindex for the assessment of algae blooms in the reservoirs of the Vyatka-Kama cis-Urals</t>
  </si>
  <si>
    <t>Ashikhmina, Tamara/O-1326-2015; Kutyavina, Tatyana/T-1440-2017</t>
  </si>
  <si>
    <t>Ashikhmina, Tamara/0000-0003-4919-0047; Kutyavina, Tatyana/0000-0001-7957-0636</t>
  </si>
  <si>
    <t>10.25750/1995-4301-2021-3-060-065</t>
  </si>
  <si>
    <t>WOS:000700413300008</t>
  </si>
  <si>
    <t>Oborin, VA; Ashikhmina, TY</t>
  </si>
  <si>
    <t>Oborin, V. A.; Ashikhmina, T. Ya</t>
  </si>
  <si>
    <t>Experimental substantiation of the possibility of using red blood cells as a model for studying the membrane damaging effect of nanoparticles</t>
  </si>
  <si>
    <t>Oborin, Vladimir/B-3478-2018; Ashikhmina, Tamara/O-1326-2015</t>
  </si>
  <si>
    <t>10.25750/1995-4301-2020-3-176-181</t>
  </si>
  <si>
    <t>WOS:000580337700026</t>
  </si>
  <si>
    <t>Domracheva, LI; Fokina, AI; Kovina, AL; Ashikhmina, TY</t>
  </si>
  <si>
    <t>Domracheva, L., I; Fokina, A., I; Kovina, A. L.; Ashikhmina, T. Ya</t>
  </si>
  <si>
    <t>Exometabolites of soil cyanobacteria as a survival strategy in natural and technogenically disturbed ecosystems</t>
  </si>
  <si>
    <t>Ashikhmina, Tamara/O-1326-2015; Kovina, Alevtina/AAU-6178-2021</t>
  </si>
  <si>
    <t>Ashikhmina, Tamara/0000-0003-4919-0047; Kovina, Alevtina/0000-0003-0503-3402</t>
  </si>
  <si>
    <t>10.25750/1995-4301-2019-4-015-023</t>
  </si>
  <si>
    <t>WOS:000504049400002</t>
  </si>
  <si>
    <t>Kataeva, NN; Marakulina, IV; Sanovich, MA; Sozinova, AA; Vasilyuk, N</t>
  </si>
  <si>
    <t>Kataeva, Natalia N.; Marakulina, Irina V.; Sanovich, Marina A.; Sozinova, Anastasia A.; Vasilyuk, Natalia</t>
  </si>
  <si>
    <t>Transformation of Approach to Market Segmentation Within Crisis Management of Global Entrepreneurship</t>
  </si>
  <si>
    <t>Катаева, Наталья Николаевна/AAB-5555-2022; Marakulina, Irina/AAD-7957-2020; Vasilyuk, Natalia/ABG-5697-2020; Sozinova, Anastasia/F-6298-2015</t>
  </si>
  <si>
    <t>Катаева, Наталья Николаевна/0000-0002-4695-1536; Sozinova, Anastasia/0000-0001-5876-2823; Marakulina, Irina/0000-0001-7054-6373</t>
  </si>
  <si>
    <t>10.1007/978-3-319-60696-5_62</t>
  </si>
  <si>
    <t>WOS:000426114200062</t>
  </si>
  <si>
    <t>Lukina, V; Lukin, A; Lukinov, V; Snigireva, G</t>
  </si>
  <si>
    <t>Lukina, Valentina; Lukin, Aleksei; Lukinov, Vitaly; Snigireva, Galina</t>
  </si>
  <si>
    <t>Operational ability of road transport structures in complex hydro geological conditions</t>
  </si>
  <si>
    <t>, vitaly/0000-0001-9544-3522</t>
  </si>
  <si>
    <t>10.1088/1755-1315/90/1/012126</t>
  </si>
  <si>
    <t>WOS:000419816700126</t>
  </si>
  <si>
    <t>Mamaeva, EA; Masharova, TV; Usova, NA; Aslanov, RE</t>
  </si>
  <si>
    <t>Mamaeva, Ekaterina A.; Masharova, Tatyana, V; Usova, Natalia A.; Aslanov, Roman E.</t>
  </si>
  <si>
    <t>Forming Project Management Skills by Collaborating with Students in Smartsheet</t>
  </si>
  <si>
    <t>Mamaeva, Ekaterina/0000-0002-7721-8820; Usova, Natalia/0000-0002-1728-7736</t>
  </si>
  <si>
    <t>10.13187/ejced.2022.2.432</t>
  </si>
  <si>
    <t>WOS:000823569900009</t>
  </si>
  <si>
    <t>INFLUENCE OF SPEED-POWER ABILITIES ON THE SPEED ENDURANCE OF CHILDREN AGED 13-14 YEARS WITH DIFFERENT TYPOLOGY</t>
  </si>
  <si>
    <t>10.51847/iCBtjlcQyD</t>
  </si>
  <si>
    <t>WOS:000741374100001</t>
  </si>
  <si>
    <t>Ryabov, VM; Ashikhmina, TY</t>
  </si>
  <si>
    <t>Ryabov, V. M.; Ashikhmina, T. Ya</t>
  </si>
  <si>
    <t>Faunistic characteristics and monitoring of vertebrates on the territory of the State Nature Reserve Bylina</t>
  </si>
  <si>
    <t>10.25750/1995-4301-2021-1-079-084</t>
  </si>
  <si>
    <t>WOS:000632219100010</t>
  </si>
  <si>
    <t>Syrchina, NV; Ashikhmina, TY; Kantor, GY</t>
  </si>
  <si>
    <t>Syrchina, N., V; Ashikhmina, T. Ya; Kantor, G. Ya</t>
  </si>
  <si>
    <t>Obtaining inorganic pigments from galvanic waste</t>
  </si>
  <si>
    <t>Ashikhmina, Tamara/O-1326-2015; Syrchina, Nadezhda/ABF-2311-2020</t>
  </si>
  <si>
    <t>10.25750/1995-4301-2021-1-022-029</t>
  </si>
  <si>
    <t>WOS:000632219100003</t>
  </si>
  <si>
    <t>Physicochemical and swelling properties of composite gel microparticles based on alginate and callus cultures pectins with low and high degrees of methylesterification</t>
  </si>
  <si>
    <t>Gunter, Elena/C-4345-2018; Popeyko, Oksana/AAE-7935-2019; Belozerov, Vladislav/B-7087-2019</t>
  </si>
  <si>
    <t>Gunter, Elena/0000-0002-2915-6928; Belozerov, Vladislav/0000-0002-9930-5458</t>
  </si>
  <si>
    <t>DEC 1</t>
  </si>
  <si>
    <t>10.1016/j.ijbiomac.2020.07.189</t>
  </si>
  <si>
    <t>WOS:000588093700082</t>
  </si>
  <si>
    <t>Zavyalova, NE; Shirokikh, IG; Yamaltdinova, VR</t>
  </si>
  <si>
    <t>Zavyalova, N. E.; Shirokikh, I. G.; Yamaltdinova, V. R.</t>
  </si>
  <si>
    <t>Microbiological status of the Pre-Urals sod-podzolic soil with long-term use of organic and mineral fertilizers</t>
  </si>
  <si>
    <t>Shirokikh, Irina G/V-3449-2017</t>
  </si>
  <si>
    <t>10.25750/1995-4301-2020-1-151-159</t>
  </si>
  <si>
    <t>WOS:000522789400022</t>
  </si>
  <si>
    <t>Trudonoshyn, O; Prach, O</t>
  </si>
  <si>
    <t>Trudonoshyn, Oleksandr; Prach, Olena</t>
  </si>
  <si>
    <t>Multistep nucleation and multi-modification effect of Sc in hypoeutectic Al-Mg-Si alloys</t>
  </si>
  <si>
    <t>HELIYON</t>
  </si>
  <si>
    <t>Trudonoshyn, Oleksandr/T-5318-2019</t>
  </si>
  <si>
    <t>2405-8440</t>
  </si>
  <si>
    <t>e01202</t>
  </si>
  <si>
    <t>10.1016/j.heliyon.2019.e01202</t>
  </si>
  <si>
    <t>WOS:000460082200025</t>
  </si>
  <si>
    <t>Domnina, E. A.; Adamovich, T. A.; Timonov, A. S.; Ashikhmina, T. Ya</t>
  </si>
  <si>
    <t>Reforestation study based on high resolution satellite imagery</t>
  </si>
  <si>
    <t>10.25750/1995-4301-2021-3-038-043</t>
  </si>
  <si>
    <t>WOS:000700413300005</t>
  </si>
  <si>
    <t>Belykh, ES; Maystrenko, TA; Velegzhaninov, IO</t>
  </si>
  <si>
    <t>Belykh, Elena S.; Maystrenko, Tatiana A.; Velegzhaninov, Ilya O.</t>
  </si>
  <si>
    <t>Recent Trends in Enhancing the Resistance of Cultivated Plants to Heavy Metal Stress by Transgenesis and Transcriptional Programming</t>
  </si>
  <si>
    <t>MOLECULAR BIOTECHNOLOGY</t>
  </si>
  <si>
    <t>Belykh, Elena/I-5106-2016; Velegzhaninov, Ilya O./P-9554-2015</t>
  </si>
  <si>
    <t>1073-6085</t>
  </si>
  <si>
    <t>1559-0305</t>
  </si>
  <si>
    <t>10.1007/s12033-019-00202-5</t>
  </si>
  <si>
    <t>WOS:000485895800002</t>
  </si>
  <si>
    <t>Velegzhaninov, I; Rybak, A; Belykh, E; Pylina, Y; Shadrin, D</t>
  </si>
  <si>
    <t>Velegzhaninov, I.; Rybak, A.; Belykh, E.; Pylina, Y.; Shadrin, D.</t>
  </si>
  <si>
    <t>Simultaneous but not separated overexpression of the XPC and HR23B genes increases resistance to genotoxic stress</t>
  </si>
  <si>
    <t>Rybak, Anna/Q-1926-2015; Shadrin, Dmitry M/P-9808-2015; Belykh, Elena/I-5106-2016; Velegzhaninov, Ilya O./P-9554-2015</t>
  </si>
  <si>
    <t>Shadrin, Dmitry M/0000-0003-4365-0145; Velegzhaninov, Ilya O./0000-0002-4715-4053</t>
  </si>
  <si>
    <t>P.03-026-T</t>
  </si>
  <si>
    <t>WOS:000437674102123</t>
  </si>
  <si>
    <t>Belyakov, SA; Gerasimov, EY; Kuzmin, AV</t>
  </si>
  <si>
    <t>Belyakov, Semyon A.; Gerasimov, Evgeny Yu; Kuzmin, Anton, V</t>
  </si>
  <si>
    <t>The Influence of Oxygen Activity on Phase Composition, Crystal Structure, and Electrical Conductivity of CaV1-xMoxO3 +/-delta</t>
  </si>
  <si>
    <t>CRYSTALS</t>
  </si>
  <si>
    <t>2073-4352</t>
  </si>
  <si>
    <t>10.3390/cryst12030419</t>
  </si>
  <si>
    <t>WOS:000777005100001</t>
  </si>
  <si>
    <t>Correlation of Coordination Abilities, Physical Qualities and Mental Processes of Football Players</t>
  </si>
  <si>
    <t>10.53350/pjmhs2115123458</t>
  </si>
  <si>
    <t>WOS:000766496400112</t>
  </si>
  <si>
    <t>Gunter, EA; Martynov, VV; Belozerov, VS; Martinson, EA; Litvinets, SG</t>
  </si>
  <si>
    <t>Gunter, Elena A.; Martynov, Vladislav V.; Belozerov, Vladislav S.; Martinson, Ekaterina A.; Litvinets, Sergey G.</t>
  </si>
  <si>
    <t>Characterization and swelling properties of composite gelmicroparticles based on the pectin and kappa-carrageenan</t>
  </si>
  <si>
    <t>Martynov, Vladislav/GXF-7708-2022; Gunter, Elena/C-4345-2018; Belozerov, Vladislav/B-7087-2019</t>
  </si>
  <si>
    <t>10.1016/j.ijbiomac.2020.08.024</t>
  </si>
  <si>
    <t>WOS:000588093700211</t>
  </si>
  <si>
    <t>Determination of Damping Properties of an Elongated Plate with an Integral Damping Coating on the Base of Studying Complex Eigenfrequencies</t>
  </si>
  <si>
    <t>10.3103/S1066369X20060079</t>
  </si>
  <si>
    <t>WOS:000556993500007</t>
  </si>
  <si>
    <t>Kozlova, L; Petrova, A; Ananchenko, B; Gorshkova, T</t>
  </si>
  <si>
    <t>Kozlova, Liudmila; Petrova, Anna; Ananchenko, Boris; Gorshkova, Tatyana</t>
  </si>
  <si>
    <t>Assessment of Primary Cell Wall Nanomechanical Properties in Internal Cells of Non-Fixed Maize Roots</t>
  </si>
  <si>
    <t>PLANTS-BASEL</t>
  </si>
  <si>
    <t>Petrova, Anna A/O-6747-2017; Gorshkova, Tatyana/C-4299-2014; Ananchenko, Boris/AAM-5831-2020</t>
  </si>
  <si>
    <t>Gorshkova, Tatyana/0000-0003-0342-8195; Ananchenko, Boris/0000-0002-7975-7828; Kozlova, Liudmila/0000-0002-6323-167X; Petrova, Anna/0000-0003-2887-9064</t>
  </si>
  <si>
    <t>2223-7747</t>
  </si>
  <si>
    <t>10.3390/plants8060172</t>
  </si>
  <si>
    <t>WOS:000475326400033</t>
  </si>
  <si>
    <t>Khramova, DS; Vityazev, FV; Saveliev, NY; Burkov, AA; Beloserov, VS; Martinson, EA; Litvinets, SG; Popov, SV</t>
  </si>
  <si>
    <t>Khramova, Daria S.; Vityazev, Fedor V.; Saveliev, Nikita Yu.; Burkov, Andrey A.; Beloserov, Vladislav S.; Martinson, Ekaterina A.; Litvinets, Sergey G.; Popov, Sergey V.</t>
  </si>
  <si>
    <t>Pectin gelling in acidic gastric condition increases rheological properties of gastric digesta and reduces glycaemic response in mice</t>
  </si>
  <si>
    <t>Belozerov, Vladislav/B-7087-2019; Martinson, Ekaterina/AAL-5413-2020; Khramova, Daria/AAH-7690-2019; Burkov, Andrei/N-5302-2016; Burkov, Andrey/ABB-8219-2021; Popov, Sergey V/F-7627-2016; Litvinets, Sergey G./I-8188-2013</t>
  </si>
  <si>
    <t>Belozerov, Vladislav/0000-0002-9930-5458; Khramova, Daria/0000-0003-0970-9203; Burkov, Andrei/0000-0002-3627-1262; Popov, Sergey V/0000-0003-1763-8898; Litvinets, Sergey G./0000-0001-8583-5274</t>
  </si>
  <si>
    <t>FEB 1</t>
  </si>
  <si>
    <t>10.1016/j.carbpol.2018.10.053</t>
  </si>
  <si>
    <t>WOS:000450093200052</t>
  </si>
  <si>
    <t>Inshakova, AO; Sozinova, AA; Litvinova, TN</t>
  </si>
  <si>
    <t>Inshakova, Agnessa O.; Sozinova, Anastasia A.; Litvinova, Tatiana N.</t>
  </si>
  <si>
    <t>Corporate Fight against the COVID-19 Risks Based on Technologies of Industry 4.0 as a New Direction of Social Responsibility</t>
  </si>
  <si>
    <t>Litvinova, Tatyana/ABT-4169-2022; Sozinova, Anastasia/F-6298-2015</t>
  </si>
  <si>
    <t>Litvinova, Tatyana/0000-0003-3101-2621; Sozinova, Anastasia/0000-0001-5876-2823</t>
  </si>
  <si>
    <t>10.3390/risks9120212</t>
  </si>
  <si>
    <t>WOS:000738338000001</t>
  </si>
  <si>
    <t>Kondakova, LV; Syrchina, NV; Ashikhmina, TY</t>
  </si>
  <si>
    <t>Kondakova, L. V.; Syrchina, N. V.; Ashikhmina, T. Ya.</t>
  </si>
  <si>
    <t>The effect of enrichment tailings of phosphorites as fertilizers on soil algo-cyanobacterial communities</t>
  </si>
  <si>
    <t>Syrchina, Nadezhda/ABF-2311-2020; Ashikhmina, Tamara/O-1326-2015</t>
  </si>
  <si>
    <t>Syrchina, Nadezhda/0000-0001-8049-6760; Ashikhmina, Tamara/0000-0003-4919-0047</t>
  </si>
  <si>
    <t>10.25750/1995-4301-2021-4-174-180</t>
  </si>
  <si>
    <t>WOS:000755154100025</t>
  </si>
  <si>
    <t>COMPLEX EIGENFREQUENCIES AND DAMPING PROPERTIES OF AN ELONGATED PLATE WITH AN INTEGRAL DAMPING COATING</t>
  </si>
  <si>
    <t>10.1134/S0021894420040148</t>
  </si>
  <si>
    <t>WOS:000574746500014</t>
  </si>
  <si>
    <t>Prospects for using phosphate rock enrichment tailings as fertilizers for organic farming</t>
  </si>
  <si>
    <t>Syrchina, Nadezhda/ABF-2311-2020; Богатырёва, Надежда/ABF-2671-2020; Ashikhmina, Tamara/O-1326-2015</t>
  </si>
  <si>
    <t>10.25750/1995-4301-2020-1-160-166</t>
  </si>
  <si>
    <t>WOS:000522789400023</t>
  </si>
  <si>
    <t>Koryakovtseva, OA; Bugaychuk, TV; Modnov, SI; Svinar, EV</t>
  </si>
  <si>
    <t>Almazova, NI; Rubtsova, AV; Bylieva, DS</t>
  </si>
  <si>
    <t>Koryakovtseva, O. A.; Bugaychuk, T., V; Modnov, S., I; Svinar, E., V</t>
  </si>
  <si>
    <t>CONTRADICTIONS AND MEANINGS OF MODERN VOCATIONAL EDUCATION: RESEARCH RESULTS</t>
  </si>
  <si>
    <t>PROFESSIONAL CULTURE OF THE SPECIALIST OF THE FUTURE</t>
  </si>
  <si>
    <t>19th Conference on Professional Culture of the Specialist of the Future (PCSF)</t>
  </si>
  <si>
    <t>NOV 28-29, 2019</t>
  </si>
  <si>
    <t>10.15405/epsbs.2019.12.15</t>
  </si>
  <si>
    <t>WOS:000758186600015</t>
  </si>
  <si>
    <t>DEFORMATION OF THIN-WALLED STRUCTURAL ELEMENTS HAVING FIXED AREAS OF FINITE DIMENSIONS ON THE BOUNDARY FRONT SURFACES</t>
  </si>
  <si>
    <t>10.1134/S0021894423020153</t>
  </si>
  <si>
    <t>WOS:001000528300015</t>
  </si>
  <si>
    <t>Cherkasov, Konstantin V.; Ivanova, Olga S.; Chalykh, Irina S.</t>
  </si>
  <si>
    <t>Models of Government Regulations of the Religious Component in General Education: Russian and International Practices</t>
  </si>
  <si>
    <t>Cherkasov, Konstantin/G-3785-2016; Chalykh, Irina Sergeyevna/G-2039-2016</t>
  </si>
  <si>
    <t>Cherkasov, Konstantin/0000-0002-9754-9619; Chalykh, Irina Sergeyevna/0000-0002-7854-0475</t>
  </si>
  <si>
    <t>10.17223/15617793/442/30</t>
  </si>
  <si>
    <t>WOS:000475492100030</t>
  </si>
  <si>
    <t>Kataeva, N; Starkova, D; Sysolyatin, A; Lukinov, V</t>
  </si>
  <si>
    <t>Kataeva, Natalia; Starkova, Darya; Sysolyatin, Alexey; Lukinov, Vitaly</t>
  </si>
  <si>
    <t>Financial problems of territorial marketing as an instrument of strategic spatial development</t>
  </si>
  <si>
    <t>Sysolyatin, Alexey/AAB-5967-2022; Катаева, Наталья Николаевна/AAB-5555-2022</t>
  </si>
  <si>
    <t>Катаева, Наталья Николаевна/0000-0002-4695-1536; , vitaly/0000-0001-9544-3522</t>
  </si>
  <si>
    <t>10.1051/e3sconf/201911002152</t>
  </si>
  <si>
    <t>WOS:000569050000241</t>
  </si>
  <si>
    <t>Byvalov, AA; Malkova, MA; Chernyad'ev, AV; Dudina, LG; Litvinets, SG; Martinson, EA</t>
  </si>
  <si>
    <t>Byvalov, A. A.; Malkova, M. A.; Chernyad'ev, A. V.; Dudina, L. G.; Litvinets, S. G.; Martinson, E. A.</t>
  </si>
  <si>
    <t>Influence of Specific Bacteriophage on the Level of Vesicle Formation and Morphology of Cells of Yersinia pseudotuberculosis</t>
  </si>
  <si>
    <t>Dudina, Liubov G./C-7171-2017; Litvinets, Sergey G./I-8188-2013; Byvalov, Andrey A./Y-6825-2018; Martinson, Ekaterina/AAL-5413-2020</t>
  </si>
  <si>
    <t xml:space="preserve">Dudina, Liubov G./0000-0002-2172-9015; Litvinets, Sergey G./0000-0001-8583-5274; Byvalov, Andrey A./0000-0003-1117-5896; </t>
  </si>
  <si>
    <t>10.1007/s10517-018-4180-0</t>
  </si>
  <si>
    <t>WOS:000439334000027</t>
  </si>
  <si>
    <t>Kataeva, N; Marakulina, I; Snigireva, Y; Barinov, S</t>
  </si>
  <si>
    <t>Kataeva, Natalia; Marakulina, Irina; Snigireva, Yelena; Barinov, Sergey</t>
  </si>
  <si>
    <t>Financial Support Problems of Developing a Territory's Touristic Potential</t>
  </si>
  <si>
    <t>Marakulina, Irina/AAD-7957-2020; Barinov, Sergey/AAD-4955-2022; Катаева, Наталья Николаевна/AAB-5555-2022</t>
  </si>
  <si>
    <t>Barinov, Sergey/0000-0002-2749-7024; Катаева, Наталья Николаевна/0000-0002-4695-1536</t>
  </si>
  <si>
    <t>10.1051/matecconf/201817001046</t>
  </si>
  <si>
    <t>WOS:000449660800046</t>
  </si>
  <si>
    <t>Savinyh, P; Aleshkin, A; Turbanov, N; Ivanovs, S</t>
  </si>
  <si>
    <t>Savinyh, Peter; Aleshkin, Alexey; Turbanov, Nikolai; Ivanovs, Semjons</t>
  </si>
  <si>
    <t>INVESTIGATION OF IMPACT OF TECHNOLOGICAL AND STRUCTURAL PARAMETERS UPON ENERGY INDICATORS OF WORK OF MIXER</t>
  </si>
  <si>
    <t>Ivanovs, Semjons/AAD-7303-2022; Aleshkin, Aleksey/ABA-6228-2020</t>
  </si>
  <si>
    <t>Ivanovs, Semjons/0000-0002-9072-1340; Aleshkin, Aleksey/0000-0002-6949-1480</t>
  </si>
  <si>
    <t>10.22616/ERDev.2020.19.TF334</t>
  </si>
  <si>
    <t>WOS:000815085500192</t>
  </si>
  <si>
    <t>Gunter, EA; Markov, PA; Melekhin, AK; Belozerov, VS; Martinson, EA; Litvinets, SG; Popov, SV</t>
  </si>
  <si>
    <t>Gunter, Elena A.; Markov, Pavel A.; Melekhin, Anatoliy K.; Belozerov, Vladislav S.; Martinson, Ekaterina A.; Litvinets, Sergey G.; Popov, Sergey, V</t>
  </si>
  <si>
    <t>Preparation and release characteristics of mesalazine loaded calcium pectin-silica gel beads based on callus cultures pectins for colon-targeted drug delivery</t>
  </si>
  <si>
    <t>Belozerov, Vladislav/B-7087-2019; Popov, Sergey/AAM-6438-2021; A.K, Melekhin/AAH-2990-2019; Litvinets, Sergey G./I-8188-2013; Popov, Sergey V/F-7627-2016; Gunter, Elena/C-4345-2018; Martinson, Ekaterina/AAL-5413-2020; Markov, Pavel/Q-2677-2016</t>
  </si>
  <si>
    <t>Belozerov, Vladislav/0000-0002-9930-5458; Popov, Sergey/0000-0003-1763-8898; A.K, Melekhin/0000-0002-7574-7323; Litvinets, Sergey G./0000-0001-8583-5274; Popov, Sergey V/0000-0003-1763-8898; Gunter, Elena/0000-0002-2915-6928; Markov, Pavel/0000-0002-4803-4803</t>
  </si>
  <si>
    <t>10.1016/j.ijbiomac.2018.07.078</t>
  </si>
  <si>
    <t>WOS:000449892800095</t>
  </si>
  <si>
    <t>Abdurazakov, MM; Askerov, AS; Nimatulaev, MM; Suvorova, TN</t>
  </si>
  <si>
    <t>Lo, SK</t>
  </si>
  <si>
    <t>Abdurazakov, Magomed M.; Askerov, Alavudin S.; Nimatulaev, Magomedhan M.; Suvorova, Tatyana N.</t>
  </si>
  <si>
    <t>TEACHING INFORMATICS CONTENT AND MEANS IN THE ASPECT OF EDUCATION INFORMATIZATION</t>
  </si>
  <si>
    <t>INTERNATIONAL CONFERENCE EDUCATION ENVIRONMENT FOR THE INFORMATION AGE (EEIA 2017)</t>
  </si>
  <si>
    <t>International Conference on Education Environment for the Information Age (EEIA)</t>
  </si>
  <si>
    <t>JUN 07-08, 2017</t>
  </si>
  <si>
    <t>Russian Acad Educ, Inst Strategy Educ Dev, Moscow, RUSSIA</t>
  </si>
  <si>
    <t>Russian Acad Educ, Inst Strategy Educ Dev</t>
  </si>
  <si>
    <t>Абдуразаков, Магомед/B-3617-2019; Suvorova, Tatiana N/Z-1069-2018</t>
  </si>
  <si>
    <t>Абдуразаков, Магомед/0000-0002-7979-0847; Suvorova, Tatiana N/0000-0003-3628-129X</t>
  </si>
  <si>
    <t>10.15405/epsbs.2017.08.2</t>
  </si>
  <si>
    <t>WOS:000416073800002</t>
  </si>
  <si>
    <t>Paimushin, VN; Firsov, VA; Shishkin, VM; Gazizullin, RK</t>
  </si>
  <si>
    <t>Wahab, MA</t>
  </si>
  <si>
    <t>Paimushin, Vitaly N.; Firsov, Vyacheslav A.; Shishkin, Victor M.; Gazizullin, Ruslan K.</t>
  </si>
  <si>
    <t>Study of Forced Vibrations of a Two-Layer Plate Under Harmonic Load</t>
  </si>
  <si>
    <t>PROCEEDINGS OF THE 4TH INTERNATIONAL CONFERENCE ON NUMERICAL MODELLING IN ENGINEERING: NUMERICAL MODELLING IN MECHANICAL AND MATERIALS ENGINEERING, VOL 2, NME 2021</t>
  </si>
  <si>
    <t>4th International Conference on Numerical Modelling in Engineering (NME)</t>
  </si>
  <si>
    <t>AUG 24-25, 2021</t>
  </si>
  <si>
    <t>Gazizullin, Ruslan/GVS-2706-2022</t>
  </si>
  <si>
    <t>978-981-16-8806-5; 978-981-16-8805-8</t>
  </si>
  <si>
    <t>10.1007/978-981-16-8806-5_2</t>
  </si>
  <si>
    <t>WOS:000789412600002</t>
  </si>
  <si>
    <t>Mukhametshin, I; Valiev, A; Aleshkin, A; Ibyatov, R; Muhamadyarov, F</t>
  </si>
  <si>
    <t>Fayzrakhmanov, D; Ziganshin, B; Nezhmetdinova, F; Shaydullin, R</t>
  </si>
  <si>
    <t>Mukhametshin, Ilshat; Valiev, Ayrat; Aleshkin, Alexey; Ibyatov, Ravil; Muhamadyarov, Farzutdin</t>
  </si>
  <si>
    <t>Study of the influence of the oncoming flow of soil on the screw surface of a subsoiler</t>
  </si>
  <si>
    <t>INTERNATIONAL SCIENTIFIC-PRACTICAL CONFERENCE - AGRICULTURE AND FOOD SECURITY: TECHNOLOGY, INNOVATION, MARKETS, HUMAN RESOURCES (FIES 2019)</t>
  </si>
  <si>
    <t>International Scientific and Practical Conference on Agriculture and Food Security - Technology, Innovation, Markets, Human Resources (FIES)</t>
  </si>
  <si>
    <t>NOV 13-14, 2019</t>
  </si>
  <si>
    <t>Kazan State Agrarian Univ, RUSSIA</t>
  </si>
  <si>
    <t>Samara State Agrarian Univ,Kazan State Acad Vet Med N E Bauman,Minist Agr &amp; Food Republ Tatarstan,Minist Agr &amp; Food Samara Reg,Russian Acad Sci, Dept Agr Sci,Minist Educ &amp; Sci Samara Reg,Minist Educ &amp; Sci Republ Tatarstan,Acad Sci Republ Tatarstan,Russian Acad Sci, Samara Sci Ctr</t>
  </si>
  <si>
    <t>Kazan State Agrarian Univ</t>
  </si>
  <si>
    <t>Мухаметшин, Ильшат/F-7261-2018; Ибятов, Равиль/ABC-8565-2021</t>
  </si>
  <si>
    <t xml:space="preserve">Мухаметшин, Ильшат/0000-0002-1243-440X; </t>
  </si>
  <si>
    <t>10.1051/bioconf/20201700118</t>
  </si>
  <si>
    <t>WOS:000570248200117</t>
  </si>
  <si>
    <t>INVESTIGATION OF OSCILLATIONS OF HAMMER ROTOR OF GRAIN CRUSHER</t>
  </si>
  <si>
    <t>16TH INTERNATIONAL SCIENTIFIC CONFERENCE: ENGINEERING FOR RURAL DEVELOPMENT</t>
  </si>
  <si>
    <t>16th International Scientific Conference on Engineering for Rural Development</t>
  </si>
  <si>
    <t>MAY 24-26, 2017</t>
  </si>
  <si>
    <t>Latvia Univ Agr, Fac Engn, Jelgava, LATVIA</t>
  </si>
  <si>
    <t>Latvia Univ Agr, Fac Engn</t>
  </si>
  <si>
    <t>10.22616/ERDev2017.16.N269</t>
  </si>
  <si>
    <t>WOS:000416378300189</t>
  </si>
  <si>
    <t>Zlobin, AA; Martinson, EA; Litvinets, SG; Ovechkina, IA; Durnev, EA; Ovodova, RG</t>
  </si>
  <si>
    <t>Zlobin, A. A.; Martinson, E. A.; Litvinets, S. G.; Ovechkina, I. A.; Durnev, E. A.; Ovodova, R. G.</t>
  </si>
  <si>
    <t>Pectin polysaccharides of rowan Sorbus aucuparia L.</t>
  </si>
  <si>
    <t>10.1134/S1068162012070242</t>
  </si>
  <si>
    <t>WOS:000312062700004</t>
  </si>
  <si>
    <t>Isupova, NI; Mamaeva, EA; Masharova, TV; Tsygankova, MN</t>
  </si>
  <si>
    <t>Isupova, Natalya I.; Mamaeva, Ekaterina A.; Masharova, Tatyana, V; Tsygankova, Maria N.</t>
  </si>
  <si>
    <t>Formation of Universal Competencies of Undergraduates during Development of the Plot of Web-Quest</t>
  </si>
  <si>
    <t>10.13187/ejced.2021.4.943</t>
  </si>
  <si>
    <t>WOS:000739150200009</t>
  </si>
  <si>
    <t>Syrchina, NV; Bogatyryova, NN; Ashikhmina, TY; Kantor, GY</t>
  </si>
  <si>
    <t>Syrchina, N., V; Bogatyryova, N. N.; Ashikhmina, T. Ya; Kantor, G. Ya</t>
  </si>
  <si>
    <t>Tailings of enrichment of phosphorites of the Vyatka-Kama deposit as secondary material resources for the production of natural fertilizers</t>
  </si>
  <si>
    <t>10.25750/1995-4301-2021-2-107-114</t>
  </si>
  <si>
    <t>WOS:000667025400015</t>
  </si>
  <si>
    <t>Remote monitoring of overgrowth of the eutrophied reservoir water area by higher aquatic vegetation</t>
  </si>
  <si>
    <t>Kutyavina, Tatyana/AAX-3781-2021; Ashikhmina, Tamara/O-1326-2015; Kutyavina, Tatyana/T-1440-2017</t>
  </si>
  <si>
    <t>Kutyavina, Tatyana/0000-0001-7957-0636; Ashikhmina, Tamara/0000-0003-4919-0047; Kutyavina, Tatyana/0000-0001-7957-0636</t>
  </si>
  <si>
    <t>10.25750/1995-4301-2020-3-036-040</t>
  </si>
  <si>
    <t>WOS:000580337700005</t>
  </si>
  <si>
    <t>Gunter, EA; Popeyko, OV; Melekhin, AK; Belozerov, VS; Martinson, EA; Litvinets, SG</t>
  </si>
  <si>
    <t>Gunter, Elena A.; Popeyko, Oxana V.; Melekhin, Anatoliy K.; Belozerov, Vladislav S.; Martinson, Ekaterina A.; Litvinets, Sergey G.</t>
  </si>
  <si>
    <t>Preparation and properties of the pectic gel microparticles based on the Zn2+, Fe3+ and Al3+ cross-linking cations</t>
  </si>
  <si>
    <t>Martinson, Ekaterina/AAL-5413-2020; A.K, Melekhin/AAH-2990-2019; Gunter, Elena/C-4345-2018; Belozerov, Vladislav/B-7087-2019; Popeyko, Oksana/AAE-7935-2019</t>
  </si>
  <si>
    <t xml:space="preserve">A.K, Melekhin/0000-0002-7574-7323; Gunter, Elena/0000-0002-2915-6928; Belozerov, Vladislav/0000-0002-9930-5458; </t>
  </si>
  <si>
    <t>OCT 1</t>
  </si>
  <si>
    <t>10.1016/j.ijbiomac.2019.07.122</t>
  </si>
  <si>
    <t>WOS:000487569000066</t>
  </si>
  <si>
    <t>Petrova, AA; Kozlova, LV; Gaifullina, IZ; Ananchenko, BA; Martinson, EA; Mikshina, PV; Gorshkova, TA</t>
  </si>
  <si>
    <t>Petrova, Anna A.; Kozlova, Liudmila V.; Gaifullina, Ilzira Z.; Ananchenko, Boris A.; Martinson, Ekaterina A.; Mikshina, Polina V.; Gorshkova, Tatyana A.</t>
  </si>
  <si>
    <t>AFM analysis reveals polymorphism of purified flax rhamnogalacturonans I of distinct functional types</t>
  </si>
  <si>
    <t>Mikshina, Polina/G-8087-2016; Martinson, Ekaterina/AAL-5413-2020; Ananchenko, Boris/AAM-5831-2020; Gorshkova, Tatyana/C-4299-2014; Petrova, Anna A/O-6747-2017</t>
  </si>
  <si>
    <t>Ananchenko, Boris/0000-0002-7975-7828; Gorshkova, Tatyana/0000-0003-0342-8195; Kozlova, Liudmila/0000-0002-6323-167X; Petrova, Anna/0000-0003-2887-9064</t>
  </si>
  <si>
    <t>JUL 15</t>
  </si>
  <si>
    <t>10.1016/j.carbpol.2019.03.087</t>
  </si>
  <si>
    <t>WOS:000466353300025</t>
  </si>
  <si>
    <t>Adamovich, TA; Domnina, EA; Timonov, AS; Rutman, VV; Ashikhmina, TY</t>
  </si>
  <si>
    <t>Adamovich, T. A.; Domnina, E. A.; Timonov, A. S.; Rutman, V. V.; Ashikhmina, T. Ya</t>
  </si>
  <si>
    <t>Methodological techniques for identifying plant communities based on Earth remote sensing data and field research</t>
  </si>
  <si>
    <t>Ashikhmina, Tamara/O-1326-2015; Rutman, Vyacheslav V/C-5357-2019; Adamovich, Tatyana/N-3967-2016</t>
  </si>
  <si>
    <t>Ashikhmina, Tamara/0000-0003-4919-0047; Rutman, Vyacheslav V/0000-0002-9025-3487; Adamovich, Tatyana/0000-0002-8684-927X</t>
  </si>
  <si>
    <t>10.25750/1995-4301-2019-2-039-043</t>
  </si>
  <si>
    <t>WOS:000477826000004</t>
  </si>
  <si>
    <t>Tovstik, EV; Adamovich, TA; Rutman, VV; Kantor, GY; Ashikhmina, TY</t>
  </si>
  <si>
    <t>Tovstik, E., V; Adamovich, T. A.; Rutman, V. V.; Kantor, G. Ya; Ashikhmina, T. Ya</t>
  </si>
  <si>
    <t>Identification of the thickets of Heracleum sosnowskyi using Earth remote sensing data</t>
  </si>
  <si>
    <t>Tovstik, Evgeniya/P-1350-2017; Ashikhmina, Tamara/O-1326-2015; Rutman, Vyacheslav V/C-5357-2019; Adamovich, Tatyana/N-3967-2016</t>
  </si>
  <si>
    <t>Tovstik, Evgeniya/0000-0003-1861-6076; Ashikhmina, Tamara/0000-0003-4919-0047; Rutman, Vyacheslav V/0000-0002-9025-3487; Adamovich, Tatyana/0000-0002-8684-927X</t>
  </si>
  <si>
    <t>10.25750/1995-4301-2018-2-035-037</t>
  </si>
  <si>
    <t>WOS:000468564500004</t>
  </si>
  <si>
    <t>Markov, PA; Krachkovsky, NS; Durnev, EA; Martinson, EA; Litvinets, SG; Popov, SV</t>
  </si>
  <si>
    <t>Markov, Pavel A.; Krachkovsky, Nikita S.; Durnev, Eugene A.; Martinson, Ekaterina A.; Litvinets, Sergey G.; Popov, Sergey V.</t>
  </si>
  <si>
    <t>Mechanical properties, structure, bioadhesion, and biocompatibility of pectin hydrogels</t>
  </si>
  <si>
    <t>Martinson, Ekaterina/AAL-5413-2020; Popov, Sergey/AAM-6438-2021; Popov, Sergey V/F-7627-2016; Litvinets, Sergey G./I-8188-2013; Markov, Pavel/Q-2677-2016</t>
  </si>
  <si>
    <t>Popov, Sergey/0000-0003-1763-8898; Popov, Sergey V/0000-0003-1763-8898; Litvinets, Sergey G./0000-0001-8583-5274; Markov, Pavel/0000-0002-4803-4803</t>
  </si>
  <si>
    <t>10.1002/jbm.a.36116</t>
  </si>
  <si>
    <t>WOS:000406308500018</t>
  </si>
  <si>
    <t>Cai, J; Youngblood, VT; Khodyreva, EA; Khuziakhmetov, AN</t>
  </si>
  <si>
    <t>Cai, Jing; Youngblood, Valery T.; Khodyreva, Elena A.; Khuziakhmetov, Anvar N.</t>
  </si>
  <si>
    <t>Higher Education Curricula Designing on the Basis of the Regional Labour Market Demands</t>
  </si>
  <si>
    <t>Yungblyud, Valeriy T./J-8665-2016; Khuziakhmetov, Anvar Nuriakhmetovic/M-8936-2013; Khodyreva, Elena/AAE-3535-2019</t>
  </si>
  <si>
    <t xml:space="preserve">Yungblyud, Valeriy T./0000-0002-2706-3904; Khuziakhmetov, Anvar Nuriakhmetovic/0000-0003-2842-4289; </t>
  </si>
  <si>
    <t>10.12973/eurasia.2017.00719a</t>
  </si>
  <si>
    <t>WOS:000404607800001</t>
  </si>
  <si>
    <t>Zlobin, AA; Martinson, EA; Litvinets, SG; Ovodova, RG; Ovodov, YS</t>
  </si>
  <si>
    <t>Zlobin, A. A.; Martinson, E. A.; Litvinets, S. G.; Ovodova, R. G.; Ovodov, Yu S.</t>
  </si>
  <si>
    <t>Polysaccharides from the Callus Tissue of the Rowan Tree Sorbus aucuparia L. Stem</t>
  </si>
  <si>
    <t>10.1134/S1068162014020162</t>
  </si>
  <si>
    <t>WOS:000336053700010</t>
  </si>
  <si>
    <t>Domracheva, LI; Shirokikh, IG; Fokina, AI</t>
  </si>
  <si>
    <t>Domracheva, L. I.; Shirokikh, I. G.; Fokina, A. I.</t>
  </si>
  <si>
    <t>Anti-Fusarium activity of cyanobacteria and actinomycetes in soil and rhizosphere</t>
  </si>
  <si>
    <t>10.1134/S0026261710060263</t>
  </si>
  <si>
    <t>WOS:000285067700025</t>
  </si>
  <si>
    <t>Gunter, EA; Martynov, VV; Ananchenko, BA; Martinson, EA; Litvinets, SG</t>
  </si>
  <si>
    <t>Guenter, Elena A.; Martynov, Vladislav V.; Ananchenko, Boris A.; Martinson, Ekaterina A.; Litvinets, Sergey G.</t>
  </si>
  <si>
    <t>The gel strength and swelling in the gastrointestinal environment of pectin/kappa-carrageenan gel particles based on pectins with different degrees of methylesterification</t>
  </si>
  <si>
    <t>MATERIALS TODAY COMMUNICATIONS</t>
  </si>
  <si>
    <t>Gunter, Elena/C-4345-2018; Martynov, Vladislav/GXF-7708-2022</t>
  </si>
  <si>
    <t xml:space="preserve">Gunter, Elena/0000-0002-2915-6928; </t>
  </si>
  <si>
    <t>2352-4928</t>
  </si>
  <si>
    <t>10.1016/j.mtcomm.2022.104986</t>
  </si>
  <si>
    <t>NOV 2022</t>
  </si>
  <si>
    <t>WOS:000892588700003</t>
  </si>
  <si>
    <t>Gerasimov, AS; Rogozhkin, SO; Shakhova, ES; Chepurnykh, TV; Gorokhovatsky, AY; Myshkina, NM; Balakireva, AV; Yampolsky, IV</t>
  </si>
  <si>
    <t>Gerasimov, A. S.; Rogozhkin, S. O.; Shakhova, E. S.; Chepurnykh, T. V.; Gorokhovatsky, A. Y.; Myshkina, N. M.; Balakireva, A. V.; Yampolsky, I. V.</t>
  </si>
  <si>
    <t>Recombinant Production of Hispidin-3-Hydroxylase: the Key Enzyme in Fungal Luciferin Biosynthesis</t>
  </si>
  <si>
    <t>Yampolsky, Ilia V/R-6798-2016; Balakireva, Anastasia V/AAQ-4082-2020</t>
  </si>
  <si>
    <t>Yampolsky, Ilia V/0000-0003-2558-2476; Balakireva, Anastasia V/0000-0003-1188-211X; Shakhova, Ekaterina/0000-0002-6345-1330; Gerasimov, Andrey/0000-0002-3897-0622</t>
  </si>
  <si>
    <t>10.1134/S1068162021040099</t>
  </si>
  <si>
    <t>WOS:000709344500012</t>
  </si>
  <si>
    <t>Syrchina, NV; Kantor, GY; Pugach, VN; Ashikhmina, TY</t>
  </si>
  <si>
    <t>Syrchina, N. V.; Kantor, G. Ya.; Pugach, V. N.; Ashikhmina, T. Ya.</t>
  </si>
  <si>
    <t>Contribution of carbon dioxide and water to the greenhouse effect</t>
  </si>
  <si>
    <t>Ashikhmina, Tamara/O-1326-2015; Syrchina, Nadezhda/ABF-2311-2020; Pugach, Valentin/V-8991-2018</t>
  </si>
  <si>
    <t>Ashikhmina, Tamara/0000-0003-4919-0047; Syrchina, Nadezhda/0000-0001-8049-6760; Pugach, Valentin/0000-0003-1220-4062</t>
  </si>
  <si>
    <t>10.25750/1995-4301-2021-4-218-223</t>
  </si>
  <si>
    <t>WOS:000755154100031</t>
  </si>
  <si>
    <t>Ananchenko, B; Belozerov, V; Byvalov, A; Konyshev, I; Korzhavina, A; Dudina, L</t>
  </si>
  <si>
    <t>Ananchenko, Boris; Belozerov, Vladislav; Byvalov, Andrey; Konyshev, Ilya; Korzhavina, Anastasia; Dudina, Lyubov</t>
  </si>
  <si>
    <t>Evaluation of intermolecular forces between lipopolysaccharides and monoclonal antibodies using atomic force microscopy</t>
  </si>
  <si>
    <t>Ananchenko, Boris/AAM-5831-2020; Belozerov, Vladislav/B-7087-2019; Konyshev, Ilya V./A-9370-2019; Byvalov, Andrey A./Y-6825-2018</t>
  </si>
  <si>
    <t>Ananchenko, Boris/0000-0002-7975-7828; Belozerov, Vladislav/0000-0002-9930-5458; Konyshev, Ilya V./0000-0001-6575-9630; Byvalov, Andrey A./0000-0003-1117-5896</t>
  </si>
  <si>
    <t>AUG 1</t>
  </si>
  <si>
    <t>10.1016/j.ijbiomac.2020.04.055</t>
  </si>
  <si>
    <t>WOS:000538104200086</t>
  </si>
  <si>
    <t>Rybak, AV; Belykh, ES; Maystrenko, TA; Shadrin, DM; Pylina, YI; Chadin, IF; Velegzhaninov, IO</t>
  </si>
  <si>
    <t>Rybak, Anna, V; Belykh, Elena S.; Maystrenko, Tatiana A.; Shadrin, Dmitry M.; Pylina, Yana, I; Chadin, Ivan F.; Velegzhaninov, Ilya O.</t>
  </si>
  <si>
    <t>Genetic analysis in earthworm population from area contaminated with radionuclides and heavy metals</t>
  </si>
  <si>
    <t>SCIENCE OF THE TOTAL ENVIRONMENT</t>
  </si>
  <si>
    <t>Shadrin, Dmitry M/P-9808-2015; Pylina, Yana I/P-9565-2015; Velegzhaninov, Ilya O./P-9554-2015; Ivan, Chadin/P-4940-2015; Rybak, Anna/Q-1926-2015</t>
  </si>
  <si>
    <t>Shadrin, Dmitry M/0000-0003-4365-0145; Pylina, Yana I/0000-0003-4981-8930; Velegzhaninov, Ilya O./0000-0002-4715-4053; Ivan, Chadin/0000-0001-6299-2285; Belykh, Elena/0000-0002-0182-6475</t>
  </si>
  <si>
    <t>0048-9697</t>
  </si>
  <si>
    <t>1879-1026</t>
  </si>
  <si>
    <t>JUN 25</t>
  </si>
  <si>
    <t>10.1016/j.scitotenv.2020.137920</t>
  </si>
  <si>
    <t>WOS:000535465200014</t>
  </si>
  <si>
    <t>Kutyavina, TI; Ashikhmina, TY; Kondakova, LV</t>
  </si>
  <si>
    <t>Kutyavina, T., I; Ashikhmina, T. Ya; Kondakova, L., V</t>
  </si>
  <si>
    <t>Application of ground-based research methods for the diagnostics of pollution and eutrophication of water reservoirs of the Kirov region</t>
  </si>
  <si>
    <t>Ashikhmina, Tamara/O-1326-2015; Kutyavina, Tatyana/AAX-3781-2021; Kutyavina, Tatyana/T-1440-2017</t>
  </si>
  <si>
    <t>Ashikhmina, Tamara/0000-0003-4919-0047; Kutyavina, Tatyana/0000-0001-7957-0636; Kutyavina, Tatyana/0000-0001-7957-0636</t>
  </si>
  <si>
    <t>10.25750/1995-4301-2019-2-044-052</t>
  </si>
  <si>
    <t>WOS:000477826000005</t>
  </si>
  <si>
    <t>Sofina, EV</t>
  </si>
  <si>
    <t>Sofina, Elena, V</t>
  </si>
  <si>
    <t>AGRICULTURAL LAND-USE OPTIMIZATION BY FARMS BASED ON QUALITY MANAGEMENT: LINES OF RESEARCH</t>
  </si>
  <si>
    <t>10.24874/IJQR13.04-12</t>
  </si>
  <si>
    <t>WOS:000498886400012</t>
  </si>
  <si>
    <t>Zavyalova, NE; Shirokikh, IG; Kosolapova, AI; Shirokikh, AA</t>
  </si>
  <si>
    <t>Zavyalova, N. E.; Shirokikh, I. G.; Kosolapova, A., I; Shirokikh, A. A.</t>
  </si>
  <si>
    <t>Microbial transformation of organic matter of sod-podzolic soils in the Pre-Urals under conditions of different use and application of mineral fertilizers</t>
  </si>
  <si>
    <t>Shirokikh, Irina G/V-3449-2017; Shirikikh, Alexandr A.A.S./W-7606-2018; Shirokikh, Alexandr/X-1684-2018</t>
  </si>
  <si>
    <t>Shirokikh, Irina G/0000-0002-3319-2729; Shirokikh, Alexandr/0000-0002-7808-0376; Zav'alova, Nina/0000-0003-4005-8998</t>
  </si>
  <si>
    <t>10.25750/1995-4301-2019-1-102-110</t>
  </si>
  <si>
    <t>WOS:000468565900015</t>
  </si>
  <si>
    <t>Lin, KQ; Sokolova, AN; Vlasova, VK</t>
  </si>
  <si>
    <t>Lin, Kequan; Sokolova, Anna Nikolaevna; Vlasova, Vera K.</t>
  </si>
  <si>
    <t>Methodological Potential of Computer Experiment in Teaching Mathematics at University</t>
  </si>
  <si>
    <t>Vlasova, Vera K./B-8514-2016; Sokolova, Anna Nikolaevna/G-9341-2017</t>
  </si>
  <si>
    <t>Vlasova, Vera K./0000-0001-7214-5143; Sokolova, Anna Nikolaevna/0000-0002-7619-0627</t>
  </si>
  <si>
    <t>10.12973/eurasia.2017.00743a</t>
  </si>
  <si>
    <t>WOS:000404607800043</t>
  </si>
  <si>
    <t>Gordeeva, YM; Vedernikova, IE</t>
  </si>
  <si>
    <t>Gordeeva, Y. M.; Vedernikova, I. E.</t>
  </si>
  <si>
    <t>Forest carbon offsets in Russia: current legal infrastructure</t>
  </si>
  <si>
    <t>郭, 青霞/GZH-2618-2022</t>
  </si>
  <si>
    <t>10.5750/1995-4301-2022-2-209-215</t>
  </si>
  <si>
    <t>WOS:000820802000026</t>
  </si>
  <si>
    <t>Kozlova, L; Petrova, A; Chernyad'ev, A; Salnikov, V; Gorshkova, T</t>
  </si>
  <si>
    <t>Kozlova, L.; Petrova, A.; Chernyad'ev, A.; Salnikov, V; Gorshkova, T.</t>
  </si>
  <si>
    <t>On the origin of bast fiber dislocations in flax</t>
  </si>
  <si>
    <t>INDUSTRIAL CROPS AND PRODUCTS</t>
  </si>
  <si>
    <t>Gorshkova, Tatyana/C-4299-2014</t>
  </si>
  <si>
    <t>Gorshkova, Tatyana/0000-0003-0342-8195; Petrova, Anna/0000-0003-2887-9064; Kozlova, Liudmila/0000-0002-6323-167X</t>
  </si>
  <si>
    <t>0926-6690</t>
  </si>
  <si>
    <t>1872-633X</t>
  </si>
  <si>
    <t>10.1016/j.indcrop.2021.114382</t>
  </si>
  <si>
    <t>DEC 2021</t>
  </si>
  <si>
    <t>WOS:000736977300004</t>
  </si>
  <si>
    <t>Melnikov, AA; Mankov, PN; Bessolitsin, AV; Novikov, AV; Maxim, GP</t>
  </si>
  <si>
    <t>Melnikov, Alexey A.; Mankov, Petr N.; Bessolitsin, Alexey, V; Novikov, Alexey, V; Maxim, Popov G.</t>
  </si>
  <si>
    <t>Ensuring Electromagnetic Compatibility of Microprocessor Devices with Toroidal Chokes</t>
  </si>
  <si>
    <t>Melnikov, Alexey/0000-0001-7042-3277; Mankov, Petr/0000-0002-9104-664X; Popov, Maxim/0000-0003-1621-9755</t>
  </si>
  <si>
    <t>10.1109/ElConRus51938.2021.9396276</t>
  </si>
  <si>
    <t>WOS:000669709801069</t>
  </si>
  <si>
    <t>INFLUENCE OF SPEED-STRENGTH TRAINING ON THE CONCENTRATION INDICATORS OF SCHOOLCHILDREN AGED 13-14 YEARS WITH DIFFERENT TYPOLOGY</t>
  </si>
  <si>
    <t>10.51847/oCGvk8tmjd</t>
  </si>
  <si>
    <t>WOS:000741358800004</t>
  </si>
  <si>
    <t>Prach, O; Trudonoshyn, O; Randelzhofer, P; Korner, C; Durst, K</t>
  </si>
  <si>
    <t>Prach, O.; Trudonoshyn, O.; Randelzhofer, P.; Koerner, C.; Durst, K.</t>
  </si>
  <si>
    <t>Multi-alloying effect of Sc, Zr, Cr on the Al-Mg-Si-Mn high-pressure die casting alloys</t>
  </si>
  <si>
    <t>MATERIALS CHARACTERIZATION</t>
  </si>
  <si>
    <t>Durst, Karsten/AAF-2267-2021</t>
  </si>
  <si>
    <t>Durst, Karsten/0000-0002-9246-6398</t>
  </si>
  <si>
    <t>1044-5803</t>
  </si>
  <si>
    <t>1873-4189</t>
  </si>
  <si>
    <t>10.1016/j.matchar.2020.110537</t>
  </si>
  <si>
    <t>WOS:000571812800004</t>
  </si>
  <si>
    <t>Serzhanova, Z; Baykova, O; Kryukova, N; Mishutinskaya, E</t>
  </si>
  <si>
    <t>Serzhanova, Zhanna; Baykova, Olga; Kryukova, Natalya; Mishutinskaya, Elena</t>
  </si>
  <si>
    <t>CODE SWITCHING: A CASE STUDY OF GERMAN-RUSSIAN LANGUAGE INTERACTION</t>
  </si>
  <si>
    <t>WOS:000583783100003</t>
  </si>
  <si>
    <t>Thematic interpretation of high-resolution satellite images of vegetation based on field research data</t>
  </si>
  <si>
    <t>Ashikhmina, Tamara/O-1326-2015; Adamovich, Tatyana/N-3967-2016</t>
  </si>
  <si>
    <t>Ashikhmina, Tamara/0000-0003-4919-0047; Adamovich, Tatyana/0000-0002-8684-927X</t>
  </si>
  <si>
    <t>10.25750/1995-4301-2020-3-041-045</t>
  </si>
  <si>
    <t>WOS:000580337700006</t>
  </si>
  <si>
    <t>Zelentsov, AB; Kononov, PI; Stakhov, AI</t>
  </si>
  <si>
    <t>Zelentsov, A. B.; Kononov, P., I; Stakhov, A., I</t>
  </si>
  <si>
    <t>Administrative process as a kind of legal process: Modern problems of understanding and normative-legal regulation</t>
  </si>
  <si>
    <t>10.21638/spbu14.2018.404</t>
  </si>
  <si>
    <t>WOS:000457701400004</t>
  </si>
  <si>
    <t>Mamaeva, EA; Gerasimova, EK; Zaslavskaya, OY; Shunina, LA</t>
  </si>
  <si>
    <t>Mamaeva, Ekaterina A.; Gerasimova, Elena K.; Zaslavskaya, Olga Yu.; Shunina, Liubov A.</t>
  </si>
  <si>
    <t>Organization of Educational and Project Activities of Students to Create Chat Bots as a Condition to Train Future Teachers</t>
  </si>
  <si>
    <t>Mamaeva, Ekaterina/AAP-9683-2020; Gerasimova, Elena K/HKO-6286-2023</t>
  </si>
  <si>
    <t>Mamaeva, Ekaterina/0000-0002-7721-8820; Shunina, Liubov/0000-0002-6952-000X</t>
  </si>
  <si>
    <t>10.13187/ejced.2022.3.817</t>
  </si>
  <si>
    <t>WOS:000862890700012</t>
  </si>
  <si>
    <t>Ashikhmina, TY; Skugoreva, SG; Adamovich, TA; Tovstik, EV</t>
  </si>
  <si>
    <t>Ashikhmina, T. Ya; Skugoreva, S. G.; Adamovich, T. A.; Tovstik, E., V</t>
  </si>
  <si>
    <t>Assessment of the state of surface water bodies in the area of the landfill for pesticides</t>
  </si>
  <si>
    <t>Ashikhmina, Tamara/O-1326-2015; Tovstik, Evgeniya/P-1350-2017; Skugoreva, Svetlana/O-1406-2015</t>
  </si>
  <si>
    <t>Ashikhmina, Tamara/0000-0003-4919-0047; Tovstik, Evgeniya/0000-0003-1861-6076; Skugoreva, Svetlana/0000-0002-5902-5187</t>
  </si>
  <si>
    <t>10.25750/1995-4301-2021-1-104-111</t>
  </si>
  <si>
    <t>WOS:000632219100014</t>
  </si>
  <si>
    <t>Ogloblina, EV; Seredina, MI; Altunina, JO; Kodolov, VA; Lebedev, KA</t>
  </si>
  <si>
    <t>Ogloblina, Elizaveta Valentinovna; Seredina, Maria Igorevna; Altunina, Julia Olegovna; Kodolov, Vladimir Aleksandrovich; Lebedev, Kostyantyn Anatol'evich</t>
  </si>
  <si>
    <t>SOCIO-ECONOMIC CONSEQUENCES OF DIGITAL DEVELOPMENT OF THE ECONOMY</t>
  </si>
  <si>
    <t>Lebedev, Konstantin/M-4485-2016; Maria, Seredina/AAY-9175-2021; Ogloblina, Elizaveta/AAE-5998-2019</t>
  </si>
  <si>
    <t xml:space="preserve">Lebedev, Konstantin/0000-0003-2896-2060; </t>
  </si>
  <si>
    <t>WOS:000583783100035</t>
  </si>
  <si>
    <t>Vlasova, K; Govorova, N</t>
  </si>
  <si>
    <t>Vlasova, K.; Govorova, N.</t>
  </si>
  <si>
    <t>Socio-economic Situation in Greece 2008 - 2018: Results and Prospects</t>
  </si>
  <si>
    <t>Govorova, Natalia/AAA-5010-2019; Vlasova, Ksenia V/F-4747-2019</t>
  </si>
  <si>
    <t>Govorova, Natalia/0000-0002-9578-3225; Vlasova, Ksenia V/0000-0002-4119-4492</t>
  </si>
  <si>
    <t>10.15211/soveurope5201898109</t>
  </si>
  <si>
    <t>WOS:000454872800010</t>
  </si>
  <si>
    <t>Liu, J; Utemov, VV; Kalimullin, AM</t>
  </si>
  <si>
    <t>Liu, Jie; Utemov, Vyacheslav V.; Kalimullin, Aydar M.</t>
  </si>
  <si>
    <t>Teaching Mathematical Subjects to Students with Musculoskeletal Disabilities: Public and Peer Discussions</t>
  </si>
  <si>
    <t>Kalimullin, Aydar/N-1528-2013; Utemov, Vyacheslav V/F-1651-2017</t>
  </si>
  <si>
    <t>Kalimullin, Aydar/0000-0001-7788-7728; Utemov, Vyacheslav V/0000-0001-8156-5916</t>
  </si>
  <si>
    <t>10.12973/eurasia.2017.01217a</t>
  </si>
  <si>
    <t>WOS:000404604700031</t>
  </si>
  <si>
    <t>Okhotina, S; Kukhtin, P; Manukhina, L</t>
  </si>
  <si>
    <t>Okhotina, Svetlana; Kukhtin, Peter; Manukhina, Lyubov</t>
  </si>
  <si>
    <t>The method of complex evaluation of management in the sphere of housing and communal services</t>
  </si>
  <si>
    <t>Manukhina, Lyubov/AFL-6758-2022; Manukhina, Lyubov/AAG-6899-2022</t>
  </si>
  <si>
    <t>Manukhina, Lyubov/0000-0003-4300-7002; Manukhina, Lyubov/0000-0003-4300-7002</t>
  </si>
  <si>
    <t>10.1051/matecconf/201710608074</t>
  </si>
  <si>
    <t>WOS:000426426600259</t>
  </si>
  <si>
    <t>Byvalov, AA; Dudina, LG; Chernyad'ev, AV; Konyshev, IV; Litvinets, SG; Ovodov, YS</t>
  </si>
  <si>
    <t>Byvalov, A. A.; Dudina, L. G.; Chernyad'ev, A. V.; Konyshev, I. V.; Litvinets, S. G.; Ovodov, Yu S.</t>
  </si>
  <si>
    <t>Immunochemical activity of the Yersinia pseudotuberculosis B-antigen</t>
  </si>
  <si>
    <t>MOLECULAR GENETICS MICROBIOLOGY AND VIROLOGY</t>
  </si>
  <si>
    <t>Dudina, Liubov G./C-7171-2017; Litvinets, Sergey G./I-8188-2013; Konyshev, Ilya V./A-9370-2019; Byvalov, Andrey A./Y-6825-2018</t>
  </si>
  <si>
    <t>Dudina, Liubov G./0000-0002-2172-9015; Litvinets, Sergey G./0000-0001-8583-5274; Konyshev, Ilya V./0000-0001-6575-9630; Byvalov, Andrey A./0000-0003-1117-5896</t>
  </si>
  <si>
    <t>0891-4168</t>
  </si>
  <si>
    <t>1934-841X</t>
  </si>
  <si>
    <t>10.3103/S0891416815020032</t>
  </si>
  <si>
    <t>WOS:000358668400006</t>
  </si>
  <si>
    <t>Izmest'ev, ES; Petukhov, DV; Pestova, SV; Rubtsova, SA</t>
  </si>
  <si>
    <t>Izmest'ev, E. S.; Petukhov, D. V.; Pestova, S. V.; Rubtsova, S. A.</t>
  </si>
  <si>
    <t>Synthesis of Dehydroabietane Sulfonamides Containing Amino Acid Ester and Hydrazide Fragments</t>
  </si>
  <si>
    <t>10.1134/S1070428023010074</t>
  </si>
  <si>
    <t>WOS:000959623400007</t>
  </si>
  <si>
    <t>Saetova, NS; Raskovalov, AA; Kraynova, DA; Vlasov, MI; Il'ina, EA; Starichenko, DV</t>
  </si>
  <si>
    <t>Saetova, N. S.; Raskovalov, A. A.; Kraynova, D. A.; Vlasov, M. I.; Il'ina, E. A.; Starichenko, D. V.</t>
  </si>
  <si>
    <t>Effect of La2O3 on the properties of vanadium phosphate glasses: Structure-conductivity relation by molecular dynamics with self-assembly</t>
  </si>
  <si>
    <t>SOLID STATE IONICS</t>
  </si>
  <si>
    <t>Starichenko, Denis/J-9813-2013; Il'ina, Evgeniya/G-7773-2016</t>
  </si>
  <si>
    <t>Starichenko, Denis/0000-0001-9481-538X; Il'ina, Evgeniya/0000-0003-1759-5234</t>
  </si>
  <si>
    <t>0167-2738</t>
  </si>
  <si>
    <t>1872-7689</t>
  </si>
  <si>
    <t>10.1016/j.ssi.2021.115850</t>
  </si>
  <si>
    <t>WOS:000791263100008</t>
  </si>
  <si>
    <t>Kutyavina, T. I.; Rutman, V. V.; Ashikhmina, T. Ya.</t>
  </si>
  <si>
    <t>Using digital maps to identify areas of mass developmentof phytoplankton in small freshwater reservoirs</t>
  </si>
  <si>
    <t>10.25750/1995-4301-2022-2-035-041</t>
  </si>
  <si>
    <t>WOS:000820802000004</t>
  </si>
  <si>
    <t>Trudonoshyn, O; Prach, O; Randelzhofer, P; Durst, K; Korner, C</t>
  </si>
  <si>
    <t>Trudonoshyn, O.; Prach, O.; Randelzhofer, P.; Durst, K.; Koerner, C.</t>
  </si>
  <si>
    <t>Heat treatment of the new high-strength high-ductility Al-Mg-Si-Mn alloys with Sc, Zr and Cr additions</t>
  </si>
  <si>
    <t>MATERIALIA</t>
  </si>
  <si>
    <t>2589-1529</t>
  </si>
  <si>
    <t>10.1016/j.mtla.2020.100981</t>
  </si>
  <si>
    <t>WOS:000636280500015</t>
  </si>
  <si>
    <t>Chistyakov, AV; Djigan, VI; Davies, JN</t>
  </si>
  <si>
    <t>Picking, R; Cunningham, S; Houlden, N; Oram, D; Grout, V; Mayers, J; Abdalhameed, RA; Liggett, S; Vagapov, Y</t>
  </si>
  <si>
    <t>Chistyakov, Anton V.; Djigan, Victor I.; Davies, John N.</t>
  </si>
  <si>
    <t>Spectrum Sensing Techniques for MANET Simulations in Discrete-time Simulator NS-3</t>
  </si>
  <si>
    <t>2015 INTERNET TECHNOLOGIES AND APPLICATIONS (ITA) PROCEEDINGS OF THE SIXTH INTERNATIONAL CONFERENCE (ITA 15)</t>
  </si>
  <si>
    <t>INTERNET TECHNOLOGIES AND ApPLICATIONS (ITA)</t>
  </si>
  <si>
    <t>SEP 08-11, 2015</t>
  </si>
  <si>
    <t>Glyndwr Univ, Wrexham, UNITED KINGDOM</t>
  </si>
  <si>
    <t>Inst of Elect and Elect Engineers (IEEE UK and Ireland Sect),IEEE Advancing Technol Humanity,PRIFYSGOL Glyndwr Univ,Chartered Inst IT,MMM,Soc Social Implicat Technol,Commonwealth ITU Grp,Univ Bradford,KOC Univ,Univ Sfax,Modibo Adama Univ Technol,Studium Gen Civitatis Perusii,Botswana Int Univ Sci Technol,InnoInspire Possibilities,Amer Univ Nigeria,Things2Do,Eniac,Value Project,eert,ensa</t>
  </si>
  <si>
    <t>Glyndwr Univ</t>
  </si>
  <si>
    <t>Djigan, Victor I./D-3127-2017</t>
  </si>
  <si>
    <t>Djigan, Victor I./0000-0001-7485-1623</t>
  </si>
  <si>
    <t>978-1-4799-8036-9</t>
  </si>
  <si>
    <t>WOS:000380532400067</t>
  </si>
  <si>
    <t>Teteryuk, LV; Valuiskikh, OE; Savinykh, NP</t>
  </si>
  <si>
    <t>Teteryuk, L. V.; Valuiskikh, O. E.; Savinykh, N. P.</t>
  </si>
  <si>
    <t>Biomorphology and ontogeny of Gymnadenia conopsea (L.) R. Br. (Orchidaceae) in marginal populations on limestones in the northeast of European Russia</t>
  </si>
  <si>
    <t>RUSSIAN JOURNAL OF ECOLOGY</t>
  </si>
  <si>
    <t>Valuyskikh, Olga/A-6076-2016; Valuyskikh, Olga/AAF-3409-2019; Teteryuk, Liudmila V/Q-1961-2015</t>
  </si>
  <si>
    <t>Teteryuk, Lyudmila/0000-0002-9573-7923; Valuyskikh, Olga/0000-0003-2359-1731; Savinykh, Natalia/0000-0003-4996-8269</t>
  </si>
  <si>
    <t>1067-4136</t>
  </si>
  <si>
    <t>1608-3334</t>
  </si>
  <si>
    <t>10.1134/S1067413613030144</t>
  </si>
  <si>
    <t>WOS:000321871500002</t>
  </si>
  <si>
    <t>Kantor, GY; Syrchina, NV; Ashikhmina, TY</t>
  </si>
  <si>
    <t>Kantor, G. Ya; Syrchina, N., V; Ashikhmina, T. Ya</t>
  </si>
  <si>
    <t>Modeling carbon balance of municipal solid waste landfills</t>
  </si>
  <si>
    <t>10.25750/1995-4301-2022-1-198-204</t>
  </si>
  <si>
    <t>WOS:000819811100028</t>
  </si>
  <si>
    <t>Kutyavina, TI; Ashikhmina, TY</t>
  </si>
  <si>
    <t>Kutyavina, T., I; Ashikhmina, T. Ya</t>
  </si>
  <si>
    <t>Current state and problems of monitoring of surface water bodies in Russia</t>
  </si>
  <si>
    <t>10.25750/1995-4301-2021-2-013-021</t>
  </si>
  <si>
    <t>WOS:000667025400002</t>
  </si>
  <si>
    <t>Mankov, PN; Melnikov, AA; Popov, MG; Novikov, AV; Bessolitsin, AV</t>
  </si>
  <si>
    <t>Mankov, Petr N.; Melnikov, Alexey A.; Popov, Maxim G.; Novikov, Alexey, V; Bessolitsin, Alexey, V</t>
  </si>
  <si>
    <t>Ensuring Electromagnetic Compatibility of Control and Measuring Cables in Case of Phase-Shielded Conductor-Induced Interference in Non-Stationary Modes</t>
  </si>
  <si>
    <t>Melnikov, Alexey/0000-0001-7042-3277; Mankov, Petr/0000-0002-9104-664X</t>
  </si>
  <si>
    <t>10.1109/ElConRus51938.2021.9396694</t>
  </si>
  <si>
    <t>WOS:000669709801068</t>
  </si>
  <si>
    <t>Olkova, AS; Ashikhmina, TY</t>
  </si>
  <si>
    <t>Olkova, A. S.; Ashikhmina, T. Ya</t>
  </si>
  <si>
    <t>Factors of obtaining representative results of bioassay of aquatic environments</t>
  </si>
  <si>
    <t>Ashikhmina, Tamara/0000-0003-4919-0047; Mahanova, Elena/0000-0002-6611-8349</t>
  </si>
  <si>
    <t>10.25750/1995-4301-2021-2-022-030</t>
  </si>
  <si>
    <t>WOS:000667025400003</t>
  </si>
  <si>
    <t>DEVELOPMENT OF SPEED AND STRENGTH ABILITIES OF CHILDREN, TAKING INTO ACCOUNT THE TYPOLOGY</t>
  </si>
  <si>
    <t>10.51847/bzkZmBKa9f</t>
  </si>
  <si>
    <t>WOS:000741358800008</t>
  </si>
  <si>
    <t>Skugoreva, SG; Kantor, GY; Zhilkoval, AV</t>
  </si>
  <si>
    <t>Skugoreva, S. G.; Kantor, G. Ya; Zhilkoval, A., V</t>
  </si>
  <si>
    <t>The use of mathematical models to assess the sorption abilities of higher mushrooms and activated carbon in relation to copper(II) ions</t>
  </si>
  <si>
    <t>Skugoreva, Svetlana/O-1406-2015</t>
  </si>
  <si>
    <t>Skugoreva, Svetlana/0000-0002-5902-5187</t>
  </si>
  <si>
    <t>10.25750/1995-4301-2020-2-044-050</t>
  </si>
  <si>
    <t>WOS:000545295600005</t>
  </si>
  <si>
    <t>Identification of the Dynamic Elasticity Characteristics and Damping Properties of the OT-4 Titanium Alloy Based on Study of Damping Flexural Vibrations of the Test Specimens</t>
  </si>
  <si>
    <t>JOURNAL OF MACHINERY MANUFACTURE AND RELIABILITY</t>
  </si>
  <si>
    <t>1052-6188</t>
  </si>
  <si>
    <t>1934-9394</t>
  </si>
  <si>
    <t>10.3103/S1052618819020110</t>
  </si>
  <si>
    <t>WOS:000470169700004</t>
  </si>
  <si>
    <t>Olkova, AS; Kantor, GY; Kutyavina, TI; Ashikhmina, TY</t>
  </si>
  <si>
    <t>Olkova, Anna S.; Kantor, Grigorii Y.; Kutyavina, Tatyana I.; Ashikhmina, Tamara Y.</t>
  </si>
  <si>
    <t>The Importance of Maintenance Conditions of Daphnia magna Straus as a Test Organism for Ecotoxicological Analysis</t>
  </si>
  <si>
    <t>ENVIRONMENTAL TOXICOLOGY AND CHEMISTRY</t>
  </si>
  <si>
    <t>Kutyavina, Tatyana/T-1440-2017; Ashikhmina, Tamara/O-1326-2015</t>
  </si>
  <si>
    <t>Kutyavina, Tatyana/0000-0001-7957-0636; Ashikhmina, Tamara/0000-0003-4919-0047</t>
  </si>
  <si>
    <t>0730-7268</t>
  </si>
  <si>
    <t>1552-8618</t>
  </si>
  <si>
    <t>10.1002/etc.3956</t>
  </si>
  <si>
    <t>WOS:000423425700008</t>
  </si>
  <si>
    <t>Domracheva, LI; Skugoreva, SG; Starikov, PA; Gornostaeva, EA; Ashikhmina, TY</t>
  </si>
  <si>
    <t>Domracheva, L. I.; Skugoreva, S. G.; Starikov, P. A.; Gornostaeva, E. A.; Ashikhmina, T. Ya.</t>
  </si>
  <si>
    <t>Microbes-antagonists against of phytopathogenic bacteria and fungi (review)</t>
  </si>
  <si>
    <t>Горностаева, Елена/HGE-8735-2022; Ashikhmina, Tamara/O-1326-2015; Skugoreva, Svetlana/O-1406-2015</t>
  </si>
  <si>
    <t>Ashikhmina, Tamara/0000-0003-4919-0047; Gornostaeva, Elena/0000-0003-4888-5736; Skugoreva, Svetlana/0000-0002-5902-5187; Starikov, Pavel/0000-0002-3205-6696</t>
  </si>
  <si>
    <t>10.25750/1995-4301-2022-2-006-014</t>
  </si>
  <si>
    <t>WOS:000820802000001</t>
  </si>
  <si>
    <t>Fomin, S; Shirokova, E; Kraeva, I; Tolstobrov, I; Bushuev, A; Yuzhanin, K; Ananchenko, B; Vetcher, AA; Iordanskii, A</t>
  </si>
  <si>
    <t>Fomin, Sergey; Shirokova, Evgenia; Kraeva, Iren; Tolstobrov, Ivan; Bushuev, Andrey; Yuzhanin, Kirill; Ananchenko, Boris; Vetcher, Alexandre A. A.; Iordanskii, Alexey</t>
  </si>
  <si>
    <t>Effect of Polyvinylidene Fluoride Membrane Production Conditions on Its Structure and Performance Characteristics</t>
  </si>
  <si>
    <t>Vetcher, Alexandre A/AAP-3690-2021; Yuzhanin, Kirill/ACJ-8820-2022; Shirokova, Evgeniya/L-2195-2017</t>
  </si>
  <si>
    <t>Vetcher, Alexandre A/0000-0002-4828-8571; Yuzhanin, Kirill/0000-0002-8359-1920; Shirokova, Evgeniya/0000-0001-5735-3489; Iordanskii, Alexey/0000-0003-0771-0825; Tolstobrov, Ivan/0000-0002-0133-6150</t>
  </si>
  <si>
    <t>10.3390/polym14235283</t>
  </si>
  <si>
    <t>WOS:000896480200001</t>
  </si>
  <si>
    <t>Bulatov, S; Nechaev, V; Savinyh, P; Rucins, A</t>
  </si>
  <si>
    <t>Bulatov, Sergey; Nechaev, Vladimir; Savinyh, Peter; Rucins, Adolfs</t>
  </si>
  <si>
    <t>RESEARCH RESULTS OF EXPERIMENTAL AUTOMATED SYSTEM FOR DOSING BULK MATERIALS</t>
  </si>
  <si>
    <t>20TH INTERNATIONAL SCIENTIFIC CONFERENCE ENGINEERING FOR RURAL DEVELOPMENT</t>
  </si>
  <si>
    <t>20th International Scientific Conference on Engineering for Rural Development</t>
  </si>
  <si>
    <t>MAY 26-28, 2021</t>
  </si>
  <si>
    <t>Latvia Univ Life Sci &amp; Technologies, Fac Engn,Latvia Acad Agr &amp; Forest Sci, Sect Engn</t>
  </si>
  <si>
    <t>Нечаев, Владимир/ABC-4742-2021; Rucins, Adolfs/ABD-1940-2021; Bulatov, Sergey/ABC-3577-2020</t>
  </si>
  <si>
    <t>Нечаев, Владимир/0000-0002-7566-6013; Rucins, Adolfs/0000-0001-7107-1584; Bulatov, Sergey/0000-0001-9099-0447</t>
  </si>
  <si>
    <t>10.22616/ERDev.2021.20.TF043</t>
  </si>
  <si>
    <t>WOS:000817951600028</t>
  </si>
  <si>
    <t>Arkhipov, B; Rychkov, S; Shatrov, A</t>
  </si>
  <si>
    <t>Sokolinsky, L; Zymbler, M</t>
  </si>
  <si>
    <t>Arkhipov, Boris; Rychkov, Sergey; Shatrov, Anatoliy</t>
  </si>
  <si>
    <t>High-Performance Calculations for River Floodplain Model and Its Implementations</t>
  </si>
  <si>
    <t>PARALLEL COMPUTATIONAL TECHNOLOGIES, PCT 2019</t>
  </si>
  <si>
    <t>13th International Scientific Conference on Parallel Computational Technologies (PCT)</t>
  </si>
  <si>
    <t>APR 02-04, 2019</t>
  </si>
  <si>
    <t>Kaliningrad, RUSSIA</t>
  </si>
  <si>
    <t>Intel,RSC Grp,Hewlett Packard Enterprise,T Platforms,AMD,IBS,Russian Univ, Supercomp Consortium,Minist Sci &amp; Higher Educ Russian Federat</t>
  </si>
  <si>
    <t>Ryckov, Sergei Leonidovic/0000-0002-7592-617X; Shatrov, Anatoly/0000-0002-5295-571X</t>
  </si>
  <si>
    <t>978-3-030-28163-2; 978-3-030-28162-5</t>
  </si>
  <si>
    <t>10.1007/978-3-030-28163-2_15</t>
  </si>
  <si>
    <t>WOS:000558285700015</t>
  </si>
  <si>
    <t>Terentyev, YN; Syrchina, NV; Ashikhmina, TY; Sazanov, AV; Sazanova, ML; Kozvonin, VA; Petukhov, DV</t>
  </si>
  <si>
    <t>Terentyev, Yu N.; Syrchina, N., V; Ashikhmina, T. Ya; Sazanov, A., V; Sazanova, M. L.; Kozvonin, V. A.; Petukhov, D., V</t>
  </si>
  <si>
    <t>Technology for conversion of whey into organic-mineral fertilizers with amino acids</t>
  </si>
  <si>
    <t>Syrchina, Nadezhda/ABF-2311-2020; Sazanova, Maria/AAS-9191-2021; Sazanova, Maria/I-4211-2016; Sazanov, Alexander/T-7711-2019; Ashikhmina, Tamara/O-1326-2015</t>
  </si>
  <si>
    <t>Syrchina, Nadezhda/0000-0001-8049-6760; Sazanova, Maria/0000-0003-3492-8395; Sazanova, Maria/0000-0003-3492-8395; Ashikhmina, Tamara/0000-0003-4919-0047</t>
  </si>
  <si>
    <t>10.25750/1995-4301-2018-2-087-093</t>
  </si>
  <si>
    <t>WOS:000468564500011</t>
  </si>
  <si>
    <t>Nikulin, V; Rogovschi, N; Grozavu, N</t>
  </si>
  <si>
    <t>Nikulin, Vladimir; Rogovschi, Nicoleta; Grozavu, Nistor</t>
  </si>
  <si>
    <t>Incremental Learning from Several Different Microarrays</t>
  </si>
  <si>
    <t>2013 INTERNATIONAL JOINT CONFERENCE ON NEURAL NETWORKS (IJCNN)</t>
  </si>
  <si>
    <t>AUG 04-09, 2013</t>
  </si>
  <si>
    <t>Dallas, TX</t>
  </si>
  <si>
    <t>Int Neural Network Soc,IEEE Computat Intelligence Soc</t>
  </si>
  <si>
    <t>978-1-4673-6129-3; 978-1-4673-6128-6</t>
  </si>
  <si>
    <t>WOS:000349557200073</t>
  </si>
  <si>
    <t>Konyshev, IV; Ivanov, SA; Kopylov, PH; Anisimov, AP; Dentovskaya, SV; Byvalov, AA</t>
  </si>
  <si>
    <t>Konyshev, I., V; Ivanov, S. A.; Kopylov, P. H.; Anisimov, A. P.; Dentovskaya, S., V; Byvalov, A. A.</t>
  </si>
  <si>
    <t>The Role of Yersinia pestis Antigens in Adhesion to J774 Macrophages: Optical Trapping Study</t>
  </si>
  <si>
    <t>Konyshev, Ilya V./A-9370-2019; Byvalov, Andrey A./Y-6825-2018; Anisimov, Andrey P./H-5257-2012; Dentovskaya, Svetlana/F-4623-2017</t>
  </si>
  <si>
    <t>Konyshev, Ilya V./0000-0001-6575-9630; Byvalov, Andrey A./0000-0003-1117-5896; Anisimov, Andrey P./0000-0002-5499-7999; Dentovskaya, Svetlana/0000-0002-1996-8949</t>
  </si>
  <si>
    <t>10.1134/S0003683822040081</t>
  </si>
  <si>
    <t>WOS:000824879100006</t>
  </si>
  <si>
    <t>Nikolskaya, E; Zakharova, E; Avilova, N; Konovalova, A; Dmitrieva, O</t>
  </si>
  <si>
    <t>Nikolskaya, Elena; Zakharova, Elena; Avilova, Natalia; Konovalova, Alla; Dmitrieva, Olga</t>
  </si>
  <si>
    <t>PERFECTING APPROACHES TO PERSONNEL RECRUITMENT IN THE HOSPITALITY INDUSTRY</t>
  </si>
  <si>
    <t>ANAIS BRASILEIROS DE ESTUDOS TURISTICOS-ABET</t>
  </si>
  <si>
    <t>Dmitrieva, Olga/M-9023-2015</t>
  </si>
  <si>
    <t>Dmitrieva, Olga/0000-0001-8328-3971</t>
  </si>
  <si>
    <t>2238-2925</t>
  </si>
  <si>
    <t>JAN-DEC</t>
  </si>
  <si>
    <t>WOS:000934358700002</t>
  </si>
  <si>
    <t>Skugoreva, SG; Trefilova, LV; Domracheva, LI; Kantor, GY; Ashikhmina, TY</t>
  </si>
  <si>
    <t>Skugoreva, S. G.; Trefilova, L., V; Domracheva, L., I; Kantor, G. Ya; Ashikhmina, T. Ya</t>
  </si>
  <si>
    <t>Protection of wood from destruction using antiseptics obtained from industrial waste (review)</t>
  </si>
  <si>
    <t>Trefilova, Ludmila/0000-0002-9932-5803</t>
  </si>
  <si>
    <t>10.25750/1995-4301-2022-4-006-013</t>
  </si>
  <si>
    <t>WOS:000929704700001</t>
  </si>
  <si>
    <t>Terentyeva, IV; Pugacheva, NB; Luchinina, AO; Khalmetov, TA; Safin, NM; Shaydullina, AN</t>
  </si>
  <si>
    <t>Terentyeva, Irina, V; Pugacheva, Natalya B.; Luchinina, Anastasia O.; Khalmetov, Timur A.; Safin, Niyaz M.; Shaydullina, Alsu N.</t>
  </si>
  <si>
    <t>Selection and Structuring of Training Multimedia Educational Materials for University Students: Practical Recommendations</t>
  </si>
  <si>
    <t>INTERNATIONAL JOURNAL OF INSTRUCTION</t>
  </si>
  <si>
    <t>Pugacheva, Natalya NP/B-7953-2017; Luchinina, Anastasia/AAB-8652-2021; Terenteva, Irina/M-1925-2013; Лучинина, Анастасия/AAK-4606-2020</t>
  </si>
  <si>
    <t xml:space="preserve">Pugacheva, Natalya NP/0000-0003-1768-0076; Luchinina, Anastasia/0000-0003-0022-957X; Terenteva, Irina/0000-0002-7072-6822; </t>
  </si>
  <si>
    <t>1694-609X</t>
  </si>
  <si>
    <t>1308-1470</t>
  </si>
  <si>
    <t>10.29333/iji.2019.12346a</t>
  </si>
  <si>
    <t>WOS:000473529000047</t>
  </si>
  <si>
    <t>Tovstik, EV; Sazanov, AV; Bakulina, AV; Shirokikh, IG; Ashikhmina, TY</t>
  </si>
  <si>
    <t>Tovstik, E., V; Sazanov, A., V; Bakulina, A., V; Shirokikh, I. G.; Ashikhmina, T. Ya</t>
  </si>
  <si>
    <t>Identification and study of the properties of Streptomyces geldanamycininus 3K9, isolated from the soil under the bush of Heracleum sosnowskyi</t>
  </si>
  <si>
    <t>Tovstik, Evgeniya/P-1350-2017; Bakulina, Anna/AAH-3534-2019; Shirokikh, Irina G/V-3449-2017; Ashikhmina, Tamara/O-1326-2015</t>
  </si>
  <si>
    <t>Tovstik, Evgeniya/0000-0003-1861-6076; Bakulina, Anna/0000-0002-5171-2476; Shirokikh, Irina G/0000-0002-3319-2729; Ashikhmina, Tamara/0000-0003-4919-0047; Sazanov, Alexander/0000-0002-6934-3330</t>
  </si>
  <si>
    <t>10.25750/1995-4301-2019-2-053-060</t>
  </si>
  <si>
    <t>WOS:000477826000006</t>
  </si>
  <si>
    <t>Popov, SV; Markov, PA; Patova, OA; Vityazev, FV; Bakutova, LA; Borisenkov, MF; Martinson, EA; Ananchenko, BA; Durnev, EA; Burkov, AA; Litvinets, SG; Belyi, VA; Ipatova, EA</t>
  </si>
  <si>
    <t>Popov, Sergey V.; Markov, Pavel A.; Patova, Olga A.; Vityazev, Fedor V.; Bakutova, Larisa A.; Borisenkov, Mikhail F.; Martinson, Ekaterina A.; Ananchenko, Boris A.; Durnev, Eugene A.; Burkov, Andrey A.; Litvinets, Sergey G.; Belyi, Vladimir A.; Ipatova, Elena A.</t>
  </si>
  <si>
    <t>In vitro gastrointestinal-resistant pectin hydrogel particles for -glucuronidase adsorption</t>
  </si>
  <si>
    <t>JOURNAL OF BIOMATERIALS SCIENCE-POLYMER EDITION</t>
  </si>
  <si>
    <t>Burkov, Andrei/N-5302-2016; Patova, Olga A/T-1244-2017; Martinson, Ekaterina/AAL-5413-2020; Ananchenko, Boris/AAM-5831-2020; Belyy, Vladimir/AAD-5402-2019; Popov, Sergey V/F-7627-2016; Popov, Sergey V/F-1751-2014; Burkov, Andrey/ABB-8219-2021; Litvinets, Sergey G./I-8188-2013; Popov, Sergey/AAM-6438-2021; Borisenkov, Mikhail/H-7169-2019; Borisenkov, Mikhail F/O-9862-2015; Markov, Pavel/Q-2677-2016</t>
  </si>
  <si>
    <t>Burkov, Andrei/0000-0002-3627-1262; Patova, Olga A/0000-0001-5236-4867; Ananchenko, Boris/0000-0002-7975-7828; Belyy, Vladimir/0000-0001-5410-9587; Popov, Sergey V/0000-0003-1763-8898; Popov, Sergey V/0000-0002-9050-4493; Litvinets, Sergey G./0000-0001-8583-5274; Popov, Sergey/0000-0003-1763-8898; Borisenkov, Mikhail/0000-0002-4310-2010; Borisenkov, Mikhail F/0000-0002-4310-2010; Markov, Pavel/0000-0002-4803-4803</t>
  </si>
  <si>
    <t>0920-5063</t>
  </si>
  <si>
    <t>1568-5624</t>
  </si>
  <si>
    <t>10.1080/09205063.2016.1268461</t>
  </si>
  <si>
    <t>WOS:000391090000006</t>
  </si>
  <si>
    <t>Shirokikh, IG; Shirokikh, AA; Ashikhmina, TY</t>
  </si>
  <si>
    <t>Shirokikh, I. G.; Shirokikh, A. A.; Ashikhmina, T. Ya.</t>
  </si>
  <si>
    <t>Assessing the Antagonistic Potential and Antibiotic Resistance of Actinomycetes Isolated from Two Zheltozems of Southeastern China</t>
  </si>
  <si>
    <t>Shirokikh, Alexandr/U-8080-2019; Shirokikh, Irina G/V-3449-2017; Ashikhmina, Tamara/O-1326-2015; Shirokikh, Alexandr/X-1684-2018; Shirikikh, Alexandr A.A.S./W-7606-2018</t>
  </si>
  <si>
    <t xml:space="preserve">Shirokikh, Alexandr/0000-0002-7808-0376; Shirokikh, Irina G/0000-0002-3319-2729; Ashikhmina, Tamara/0000-0003-4919-0047; Shirokikh, Alexandr/0000-0002-7808-0376; </t>
  </si>
  <si>
    <t>10.1134/S1064229318050113</t>
  </si>
  <si>
    <t>WOS:000441009400011</t>
  </si>
  <si>
    <t>Ogorodnikova, SY; Pestov, SV; Zinoviev, VV; Sofronov, AP</t>
  </si>
  <si>
    <t>Ogorodnikova, S. Yu.; Pestov, S. V.; Zinoviev, V. V.; Sofronov, A. P.</t>
  </si>
  <si>
    <t>Influence of phytopathogens on the content of plastid pigments and the intensity of lipid peroxidation processes in the leaves of woody plants</t>
  </si>
  <si>
    <t>10.25750/1995-4301-2022-2-084-092</t>
  </si>
  <si>
    <t>WOS:000820802000011</t>
  </si>
  <si>
    <t>Kutyavina, TI; Rutman, VV; Ashikhmina, TY; Savinykh, VP</t>
  </si>
  <si>
    <t>Kutyavina, T., I; Rutman, V. V.; Ashikhmina, T. Ya; Savinykh, V. P.</t>
  </si>
  <si>
    <t>The use of satellite images to determine the boundaries of water bodies and study the processes of eutrophication</t>
  </si>
  <si>
    <t>Ashikhmina, Tamara/O-1326-2015; Kutyavina, Tatyana/T-1440-2017; Kutyavina, Tatyana/AAX-3781-2021; Rutman, Vyacheslav V/C-5357-2019</t>
  </si>
  <si>
    <t>Ashikhmina, Tamara/0000-0003-4919-0047; Kutyavina, Tatyana/0000-0001-7957-0636; Kutyavina, Tatyana/0000-0001-7957-0636; Rutman, Vyacheslav V/0000-0002-9025-3487</t>
  </si>
  <si>
    <t>10.25750/1995-4301-2019-3-028-033</t>
  </si>
  <si>
    <t>WOS:000490704900004</t>
  </si>
  <si>
    <t>Fokina, AI; Ogorodnikova, SY; Domracheva, LI; Lyalina, EI; Gornostaeva, EA; Ashikhmina, TY; Kondakova, LV</t>
  </si>
  <si>
    <t>Fokina, A. I.; Ogorodnikova, S. Yu.; Domracheva, L. I.; Lyalina, E. I.; Gornostaeva, E. A.; Ashikhmina, T. Ya.; Kondakova, L. V.</t>
  </si>
  <si>
    <t>Cyanobacteria as test organisms and biosorbents</t>
  </si>
  <si>
    <t>Горностаева, Елена/HGE-8735-2022; Ashikhmina, Tamara/O-1326-2015</t>
  </si>
  <si>
    <t>Ashikhmina, Tamara/0000-0003-4919-0047; Gornostaeva, Elena/0000-0003-4888-5736</t>
  </si>
  <si>
    <t>10.1134/S106422931611003X</t>
  </si>
  <si>
    <t>WOS:000395058300010</t>
  </si>
  <si>
    <t>Tereshkina, T; Mottaeva, A; Andreeva, L; Larinina, T</t>
  </si>
  <si>
    <t>Tereshkina, Tatiana; Mottaeva, Angela; Andreeva, Larisa; Larinina, Tatyana</t>
  </si>
  <si>
    <t>Social-and-economic mechanism of formation of favorable investment attractiveness of the region</t>
  </si>
  <si>
    <t>10.1088/1755-1315/90/1/012138</t>
  </si>
  <si>
    <t>WOS:000419816700138</t>
  </si>
  <si>
    <t>Skugoreva, SG; Kantor, GY; Domracheva, LI</t>
  </si>
  <si>
    <t>Skugoreva, S. G.; Kantor, G. Ya; Domracheva, L., I</t>
  </si>
  <si>
    <t>Evaluation of the sorption efficiency of lead(II) ions using models of kinetics and sorption isotherm</t>
  </si>
  <si>
    <t>10.25750/1995-4301-2021-3-044-051</t>
  </si>
  <si>
    <t>WOS:000700413300006</t>
  </si>
  <si>
    <t>Karanina, E; Loginov, D; Vlasova, T; Zhangurazov, A; Taskaeva, M</t>
  </si>
  <si>
    <t>Karanina, Elena; Loginov, Dmitry; Vlasova, Tamara; Zhangurazov, Aslan; Taskaeva, Maria</t>
  </si>
  <si>
    <t>Monitoring of foreign experience of development of small and medium business</t>
  </si>
  <si>
    <t>10.1051/matecconf/201710608087</t>
  </si>
  <si>
    <t>WOS:000426426600272</t>
  </si>
  <si>
    <t>Gordeeva, YM</t>
  </si>
  <si>
    <t>Gordeeva, Y. M.</t>
  </si>
  <si>
    <t>Lake Baikal as a natural World Heritage site: recent issues of protection under international law</t>
  </si>
  <si>
    <t>10.25750/1995-4301-2021-4-230-236</t>
  </si>
  <si>
    <t>WOS:000755154100033</t>
  </si>
  <si>
    <t>Azyamov, MA; Shirokikh, AA; Ashikhmina, TY</t>
  </si>
  <si>
    <t>Azyamov, M. A.; Shirokikh, A. A.; Ashikhmina, T. Ya</t>
  </si>
  <si>
    <t>The toxicity comparison of antitumor substances: the mushroom Hericium erinaceus BP 16 polysaccharides, dialderon and melhotrexate</t>
  </si>
  <si>
    <t>Shirikikh, Alexandr A.A.S./W-7606-2018; Ashikhmina, Tamara/O-1326-2015; Shirokikh, Alexandr/X-1684-2018</t>
  </si>
  <si>
    <t>Ashikhmina, Tamara/0000-0003-4919-0047; Aziamov, Mikhail/0000-0001-5718-9463; Shirokikh, Alexandr/0000-0002-7808-0376</t>
  </si>
  <si>
    <t>10.25750/1995-4301-2019-4-142-149</t>
  </si>
  <si>
    <t>WOS:000504049400020</t>
  </si>
  <si>
    <t>Skugoreva, SG; Kantor, GY; Domracheva, LI; Sheshegova, TK</t>
  </si>
  <si>
    <t>Skugoreva, S. G.; Kantor, G. Ya; Domracheva, L., I; Sheshegova, T. K.</t>
  </si>
  <si>
    <t>Assessment of sorption abilities of various species of Fusarium micromycetes in relation to heavy metal ions</t>
  </si>
  <si>
    <t>10.25750/1995-4301-2019-4-103-109</t>
  </si>
  <si>
    <t>WOS:000504049400014</t>
  </si>
  <si>
    <t>Karasenkov, Y; Frolov, G; Pogorelsky, I; Latuta, N; Gusev, A; Kuznetsov, D; Leont'ev, V</t>
  </si>
  <si>
    <t>Refsnes, M; Gusev, A; Godymchuk, A; Bogdan, A</t>
  </si>
  <si>
    <t>Karasenkov, Y.; Frolov, G.; Pogorelsky, I.; Latuta, N.; Gusev, A.; Kuznetsov, D.; Leont'ev, V.</t>
  </si>
  <si>
    <t>Colloidal metal oxide nanoparticle systems: the new promising way to prevent antibiotic resistance during treatment of local infectious processes</t>
  </si>
  <si>
    <t>3RD INTERNATIONAL YOUTH CONFERENCE ON INTERDISCIPLINARY PROBLEMS OF NANOTECHNOLOGY, BIOMEDICINE AND NANOTOXICOLOGY (NANOBIOTECH 2015)</t>
  </si>
  <si>
    <t>3rd International Youth Conference on Interdisciplinary Problems of Nanotechnology, Biomedicine and Nanotoxicology (Nanobiotech)</t>
  </si>
  <si>
    <t>MAY 21-22, 2015</t>
  </si>
  <si>
    <t>Tambov, RUSSIA</t>
  </si>
  <si>
    <t>Tambov Derzhavin State Univ,Norwegian Inst Publ Hlth,Natl Univ Sci &amp; Technol MISiS,Tomsk Polytechn Univ,Tomsk State Univ</t>
  </si>
  <si>
    <t>Gusev, Alexander/AAE-4989-2019; Gusev, Alexander A./E-5028-2014; Latuta, Nadezhda/AAN-3816-2021; Kuznetsov, Denis/H-6256-2013; Straumal, Boris/I-7531-2013</t>
  </si>
  <si>
    <t>Gusev, Alexander A./0000-0002-8699-9112; Kuznetsov, Denis/0000-0003-1021-8217; Latuta, Nadezhda/0000-0002-6754-0314; Straumal, Boris/0000-0001-5601-0660</t>
  </si>
  <si>
    <t>10.1088/1757-899X/98/1/012038</t>
  </si>
  <si>
    <t>WOS:000365043400037</t>
  </si>
  <si>
    <t>Khramchenkova, R; Degryse, P; Sitdikov, A; Kaisin, A</t>
  </si>
  <si>
    <t>Khramchenkova, R.; Degryse, P.; Sitdikov, A.; Kaisin, A.</t>
  </si>
  <si>
    <t>Analytical studies of post-Medieval glass bottle marks from excavations at Kazan Kremlin (Russia)</t>
  </si>
  <si>
    <t>JOURNAL OF ARCHAEOLOGICAL SCIENCE-REPORTS</t>
  </si>
  <si>
    <t>Degryse, Patrick/ABF-5329-2020; Aleksey, Kaisin/AAI-2405-2021; Sitdikov, Ayrat/L-6509-2017; Rezida, Khramchenkova/H-8881-2017</t>
  </si>
  <si>
    <t>Degryse, Patrick/0000-0003-3604-6505; Aleksey, Kaisin/0000-0002-6188-0043; Rezida, Khramchenkova/0000-0001-9598-2024</t>
  </si>
  <si>
    <t>2352-409X</t>
  </si>
  <si>
    <t>10.1016/j.jasrep.2017.01.005</t>
  </si>
  <si>
    <t>WOS:000415616300003</t>
  </si>
  <si>
    <t>Waste management law and policy: global trends and European Union experience</t>
  </si>
  <si>
    <t>Tichá, Barča/AAK-7357-2021</t>
  </si>
  <si>
    <t>Gordeeva, Yelena M./0000-0003-4337-6721</t>
  </si>
  <si>
    <t>10.25750/1995-4301-2020-4-237-241</t>
  </si>
  <si>
    <t>WOS:000597810500036</t>
  </si>
  <si>
    <t>Kutyavina, TI; Kantor, GY; Ashikhmina, TY; Savinykh, VP</t>
  </si>
  <si>
    <t>Kutyavina, T. I.; Kantor, G. Ya.; Ashikhmina, T. Ya.; Savinykh, V. P.</t>
  </si>
  <si>
    <t>Application of methods for processing and analysis of satellite images for the study of eutrophied reservoirs (review)</t>
  </si>
  <si>
    <t>Kutyavina, Tatyana/T-1440-2017; Kutyavina, Tatyana/AAX-3781-2021; Ashikhmina, Tamara/O-1326-2015</t>
  </si>
  <si>
    <t>Kutyavina, Tatyana/0000-0001-7957-0636; Kutyavina, Tatyana/0000-0001-7957-0636; Ashikhmina, Tamara/0000-0003-4919-0047</t>
  </si>
  <si>
    <t>10.25750/1995-4301-2020-2-014-025</t>
  </si>
  <si>
    <t>WOS:000545295600002</t>
  </si>
  <si>
    <t>Shirokikh, IG; Nazarova, YI; Bokov, NA; Ashikhmina, TY</t>
  </si>
  <si>
    <t>Shirokikh, I. G.; Nazarova, Ya, I; Bokov, N. A.; Ashikhmina, T. Ya</t>
  </si>
  <si>
    <t>Comparative characteristics of the growth and cellulase activity of streptomycetes on different substrates</t>
  </si>
  <si>
    <t>Ashikhmina, Tamara/0000-0003-4919-0047; Nazarova, Anina/0000-0002-2945-5282; Mahanova, Elena/0000-0002-6611-8349</t>
  </si>
  <si>
    <t>10.25750/1995-4301-2021-2-122-127</t>
  </si>
  <si>
    <t>WOS:000667025400017</t>
  </si>
  <si>
    <t>Skugoreva, SG; Gornostaeva, EA; Burkov, AA; Kutyavina, TI; Yuzhanin, KI; Domracheva, LI; Ashikhmina, TY</t>
  </si>
  <si>
    <t>Skugoreva, S. G.; Gornostaeva, E. A.; Burkov, A. A.; Kutyavina, T. I.; Yuzhanin, K. I.; Domracheva, L. I.; Ashikhmina, T. Ya.</t>
  </si>
  <si>
    <t>Possibility of disposal of plastic waste using micromycetes Fusarium solani and Trichoderma lignorum</t>
  </si>
  <si>
    <t>Горностаева, Елена/HGE-8735-2022; Kutyavina, Tatyana/T-1440-2017; Ashikhmina, Tamara/O-1326-2015; Skugoreva, Svetlana/O-1406-2015</t>
  </si>
  <si>
    <t>Kutyavina, Tatyana/0000-0001-7957-0636; Ashikhmina, Tamara/0000-0003-4919-0047; Skugoreva, Svetlana/0000-0002-5902-5187; Gornostaeva, Elena/0000-0003-4888-5736; Kirill Igorevic, Uzanin/0000-0002-8359-1920</t>
  </si>
  <si>
    <t>10.25750/1995-4301-2021-4-193-202</t>
  </si>
  <si>
    <t>WOS:000755154100028</t>
  </si>
  <si>
    <t>Cherkasov, VD; Avdonin, VV; Yurkin, YV; Scherbak, YP; Buzoverya, ME; Karpov, IA; Pilshchikov, VO</t>
  </si>
  <si>
    <t>Cherkasov, V. D.; Avdonin, V. V.; Yurkin, Y., V; Scherbak, Y. P.; Buzoverya, M. E.; Karpov, I. A.; Pilshchikov, V. O.</t>
  </si>
  <si>
    <t>RESEARCH OF RADIATION RESISTANCE OF POLYMER COMPOSITE MATERIALS</t>
  </si>
  <si>
    <t>Yurkin, Yuiy/AAD-4331-2021</t>
  </si>
  <si>
    <t>10.18720/MPM.4432020_14</t>
  </si>
  <si>
    <t>WOS:000586664900014</t>
  </si>
  <si>
    <t>Uncertainty and multifunctionality: legal challenges and opportunities for Green Infrastructure</t>
  </si>
  <si>
    <t>10.25750/1995-4301-2020-3-217-223</t>
  </si>
  <si>
    <t>WOS:000580337700032</t>
  </si>
  <si>
    <t>Domracheva, LI; Kovina, AL; Kondakova, LV; Ashikhmina, TY</t>
  </si>
  <si>
    <t>Domracheva, L., I; Kovina, A. L.; Kondakova, L., V; Ashikhmina, T. Ya</t>
  </si>
  <si>
    <t>Cyanobacterial symbioses and their practical use</t>
  </si>
  <si>
    <t>10.25750/1995-4301-2021-3-021-030</t>
  </si>
  <si>
    <t>WOS:000700413300003</t>
  </si>
  <si>
    <t>Adamovich, TA; Kantor, GY; Ashikhmina, TY; Savinykh, VP</t>
  </si>
  <si>
    <t>Adamovich, T. A.; Kantor, G. Ya.; Ashikhmina, T. Ya.; Savinykh, V. P.</t>
  </si>
  <si>
    <t>The analysis of seasonal and long-term dynamics of the vegetative NDVI index in the territory of the State Nature Reserve Nurgush</t>
  </si>
  <si>
    <t>WOS:000468564100002</t>
  </si>
  <si>
    <t>Adamovich, TA; Tovstik, EV; Soloveva, ES; Ashikhmina, TY; Berezin, GI; Prokashev, AM; Savinykh, VP</t>
  </si>
  <si>
    <t>Adamovich, T. A.; Tovstik, E., V; Soloveva, E. S.; Ashikhmina, T. Ya; Berezin, G., I; Prokashev, A. M.; Savinykh, V. P.</t>
  </si>
  <si>
    <t>Assessment of the state of soils in specially protected natural reservations of the Kirov region</t>
  </si>
  <si>
    <t>Ashikhmina, Tamara/O-1326-2015; Tovstik, Evgeniya/P-1350-2017; Adamovich, Tatyana/N-3967-2016; Prokashev, Aleksei/ABE-7729-2020</t>
  </si>
  <si>
    <t>Ashikhmina, Tamara/0000-0003-4919-0047; Tovstik, Evgeniya/0000-0003-1861-6076; Adamovich, Tatyana/0000-0002-8684-927X; Soloveva, Evgeniia/0000-0001-9222-7752; Berezin, Grigorii/0000-0002-0603-0652</t>
  </si>
  <si>
    <t>10.25750/1995-4301-2018-4-046-052</t>
  </si>
  <si>
    <t>WOS:000468565300006</t>
  </si>
  <si>
    <t>Shirokikh, IG; Nazarova, YI; Shirokikh, AA; Ashikhmina, TY</t>
  </si>
  <si>
    <t>Shirokikh, I. G.; Nazarova, Ya. I.; Shirokikh, A. A.; Ashikhmina, T. Ya.</t>
  </si>
  <si>
    <t>Communities of actinomycetes in brown soils of forest ecosystems with different climate</t>
  </si>
  <si>
    <t>Nazarova, Yanina/AAH-5190-2019; Shirokikh, Irina G/V-3449-2017; Shirokikh, Alexandr/U-8080-2019; Ashikhmina, Tamara/O-1326-2015; Shirikikh, Alexandr A.A.S./W-7606-2018</t>
  </si>
  <si>
    <t xml:space="preserve">Nazarova, Yanina/0000-0002-2945-5282; Shirokikh, Irina G/0000-0002-3319-2729; Shirokikh, Alexandr/0000-0002-7808-0376; Ashikhmina, Tamara/0000-0003-4919-0047; </t>
  </si>
  <si>
    <t>WOS:000468564100009</t>
  </si>
  <si>
    <t>Syrchina, NV; Pilip, LV; Ashikhmina, TY</t>
  </si>
  <si>
    <t>Syrchina, N. V.; Pilip, L. V.; Ashikhmina, T. Ya.</t>
  </si>
  <si>
    <t>Control of odor pollution of atmospheric air (review)</t>
  </si>
  <si>
    <t>10.25750/1995-4301-2022-2-026-034</t>
  </si>
  <si>
    <t>WOS:000820802000003</t>
  </si>
  <si>
    <t>Burtseva, T; Mironova, N; Kubrak, I</t>
  </si>
  <si>
    <t>Burtseva, Tatyana; Mironova, Nataliya; Kubrak, Irina</t>
  </si>
  <si>
    <t>Assessment of efficiency of innovative technologies in tourism</t>
  </si>
  <si>
    <t>10.1051/e3sconf/202021012005</t>
  </si>
  <si>
    <t>WOS:000659867301048</t>
  </si>
  <si>
    <t>Domracheva, LI; Skugoreva, SG; Kovina, AL; Korotkikh, AI; Starikov, PA; Ashikhmina, TY</t>
  </si>
  <si>
    <t>Domracheva, L. I.; Skugoreva, S. G.; Kovina, A. L.; Korotkikh, A. I.; Starikov, P. A.; Ashikhmina, T. Ya.</t>
  </si>
  <si>
    <t>Specificity of plant-microbial complexes under anthropogenic soil pollution (review)</t>
  </si>
  <si>
    <t>Skugoreva, Svetlana/0000-0002-5902-5187; Starikov, Pavel/0000-0002-3205-6696</t>
  </si>
  <si>
    <t>10.25750/1995-4301-2022-3-014-025</t>
  </si>
  <si>
    <t>WOS:000885393200002</t>
  </si>
  <si>
    <t>Dabakh, EV; Kislitsina, AP; Domnina, EA</t>
  </si>
  <si>
    <t>Dabakh, E., V; Kislitsina, A. P.; Domnina, E. A.</t>
  </si>
  <si>
    <t>Comparative study of the content of trace elements in the system soil - plants of meadow biocenoses</t>
  </si>
  <si>
    <t>10.25750/1995-4301-2021-1-139-146</t>
  </si>
  <si>
    <t>WOS:000632219100019</t>
  </si>
  <si>
    <t>Ganebnykh, E; Burtseva, T; Mironova, N; Feoktistova, O</t>
  </si>
  <si>
    <t>Ganebnykh, Elena; Burtseva, Tatyana; Mironova, Nataliya; Feoktistova, Oksana</t>
  </si>
  <si>
    <t>Quality assessment of urban environment</t>
  </si>
  <si>
    <t>Ganebnykh, Elena/I-2839-2017</t>
  </si>
  <si>
    <t>Ganebnykh, Elena/0000-0003-0669-8318; Burtseva, Tatyana/0000-0001-9088-1208</t>
  </si>
  <si>
    <t>10.1051/e3sconf/201911001077</t>
  </si>
  <si>
    <t>WOS:000569050000077</t>
  </si>
  <si>
    <t>Shirokikh, IG; Solov'eva, ES; Ashikhmina, TY</t>
  </si>
  <si>
    <t>Shirokikh, I. G.; Solov'eva, E. S.; Ashikhmina, T. Ya.</t>
  </si>
  <si>
    <t>Actinomycete complexes in soils of industrial and residential zones in the city of Kirov</t>
  </si>
  <si>
    <t>Shirokikh, Irina G/V-3449-2017; Ashikhmina, Tamara/O-1326-2015; Soloveva, Evgeniia/I-3870-2018</t>
  </si>
  <si>
    <t>Shirokikh, Irina G/0000-0002-3319-2729; Ashikhmina, Tamara/0000-0003-4919-0047; Soloveva, Evgeniia/0000-0001-9222-7752</t>
  </si>
  <si>
    <t>10.1134/S1064229313100062</t>
  </si>
  <si>
    <t>WOS:000331650800006</t>
  </si>
  <si>
    <t>Isaenkova, OV; Vorontsova, IV; Kondratenko, ZK; Plotnikov, DA; Ustsov, DK</t>
  </si>
  <si>
    <t>Isaenkova, Oksana, V; Vorontsova, Irina V.; Kondratenko, Zarina K.; Plotnikov, Dmitry A.; Ustsov, Danil K.</t>
  </si>
  <si>
    <t>Development of the principles of civil and administrative proceedings in the Russian civil procedure</t>
  </si>
  <si>
    <t>10.31166/VoprosyIstorii202112Statyi117</t>
  </si>
  <si>
    <t>WOS:000757089800024</t>
  </si>
  <si>
    <t>Shirokikh, IG; Nazarova, YI; Shirokikh, AA; Tovstik, EV; Ashikhmina, TY</t>
  </si>
  <si>
    <t>Shirokikh, I. G.; Nazarova, Y., I; Shirokikh, A. A.; Tovstik, E., V; Ashikhmina, T. Ya</t>
  </si>
  <si>
    <t>Screening of streptomycetes-cellulolytics for processing crop production waste</t>
  </si>
  <si>
    <t>Tovstik, Evgeniya/P-1350-2017; Ashikhmina, Tamara/O-1326-2015; Shirokikh, Irina G/V-3449-2017; Shirokikh, Alexandr/X-1684-2018</t>
  </si>
  <si>
    <t>Tovstik, Evgeniya/0000-0003-1861-6076; Ashikhmina, Tamara/0000-0003-4919-0047; Shirokikh, Irina G/0000-0002-3319-2729; Shirokikh, Alexandr/0000-0002-7808-0376; Nazarova, Anina/0000-0002-2945-5282</t>
  </si>
  <si>
    <t>10.25750/1995-4301-2020-4-162-168</t>
  </si>
  <si>
    <t>WOS:000597810500025</t>
  </si>
  <si>
    <t>Gordina, EN; Kuznetsov, SP; Golovchenko, VV; Zlobin, AA</t>
  </si>
  <si>
    <t>Gordina, E. N.; Kuznetsov, S. P.; Golovchenko, V. V.; Zlobin, A. A.</t>
  </si>
  <si>
    <t>Preliminary Structural Characteristic of Polysaccharides Extracted From the Callus Tissue of Sosnowskyi's Hogweed (Heracleum Sosnowskyi Manden) Stem by Aqueous Ammonium Oxalate</t>
  </si>
  <si>
    <t>Martinson, Ekaterina/AAL-5413-2020</t>
  </si>
  <si>
    <t>10.1134/S1068162019060165</t>
  </si>
  <si>
    <t>WOS:000520225900008</t>
  </si>
  <si>
    <t>Terentyev, YN; Syrchina, NV; Bogatyryova, NN; Ashikhmina, TY; Sazanov, AV; Sazanova, ML; Pugach, VN; Kozvonin, VA; Burkov, AA</t>
  </si>
  <si>
    <t>Terentyev, Yu N.; Syrchina, N., V; Bogatyryova, N. N.; Ashikhmina, T. Ya; Sazanov, A., V; Sazanova, M. L.; Pugach, V. N.; Kozvonin, V. A.; Burkov, A. A.</t>
  </si>
  <si>
    <t>The use of glauconite for stabilization and improvement of ammonium nitrate agrochemical properties</t>
  </si>
  <si>
    <t>Sazanov, Alexander/T-7711-2019; Ashikhmina, Tamara/O-1326-2015; Sazanova, Maria/AAS-9191-2021; Burkov, Andrei/N-5302-2016; Burkov, Andrey/ABB-8219-2021; Syrchina, Nadezhda/ABF-2311-2020; Pugach, Valentin/V-8991-2018; Sazanova, Maria/I-4211-2016</t>
  </si>
  <si>
    <t>Ashikhmina, Tamara/0000-0003-4919-0047; Sazanova, Maria/0000-0003-3492-8395; Burkov, Andrei/0000-0002-3627-1262; Syrchina, Nadezhda/0000-0001-8049-6760; Pugach, Valentin/0000-0003-1220-4062; Sazanova, Maria/0000-0003-3492-8395</t>
  </si>
  <si>
    <t>10.25750/1995-4301-2018-4-061-067</t>
  </si>
  <si>
    <t>WOS:000468565300008</t>
  </si>
  <si>
    <t>Dudina, LG; Novikova, OD; Portnyagina, OY; Khomenko, VA; Konyshev, IV; Byvalov, AA</t>
  </si>
  <si>
    <t>Dudina, L. G.; Novikova, O. D.; Portnyagina, O. Yu; Khomenko, V. A.; Konyshev, I., V; Byvalov, A. A.</t>
  </si>
  <si>
    <t>Role of Lipopolysaccharide and Nonspecific Porins of Yersinia pseudotuberculosis in the Reception of Pseudotuberculous Diagnostic Bacteriophage</t>
  </si>
  <si>
    <t>Byvalov, Andrey A./Y-6825-2018; Portnyagina, Olga Yu./B-5921-2014; Konyshev, Ilya V./A-9370-2019; Novikova, Olga/B-5922-2014</t>
  </si>
  <si>
    <t>Byvalov, Andrey A./0000-0003-1117-5896; Portnyagina, Olga Yu./0000-0003-0260-9322; Konyshev, Ilya V./0000-0001-6575-9630; Novikova, Olga/0000-0003-0371-2559</t>
  </si>
  <si>
    <t>10.1134/S0003683821040049</t>
  </si>
  <si>
    <t>WOS:000678055500003</t>
  </si>
  <si>
    <t>Gordeeva, YM; Pugach, VN</t>
  </si>
  <si>
    <t>Gordeeva, Y. M.; Pugach, V. N.</t>
  </si>
  <si>
    <t>The Paris Agreement and Climate neutrality: the role for Agriculture, forestry and other land use sector</t>
  </si>
  <si>
    <t>Pugach, Valentin/V-8991-2018</t>
  </si>
  <si>
    <t>Pugach, Valentin/0000-0003-1220-4062; Gordeeva, Yelena M./0000-0003-4337-6721</t>
  </si>
  <si>
    <t>10.25750/1995-4301-2021-3-219-227</t>
  </si>
  <si>
    <t>WOS:000700413300031</t>
  </si>
  <si>
    <t>Biosynthetic Potential of Actinomycetes in Brown Forest Soil on the Eastern Coast of the Aegean Sea</t>
  </si>
  <si>
    <t>Shirokikh, Alexandr/U-8080-2019; Shirikikh, Alexandr A.A.S./W-7606-2018; Shirokikh, Alexandr/X-1684-2018; Shirokikh, Irina G/V-3449-2017</t>
  </si>
  <si>
    <t>Shirokikh, Alexandr/0000-0002-7808-0376; Shirokikh, Alexandr/0000-0002-7808-0376; Shirokikh, Irina G/0000-0002-3319-2729</t>
  </si>
  <si>
    <t>10.1134/S1064229317110114</t>
  </si>
  <si>
    <t>WOS:000414360100007</t>
  </si>
  <si>
    <t>Fokina, AI; Skugoreva, SG; Trefilova, LV; Darovskikh, LV</t>
  </si>
  <si>
    <t>Fokina, A. I.; Skugoreva, S. G.; Trefilova, L. V.; Darovskikh, L. V.</t>
  </si>
  <si>
    <t>Determination of oxidative stress indicators in Melissa officinalis under the action of micromycete Fusarium culmorum and its antagonists</t>
  </si>
  <si>
    <t>; Skugoreva, Svetlana/O-1406-2015</t>
  </si>
  <si>
    <t>Trefilova, Ludmila/0000-0002-9932-5803; Skugoreva, Svetlana/0000-0002-5902-5187</t>
  </si>
  <si>
    <t>10.25750/1995-4301-2022-2-077-083</t>
  </si>
  <si>
    <t>WOS:000820802000010</t>
  </si>
  <si>
    <t>Kondakova, LV; Dabakh, EV; Kislitsina, AP</t>
  </si>
  <si>
    <t>Kondakova, L., V; Dabakh, E., V; Kislitsina, A. P.</t>
  </si>
  <si>
    <t>Floodplain meadow phototrophic organisms' succession on the technogenic territory</t>
  </si>
  <si>
    <t>10.25750/1995-4301-2019-4-061-068</t>
  </si>
  <si>
    <t>WOS:000504049400008</t>
  </si>
  <si>
    <t>Byvalov, AA; Dudina, LG; Litvinets, SG; Novikova, OD; Khomenko, VA; Portnyagina, OY; Ovodov, YS</t>
  </si>
  <si>
    <t>Byvalov, A. A.; Dudina, L. G.; Litvinets, S. G.; Novikova, O. D.; Khomenko, V. A.; Portnyagina, O. Yu.; Ovodov, Yu. S.</t>
  </si>
  <si>
    <t>Study of Yersinia pseudotuberculosis surface antigen epitopes using monoclonal antibodies</t>
  </si>
  <si>
    <t>Dudina, Liubov G./C-7171-2017; Byvalov, Andrey A./Y-6825-2018; Novikova, Olga/B-5922-2014; Litvinets, Sergey G./I-8188-2013; Portnyagina, Olga Yu./B-5921-2014</t>
  </si>
  <si>
    <t>Dudina, Liubov G./0000-0002-2172-9015; Byvalov, Andrey A./0000-0003-1117-5896; Novikova, Olga/0000-0003-0371-2559; Litvinets, Sergey G./0000-0001-8583-5274; Portnyagina, Olga Yu./0000-0003-0260-9322</t>
  </si>
  <si>
    <t>10.1134/S0003683814020070</t>
  </si>
  <si>
    <t>WOS:000332737500013</t>
  </si>
  <si>
    <t>Redikultseva, EN; Stakhova, LV; Feoktistov, SV; Panova, NA; Tretyak, EB</t>
  </si>
  <si>
    <t>Redikultseva, Elena N.; Stakhova, Liudmila, V; Feoktistov, Sergei, V; Panova, Nataliia A.; Tretyak, Elena B.</t>
  </si>
  <si>
    <t>ECONOMIC AND LEGAL ASPECTS OF DEVELOPING GREEN TOURISM</t>
  </si>
  <si>
    <t>INTERNATIONAL JOURNAL OF ECOSYSTEMS AND ECOLOGY SCIENCE-IJEES</t>
  </si>
  <si>
    <t>Редикульцева, Елена/GSX-0043-2022; Tretyak, Elena/ABE-2905-2020</t>
  </si>
  <si>
    <t>Tretyak, Elena/0000-0003-4383-4630</t>
  </si>
  <si>
    <t>2224-4980</t>
  </si>
  <si>
    <t>FEB-APR</t>
  </si>
  <si>
    <t>10.31407/ijees12.240</t>
  </si>
  <si>
    <t>WOS:000798578400040</t>
  </si>
  <si>
    <t>Gorev, PM; Masalimova, AR; Mukhametzyanova, FS; Makarova, EV</t>
  </si>
  <si>
    <t>Gorev, Pavel M.; Masalimova, Alfiya R.; Mukhametzyanova, Farida Sh.; Makarova, Elena V.</t>
  </si>
  <si>
    <t>Developing Creativity of Schoolchildren through the Course Developmental Mathematics</t>
  </si>
  <si>
    <t>Makarova, Elena/AAC-4785-2020; Masalimova, Alfiya/K-3840-2015</t>
  </si>
  <si>
    <t>10.12973/eurasia.2017.00698a</t>
  </si>
  <si>
    <t>WOS:000404604700015</t>
  </si>
  <si>
    <t>Domracheva, LI; Skugoreva, SG; Korotkikh, AI; Zabubenina, YS; Trefilova, LV; Kovina, AL; Domnina, EA; Timonov, AS</t>
  </si>
  <si>
    <t>Domracheva, L., I; Skugoreva, S. G.; Korotkikh, A., I; Zabubenina, Yu S.; Trefilova, L., V; Kovina, A. L.; Domnina, E. A.; Timonov, A. S.</t>
  </si>
  <si>
    <t>Growth and development of Lupine angustifolia L. in the presence of lichen biota</t>
  </si>
  <si>
    <t>Mal, Nastya/AAU-7935-2021; Ashikhmina, Tamara/O-1326-2015; Трефилова, Людмила/AAU-7613-2021; Kovina, Alevtina/AAU-6178-2021; Skugoreva, Svetlana/O-1406-2015</t>
  </si>
  <si>
    <t>Ashikhmina, Tamara/0000-0003-4919-0047; Трефилова, Людмила/0000-0002-9932-5803; Kovina, Alevtina/0000-0003-0503-3402; Skugoreva, Svetlana/0000-0002-5902-5187; Korotkih, Anastasia/0000-0002-0700-371X</t>
  </si>
  <si>
    <t>10.25750/1995-4301-2021-2-183-188</t>
  </si>
  <si>
    <t>WOS:000667025400026</t>
  </si>
  <si>
    <t>Fokina, AI; Ogorodnikova, SY; Veselova, EV; Trefilova, LV</t>
  </si>
  <si>
    <t>Fokina, A., I; Ogorodnikova, S. Yu; Veselova, E. V.; Trefilova, L., V</t>
  </si>
  <si>
    <t>Tetrasol-topographic method for determining toxicity of aqueous solutions: conditions and approaches to realization</t>
  </si>
  <si>
    <t>10.25750/1995-4301-2021-3-052-059</t>
  </si>
  <si>
    <t>WOS:000700413300007</t>
  </si>
  <si>
    <t>Gurova, E; Larinina, T; Zakorin, N; Andreeva, L; Manukhina, L</t>
  </si>
  <si>
    <t>Gurova, Ekaterina; Larinina, Tatyana; Zakorin, Nikita; Andreeva, Larisa; Manukhina, Lyubov</t>
  </si>
  <si>
    <t>Program-target methods of management small business</t>
  </si>
  <si>
    <t>10.1051/matecconf/201710608085</t>
  </si>
  <si>
    <t>WOS:000426426600270</t>
  </si>
  <si>
    <t>Shirokikh, I. G.; Solov'eva, E. S.; Ashikhmina, T. Ya</t>
  </si>
  <si>
    <t>Actinomycetes in garden soils of the city of Kirov</t>
  </si>
  <si>
    <t>10.1134/S106422931305013X</t>
  </si>
  <si>
    <t>WOS:000319159900011</t>
  </si>
  <si>
    <t>Sozinova, AA; Litvinova, TN; Ostrovskaya, VN; Vorontsova, GV</t>
  </si>
  <si>
    <t>Sozinova, Anastasia A.; Litvinova, Tatyana N.; Ostrovskaya, Victoria N.; Vorontsova, Galina V.</t>
  </si>
  <si>
    <t>Perspective Directions of Corporate Social Responsibility of Energy Companies of EnergyTech for Sustainable and Environmental Development of Energy Economy</t>
  </si>
  <si>
    <t>Litvinova, Tatyana/ABT-4169-2022</t>
  </si>
  <si>
    <t>Litvinova, Tatyana/0000-0003-3101-2621; Ostrovskaya, Victoria/0000-0001-6148-1037</t>
  </si>
  <si>
    <t>MAY 31</t>
  </si>
  <si>
    <t>10.3389/fenrg.2022.908489</t>
  </si>
  <si>
    <t>WOS:000811266700001</t>
  </si>
  <si>
    <t>Kochanova, ES; Fefilova, EB; Sukhikh, NM; Velegzhaninov, IO; Shadrin, DM; Pylina, YI; Alekseev, VR</t>
  </si>
  <si>
    <t>Kochanova, E. S.; Fefilova, E. B.; Sukhikh, N. M.; Velegzhaninov, I. O.; Shadrin, D. M.; Pylina, Ya. I.; Alekseev, V. R.</t>
  </si>
  <si>
    <t>Morphological and Molecular-Genetic Polymorphism of Canthocamptus staphylinus Jurine (Harpacticoida, Copepoda, Crustacea)</t>
  </si>
  <si>
    <t>Fefilova, Elena B/Q-1518-2015; Sukhikh, Natalia M/H-7429-2017; Pylina, Yana I/P-9565-2015; Velegzhaninov, Ilya O./P-9554-2015; Alekseev, Victor/X-7437-2019; Shadrin, Dmitry M/P-9808-2015; ANIKUZHIYIL, ANISH/Y-8609-2018; alekseev, victor r/C-7086-2014</t>
  </si>
  <si>
    <t>Pylina, Yana I/0000-0003-4981-8930; Velegzhaninov, Ilya O./0000-0002-4715-4053; Alekseev, Victor/0000-0002-1968-2609; Shadrin, Dmitry M/0000-0003-4365-0145; ANIKUZHIYIL, ANISH/0000-0001-9686-1283; alekseev, victor r/0000-0002-1968-2609</t>
  </si>
  <si>
    <t>10.1134/S1995082918020086</t>
  </si>
  <si>
    <t>WOS:000434910800001</t>
  </si>
  <si>
    <t>Gyunter, EA; Melekhin, AK; Popov, SV; Durnev, EA; Martinson, EA; Litvinets, SG; Konovalova, MA; Varlamov, VP</t>
  </si>
  <si>
    <t>Gyunter, E. A.; Melekhin, A. K.; Popov, S. V.; Durnev, E. A.; Martinson, E. A.; Litvinets, S. G.; Konovalova, M. A.; Varlamov, V. P.</t>
  </si>
  <si>
    <t>Adhesive Properties of Pectin-Chitosan Composite Gels</t>
  </si>
  <si>
    <t>CHEMISTRY OF NATURAL COMPOUNDS</t>
  </si>
  <si>
    <t>Gunter, Elena/C-4345-2018; A.K, Melekhin/AAH-2990-2019; Popov, Sergey V/F-7627-2016; Litvinets, Sergey G./I-8188-2013; Varlamov, Valery/I-3899-2018; Martinson, Ekaterina/AAL-5413-2020; Konovalova, Mariya V./F-2886-2017</t>
  </si>
  <si>
    <t>Gunter, Elena/0000-0002-2915-6928; A.K, Melekhin/0000-0002-7574-7323; Popov, Sergey V/0000-0003-1763-8898; Litvinets, Sergey G./0000-0001-8583-5274; Konovalova, Mariya V./0000-0003-3923-6304</t>
  </si>
  <si>
    <t>0009-3130</t>
  </si>
  <si>
    <t>1573-8388</t>
  </si>
  <si>
    <t>10.1007/s10600-017-2133-x</t>
  </si>
  <si>
    <t>WOS:000412513600003</t>
  </si>
  <si>
    <t>Patova, OA; Golovchenko, VV; Vityazev, FV; Burkov, AA; Belyi, VA; Kuznetsov, SN; Litvinets, SG; Martinson, EA</t>
  </si>
  <si>
    <t>Patova, Olga A.; Golovchenko, Victoria V.; Vityazev, Fedor V.; Burkov, Andrey A.; Belyi, Vladimir A.; Kuznetsov, Sergey N.; Litvinets, Sergey G.; Martinson, Ekaterina A.</t>
  </si>
  <si>
    <t>Physicochemical and rheological properties of gelling pectin from Sosnowskyi's hogweed (Heracleum sosnowskyi) obtained using different pretreatment conditions</t>
  </si>
  <si>
    <t>FOOD HYDROCOLLOIDS</t>
  </si>
  <si>
    <t>Litvinets, Sergey G./I-8188-2013; Patova, Olga A/T-1244-2017; Burkov, Andrey/ABB-8219-2021; Martinson, Ekaterina/AAL-5413-2020; Golovchenko, Viktoria/Q-2227-2016; Belyy, Vladimir/AAD-5402-2019; Burkov, Andrei/N-5302-2016</t>
  </si>
  <si>
    <t>Litvinets, Sergey G./0000-0001-8583-5274; Patova, Olga A/0000-0001-5236-4867; Golovchenko, Viktoria/0000-0002-4837-9609; Belyy, Vladimir/0000-0001-5410-9587; Burkov, Andrei/0000-0002-3627-1262</t>
  </si>
  <si>
    <t>0268-005X</t>
  </si>
  <si>
    <t>1873-7137</t>
  </si>
  <si>
    <t>10.1016/j.foodhyd.2016.10.042</t>
  </si>
  <si>
    <t>WOS:000392771400009</t>
  </si>
  <si>
    <t>Savinyh, P; Aleshkin, A; Nechaev, V; Ivanovs, S</t>
  </si>
  <si>
    <t>Savinyh, Peter; Aleshkin, Alexey; Nechaev, Vladimir; Ivanovs, Semjons</t>
  </si>
  <si>
    <t>SIMULATION OF PARTICLE MOVEMENT IN CRUSHING CHAMBER OF ROTARY GRAIN CRUSHER</t>
  </si>
  <si>
    <t>Aleshkin, Aleksey/ABA-6228-2020; Ivanovs, Semjons/AAD-7303-2022</t>
  </si>
  <si>
    <t>Aleshkin, Aleksey/0000-0002-6949-1480; Ivanovs, Semjons/0000-0002-9072-1340; Necaev, Vladimir/0000-0002-7566-6013</t>
  </si>
  <si>
    <t>10.22616/ERDev2017.16.N061</t>
  </si>
  <si>
    <t>WOS:000416378300045</t>
  </si>
  <si>
    <t>Lozhkina, RA; Olkova, AS; Koval, EV; Tomilina, II; Sysolyatina, MA</t>
  </si>
  <si>
    <t>Lozhkina, Rosa A.; Olkova, Anna S.; Koval, Ekaterina, V; Tomilina, Irina I.; Sysolyatina, Maria A.</t>
  </si>
  <si>
    <t>Comparison of Sensitivity of Autotrophic and Heterotrophic Microorganisms to the Pollution of Natural Water with Rare Earth Elements (Lanthanum and Cerium)</t>
  </si>
  <si>
    <t>Koval, Ekaterina Viktorovna/0000-0003-3179-1557; Sysolyatina, Maria/0000-0002-7671-3993; Lozhkina, Roza/0000-0003-3087-0691</t>
  </si>
  <si>
    <t>10.12911/22998993/146330</t>
  </si>
  <si>
    <t>WOS:000778019200006</t>
  </si>
  <si>
    <t>Gorodilova, SA; Sheshukova, NN; Guterman, LA; Safonova, NM; Sharafutdinova, ZG; Gluzman, IV</t>
  </si>
  <si>
    <t>Gorodilova, S. A.; Sheshukova, N. N.; Guterman, L. A.; Safonova, N. M.; Sharafutdinova, Z. G.; Gluzman, Iu, V</t>
  </si>
  <si>
    <t>CORRECTION OF DISORDER OF THE COHERENT SPEECH OF PRESCHOOL CHILDREN WITH THE ERASED FORM OF DYSARTHRIA</t>
  </si>
  <si>
    <t>INDO AMERICAN JOURNAL OF PHARMACEUTICAL SCIENCES</t>
  </si>
  <si>
    <t>Городилова, Светлана/ISA-3334-2023; Sheshukova, Natalia/U-7880-2018; Boginskaia, Iuliia/X-5565-2019; Guterman, Larisa/AAH-4614-2020</t>
  </si>
  <si>
    <t>Городилова, Светлана/0000-0002-6101-5965; Sheshukova, Natalia/0000-0002-3048-681X; Boginskaia, Iuliia/0000-0002-6808-6993; Guterman, Larisa/0000-0001-6294-4910</t>
  </si>
  <si>
    <t>2349-7750</t>
  </si>
  <si>
    <t>10.5281/zenodo.3262155</t>
  </si>
  <si>
    <t>WOS:000475623100021</t>
  </si>
  <si>
    <t>Ostrovskiy, VI; Troyanskaya, MA; Shustova, SV; Shchinova, RA</t>
  </si>
  <si>
    <t>Popkova, EG; Sukhova, VE; Rogachev, AF; Tyurina, YG; Boris, OA; Parakhina, VN</t>
  </si>
  <si>
    <t>Ostrovskiy, Vladislav I.; Troyanskaya, Maria A.; Shustova, Svetlana V.; Shchinova, Raisa A.</t>
  </si>
  <si>
    <t>Marketing Aspects of Cluster Management in Retailing Sector</t>
  </si>
  <si>
    <t>INTEGRATION AND CLUSTERING FOR SUSTAINABLE ECONOMIC GROWTH</t>
  </si>
  <si>
    <t>International Scientific and Practical Conference on Role of Integration and Clustering in Provision of Sustainable Economic Growth</t>
  </si>
  <si>
    <t>MAR 17-19, 2016</t>
  </si>
  <si>
    <t>Volgograd, RUSSIA</t>
  </si>
  <si>
    <t>Volgograd State Tech Univ,Volgograd State Univ,Marka Marketing Agcy,Prostor Tour Tourist Agcy</t>
  </si>
  <si>
    <t>Troyanskaya, Marija/AAP-2184-2021; Ostrovskiy, Vladislav/AAP-7608-2021; Shustova, Svetlana/AAD-8871-2019; Troyanskaya, Marija Aleksandrovna/F-1395-2015</t>
  </si>
  <si>
    <t>Ostrovskiy, Vladislav/0000-0001-8142-2798; Shustova, Svetlana/0000-0002-8318-7864; Troyanskaya, Marija Aleksandrovna/0000-0003-4545-3786</t>
  </si>
  <si>
    <t>978-3-319-45462-7; 978-3-319-45461-0</t>
  </si>
  <si>
    <t>10.1007/978-3-319-45462-7_9</t>
  </si>
  <si>
    <t>WOS:000406973000009</t>
  </si>
  <si>
    <t>Byvalov, AA; Dudina, LG; Ivanov, SA; Kopylov, PK; Svetoch, TE; Konyshev, IV; Morozova, NA; Anisimov, AP; Dentovskaya, SV</t>
  </si>
  <si>
    <t>Byvalov, A. A.; Dudina, L. G.; Ivanov, S. A.; Kopylov, P. Kh.; Svetoch, T. E.; Konyshev, I. V.; Morozova, N. A.; Anisimov, A. P.; Dentovskaya, S. V.</t>
  </si>
  <si>
    <t>Yersinia pestis Surface Antigens in Reception of Specific Bacteriophages</t>
  </si>
  <si>
    <t>2023 JAN 4</t>
  </si>
  <si>
    <t>10.1007/s10517-023-05681-w</t>
  </si>
  <si>
    <t>WOS:000907792500002</t>
  </si>
  <si>
    <t>Marczuk, A; Sysuev, V; Aleshkin, A; Savinykh, P; Turubanov, N; Tomporowski, A</t>
  </si>
  <si>
    <t>Marczuk, Andrzej; Sysuev, Vasily; Aleshkin, Alexey; Savinykh, Petr; Turubanov, Nikolay; Tomporowski, Andrzej</t>
  </si>
  <si>
    <t>Theoretical Studies of the Interaction between Screw Surface and Material in the Mixer</t>
  </si>
  <si>
    <t>MATERIALS</t>
  </si>
  <si>
    <t>Marczuk, Andrzej/AGM-5836-2022</t>
  </si>
  <si>
    <t>Tomporowski, Andrzej/0000-0002-9860-8748</t>
  </si>
  <si>
    <t>1996-1944</t>
  </si>
  <si>
    <t>10.3390/ma14040962</t>
  </si>
  <si>
    <t>WOS:000624114300001</t>
  </si>
  <si>
    <t>Vityazev, FV; Fedyuneva, MI; Golovchenko, VV; Patova, OA; Ipatova, EU; Durnev, EA; Martinson, EA; Litvinets, SG</t>
  </si>
  <si>
    <t>Vityazev, Fedor V.; Fedyuneva, Maiia I.; Golovchenko, Victoria V.; Patova, Olga A.; Ipatova, Elena U.; Durnev, Eugene A.; Martinson, Ekaterina A.; Litvinets, Sergey G.</t>
  </si>
  <si>
    <t>Pectin-silica gels as matrices for controlled drug release in gastrointestinal tract</t>
  </si>
  <si>
    <t>Litvinets, Sergey G./I-8188-2013; Patova, Olga A/T-1244-2017; Martinson, Ekaterina/AAL-5413-2020; Golovchenko, Viktoria/Q-2227-2016</t>
  </si>
  <si>
    <t>Litvinets, Sergey G./0000-0001-8583-5274; Patova, Olga A/0000-0001-5236-4867; Golovchenko, Viktoria/0000-0002-4837-9609</t>
  </si>
  <si>
    <t>FEB 10</t>
  </si>
  <si>
    <t>10.1016/j.carbpol.2016.09.048</t>
  </si>
  <si>
    <t>WOS:000391896800002</t>
  </si>
  <si>
    <t>Shirokikh, IG; Ashikhmina, TY; Shirokikh, AA</t>
  </si>
  <si>
    <t>Shirokikh, I. G.; Ashikhmina, T. Ya.; Shirokikh, A. A.</t>
  </si>
  <si>
    <t>Specificity of Actinomycetal Complexes in Urbanozems of the City of Kirov</t>
  </si>
  <si>
    <t>Shirokikh, Irina G/V-3449-2017; Shirokikh, Alexandr/U-8080-2019; Ashikhmina, Tamara/O-1326-2015; Shirikikh, Alexandr A.A.S./W-7606-2018; Shirokikh, Alexandr/X-1684-2018</t>
  </si>
  <si>
    <t>Shirokikh, Irina G/0000-0002-3319-2729; Shirokikh, Alexandr/0000-0002-7808-0376; Ashikhmina, Tamara/0000-0003-4919-0047; Shirokikh, Alexandr/0000-0002-7808-0376</t>
  </si>
  <si>
    <t>10.1134/S1064229311020116</t>
  </si>
  <si>
    <t>WOS:000288681100008</t>
  </si>
  <si>
    <t>WOS:001006884500003</t>
  </si>
  <si>
    <t>Chemical land degradation under the influence of animal husbandry waste</t>
  </si>
  <si>
    <t>10.25750/1995-4301-2022-3-219-225</t>
  </si>
  <si>
    <t>WOS:000885393200028</t>
  </si>
  <si>
    <t>Berdinskikh, VA; Veremev, VI</t>
  </si>
  <si>
    <t>Berdinskikh, V. A.; Veremev, V. I.</t>
  </si>
  <si>
    <t>About reforming the penal system in Russia</t>
  </si>
  <si>
    <t>10.31166/VoprosyIstorii202008Statyi17</t>
  </si>
  <si>
    <t>WOS:000657723600002</t>
  </si>
  <si>
    <t>Konovalova, MV; Markov, PA; Durnev, EA; Kurek, DV; Popov, SV; Varlamov, VP</t>
  </si>
  <si>
    <t>Konovalova, Mariya V.; Markov, Pavel A.; Durnev, Eugene A.; Kurek, Denis V.; Popov, Sergey V.; Varlamov, Valery P.</t>
  </si>
  <si>
    <t>Preparation and biocompatibility evaluation of pectin and chitosan cryogels for biomedical application</t>
  </si>
  <si>
    <t>Popov, Sergey/AAM-6438-2021; Popov, Sergey V/F-7627-2016; Varlamov, Valery/I-3899-2018; Konovalova, Mariya V./F-2886-2017; Martinson, Ekaterina/AAL-5413-2020; Markov, Pavel/Q-2677-2016</t>
  </si>
  <si>
    <t>Popov, Sergey/0000-0003-1763-8898; Popov, Sergey V/0000-0003-1763-8898; Konovalova, Mariya V./0000-0003-3923-6304; Markov, Pavel/0000-0002-4803-4803</t>
  </si>
  <si>
    <t>10.1002/jbm.a.35936</t>
  </si>
  <si>
    <t>WOS:000392506300020</t>
  </si>
  <si>
    <t>Shirokikh, IG; Solovyeva, ES; Ashihmina, TJ</t>
  </si>
  <si>
    <t>Shirokikh, I. G.; Solovyeva, E. S.; Ashihmina, T. J.</t>
  </si>
  <si>
    <t>Functional and structural features of streptomycete complexes isolated from soils with varying degrees of heavy-metal contamination</t>
  </si>
  <si>
    <t>Shirokikh, Irina G/V-3449-2017; Soloveva, Evgeniia/I-3870-2018; Ashikhmina, Tamara/O-1326-2015</t>
  </si>
  <si>
    <t>Shirokikh, Irina G/0000-0002-3319-2729; Soloveva, Evgeniia/0000-0001-9222-7752; Ashikhmina, Tamara/0000-0003-4919-0047</t>
  </si>
  <si>
    <t>10.1134/S1995425515010138</t>
  </si>
  <si>
    <t>WOS:000349913100015</t>
  </si>
  <si>
    <t>Syrchina, NV; Pilip, LV; Ashikhmina, TY; Kantor, GY</t>
  </si>
  <si>
    <t>Syrchina, N. V.; Pilip, L. V.; Ashikhmina, T. Ya.; Kantor, G. Ya.</t>
  </si>
  <si>
    <t>Effect of Glauconite-Containing Wastes Obtained during Phosphorite Enrichment on Lead Mobility in Soils</t>
  </si>
  <si>
    <t>10.1134/S1062359022100387</t>
  </si>
  <si>
    <t>WOS:000937072100037</t>
  </si>
  <si>
    <t>Mitiagina, EV; Konyshev, EV; Chernyshev, KA; Saifulin, ER</t>
  </si>
  <si>
    <t>Mitiagina, Ekaterina, V; Konyshev, Evgeny, V; Chernyshev, Konstantin A.; Saifulin, Eduard R.</t>
  </si>
  <si>
    <t>A Study of University Graduates' Migration in Regions with High Migration Outflow: A Digital Footprint Analysis</t>
  </si>
  <si>
    <t>Konyshev, Evgeny/GSE-5440-2022</t>
  </si>
  <si>
    <t>Konyshev, Evgeny/0000-0002-7774-1670</t>
  </si>
  <si>
    <t>10.17223/15617793/467/18</t>
  </si>
  <si>
    <t>WOS:000708456300018</t>
  </si>
  <si>
    <t>Kovrova, AI; Gorelov, VP; Kuzmin, AV; Tropin, ES; Osinkin, DA</t>
  </si>
  <si>
    <t>Kovrova, A. I.; Gorelov, V. P.; Kuzmin, A. V.; Tropin, E. S.; Osinkin, D. A.</t>
  </si>
  <si>
    <t>Influence of Ce0.8R0.2O2-a (R = Y, Sm, Tb) submicron barrier layers at the La2NiO4+delta/YSZ boundary on the electrochemical performance of a cathode</t>
  </si>
  <si>
    <t>JOURNAL OF SOLID STATE ELECTROCHEMISTRY</t>
  </si>
  <si>
    <t>Kuzmin, Anton/O-4057-2014; Osinkin, Denis/D-8913-2017</t>
  </si>
  <si>
    <t>Kuzmin, Anton/0000-0002-0700-662X; Osinkin, Denis/0000-0001-6396-8551; Tropin, Evgeniy/0000-0003-4180-6054</t>
  </si>
  <si>
    <t>1432-8488</t>
  </si>
  <si>
    <t>1433-0768</t>
  </si>
  <si>
    <t>10.1007/s10008-021-04942-w</t>
  </si>
  <si>
    <t>WOS:000640149200002</t>
  </si>
  <si>
    <t>Terentyev, YN; Syrchina, NV; Ashikhmina, TY; Kantor, GY</t>
  </si>
  <si>
    <t>Terentyev, Yu N.; Syrchina, N., V; Ashikhmina, T. Ya; Kantor, G. Ya</t>
  </si>
  <si>
    <t>Natural sulfur fertilizer with activated peat and glauconitic efel</t>
  </si>
  <si>
    <t>10.25750/1995-4301-2019-3-134-141</t>
  </si>
  <si>
    <t>WOS:000490704900019</t>
  </si>
  <si>
    <t>Shirokikh, AA; Zlobina, YA; Shirokikh, IG</t>
  </si>
  <si>
    <t>Shirokikh, A. A.; Zlobina, Yu A.; Shirokikh, I. G.</t>
  </si>
  <si>
    <t>Biodegradation of vegetable waste and obtaining fruit bodies in cultivation of Hericium erinaceus</t>
  </si>
  <si>
    <t>Shirokikh, Alexandr/U-8080-2019; Shirikikh, Alexandr A.A.S./W-7606-2018; Zlobina, Yulia/U-4840-2019; Shirokikh, Irina G/V-3449-2017</t>
  </si>
  <si>
    <t>Shirokikh, Alexandr/0000-0002-7808-0376; Zlobina, Yulia/0000-0002-0949-1403; Shirokikh, Irina G/0000-0002-3319-2729</t>
  </si>
  <si>
    <t>10.25750/1995-4301-2018-3-086-092</t>
  </si>
  <si>
    <t>WOS:000468564900012</t>
  </si>
  <si>
    <t>Merzaevaa, OV; Shirokikh, IG</t>
  </si>
  <si>
    <t>Colonization of plant rhizosphere by actinomycetes of different genera</t>
  </si>
  <si>
    <t>10.1134/S0026261706020184</t>
  </si>
  <si>
    <t>WOS:000236688100018</t>
  </si>
  <si>
    <t>Matytsin, DE; Petrenko, YS; Saveleva, NK</t>
  </si>
  <si>
    <t>Matytsin, Denis E.; Petrenko, Yelena S.; Saveleva, Nadezhda K.</t>
  </si>
  <si>
    <t>Corporate Social Responsibility in Terms of Sustainable Development: Financial Risk Management Implications</t>
  </si>
  <si>
    <t>Petrenko, Elena/0000-0001-6892-2392; Savel'eva, Nadezda/0000-0002-9497-6172</t>
  </si>
  <si>
    <t>10.3390/risks10110206</t>
  </si>
  <si>
    <t>WOS:000881404100001</t>
  </si>
  <si>
    <t>Il'ina, EA; Druzhinin, KV; Lyalin, ED; Plekhanov, MS; Talankin, II; Antonov, BD; Pankratov, AA</t>
  </si>
  <si>
    <t>Il'ina, E. A.; Druzhinin, K., V; Lyalin, E. D.; Plekhanov, M. S.; Talankin, I. I.; Antonov, B. D.; Pankratov, A. A.</t>
  </si>
  <si>
    <t>Li-In alloy: preparation, properties, wettability of solid electrolytes based on Li7La3Zr2O12</t>
  </si>
  <si>
    <t>JOURNAL OF MATERIALS SCIENCE</t>
  </si>
  <si>
    <t>Druzhinin, Konstantin/C-5344-2016; Il'ina, Evgeniya/G-7773-2016; Лялин, Ефим/AAC-8600-2022; Plekhanov, Maksim/X-2719-2018</t>
  </si>
  <si>
    <t>Druzhinin, Konstantin/0000-0002-8947-8208; Il'ina, Evgeniya/0000-0003-1759-5234; Plekhanov, Maksim/0000-0002-2701-4619</t>
  </si>
  <si>
    <t>0022-2461</t>
  </si>
  <si>
    <t>1573-4803</t>
  </si>
  <si>
    <t>10.1007/s10853-021-06645-z</t>
  </si>
  <si>
    <t>WOS:000737865000017</t>
  </si>
  <si>
    <t>Buzoverya, ME; Scherbak, YP; Cherkasov, VD; Yurkin, YV; Avdonin, VV; Suntsov, DL; Pilshchikov, VO</t>
  </si>
  <si>
    <t>Buzoverya, M. E.; Scherbak, Yu P.; Cherkasov, V. D.; Yurkin, Yu, V; Avdonin, V. V.; Suntsov, D. L.; Pilshchikov, V. O.</t>
  </si>
  <si>
    <t>RESULTS OF THE SURFACE MORPHOLOGY STUDY OF ELASTIC SELF-ADHESIVE RADIATION SHIELDING COATINGS BY ATOMIC FORCE MICROSCOPY</t>
  </si>
  <si>
    <t>10.18149/MPM.4712021_11</t>
  </si>
  <si>
    <t>WOS:000731323500002</t>
  </si>
  <si>
    <t>Biocoenosis formation on technogenic wastes</t>
  </si>
  <si>
    <t>10.25750/1995-4301-2020-4-129-135</t>
  </si>
  <si>
    <t>WOS:000597810500020</t>
  </si>
  <si>
    <t>Fokina, AI; Skugoreva, SG; Domracheva, LI; Kovina, AL</t>
  </si>
  <si>
    <t>Fokina, A., I; Skugoreva, S. G.; Domracheva, L., I; Kovina, A. L.</t>
  </si>
  <si>
    <t>Antagonistic and sorption activity of mono-, binary, and three-species biofilms of soil cyanobacteria</t>
  </si>
  <si>
    <t>Kovina, Alevtina/AAU-6178-2021; Skugoreva, Svetlana/O-1406-2015</t>
  </si>
  <si>
    <t>Kovina, Alevtina/0000-0003-0503-3402; Skugoreva, Svetlana/0000-0002-5902-5187</t>
  </si>
  <si>
    <t>10.25750/1995-4301-2020-3-119-125</t>
  </si>
  <si>
    <t>WOS:000580337700018</t>
  </si>
  <si>
    <t>Stein, Y; Zonova, N; Kubrak, I; Andreeva, L</t>
  </si>
  <si>
    <t>Stein, Yelena; Zonova, Nadezhda; Kubrak, Irina; Andreeva, Larisa</t>
  </si>
  <si>
    <t>Development and improvement of methods of diagnostics of heating systems in modern conditions</t>
  </si>
  <si>
    <t>Zonova, Nadezhda/N-7272-2018</t>
  </si>
  <si>
    <t>Zonova, Nadezhda/0000-0002-2369-1364</t>
  </si>
  <si>
    <t>10.1088/1755-1315/90/012139</t>
  </si>
  <si>
    <t>WOS:000419816700139</t>
  </si>
  <si>
    <t>Sozinova, AA; Litvinova, TN; Kurilova, A; Morozova, IA</t>
  </si>
  <si>
    <t>Sozinova, Anastasia A.; Litvinova, Tatiana N.; Kurilova, Anastasia; Morozova, Irina A.</t>
  </si>
  <si>
    <t>Fight against climate change and sustainable development based on ecological economy and management in the AI era</t>
  </si>
  <si>
    <t>FRONTIERS IN ENVIRONMENTAL SCIENCE</t>
  </si>
  <si>
    <t>2296-665X</t>
  </si>
  <si>
    <t>DEC 2</t>
  </si>
  <si>
    <t>10.3389/fenvs.2022.1091149</t>
  </si>
  <si>
    <t>WOS:000898146000001</t>
  </si>
  <si>
    <t>Domracheva, LI; Skugoreva, SG; Fokina, AI; Zagoskin, MA; Ashikhmina, TY</t>
  </si>
  <si>
    <t>Domracheva, Lyudmila, I; Skugoreva, Svetlana G.; Fokina, Anna, I; Zagoskin, Maksim A.; Ashikhmina, Tamara Ya</t>
  </si>
  <si>
    <t>The participation of cyanobacteria in reducing the concentration of fusariotoxins and heavy metal ions in aqueous solutions (model experiments)</t>
  </si>
  <si>
    <t>SOUTH OF RUSSIA-ECOLOGY DEVELOPMENT</t>
  </si>
  <si>
    <t>Ashikhmina, Tamara/O-1326-2015; Skugoreva, Svetlana/O-1406-2015</t>
  </si>
  <si>
    <t>Ashikhmina, Tamara/0000-0003-4919-0047; Zagoskin, Maksim/0000-0002-9130-8232; Skugoreva, Svetlana/0000-0002-5902-5187</t>
  </si>
  <si>
    <t>1992-1098</t>
  </si>
  <si>
    <t>2413-0958</t>
  </si>
  <si>
    <t>10.18470/1992-1098-2021-1-53-60</t>
  </si>
  <si>
    <t>WOS:000640618100006</t>
  </si>
  <si>
    <t>Kovalenko, VL; Kotok, VA; Malyshev, VV</t>
  </si>
  <si>
    <t>Kovalenko, V. L.; Kotok, V. A.; Malyshev, V. V.</t>
  </si>
  <si>
    <t>Electrochemical obtaining of nickel hydroxide from nickel plating waste water for application in the alkali secondary cells</t>
  </si>
  <si>
    <t>10.25750/1995-4301-2019-2-108-112</t>
  </si>
  <si>
    <t>WOS:000477826000013</t>
  </si>
  <si>
    <t>Marinin, EA; Chirkov, AM; Gavrilov, GN; Fetisov, GP; Chernyshov, DA; Kurganova, YA</t>
  </si>
  <si>
    <t>Marinin, E. A.; Chirkov, A. M.; Gavrilov, G. N.; Fetisov, G. P.; Chernyshov, D. A.; Kurganova, Yu. A.</t>
  </si>
  <si>
    <t>Experimental Evaluation of the Methods of Laser Cementation of Low-Alloy Tool Steels</t>
  </si>
  <si>
    <t>Marinin, Evgeny/0000-0003-0676-9438; Gavrilov, Gennadiy/0000-0002-8306-2965; Kurganova, Yuliya/0000-0001-8345-2202</t>
  </si>
  <si>
    <t>10.1134/S0036029518130153</t>
  </si>
  <si>
    <t>WOS:000460563800016</t>
  </si>
  <si>
    <t>Cherkasov, KV; Piptyuk, AV</t>
  </si>
  <si>
    <t>Cherkasov, Konstantin, V; Piptyuk, Anna, V</t>
  </si>
  <si>
    <t>Public-private partnership in the field of transport: Main mechanisms and prospects for improving legal regulation</t>
  </si>
  <si>
    <t>10.17223/15617793/476/31</t>
  </si>
  <si>
    <t>WOS:000868947100031</t>
  </si>
  <si>
    <t>Pilip, LV; Syrchina, NV; Kozvonin, VA; Kolevatykh, EP; Ashikhmina, TY; Sazanov, AV</t>
  </si>
  <si>
    <t>Pilip, L. V.; Syrchina, N. V.; Kozvonin, V. A.; Kolevatykh, E. P.; Ashikhmina, T. Ya.; Sazanov, A. V.</t>
  </si>
  <si>
    <t>Biological contamination of arable land with pig waste</t>
  </si>
  <si>
    <t>Syrchina, Nadezhda/0000-0001-8049-6760; Kozvonin, Valeriy/0000-0002-2447-6949; Sazanov, Alexander/0000-0002-6934-3330</t>
  </si>
  <si>
    <t>10.25750/1995-4301-2022-3-199-205</t>
  </si>
  <si>
    <t>WOS:000885393200025</t>
  </si>
  <si>
    <t>Soboleva, EV; Suvorova, TN; Bocharov, MI; Bocharova, TI</t>
  </si>
  <si>
    <t>Soboleva, Elena V.; Suvorova, Tatyana N.; Bocharov, Mikhail I.; Bocharova, Tatyana I.</t>
  </si>
  <si>
    <t>Development of the Personalized Model of Teaching Mathematics by Means of Interactive Short Stories to Improve the Quality of Educational Results of Schoolchildren</t>
  </si>
  <si>
    <t>10.13187/ejced.2022.1.241</t>
  </si>
  <si>
    <t>WOS:000835713500001</t>
  </si>
  <si>
    <t>Dziuba, M; Koziaeva, V; Grouzdev, D; Burganskaya, E; Baslerov, R; Kolganova, T; Chernyadyev, A; Osipov, G; Andrianova, E; Gorlenko, V; Kuznetsov, B</t>
  </si>
  <si>
    <t>Dziuba, Marina; Koziaeva, Veronika; Grouzdev, Denis; Burganskaya, Ekaterina; Baslerov, Roman; Kolganova, Tatjana; Chernyadyev, Alexander; Osipov, Georgy; Andrianova, Ekaterina; Gorlenko, Vladimir; Kuznetsov, Boris</t>
  </si>
  <si>
    <t>Magnetospirillum caucaseum sp nov., Magnetospirillum marisnigri sp nov and Magnetospirillum moscoviense sp nov., freshwater magnetotactic bacteria isolated from three distinct geographical locations in European Russia</t>
  </si>
  <si>
    <t>INTERNATIONAL JOURNAL OF SYSTEMATIC AND EVOLUTIONARY MICROBIOLOGY</t>
  </si>
  <si>
    <t>Grouzdev, Denis S/K-2114-2018; Andrianova, Ekaterina/AAZ-1524-2020; Koziaeva, Veronika/K-2206-2018; Дзюба, Марина/K-4159-2014; Grouzdev, Denis/N-7650-2019; Baslerov, Roman V./K-2173-2018</t>
  </si>
  <si>
    <t>Grouzdev, Denis S/0000-0002-1358-5146; Koziaeva, Veronika/0000-0002-6000-8886; Дзюба, Марина/0000-0002-0873-213X; Grouzdev, Denis/0000-0002-1358-5146; Andrianova, Ekaterina/0000-0003-3719-0293</t>
  </si>
  <si>
    <t>1466-5026</t>
  </si>
  <si>
    <t>1466-5034</t>
  </si>
  <si>
    <t>10.1099/ijsem.0.000994</t>
  </si>
  <si>
    <t>WOS:000375837100026</t>
  </si>
  <si>
    <t>Kondakova, LV; Domracheva, LI; Ashikhmina, TY; Simakova, VS</t>
  </si>
  <si>
    <t>Kondakova, L., V; Domracheva, L., I; Ashikhmina, T. Ya; Simakova, V. S.</t>
  </si>
  <si>
    <t>Biomonitoring capabilities of microorganisms when assessing the degree of toxicity of synthetic surfactants</t>
  </si>
  <si>
    <t>10.25750/1995-4301-2018-4-093-098</t>
  </si>
  <si>
    <t>WOS:000468565300012</t>
  </si>
  <si>
    <t>Kolevatykh, EP; Pilip, LV; Syrchina, NV; Kozvonin, VA; Ashikhmina, TY</t>
  </si>
  <si>
    <t>Kolevatykh, E. P.; Pilip, L., V; Syrchina, N., V; Kozvonin, V. A.; Ashikhmina, T. Ya</t>
  </si>
  <si>
    <t>Transformation of the microbiota of animal husbandry waste under the influence of chemical reagents to eliminate odor</t>
  </si>
  <si>
    <t>10.25750/1995-4301-2022-4-159-165</t>
  </si>
  <si>
    <t>WOS:000929704700022</t>
  </si>
  <si>
    <t>Skugoreva, SG; Kutyavina, TI; Ogorodnikova, SY; Kondakova, LV; Simakova, VS; Blinova, AL; Zykova, YN; Domracheva, LI; Ashikhmina, TY</t>
  </si>
  <si>
    <t>Skugoreva, S. G.; Kutyavina, T., I; Ogorodnikova, S. Yu; Kondakova, L., V; Simakova, V. S.; Blinova, A. L.; Zykova, Yu N.; Domracheva, L., I; Ashikhmina, T. Ya</t>
  </si>
  <si>
    <t>Integrated approach to environmental assessment of urban soil</t>
  </si>
  <si>
    <t>Kutyavina, Tatyana/T-1440-2017; Ashikhmina, Tamara/O-1326-2015; Зыкова, Юлия/AAU-7751-2021; Kutyavina, Tatyana/AAX-3781-2021; Skugoreva, Svetlana/O-1406-2015</t>
  </si>
  <si>
    <t>Kutyavina, Tatyana/0000-0001-7957-0636; Ashikhmina, Tamara/0000-0003-4919-0047; Kutyavina, Tatyana/0000-0001-7957-0636; Skugoreva, Svetlana/0000-0002-5902-5187</t>
  </si>
  <si>
    <t>10.25750/1995-4301-2019-3-057-065</t>
  </si>
  <si>
    <t>WOS:000490704900008</t>
  </si>
  <si>
    <t>Dabakh, EV; Kondakova, LV; Domracheva, LI; Zlobin, SS</t>
  </si>
  <si>
    <t>Dabakh, E. V.; Kondakova, L. V.; Domracheva, L. I.; Zlobin, S. S.</t>
  </si>
  <si>
    <t>Algological and Mycological Assessments of the Soil State in the Impact Zone of the Kirovo-Chepetsk Chemical Plant</t>
  </si>
  <si>
    <t>10.1134/S1064229313020026</t>
  </si>
  <si>
    <t>WOS:000316826200008</t>
  </si>
  <si>
    <t>Burmistr, MV; Boiko, VS; Lipko, EO; Gerasimenko, KO; Gomza, YP; Vesnin, RL; Chernyayev, AV; Ananchenko, BA; Kovalenko, VL</t>
  </si>
  <si>
    <t>Burmistr, M. V.; Boiko, V. S.; Lipko, E. O.; Gerasimenko, K. O.; Gomza, Yu P.; Vesnin, R. L.; Chernyayev, A. V.; Ananchenko, B. A.; Kovalenko, V. L.</t>
  </si>
  <si>
    <t>Antifriction and Construction Materials Based on Modified Phenol-Formaldehyde Resins Reinforced with Mineral and Synthetic Fibrous Fillers</t>
  </si>
  <si>
    <t>Kovalenko, Vadym/C-5386-2019; Vesnin, Roman/T-7719-2019; Ananchenko, Boris/AAM-5831-2020</t>
  </si>
  <si>
    <t>Kovalenko, Vadym/0000-0002-8012-6732; Vesnin, Roman/0000-0002-8359-7871; Ananchenko, Boris/0000-0002-7975-7828</t>
  </si>
  <si>
    <t>10.1007/s11029-014-9408-0</t>
  </si>
  <si>
    <t>WOS:000336390500009</t>
  </si>
  <si>
    <t>Aydin, S; Kosarenko, NN; Khlusyanov, OV; Malakhovskaya, VV; Kameneva, GN</t>
  </si>
  <si>
    <t>Aydin, Semih; Kosarenko, Nikolay N.; Khlusyanov, Oleg V.; Malakhovskaya, Vera V.; Kameneva, Galina N.</t>
  </si>
  <si>
    <t>University students' memories of their secondary science education experiences</t>
  </si>
  <si>
    <t>FRONTIERS IN EDUCATION</t>
  </si>
  <si>
    <t>2504-284X</t>
  </si>
  <si>
    <t>NOV 3</t>
  </si>
  <si>
    <t>10.3389/feduc.2022.1016919</t>
  </si>
  <si>
    <t>WOS:000890601600001</t>
  </si>
  <si>
    <t>Domracheva, LI; Fokina, AI; Skugoreva, SG; Ashikhmina, TY</t>
  </si>
  <si>
    <t>Domracheva, L., I; Fokina, A., I; Skugoreva, S. G.; Ashikhmina, T. Ya</t>
  </si>
  <si>
    <t>Two sides of soil fungi of the genus Fusarium and their metabolites: danger to biota and the possibility of use in biotechnology (review)</t>
  </si>
  <si>
    <t>Ashikhmina, Tamara/0000-0003-4919-0047; Skugoreva, Svetlana/0000-0002-5902-5187</t>
  </si>
  <si>
    <t>10.25750/1995-4301-2021-1-006-015</t>
  </si>
  <si>
    <t>WOS:000632219100001</t>
  </si>
  <si>
    <t>Kondakova, LV; Domracheva, LI; Kondakova, IA</t>
  </si>
  <si>
    <t>Kondakova, L., V; Domracheva, L., I; Kondakova, I. A.</t>
  </si>
  <si>
    <t>Specific character of soil blooming in agricultural and urbanized territories</t>
  </si>
  <si>
    <t>10.25750/1995-4301-2018-3-078-085</t>
  </si>
  <si>
    <t>WOS:000468564900011</t>
  </si>
  <si>
    <t>Soboleva, Elena, V; Suvorova, Tatiana N.; Bocharov, Mikhail, I; Bocharova, Tatyana, I</t>
  </si>
  <si>
    <t>Didactic Possibilities of Mobile Applications to Form Intercultural Competence of Students</t>
  </si>
  <si>
    <t>10.13187/ejced.2022.2.526</t>
  </si>
  <si>
    <t>WOS:000823569900017</t>
  </si>
  <si>
    <t>Kovalenko, VL; Kotok, VA; Sykchin, AA; Mudryi, IA; Ananchenko, BA; Burkov, AA; Sololvov, VA; Deabate, S; Mehdi, A; Bantignies, JL; Henn, F</t>
  </si>
  <si>
    <t>Kovalenko, V. L.; Kotok, V. A.; Sykchin, A. A.; Mudryi, I. A.; Ananchenko, B. A.; Burkov, A. A.; Sololvov, V. A.; Deabate, S.; Mehdi, A.; Bantignies, J. -L.; Henn, F.</t>
  </si>
  <si>
    <t>Nickel hydroxide obtained by high-temperature two-step synthesis as an effective material for supercapacitor applications</t>
  </si>
  <si>
    <t>Burkov, Andrei/N-5302-2016; DEABATE, STEFANO/I-9796-2019; Burkov, Andrey/ABB-8219-2021; Kotok, Valerii/P-2977-2016; Kovalenko, Vadym/C-5386-2019; Ananchenko, Boris/AAM-5831-2020; Deabate, Stefano/I-1774-2012</t>
  </si>
  <si>
    <t>Burkov, Andrei/0000-0002-3627-1262; Kotok, Valerii/0000-0001-8879-7189; Kovalenko, Vadym/0000-0002-8012-6732; Ananchenko, Boris/0000-0002-7975-7828; Deabate, Stefano/0000-0003-0003-0288</t>
  </si>
  <si>
    <t>10.1007/s10008-016-3405-2</t>
  </si>
  <si>
    <t>WOS:000394379600007</t>
  </si>
  <si>
    <t>Konyshev, I; Byvalov, A; Ananchenko, B; Fakhrullin, R; Danilushkina, A; Dudina, L</t>
  </si>
  <si>
    <t>Konyshev, Ilya; Byvalov, Andrey; Ananchenko, Boris; Fakhrullin, Rawil; Danilushkina, Anna; Dudina, Lyubov</t>
  </si>
  <si>
    <t>Force interactions between Yersiniae lipopolysaccharides and monoclonal antibodies: An optical tweezers study</t>
  </si>
  <si>
    <t>JOURNAL OF BIOMECHANICS</t>
  </si>
  <si>
    <t>Konyshev, Ilya V./A-9370-2019; Fakhrullin, Rawil/E-7629-2012; Данилушкина, Анна А/M-2067-2016; Ananchenko, Boris/AAM-5831-2020; Byvalov, Andrey A./Y-6825-2018; Dudina, Liubov G./C-7171-2017</t>
  </si>
  <si>
    <t>Konyshev, Ilya V./0000-0001-6575-9630; Fakhrullin, Rawil/0000-0003-2015-7649; Данилушкина, Анна А/0000-0003-2417-3750; Ananchenko, Boris/0000-0002-7975-7828; Byvalov, Andrey A./0000-0003-1117-5896; Dudina, Liubov G./0000-0002-2172-9015</t>
  </si>
  <si>
    <t>0021-9290</t>
  </si>
  <si>
    <t>1873-2380</t>
  </si>
  <si>
    <t>JAN 23</t>
  </si>
  <si>
    <t>10.1016/j.jbiomech.2019.109504</t>
  </si>
  <si>
    <t>WOS:000513294600016</t>
  </si>
  <si>
    <t>Osipov, AY; Guralev, VM; Nagovitsyn, RS; Kapustin, AG; Kovyazina, GV</t>
  </si>
  <si>
    <t>Osipov, A. Yu.; Guralev, V. M.; Nagovitsyn, R. S.; Kapustin, A. G.; Kovyazina, G. V.</t>
  </si>
  <si>
    <t>JUSTIFICATION OF USING CROSSFIT TRAINING IN JUDO</t>
  </si>
  <si>
    <t>, Roman/N-2363-2016; Kovyazina, Galina/U-7579-2018; Kapustin, Aleksandr/G-4595-2019; Osipov, Aleksander Yurievich/P-2690-2019</t>
  </si>
  <si>
    <t>, Roman/0000-0003-4471-0875; Kovyazina, Galina/0000-0003-2319-746X; Kapustin, Aleksandr/0000-0001-8655-4060; Osipov, Aleksander Yurievich/0000-0002-2277-4467; Guralev, Vladimir/0000-0002-1270-6540</t>
  </si>
  <si>
    <t>10.14529/hsm20s114</t>
  </si>
  <si>
    <t>WOS:000581820600014</t>
  </si>
  <si>
    <t>Kotok, VA; Malyshev, VV; Solovov, VA; Kovalenko, VL</t>
  </si>
  <si>
    <t>Kotok, V. A.; Malyshev, V. V.; Solovov, V. A.; Kovalenko, V. L.</t>
  </si>
  <si>
    <t>Soft Electrochemical Etching of FTO-Coated Glass for Use in Ni(OH)(2)-Based Electrochromic Devices</t>
  </si>
  <si>
    <t>ECS JOURNAL OF SOLID STATE SCIENCE AND TECHNOLOGY</t>
  </si>
  <si>
    <t>Kovalenko, Vadym/0000-0002-8012-6732; Kotok, Valerii/0000-0001-8879-7189; Malyshev, Valerii/0000-0001-6236-1053</t>
  </si>
  <si>
    <t>2162-8769</t>
  </si>
  <si>
    <t>2162-8777</t>
  </si>
  <si>
    <t>P772</t>
  </si>
  <si>
    <t>P777</t>
  </si>
  <si>
    <t>10.1149/2.0071712jss</t>
  </si>
  <si>
    <t>WOS:000419175500012</t>
  </si>
  <si>
    <t>Shirokikh, IG; Nasarova, YI; Shirokikh, AA; Ogorodnikova, SY; Tovstik, EV; Baranova, EN</t>
  </si>
  <si>
    <t>Shirokikh, I. G.; Nasarova, Ya. I.; Shirokikh, A. A.; Ogorodnikova, S. Yu.; Tovstik, E. V.; Baranova, E. N.</t>
  </si>
  <si>
    <t>Impact of the genetically engineered enhancement of the antioxidant protection of tobacco on the streptomycete complex in the rhizosphere of transformant plants</t>
  </si>
  <si>
    <t>Shirikikh, Alexandr A.A.S./W-7606-2018; Tovstik, Evgeniya/P-1350-2017; Baranova, Ekaterina N/T-5461-2017; Shirokikh, Irina G/V-3449-2017; Shirokikh, Alexandr/U-8080-2019; Shirokikh, Alexandr/X-1684-2018</t>
  </si>
  <si>
    <t>Tovstik, Evgeniya/0000-0003-1861-6076; Shirokikh, Irina G/0000-0002-3319-2729; Shirokikh, Alexandr/0000-0002-7808-0376; Shirokikh, Alexandr/0000-0002-7808-0376; Baranova, Ekaterina/0000-0001-8169-9228</t>
  </si>
  <si>
    <t>10.1134/S1995425515060189</t>
  </si>
  <si>
    <t>WOS:000366640300016</t>
  </si>
  <si>
    <t>Potekhina, E; Putrik, Y; Barsukov, S; Smirnova, A; Tretyak, E</t>
  </si>
  <si>
    <t>Potekhina, Elena; Putrik, Yurii; Barsukov, Sergey; Smirnova, Anastasiya; Tretyak, Elena</t>
  </si>
  <si>
    <t>IMPROVEMENT OF THE REGULATION OF TOURISM ACTIVITIES IN MODERN CONDITIONS</t>
  </si>
  <si>
    <t>Tretyak, Elena/ABE-2905-2020; Potekhina, Elena/AAK-1401-2021</t>
  </si>
  <si>
    <t xml:space="preserve">Tretyak, Elena/0000-0003-4383-4630; </t>
  </si>
  <si>
    <t>WOS:000934358700003</t>
  </si>
  <si>
    <t>Soboleva, Elena, V; Suvorova, Tatiana N.; Bocharov, Mikhail I.; Bocharova, Tatyana I.</t>
  </si>
  <si>
    <t>Features of Using Flash Cards as a Means for Developing Students' Verbal Creativity</t>
  </si>
  <si>
    <t>10.13187/ejced.2022.3.898</t>
  </si>
  <si>
    <t>WOS:000862890700018</t>
  </si>
  <si>
    <t>Nikitin, OV; Nasyrova, EI; Kuzmin, RS; Minnegulova, LM; Latypova, VZ; Ashikhmina, TY</t>
  </si>
  <si>
    <t>Nikitin, O., V; Nasyrova, E., I; Kuzmin, R. S.; Minnegulova, L. M.; Latypova, V. Z.; Ashikhmina, T. Ya</t>
  </si>
  <si>
    <t>Effects of polystyrene microplastic particles on the morphological and functional parameters of Daphnia magna</t>
  </si>
  <si>
    <t>Nikitin, Oleg/L-9783-2013</t>
  </si>
  <si>
    <t>Nikitin, Oleg/0000-0002-6753-0597; Minnegulova, Layla/0000-0001-5992-5532</t>
  </si>
  <si>
    <t>10.25750/1995-4301-2022-4-196-203</t>
  </si>
  <si>
    <t>WOS:000929704700027</t>
  </si>
  <si>
    <t>Shirokikh, IG; Nasarova, YI; Raldugina, GN; Gulevich, AA; Baranova, EN</t>
  </si>
  <si>
    <t>Shirokikh, I. G.; Nasarova, Ya. I.; Raldugina, G. N.; Gulevich, A. A.; Baranova, E. N.</t>
  </si>
  <si>
    <t>Analysis of Actinobiota in the Tobacco Rhizosphere with a Heterologous Choline Oxidase Gene from Arthrobacter globiformis</t>
  </si>
  <si>
    <t>10.1134/S1062359022010137</t>
  </si>
  <si>
    <t>WOS:000901195000017</t>
  </si>
  <si>
    <t>Ibragimov, ID; Korenko, YM; Matvienko, VV; Khrisanova, EG; Kazakov, AV; Zabaznova, NM; Kagosyan, AS</t>
  </si>
  <si>
    <t>Ibragimov, Ibragim D.; Korenko, Yulia M.; Matvienko, Valentin V.; Khrisanova, Elena G.; Kazakov, Andrey, V; Zabaznova, Natalya M.; Kagosyan, Ashot S.</t>
  </si>
  <si>
    <t>INTERNATIONAL STUDENTS IN RUSSIAN UNIVERSITIES: MASS MEDIA ROLE IN ATTITUDE PECULIARITIES FORMATION TO THEM AND PROBLEMS OF ADAPTATION</t>
  </si>
  <si>
    <t>Hrisanova, Elena/0000-0002-5045-5148</t>
  </si>
  <si>
    <t>10.22633/rpge.v25iesp.2.15282</t>
  </si>
  <si>
    <t>WOS:000687825100023</t>
  </si>
  <si>
    <t>Polezhaeva, TV; Shirokikh, IG; Sergushkina, MI; Nazarova, YI; Shirokikh, AA; Khudyakov, AN; Zayiseva, OO; Solomina, ON; Paturova, IG</t>
  </si>
  <si>
    <t>Polezhaeva, T., V; Shirokikh, I. G.; Sergushkina, M., I; Nazarova, Y., I; Shirokikh, A. A.; Khudyakov, A. N.; Zayiseva, O. O.; Solomina, O. N.; Paturova, I. G.</t>
  </si>
  <si>
    <t>Influence of polysaccharides from Hericium erinaceus BP 16 on phagocytic activity of human blood neutrophils</t>
  </si>
  <si>
    <t>Sergushkina, Marta/B-2604-2019; Khudyakov, Andrey N/G-7546-2018; Shirokikh, Irina G/V-3449-2017; Zaitseva, Oxana/Y-8697-2018; Shirokikh, Alexandr/X-1684-2018; Polezhaeva, Tatyana/J-8109-2018</t>
  </si>
  <si>
    <t>Sergushkina, Marta/0000-0002-3113-527X; Khudyakov, Andrey N/0000-0003-3757-8263; Shirokikh, Irina G/0000-0002-3319-2729; Zaitseva, Oxana/0000-0001-9427-0420; Shirokikh, Alexandr/0000-0002-7808-0376; Solomina, Olga/0000-0001-5187-8698; Polezhaeva, Tatyana/0000-0003-4999-3077; Paturova, Inna/0000-0002-8555-4525</t>
  </si>
  <si>
    <t>10.25750/1995-4301-2020-2-166-171</t>
  </si>
  <si>
    <t>WOS:000545295600023</t>
  </si>
  <si>
    <t>Velegzhaninov, IO; Ievlev, VA; Pylina, YI; Shadrin, DM; Vakhrusheva, OM</t>
  </si>
  <si>
    <t>Velegzhaninov, Ilya O.; Ievlev, Vitaly A.; Pylina, Yana I.; Shadrin, Dmitry M.; Vakhrusheva, Olesya M.</t>
  </si>
  <si>
    <t>Programming of Cell Resistance to Genotoxic and Oxidative Stress</t>
  </si>
  <si>
    <t>BIOMEDICINES</t>
  </si>
  <si>
    <t>Pylina, Yana I/P-9565-2015; Shadrin, Dmitry M/P-9808-2015; Velegzhaninov, Ilya O./P-9554-2015</t>
  </si>
  <si>
    <t>Pylina, Yana I/0000-0003-4981-8930; Shadrin, Dmitry M/0000-0003-4365-0145; Velegzhaninov, Ilya O./0000-0002-4715-4053; Ievlev, Vitaly/0000-0002-1243-4231; Olesya, Buzikova/0000-0001-9462-2502</t>
  </si>
  <si>
    <t>2227-9059</t>
  </si>
  <si>
    <t>10.3390/biomedicines6010005</t>
  </si>
  <si>
    <t>WOS:000428505300005</t>
  </si>
  <si>
    <t>Popkova, EG; Sozinova, AA; Grechenkov, OY; Menshchikova, VI</t>
  </si>
  <si>
    <t>Popkova, Elena G.; Sozinova, Anastasia A.; Grechenkov, Oksana Yu.; Menshchikova, Vera I.</t>
  </si>
  <si>
    <t>DEFICIENCIES IN THE LEGISLATIVE SUPPORT OF INNOVATIVE ACTIVITIES IN CONTEMPORARY RUSSIA AND WAYS OF ADDRESSING THEM</t>
  </si>
  <si>
    <t>Popkova, Elena G/C-8484-2014; Sozinova, Anastasia/F-6298-2015; MENSHCHIKOVA, Vera/ABH-9254-2020</t>
  </si>
  <si>
    <t>Popkova, Elena G/0000-0003-2136-2767; Sozinova, Anastasia/0000-0001-5876-2823; MENSHCHIKOVA, Vera/0000-0001-8216-2326</t>
  </si>
  <si>
    <t>10.17150/2500-4255.2018.12(4).515-524</t>
  </si>
  <si>
    <t>WOS:000444615800007</t>
  </si>
  <si>
    <t>Soboleva, Elena V.; Suvorova, Tatiana N.; Bocharov, Mikhail I.; Bocharova, Tatyana I.</t>
  </si>
  <si>
    <t>Using Game Mechanics in Professional Training of Future Teachers Working with Gifted Children</t>
  </si>
  <si>
    <t>10.13187/ejced.2022.4</t>
  </si>
  <si>
    <t>WOS:000914876300015</t>
  </si>
  <si>
    <t>Domracheva, LI; Kovina, AL; Ogorodnikova, SY; Korotkikh, AI; Korotkova, AV; Domnina, EA</t>
  </si>
  <si>
    <t>Domracheva, L., I; Kovina, A. L.; Ogorodnikova, S. Yu; Korotkikh, A., I; Korotkova, A., V; Domnina, E. A.</t>
  </si>
  <si>
    <t>Growth-stimulating activity of leafy lichens</t>
  </si>
  <si>
    <t>Ashikhmina, Tamara/O-1326-2015; Mal, Nastya/AAU-7935-2021; Kovina, Alevtina/AAU-6178-2021</t>
  </si>
  <si>
    <t>Ashikhmina, Tamara/0000-0003-4919-0047; Kovina, Alevtina/0000-0003-0503-3402; Korotkih, Anastasia/0000-0002-0700-371X</t>
  </si>
  <si>
    <t>10.25750/1995-4301-2020-1-130-135</t>
  </si>
  <si>
    <t>WOS:000522789400019</t>
  </si>
  <si>
    <t>Fefilova, E; Sukhikh, N; Abramova, E; Velegzhaninov, I</t>
  </si>
  <si>
    <t>Fefilova, Elena; Sukhikh, Natalia; Abramova, Ekaterina; Velegzhaninov, Ilya</t>
  </si>
  <si>
    <t>ABOUT THE SYSTEMATICS OF PALAEARCTIC EURYTEMORA (COPEPODA, CALANOIDA) BASED ON MORPHOLOGICAL ANALYSIS, WITH FOCUS ON EURYTEMORA GRACILICAUDA AKATOVA, 1949</t>
  </si>
  <si>
    <t>CRUSTACEANA</t>
  </si>
  <si>
    <t>Eurytemora International Conference</t>
  </si>
  <si>
    <t>MAY 13-17, 2019</t>
  </si>
  <si>
    <t>Velegzhaninov, Ilya O./P-9554-2015; Sukhikh, Natalia M/H-7429-2017</t>
  </si>
  <si>
    <t xml:space="preserve">Velegzhaninov, Ilya O./0000-0002-4715-4053; </t>
  </si>
  <si>
    <t>0011-216X</t>
  </si>
  <si>
    <t>1568-5403</t>
  </si>
  <si>
    <t>3-5</t>
  </si>
  <si>
    <t>10.1163/15685403-00003976</t>
  </si>
  <si>
    <t>WOS:000540781400006</t>
  </si>
  <si>
    <t>Syrchina, NV; Pilip, LV; Ashikhmina, TY; Bogatyryova, NN</t>
  </si>
  <si>
    <t>Syrchina, N., V; Pilip, L., V; Ashikhmina, T. Ya; Bogatyryova, N. N.</t>
  </si>
  <si>
    <t>Rational utilization of sulfuric acid waste generated during chlorine production</t>
  </si>
  <si>
    <t>10.25750/1995-4301-2020-4-143-148</t>
  </si>
  <si>
    <t>WOS:000597810500022</t>
  </si>
  <si>
    <t>Khuziakhmetov, RH; Syrchina, NV; Ashikhmina, TY; Ivanova, NN</t>
  </si>
  <si>
    <t>Khuziakhmetov, R. H.; Syrchina, N., V; Ashikhmina, T. Ya; Ivanova, N. N.</t>
  </si>
  <si>
    <t>Complex processing of natural phosphorites using alkaline wastes of petrochemical synthesis and gas sulfur</t>
  </si>
  <si>
    <t>Ashikhmina, Tamara/0000-0003-4919-0047; Syrchina, Nadezhda/0000-0001-8049-6760; Khuziakhmetov, Rifkat/0000-0001-8497-2912</t>
  </si>
  <si>
    <t>10.25750/1995-4301-2022-1-102-108</t>
  </si>
  <si>
    <t>WOS:000819811100014</t>
  </si>
  <si>
    <t>Sozinova, AA; Bondarenko, VA; Smokova, M; Rumyantsev, NG</t>
  </si>
  <si>
    <t>Sozinova, A. A.; Bondarenko, V. A.; Smokova, M.; Rumyantsev, N. G.</t>
  </si>
  <si>
    <t>Actualization of the green image for territorial development</t>
  </si>
  <si>
    <t>10.5750/1995-4301-2022-2-228-233</t>
  </si>
  <si>
    <t>WOS:000820802000029</t>
  </si>
  <si>
    <t>Skugoreva, S. G.; Kantor, G. Ya.; Domracheva, L. I.</t>
  </si>
  <si>
    <t>Biosorption of heavy metals by micromycetes: specificity of the process, mechanisms, kinetics</t>
  </si>
  <si>
    <t>10.25750/1995-4301-2019-2-014-031</t>
  </si>
  <si>
    <t>WOS:000477826000002</t>
  </si>
  <si>
    <t>Okhapkina, E; Okhapkin, V; Kazarin, O</t>
  </si>
  <si>
    <t>Barolli, L; Takizawa, M; Enokido, T; Hsu, HH; Lin, CY</t>
  </si>
  <si>
    <t>Okhapkina, Elena; Okhapkin, Valentin; Kazarin, Oleg</t>
  </si>
  <si>
    <t>Adaptation of information retrieval methods for identifying of destructive informational influence in social networks</t>
  </si>
  <si>
    <t>2017 31ST IEEE INTERNATIONAL CONFERENCE ON ADVANCED INFORMATION NETWORKING AND APPLICATIONS WORKSHOPS (IEEE WAINA 2017)</t>
  </si>
  <si>
    <t>31st IEEE International Conference on Advanced Information Networking and Applications (IEEE AINA)</t>
  </si>
  <si>
    <t>MAR 27-29, 2017</t>
  </si>
  <si>
    <t>Tamkang Univ, Taipei, TAIWAN</t>
  </si>
  <si>
    <t>IEEE,IEEE Tech Comm Distributed Proc,IEEE Comp Soc</t>
  </si>
  <si>
    <t>Tamkang Univ</t>
  </si>
  <si>
    <t>978-1-5090-6231-7</t>
  </si>
  <si>
    <t>10.1109/WAINA.2017.116</t>
  </si>
  <si>
    <t>WOS:000403401900016</t>
  </si>
  <si>
    <t>Domracheva, LI; Skugoreva, SG; Ashikhmina, TY; Ogorodnikova, SY; Kondakova, LV; Velikoredchanina, EO; Korotkova, AV; Kovina, AL</t>
  </si>
  <si>
    <t>Domracheva, L., I; Skugoreva, S. G.; Ashikhmina, T. Ya; Ogorodnikova, S. Yu; Kondakova, L., V; Velikoredchanina, E. O.; Korotkova, A., V; Kovina, A. L.</t>
  </si>
  <si>
    <t>The use of waste activated sludge for the treatment of waste water contaminated with heavy metals</t>
  </si>
  <si>
    <t>10.25750/1995-4301-2020-4-176-184</t>
  </si>
  <si>
    <t>WOS:000597810500027</t>
  </si>
  <si>
    <t>Fokina, AI; Dabakh, EV; Domracheva, LI; Skugoreva, SG; Lyalina, EI; Ashikhmina, TY; Zykova, YN; Leonova, KA</t>
  </si>
  <si>
    <t>Fokina, A. I.; Dabakh, E. V.; Domracheva, L. I.; Skugoreva, S. G.; Lyalina, E. I.; Ashikhmina, T. Ya.; Zykova, Yu. N.; Leonova, K. A.</t>
  </si>
  <si>
    <t>Methodological Approaches toward Chemico-Biological Diagnostics of the State of Soils in Technogenically Transformed Territories</t>
  </si>
  <si>
    <t>Skugoreva, Svetlana/X-6225-2019; Ashikhmina, Tamara/O-1326-2015; Зыкова, Юлия/AAU-7751-2021</t>
  </si>
  <si>
    <t xml:space="preserve">Skugoreva, Svetlana/0000-0002-5902-5187; Ashikhmina, Tamara/0000-0003-4919-0047; </t>
  </si>
  <si>
    <t>10.1134/S1064229318030031</t>
  </si>
  <si>
    <t>WOS:000433121200008</t>
  </si>
  <si>
    <t>Fokina, AI; Gornostaeva, EA; Ogorodnikova, SY; Zykova, YN; Domracheva, LI; Kondakova, LV</t>
  </si>
  <si>
    <t>Fokina, A. I.; Gornostaeva, E. A.; Ogorodnikova, S. Y.; Zykova, Y. N.; Domracheva, L. I.; Kondakova, L. V.</t>
  </si>
  <si>
    <t>Adaptation potential of naturally occurring cynaobacterial biofilms dominated by Phormidium spp.</t>
  </si>
  <si>
    <t>10.1134/S1995425515060050</t>
  </si>
  <si>
    <t>WOS:000366640300004</t>
  </si>
  <si>
    <t>Plekhanov, MS; Thoma, SLJ; Zobel, M; Cuello, GJ; Fischer, HE; Raskovalov, AA; Kuzmin, AV</t>
  </si>
  <si>
    <t>Plekhanov, Maksim S.; Thoma, Sabrina L. J.; Zobel, Mirijam; Cuello, Gabriel J.; Fischer, Henry E.; Raskovalov, Anton A.; Kuzmin, Anton, V</t>
  </si>
  <si>
    <t>Correlating Proton Diffusion in Perovskite Triple-Conducting Oxides with Local and Defect Structure</t>
  </si>
  <si>
    <t>CHEMISTRY OF MATERIALS</t>
  </si>
  <si>
    <t>Plekhanov, Maksim/X-2719-2018; Kuzmin, Anton/O-4057-2014</t>
  </si>
  <si>
    <t>Plekhanov, Maksim/0000-0002-2701-4619; Kuzmin, Anton/0000-0002-0700-662X; Zobel, Mirijam/0000-0002-8207-8316</t>
  </si>
  <si>
    <t>0897-4756</t>
  </si>
  <si>
    <t>1520-5002</t>
  </si>
  <si>
    <t>MAY 24</t>
  </si>
  <si>
    <t>10.1021/acs.chemmater.2c01159</t>
  </si>
  <si>
    <t>WOS:000805874800051</t>
  </si>
  <si>
    <t>Skugoreva, SG; Kantor, GY; Domracheva, LI; Kutyavina, TI</t>
  </si>
  <si>
    <t>Skugoreva, S. G.; Kantor, G. Ya; Domracheva, L., I; Kutyavina, T., I</t>
  </si>
  <si>
    <t>Comparative analysis of the effectiveness of the use of sorbents of different nature with respect to copper (II) ions</t>
  </si>
  <si>
    <t>Kutyavina, Tatyana/T-1440-2017; Kutyavina, Tatyana/AAX-3781-2021; Skugoreva, Svetlana/X-6225-2019</t>
  </si>
  <si>
    <t>Kutyavina, Tatyana/0000-0001-7957-0636; Kutyavina, Tatyana/0000-0001-7957-0636; Skugoreva, Svetlana/0000-0002-5902-5187</t>
  </si>
  <si>
    <t>10.25750/1995-4301-2018-3-012-018</t>
  </si>
  <si>
    <t>WOS:000468564900002</t>
  </si>
  <si>
    <t>Paimushin, VN; Kayumov, RA; Kholmogorov, SA; Shishkin, VM</t>
  </si>
  <si>
    <t>Paimushin, V. N.; Kayumov, R. A.; Kholmogorov, S. A.; Shishkin, V. M.</t>
  </si>
  <si>
    <t>Defining Relations in Mechanics of Cross-Ply Fiber Reinforced Plastics Under Short-Term and Long-Term Monoaxial Load</t>
  </si>
  <si>
    <t>Rashit, Kayumov A/A-9473-2016; Shishkin, Viktor/U-2323-2018</t>
  </si>
  <si>
    <t xml:space="preserve">Rashit, Kayumov A/0000-0003-0711-9429; </t>
  </si>
  <si>
    <t>10.3103/S1066369X18060087</t>
  </si>
  <si>
    <t>WOS:000433579100008</t>
  </si>
  <si>
    <t>Tovstik, EV; Shirokikh, IG; Soloveva, ES; Shirokikh, AA; Ashikhmina, TY; Savinykh, VP</t>
  </si>
  <si>
    <t>Tovstik, E., V; Shirokikh, I. G.; Soloveva, E. S.; Shirokikh, A. A.; Ashikhmina, T. Ya; Savinykh, V. P.</t>
  </si>
  <si>
    <t>The change in soil actinobiote under the influence of Heracleum sosnowskyi invasion</t>
  </si>
  <si>
    <t>Ashikhmina, Tamara/O-1326-2015; Tovstik, Evgeniya/P-1350-2017; Shirikikh, Alexandr A.A.S./W-7606-2018; Shirokikh, Irina G/V-3449-2017; Shirokikh, Alexandr/X-1684-2018</t>
  </si>
  <si>
    <t>Ashikhmina, Tamara/0000-0003-4919-0047; Tovstik, Evgeniya/0000-0003-1861-6076; Shirokikh, Irina G/0000-0002-3319-2729; Shirokikh, Alexandr/0000-0002-7808-0376</t>
  </si>
  <si>
    <t>10.25750/1995-4301-2018-4-114-118</t>
  </si>
  <si>
    <t>WOS:000468565300015</t>
  </si>
  <si>
    <t>Byvalov, AA; Kononenko, VL; Konyshev, IV</t>
  </si>
  <si>
    <t>Byvalov, A. A.; Kononenko, V. L.; Konyshev, I. V.</t>
  </si>
  <si>
    <t>Effect of Lipopolysaccharide O-Side Chains on the Adhesiveness of Yersinia pseudotuberculosis to J774 Macrophages as Revealed by Optical Tweezers</t>
  </si>
  <si>
    <t>Konyshev, Ilya V./A-9370-2019; Kononenko, Vadim L/B-9016-2017; Byvalov, Andrey A./Y-6825-2018</t>
  </si>
  <si>
    <t>10.1134/S0003683817020077</t>
  </si>
  <si>
    <t>WOS:000396266800017</t>
  </si>
  <si>
    <t>Popkova, EG; Karanina, EV; Stankevich, GV; Shaimardanov, TR</t>
  </si>
  <si>
    <t>Popkova, Elena G. G.; Karanina, Elena V. V.; Stankevich, Galina V. V.; Shaimardanov, Timur R. R.</t>
  </si>
  <si>
    <t>The contribution of clean energetics based on energy technology (EnergyTech) to the reduction of production waste and the fight against climate change: Legal regulation issues</t>
  </si>
  <si>
    <t>NOV 24</t>
  </si>
  <si>
    <t>10.3389/fenrg.2022.1025441</t>
  </si>
  <si>
    <t>WOS:000894516000001</t>
  </si>
  <si>
    <t>Baranov, VV; Allagulov, AM; Kuznetsov, VV; Khlusyanov, OV; Yudina, AM; Valeev, AS; Valeyeva, GK</t>
  </si>
  <si>
    <t>Baranov, Vladimir V.; Allagulov, Artur M.; Kuznetsov, Vladimir V.; Khlusyanov, Oleg, V; Yudina, Anna M.; Valeev, Azat S.; Valeyeva, Guzel Kh</t>
  </si>
  <si>
    <t>Infrastructure of Cultural Leisure in Consumer Society in Student View: Prospects and Problems of Promotion</t>
  </si>
  <si>
    <t>PROPOSITOS Y REPRESENTACIONES</t>
  </si>
  <si>
    <t>Yudina, Anna M/AAU-7059-2021; Yudina, Anna/AAX-3276-2021</t>
  </si>
  <si>
    <t xml:space="preserve">Yudina, Anna M/0000-0001-5420-6643; </t>
  </si>
  <si>
    <t>2307-7999</t>
  </si>
  <si>
    <t>2310-4635</t>
  </si>
  <si>
    <t>e1223</t>
  </si>
  <si>
    <t>10.20511/pyr2021.v9nSPE1.1223</t>
  </si>
  <si>
    <t>WOS:000697163700002</t>
  </si>
  <si>
    <t>Trushkova, IY; Ashikhmina, TY; Kondakova, LV</t>
  </si>
  <si>
    <t>Trushkova, I. Yu; Ashikhmina, T. Ya; Kondakova, L., V</t>
  </si>
  <si>
    <t>Ethnoecology of the Slavic World: application significance on the Eurasian space</t>
  </si>
  <si>
    <t>Трушкова, Ирина Юрьевна/AAB-4826-2022; Ashikhmina, Tamara/O-1326-2015; Trushkova, Irina/C-5994-2019</t>
  </si>
  <si>
    <t>Ashikhmina, Tamara/0000-0003-4919-0047; Trushkova, Irina/0000-0003-2944-2446</t>
  </si>
  <si>
    <t>10.25750/1995-4301-2019-1-111-115</t>
  </si>
  <si>
    <t>WOS:000468565900016</t>
  </si>
  <si>
    <t>Pilip, LV; Kozvonin, VA; SyrChina, NV; Kolevatykh, EP; Ashikhmina, TY</t>
  </si>
  <si>
    <t>Pilip, L., V; Kozvonin, V. A.; SyrChina, N., V; Kolevatykh, E. P.; Ashikhmina, T. Ya</t>
  </si>
  <si>
    <t>Effects of acidifying manure effluent on its microbiological characteristics</t>
  </si>
  <si>
    <t>Syrchina, Nadezhda/0000-0001-8049-6760; Ashikhmina, Tamara/0000-0003-4919-0047; Kozvonin, Valeriy/0000-0002-2447-6949</t>
  </si>
  <si>
    <t>10.25750/1995-4301-2020-3-161-167</t>
  </si>
  <si>
    <t>WOS:000580337700024</t>
  </si>
  <si>
    <t>Smolonskaya, A; Silenkov, V; Tsvetkova, N; Ershova, N; Varinov, V; Komarova, O; Kalashnikov, K</t>
  </si>
  <si>
    <t>Smolonskaya, Anna; Silenkov, Victor; Tsvetkova, Natalia; Ershova, Nina; Varinov, Vladislav; Komarova, Oksana; Kalashnikov, Konstantin</t>
  </si>
  <si>
    <t>Role of Physical Culture As a Basis in the University Pedagogical Process in the Development of Students' Worldview in the Third Millennium</t>
  </si>
  <si>
    <t>BIOSCIENCE BIOTECHNOLOGY RESEARCH COMMUNICATIONS</t>
  </si>
  <si>
    <t>0974-6455</t>
  </si>
  <si>
    <t>WOS:000640077600013</t>
  </si>
  <si>
    <t>Velegzhaninov, IO; Ermakova, AV; Klokov, DY</t>
  </si>
  <si>
    <t>Velegzhaninov, Ilya O.; Ermakova, Anastasia V.; Klokov, Dmitry Yu.</t>
  </si>
  <si>
    <t>Low dose ionizing irradiation suppresses cellular senescence in normal human fibroblasts</t>
  </si>
  <si>
    <t>INTERNATIONAL JOURNAL OF RADIATION BIOLOGY</t>
  </si>
  <si>
    <t>Klokov, Dmitry/AAM-7316-2020; Ermakova, Anastasia O/P-9910-2015; Velegzhaninov, Ilya O./P-9554-2015</t>
  </si>
  <si>
    <t>Klokov, Dmitry/0000-0003-1629-1431; Velegzhaninov, Ilya O./0000-0002-4715-4053</t>
  </si>
  <si>
    <t>0955-3002</t>
  </si>
  <si>
    <t>1362-3095</t>
  </si>
  <si>
    <t>10.1080/09553002.2018.1492167</t>
  </si>
  <si>
    <t>WOS:000451552200005</t>
  </si>
  <si>
    <t>Vityazev, FV; Khramova, DS; Saveliev, NY; Ipatova, EA; Burkov, AA; Beloserov, VS; Belyi, VA; Kononov, LO; Martinson, EA; Litvinets, SG; Markov, PA; Popov, SV</t>
  </si>
  <si>
    <t>Vityazev, Fedor V.; Khramova, Daria S.; Saveliev, Nikita Y.; Ipatova, Elena A.; Burkov, Andrey A.; Beloserov, Vladislav S.; Belyi, Vladimir A.; Kononov, Leonid O.; Martinson, Ekaterina A.; Litvinets, Sergey G.; Markov, Pavel A.; Popov, Sergey, V</t>
  </si>
  <si>
    <t>Pectin-glycerol gel beads: Preparation, characterization and swelling behaviour</t>
  </si>
  <si>
    <t>Burkov, Andrei/N-5302-2016; Kononov, Leonid O/B-1004-2008; Khramova, Daria/AAH-7690-2019; Popov, Sergey V/F-7627-2016; Popov, Sergey/AAM-6438-2021; Burkov, Andrey/ABB-8219-2021; Belozerov, Vladislav/B-7087-2019; Markov, Pavel/Q-2677-2016</t>
  </si>
  <si>
    <t>Burkov, Andrei/0000-0002-3627-1262; Kononov, Leonid O/0000-0003-1858-7738; Khramova, Daria/0000-0003-0970-9203; Popov, Sergey V/0000-0003-1763-8898; Popov, Sergey/0000-0003-1763-8898; Belozerov, Vladislav/0000-0002-9930-5458; Markov, Pavel/0000-0002-4803-4803</t>
  </si>
  <si>
    <t>JUN 15</t>
  </si>
  <si>
    <t>10.1016/j.carbpol.2020.116166</t>
  </si>
  <si>
    <t>WOS:000526413700004</t>
  </si>
  <si>
    <t>Nagovitsyn, RS; Osipov, AY; Kapustin, AG; Anfilatova, OV; Senator, SY</t>
  </si>
  <si>
    <t>Nagovitsyn, R. S.; Osipov, A. Yu; Kapustin, A. G.; Anfilatova, O., V; Senator, S. Yu</t>
  </si>
  <si>
    <t>Determination of the dependence of competitive results on the procedure of sports selection among Greco-Roman wrestling athletes</t>
  </si>
  <si>
    <t>Osipov, Aleksander Yurievich/P-2690-2019; Kapustin, Aleksandr/G-4595-2019; , Roman/N-2363-2016</t>
  </si>
  <si>
    <t>Osipov, Aleksander Yurievich/0000-0002-2277-4467; Kapustin, Aleksandr/0000-0001-8655-4060; , Roman/0000-0003-4471-0875</t>
  </si>
  <si>
    <t>10.15561/18189172.2019.0404</t>
  </si>
  <si>
    <t>WOS:000482200500004</t>
  </si>
  <si>
    <t>Iordanskii, A; Zhulkina, A; Olkhov, A; Fomin, S; Burkov, A; Stilman, M</t>
  </si>
  <si>
    <t>Iordanskii, Alexey; Zhulkina, Anna; Olkhov, Anatoliy; Fomin, Sergey; Burkov, Andrey; Stilman, Mikhail</t>
  </si>
  <si>
    <t>Characterization and Evaluation of Controlled Antimicrobial Release from Petrochemical (PU) and Biodegradable (PHB) Packaging</t>
  </si>
  <si>
    <t>Zhulkina, Anna/W-9295-2018; Burkov, Andrey/ABB-8219-2021; Fomin, Sergey V./A-7869-2014; Burkov, Andrei/N-5302-2016</t>
  </si>
  <si>
    <t>Fomin, Sergey V./0000-0003-0393-5613; Burkov, Andrei/0000-0002-3627-1262; Olkhov, Anatoly/0000-0003-0615-6914; Iordanskii, Alexey/0000-0003-0771-0825</t>
  </si>
  <si>
    <t>10.3390/polym10080817</t>
  </si>
  <si>
    <t>WOS:000445410200010</t>
  </si>
  <si>
    <t>Popov, SV; Popova, GY; Nikitina, IR; Markov, PA; Latkin, DS; Golovchenko, VV; Patova, OA; Krachkovsky, N; Smirnov, VV; Istomina, EA; Shumikhin, KV; Burkov, AA; Martinson, EA; Litvinets, SG</t>
  </si>
  <si>
    <t>Popov, Sergey V.; Popova, Galina Yu; Nikitina, Ida R.; Markov, Pavel A.; Latkin, Dmitry S.; Golovchenko, Victoria V.; Patova, Ol'ga A.; Krachkovsky, Nikita; Smirnov, Vasily V.; Istomina, Elena A.; Shumikhin, Konstantin V.; Burkov, Andrey A.; Martinson, Ekaterina A.; Litvinets, Sergey G.</t>
  </si>
  <si>
    <t>Injectable hydrogel from plum pectin as a barrier for prevention of postoperative adhesion</t>
  </si>
  <si>
    <t>JOURNAL OF BIOACTIVE AND COMPATIBLE POLYMERS</t>
  </si>
  <si>
    <t>Patova, Olga A/T-1244-2017; Litvinets, Sergey G./I-8188-2013; Istomina, Elena/Q-2058-2019; Burkov, Andrei/N-5302-2016; Golovchenko, Viktoria/Q-2227-2016; Smirnov, Vasily V/M-4942-2016; Istomina, Elena/E-7817-2014; Markov, Pavel/Q-2677-2016; Popov, Sergey V/F-7627-2016; Martinson, Ekaterina/AAL-5413-2020; Popov, Sergey/AAM-6438-2021; Burkov, Andrey/ABB-8219-2021</t>
  </si>
  <si>
    <t xml:space="preserve">Patova, Olga A/0000-0001-5236-4867; Litvinets, Sergey G./0000-0001-8583-5274; Istomina, Elena/0000-0002-6729-247X; Burkov, Andrei/0000-0002-3627-1262; Golovchenko, Viktoria/0000-0002-4837-9609; Smirnov, Vasily V/0000-0003-3704-988X; Istomina, Elena/0000-0002-6729-247X; Markov, Pavel/0000-0002-4803-4803; Popov, Sergey V/0000-0003-1763-8898; Popov, Sergey/0000-0003-1763-8898; </t>
  </si>
  <si>
    <t>0883-9115</t>
  </si>
  <si>
    <t>1530-8030</t>
  </si>
  <si>
    <t>10.1177/0883911516637374</t>
  </si>
  <si>
    <t>WOS:000382858400004</t>
  </si>
  <si>
    <t>Borisenkov, MF; Karmanov, AP; Kocheva, LS; Markov, PA; Istomina, EI; Bakutova, LA; Litvinets, SG; Martinson, EA; Durnev, EA; Vityazev, FV; Popov, SV</t>
  </si>
  <si>
    <t>Borisenkov, Mikhail F.; Karmanov, Anatoly P.; Kocheva, Lyudmila S.; Markov, Pavel A.; Istomina, Elena I.; Bakutova, Larisa A.; Litvinets, Sergey G.; Martinson, Ekaterina A.; Durnev, Eugene A.; Vityazev, Fedor V.; Popov, Sergey V.</t>
  </si>
  <si>
    <t>Adsorption of beta-glucuronidase and estrogens on pectin/lignin hydrogel particles</t>
  </si>
  <si>
    <t>INTERNATIONAL JOURNAL OF POLYMERIC MATERIALS AND POLYMERIC BIOMATERIALS</t>
  </si>
  <si>
    <t>Istomina, Elena/Q-2058-2019; Borisenkov, Mikhail/H-7169-2019; Popov, Sergey V/F-7627-2016; Markov, Pavel/Q-2677-2016; Borisenkov, Mikhail F/O-9862-2015; Istomina, Elena/E-7817-2014; Litvinets, Sergey G./I-8188-2013; Martinson, Ekaterina/AAL-5413-2020; Kocheva, Ludmila/ABA-7343-2021; Popov, Sergey/AAM-6438-2021</t>
  </si>
  <si>
    <t>Istomina, Elena/0000-0002-6729-247X; Borisenkov, Mikhail/0000-0002-4310-2010; Popov, Sergey V/0000-0003-1763-8898; Markov, Pavel/0000-0002-4803-4803; Borisenkov, Mikhail F/0000-0002-4310-2010; Istomina, Elena/0000-0002-6729-247X; Litvinets, Sergey G./0000-0001-8583-5274; Popov, Sergey/0000-0003-1763-8898</t>
  </si>
  <si>
    <t>0091-4037</t>
  </si>
  <si>
    <t>1563-535X</t>
  </si>
  <si>
    <t>10.1080/00914037.2015.1129955</t>
  </si>
  <si>
    <t>WOS:000373128600001</t>
  </si>
  <si>
    <t>Single-Cell Force Spectroscopy of Interaction of Lipopolysaccharides from Yersinia pseudotuberculosis and Yersinia pestis with J774 Macrophage Membrane Using Optical Tweezers</t>
  </si>
  <si>
    <t>BIOCHEMISTRY MOSCOW SUPPLEMENT SERIES A-MEMBRANE AND CELL BIOLOGY</t>
  </si>
  <si>
    <t>Kononenko, Vadim L/B-9016-2017; Byvalov, Andrey A./Y-6825-2018; Konyshev, Ilya V./A-9370-2019</t>
  </si>
  <si>
    <t>Byvalov, Andrey A./0000-0003-1117-5896; Konyshev, Ilya V./0000-0001-6575-9630</t>
  </si>
  <si>
    <t>1990-7478</t>
  </si>
  <si>
    <t>1990-7494</t>
  </si>
  <si>
    <t>10.1134/S1990747818020058</t>
  </si>
  <si>
    <t>WOS:000454748800001</t>
  </si>
  <si>
    <t>Man, TX; Zhukova, N; Meltsov, V; Shichkina, Y</t>
  </si>
  <si>
    <t>Misra, S; Gervasi, O; Murgante, B; Stankova, E; Korkhov, V; Torre, C; Rocha, AMAC; Taniar, D; Apduhan, BO; Tarantino, E</t>
  </si>
  <si>
    <t>Man Tianxing; Zhukova, Nataly; Meltsov, Vasily; Shichkina, Yulia</t>
  </si>
  <si>
    <t>A Knowledge-Based Computational Environment for Real-World Data Processing</t>
  </si>
  <si>
    <t>COMPUTATIONAL SCIENCE AND ITS APPLICATIONS - ICCSA 2019, PT I: 19TH INTERNATIONAL CONFERENCE, SAINT PETERSBURG, RUSSIA, JULY 1-4, 2019, PROCEEDINGS, PT I</t>
  </si>
  <si>
    <t>19th International Conference on Computational Science and Its Applications (ICCSA)</t>
  </si>
  <si>
    <t>JUL 01-04, 2019</t>
  </si>
  <si>
    <t>St Petersburg Univ,Univ Perugia,Univ Basilicata,Monash Univ,Kyushu Sangyo Univ,Univ Minho,Springer Nat Switzerland AG</t>
  </si>
  <si>
    <t>Meltsov, Vasily Yurevich/P-7511-2017; Tianxing, Man/HIR-6793-2022; Shichkina, Yulia/K-6530-2017</t>
  </si>
  <si>
    <t>Meltsov, Vasily Yurevich/0000-0001-5479-9979; Zhukova, Nataly/0000-0001-5877-4461; Man, Tianxing/0000-0003-2187-1641; Shichkina, Yulia/0000-0001-7140-1686</t>
  </si>
  <si>
    <t>978-3-030-24289-3</t>
  </si>
  <si>
    <t>10.1007/978-3-030-24289-3_20</t>
  </si>
  <si>
    <t>WOS:000661318700020</t>
  </si>
  <si>
    <t>Man, TX; Zhukova, N; Than, N; Nechaev, A; Lebedev, S</t>
  </si>
  <si>
    <t>Gusikhin, O; Madani, K; Zaytoon, J</t>
  </si>
  <si>
    <t>Man Tianxing; Zhukova, Nataly; Nguyen Than; Nechaev, Alexander; Lebedev, Sergey</t>
  </si>
  <si>
    <t>A Multi-layer Ontology for Data Processing Techniques</t>
  </si>
  <si>
    <t>ICINCO: PROCEEDINGS OF THE 16TH INTERNATIONAL CONFERENCE ON INFORMATICS IN CONTROL, AUTOMATION AND ROBOTICS, VOL 1</t>
  </si>
  <si>
    <t>16th International Conference on Informatics in Control, Automation and Robotics (ICINCO)</t>
  </si>
  <si>
    <t>JUL 29-31, 2019</t>
  </si>
  <si>
    <t>Lebedev, Sergey/AAF-1617-2019; Nechaev, Alexander/ABE-9128-2021; Tianxing, Man/HIR-6793-2022</t>
  </si>
  <si>
    <t>Nechaev, Alexander/0000-0002-0464-9961; Ngocthan, Nguyen/0000-0002-6679-7839; Man, Tianxing/0000-0003-2187-1641; Lebedev, Sergey/0000-0002-0045-6310; Zhukova, Nataly/0000-0001-5877-4461</t>
  </si>
  <si>
    <t>978-989-758-380-3</t>
  </si>
  <si>
    <t>10.5220/0007839606480655</t>
  </si>
  <si>
    <t>WOS:000571063100076</t>
  </si>
  <si>
    <t>Gulevich, AA; Baranova, EN; Shirokikh, IG; Shirokikh, AA</t>
  </si>
  <si>
    <t>Gulevich, A. A.; Baranova, E. N.; Shirokikh, I. G.; Shirokikh, A. A.</t>
  </si>
  <si>
    <t>Genetic engineering in solving unsolvable problems of soil remediation</t>
  </si>
  <si>
    <t>Shirikikh, Alexandr A.A.S./W-7606-2018; Shirokikh, Irina G/V-3449-2017; Baranova, Ekaterina N/T-5461-2017; Shirokikh, Alexandr/U-8080-2019</t>
  </si>
  <si>
    <t>Shirokikh, Irina G/0000-0002-3319-2729; Shirokikh, Alexandr/0000-0002-7808-0376; Baranova, Ekaterina/0000-0001-8169-9228</t>
  </si>
  <si>
    <t>10.25750/1995-4301-2018-2-005-015</t>
  </si>
  <si>
    <t>WOS:000468564500001</t>
  </si>
  <si>
    <t>Lesnichyova, A; Belyakov, S; Stroeva, A; Petrova, S; Kaichev, V; Kuzmin, A</t>
  </si>
  <si>
    <t>Lesnichyova, Alyona; Belyakov, Semyon; Stroeva, Anna; Petrova, Sofia; Kaichev, Vasiliy; Kuzmin, Anton</t>
  </si>
  <si>
    <t>Densification and Proton Conductivity of La1-xBaxScO3-delta Electrolyte Membranes</t>
  </si>
  <si>
    <t>MEMBRANES</t>
  </si>
  <si>
    <t>Kuzmin, Anton/0000-0002-0700-662X; Lesnichyova, Alyona/0000-0003-1885-0137</t>
  </si>
  <si>
    <t>2077-0375</t>
  </si>
  <si>
    <t>10.3390/membranes12111084</t>
  </si>
  <si>
    <t>WOS:000884345100001</t>
  </si>
  <si>
    <t>Nikitin, OV; Latypova, VZ; Ashikhmina, TY; Kuzmin, RS; Nasyrova, EI; Haripov, II</t>
  </si>
  <si>
    <t>Nikitin, O., V; Latypova, V. Z.; Ashikhmina, T. Ya; Kuzmin, R. S.; Nasyrova, E., I; Haripov, I. I.</t>
  </si>
  <si>
    <t>Microscopic particles of synthetic polymers in freshwater ecosystems: review and the current state of the problem</t>
  </si>
  <si>
    <t>Nikitin, Oleg/L-9783-2013; Ashikhmina, Tamara/O-1326-2015</t>
  </si>
  <si>
    <t>Nikitin, Oleg/0000-0002-6753-0597; Ashikhmina, Tamara/0000-0003-4919-0047</t>
  </si>
  <si>
    <t>10.25750/1995-4301-2020-4-216-222</t>
  </si>
  <si>
    <t>WOS:000597810500033</t>
  </si>
  <si>
    <t>Krainova, DA; Saetova, NS; Polyakova, IG; Farlenkov, AS; Zamyatin, DA; Kuzmin, AV</t>
  </si>
  <si>
    <t>Krainova, D. A.; Saetova, N. S.; Polyakova, I. G.; Farlenkov, A. S.; Zamyatin, D. A.; Kuzmin, A., V</t>
  </si>
  <si>
    <t>Behaviour of 54.4SiO(2)-13.7Na(2)O-1.7K(2)O-5.0CaO-12.4MgO-0.6Y(2)O(3)-11.3Al(2)O(3)-0.9B(2)O(3) HT-SOFC glass sealant under oxidising and reducing atmospheres</t>
  </si>
  <si>
    <t>CERAMICS INTERNATIONAL</t>
  </si>
  <si>
    <t>Kuzmin, Anton/O-4057-2014; Farlenkov, Andrei/C-5426-2014</t>
  </si>
  <si>
    <t>Kuzmin, Anton/0000-0002-0700-662X; Farlenkov, Andrei/0000-0001-5507-7783</t>
  </si>
  <si>
    <t>0272-8842</t>
  </si>
  <si>
    <t>1873-3956</t>
  </si>
  <si>
    <t>MAR 1</t>
  </si>
  <si>
    <t>10.1016/j.ceramint.2021.11.151</t>
  </si>
  <si>
    <t>WOS:000752874700003</t>
  </si>
  <si>
    <t>Yastrebova, AI; Stakhov, AI; Redkous, VM; Gubin, AN; Suchkova, TY</t>
  </si>
  <si>
    <t>Yastrebova, Anna I.; Stakhov, Alexander I.; Redkous, Vladimir M.; Gubin, Aleksej N.; Suchkova, Tatyana Y.</t>
  </si>
  <si>
    <t>STATE AND NON-STATE ACTORS ENSURING CONSTITUTIONAL ORDER AND PUBLIC SECURITY: PROBLEMS OF LEGAL REGULATION OF INTERACTION</t>
  </si>
  <si>
    <t>Yastrebova, Anna/ABI-1993-2020</t>
  </si>
  <si>
    <t>WOS:000539097400020</t>
  </si>
  <si>
    <t>Terentyev, YN; Syrchina, NV; Ashikhmina, TY; Pilip, LV</t>
  </si>
  <si>
    <t>Terentyev, Yu N.; Syrchina, N., V; Ashikhmina, T. Ya; Pilip, L., V</t>
  </si>
  <si>
    <t>Reducing the emission of odorous substances in industrial pig breeding enterprises</t>
  </si>
  <si>
    <t>10.25750/1995-4301-2019-2-113-120</t>
  </si>
  <si>
    <t>WOS:000477826000014</t>
  </si>
  <si>
    <t>Fokina, AI; Lyalina, EI; Trefilova, LV; Ashikhmina, TY</t>
  </si>
  <si>
    <t>Fokina, A., I; Lyalina, E., I; Trefilova, L., V; Ashikhmina, T. Ya</t>
  </si>
  <si>
    <t>The response of soil cyanobacteria Nostoc paludosum to the effect of copper(II) sulfate in the presence of the restored glutathione</t>
  </si>
  <si>
    <t>Fuks, Sofja/AAB-4769-2019; Трефилова, Людмила/AAU-7613-2021; Ashikhmina, Tamara/O-1326-2015</t>
  </si>
  <si>
    <t>Fuks, Sofja/0000-0002-9238-2944; Трефилова, Людмила/0000-0002-9932-5803; Ashikhmina, Tamara/0000-0003-4919-0047</t>
  </si>
  <si>
    <t>10.25750/1995-4301-2019-3-101-108</t>
  </si>
  <si>
    <t>WOS:000490704900014</t>
  </si>
  <si>
    <t>Nazarova, YI; Shirokikh, IG; Bakulina, AV; Baranova, EN; Ashikhmina, TY</t>
  </si>
  <si>
    <t>Nazarova, Ya, I; Shirokikh, I. G.; Bakulina, A., V; Baranova, E. N.; Ashikhmina, T. Ya</t>
  </si>
  <si>
    <t>Identification of two strains of streptomycetes from the rhizosphere and in vitro study of their colonizing activity</t>
  </si>
  <si>
    <t>Bakulina, Anna/AAH-3534-2019; Shirokikh, Irina G/V-3449-2017; Ashikhmina, Tamara/O-1326-2015; Nazarova, Yanina/AAH-5190-2019; Baranova, Ekaterina N/T-5461-2017</t>
  </si>
  <si>
    <t>Bakulina, Anna/0000-0002-5171-2476; Shirokikh, Irina G/0000-0002-3319-2729; Ashikhmina, Tamara/0000-0003-4919-0047; Nazarova, Yanina/0000-0002-2945-5282; Baranova, Ekaterina/0000-0001-9832-3948</t>
  </si>
  <si>
    <t>10.25750/1995-4301-2019-3-072-079</t>
  </si>
  <si>
    <t>WOS:000490704900010</t>
  </si>
  <si>
    <t>Domracheva, LI; Shirokikh, IG; Tovstik, EV; Skugoreva, SG; Reznik, EN</t>
  </si>
  <si>
    <t>Domracheva, L., I; Shirokikh, I. G.; Tovstik, E., V; Skugoreva, S. G.; Reznik, E. N.</t>
  </si>
  <si>
    <t>Formation and assessment of the phytoregulatory potential of multispecies biofilms based on Fischerella muscicola</t>
  </si>
  <si>
    <t>Skugoreva, Svetlana/X-6225-2019; Tovstik, Evgeniya/P-1350-2017; Shirokikh, Irina G/V-3449-2017</t>
  </si>
  <si>
    <t>Skugoreva, Svetlana/0000-0002-5902-5187; Tovstik, Evgeniya/0000-0003-1861-6076; Shirokikh, Irina G/0000-0002-3319-2729</t>
  </si>
  <si>
    <t>10.25750/1995-4301-2018-2-117-124</t>
  </si>
  <si>
    <t>WOS:000468564500016</t>
  </si>
  <si>
    <t>Single-Cell Force Spectroscopy of Interaction of Lipopolysaccharide from Yersinia pseudotuberculosis and Yersinia pestis with J774 Macrophage Using Optical Tweezers</t>
  </si>
  <si>
    <t>BIOLOGICHESKIE MEMBRANY</t>
  </si>
  <si>
    <t>0233-4755</t>
  </si>
  <si>
    <t>10.7868/S0233475518020032</t>
  </si>
  <si>
    <t>WOS:000434479000003</t>
  </si>
  <si>
    <t>Potekhina, EV; Konovalova, EE; Kodolov, VA; Shelygov, AV; Sharonin, PN</t>
  </si>
  <si>
    <t>Potekhina, Elena Vitalievna; Konovalova, Elena Evgenievna; Kodolov, Vladimir Aleksandrovich; Shelygov, Aleksandr Vladimirovich; Sharonin, Pavel Nikolaevich</t>
  </si>
  <si>
    <t>IMPROVEMENT OF APPROACHES TO THE REGULATION OF THE INTERNATIONAL SERVICES MARKET</t>
  </si>
  <si>
    <t>Potekhina, Elena/AAK-1401-2021; Shelygov, Aleksandr/N-7139-2015; Sharonin, Pavel/M-8768-2015</t>
  </si>
  <si>
    <t>Shelygov, Aleksandr/0000-0003-1082-628X; Sharonin, Pavel/0000-0002-6346-4465</t>
  </si>
  <si>
    <t>APR-JUL</t>
  </si>
  <si>
    <t>10.31407/ijees12.345</t>
  </si>
  <si>
    <t>WOS:000828158500045</t>
  </si>
  <si>
    <t>Cherkasov, KV; Lapina, EB</t>
  </si>
  <si>
    <t>Cherkasov, Konstantin V.; Lapina, Ekaterina B.</t>
  </si>
  <si>
    <t>Federal State Quality Control of Education in Modern Russia: Some Aspects of Legal Uncertainty</t>
  </si>
  <si>
    <t>Cherkasov, Konstantin/G-3785-2016</t>
  </si>
  <si>
    <t>10.17223/15617793/441/31</t>
  </si>
  <si>
    <t>WOS:000468214400031</t>
  </si>
  <si>
    <t>Pestov, SV; Philippov, DA</t>
  </si>
  <si>
    <t>Pestov, S., V; Philippov, D. A.</t>
  </si>
  <si>
    <t>Structure of the plant-inhabiting insect fauna in a middle-taiga mire (Vologda Region, Russia)</t>
  </si>
  <si>
    <t>Philippov, Dmitriy A./Q-5463-2016; Pestov, Sergey V./N-2018-2013</t>
  </si>
  <si>
    <t>Philippov, Dmitriy A./0000-0003-3075-1959; Pestov, Sergey V./0000-0003-4919-0047</t>
  </si>
  <si>
    <t>10.25750/1995-4301-2021-2-215-221</t>
  </si>
  <si>
    <t>WOS:000667025400031</t>
  </si>
  <si>
    <t>Logvinova, DS; Markov, DI; Nikolaeva, OP; Sluchanko, NN; Ushakov, DS; Levitsky, DI</t>
  </si>
  <si>
    <t>Logvinova, Daria S.; Markov, Denis I.; Nikolaeva, Olga P.; Sluchanko, Nikolai N.; Ushakov, Dmitry S.; Levitsky, Dmitrii I.</t>
  </si>
  <si>
    <t>Does Interaction between the Motor and Regulatory Domains of the Myosin Head Occur during ATPase Cycle? Evidence from Thermal Unfolding Studies on Myosin Subfragment 1</t>
  </si>
  <si>
    <t>PLOS ONE</t>
  </si>
  <si>
    <t>Ushakov, Dmitry/AAF-7914-2020; Sluchanko, Nikolai/R-4110-2016</t>
  </si>
  <si>
    <t>Ushakov, Dmitry/0000-0001-7109-4217; Sluchanko, Nikolai/0000-0002-8608-1416</t>
  </si>
  <si>
    <t>1932-6203</t>
  </si>
  <si>
    <t>SEP 10</t>
  </si>
  <si>
    <t>e0137517</t>
  </si>
  <si>
    <t>10.1371/journal.pone.0137517</t>
  </si>
  <si>
    <t>WOS:000360965800053</t>
  </si>
  <si>
    <t>Krutikhina, MV; Vlasova, VK; Galushkin, AA; Pavlushin, AA</t>
  </si>
  <si>
    <t>Krutikhina, Marina V.; Vlasova, Vera K.; Galushkin, Alexander A.; Pavlushin, Andrey A.</t>
  </si>
  <si>
    <t>Teaching of Mathematical Modeling Elements in the Mathematics Course of the Secondary School</t>
  </si>
  <si>
    <t>Pavlushin, Andrej Aleksandrovich/O-6051-2017; Galushkin, Alexander A./J-7724-2013; Vlasova, Vera K./B-8514-2016</t>
  </si>
  <si>
    <t>Pavlushin, Andrej Aleksandrovich/0000-0002-7678-2876; Galushkin, Alexander A./0000-0003-0034-2871; Vlasova, Vera K./0000-0001-7214-5143</t>
  </si>
  <si>
    <t>10.29333/ejmste/83561</t>
  </si>
  <si>
    <t>WOS:000429004200016</t>
  </si>
  <si>
    <t>Shibaeva, NA; Zarudneva, AI; Sozinova, AA; Shuvaev, AV; Alekseev, AN</t>
  </si>
  <si>
    <t>Gashenko, IV; Zima, YS; Davidyan, AV</t>
  </si>
  <si>
    <t>Shibaeva, Natalya A.; Zarudneva, Anna I.; Sozinova, Anastasia A.; Shuvaev, Alexander V.; Alekseev, Alexander N.</t>
  </si>
  <si>
    <t>Restructuring of Tax Liabilities as an Upcoming Trend of Economic Diversification in Modern Russia</t>
  </si>
  <si>
    <t>OPTIMIZATION OF THE TAXATION SYSTEM: PRECONDITIONS, TENDENCIES, AND PERSPECTIVES</t>
  </si>
  <si>
    <t>Studies in Systems Decision and Control</t>
  </si>
  <si>
    <t>Alekseev, Alexander N./H-9193-2018; Sozinova, Anastasia/F-6298-2015; Shuvaev, Alexander Vasilyevich/V-3232-2017</t>
  </si>
  <si>
    <t xml:space="preserve">Alekseev, Alexander N./0000-0001-7925-975X; Sozinova, Anastasia/0000-0001-5876-2823; </t>
  </si>
  <si>
    <t>978-3-030-01514-5; 978-3-030-01513-8</t>
  </si>
  <si>
    <t>10.1007/978-3-030-01514-5_10</t>
  </si>
  <si>
    <t>10.1007/978-3-030-01514-5</t>
  </si>
  <si>
    <t>WOS:000475508000011</t>
  </si>
  <si>
    <t>Pugacheva, N; Kirillova, T; Kirillova, O; Luchinina, A; Korolyuk, I; Lunev, A</t>
  </si>
  <si>
    <t>Pugacheva, Natalya; Kirillova, Tatyana; Kirillova, Olga; Luchinina, Anastasia; Korolyuk, Irina; Lunev, Aleksandr</t>
  </si>
  <si>
    <t>Digital Paradigm in Educational Management: The Case of Construction Education Based on Emerging Technologies</t>
  </si>
  <si>
    <t>INTERNATIONAL JOURNAL OF EMERGING TECHNOLOGIES IN LEARNING</t>
  </si>
  <si>
    <t>Pugacheva, Natalya NP/B-7953-2017; Luchinina, Anastasia/AAB-8652-2021</t>
  </si>
  <si>
    <t>Pugacheva, Natalya NP/0000-0003-1768-0076; Luchinina, Anastasia/0000-0003-0022-957X</t>
  </si>
  <si>
    <t>1863-0383</t>
  </si>
  <si>
    <t>10.3991/ijet.v15i13.14663</t>
  </si>
  <si>
    <t>WOS:000549475600007</t>
  </si>
  <si>
    <t>Borisenkov, MF; Vetosheva, VI; Kuznetsova, YS; Khodyrev, GN; Shikhova, AV; Popov, SV; Pecherkina, AA; Dorogina, OI; Symaniuk, EE</t>
  </si>
  <si>
    <t>Borisenkov, Mikhail F.; Vetosheva, Valentina, I; Kuznetsova, Yekaterina S.; Khodyrev, Grigoriy N.; Shikhova, Asya, V; Popov, Sergey, V; Pecherkina, Anna A.; Dorogina, Olga, I; Symaniuk, Elvira E.</t>
  </si>
  <si>
    <t>Chronotype, social jetlag, and time perspective</t>
  </si>
  <si>
    <t>CHRONOBIOLOGY INTERNATIONAL</t>
  </si>
  <si>
    <t>Pecherkina, Anna A/Q-7376-2016; Borisenkov, Mikhail/H-7169-2019; Symanyuk, Elvira E/Q-8009-2016; Dorogina, Olga/AAS-5450-2020; Popov, Sergey V/F-7627-2016</t>
  </si>
  <si>
    <t>Pecherkina, Anna A/0000-0002-2261-2505; Borisenkov, Mikhail/0000-0002-4310-2010; Symanyuk, Elvira E/0000-0002-7591-7230; Popov, Sergey V/0000-0003-1763-8898; Dorogina, Olga/0000-0002-6860-8309; Khodyrev, Grigoriy/0000-0001-7827-5045; , Asya/0000-0003-2750-6389</t>
  </si>
  <si>
    <t>0742-0528</t>
  </si>
  <si>
    <t>1525-6073</t>
  </si>
  <si>
    <t>10.1080/07420528.2019.1683858</t>
  </si>
  <si>
    <t>WOS:000493027100001</t>
  </si>
  <si>
    <t>Ibragimov, AG; Gimaliev, VG; Khrisanova, EG; Aleksandrova, NS; Omarova, LB; Bakiev, AG</t>
  </si>
  <si>
    <t>Ibragimov, Artur G.; Gimaliev, Vagiz G.; Khrisanova, Elena G.; Aleksandrova, Natalia S.; Omarova, Leyla B.; Bakiev, Andrey G.</t>
  </si>
  <si>
    <t>Assessing the effectiveness of smartphones in education: A Meta-analysis of recent studies</t>
  </si>
  <si>
    <t>ONLINE JOURNAL OF COMMUNICATION AND MEDIA TECHNOLOGIES</t>
  </si>
  <si>
    <t>Chernonosova, Anna/AFF-1414-2022; Aleksandrova, Natalia/T-3001-2018</t>
  </si>
  <si>
    <t>Aleksandrova, Natalia/0000-0002-5364-9204</t>
  </si>
  <si>
    <t>1986-3497</t>
  </si>
  <si>
    <t>e202310</t>
  </si>
  <si>
    <t>10.30935/ojcmt/12877</t>
  </si>
  <si>
    <t>WOS:000925822400002</t>
  </si>
  <si>
    <t>Baranova, EN; Chaban, IA; Kononenko, NV; Shupletsova, ON; Shirokich, IG; Polyakov, VY</t>
  </si>
  <si>
    <t>Baranova, E. N.; Chaban, I. A.; Kononenko, N. V.; Shupletsova, O. N.; Shirokich, I. G.; Polyakov, V. Y.</t>
  </si>
  <si>
    <t>Morphological and Functional Characteristics of the Barley Calluses Tolerant to the Toxic Action of Aluminum</t>
  </si>
  <si>
    <t>Шуплецова, Ольга/AAB-5659-2020; Inna, Chaban/ABE-4287-2020; Kononenko, Neonila/ABD-5353-2020; Shirokikh, Irina G/V-3449-2017; Baranova, Ekaterina N/T-5461-2017</t>
  </si>
  <si>
    <t>Шуплецова, Ольга/0000-0003-4679-0717; Shirokikh, Irina G/0000-0002-3319-2729; Baranova, Ekaterina/0000-0001-8169-9228</t>
  </si>
  <si>
    <t>10.7868/S0233475515030032</t>
  </si>
  <si>
    <t>WOS:000360029300006</t>
  </si>
  <si>
    <t>Klepko, VV; Slisenko, VI; Sukhyy, KM; Nesin, SD; Kovalenko, VL; Serhiienko, YO; Sukha, IV</t>
  </si>
  <si>
    <t>Klepko, V. V.; Slisenko, V., I; Sukhyy, K. M.; Nesin, S. D.; Kovalenko, V. L.; Serhiienko, Y. O.; Sukha, I., V</t>
  </si>
  <si>
    <t>STRUCTURE, MORPHOLOGY, THERMAL AND CONDUCTIVITY PROPERTIES OF GEL ELECTROLYTE SYSTEM BASED ON POLYVINYL CHLORIDE AND LiClO4</t>
  </si>
  <si>
    <t>NUCLEAR PHYSICS AND ATOMIC ENERGY</t>
  </si>
  <si>
    <t>Kovalenko, Vadym/C-5386-2019</t>
  </si>
  <si>
    <t>Kovalenko, Vadym/0000-0002-8012-6732; Sukha, Irina/0000-0002-5579-2047; Klepko, Valeri/0000-0001-8089-8305</t>
  </si>
  <si>
    <t>1818-331X</t>
  </si>
  <si>
    <t>2074-0565</t>
  </si>
  <si>
    <t>10.15407/jnpae2018.01.043</t>
  </si>
  <si>
    <t>WOS:000461273700005</t>
  </si>
  <si>
    <t>EDUCATIONAL ACTIVITIES IN MODERN RUSSIA: LEGAL BARRIERS AND RESTRAINTS</t>
  </si>
  <si>
    <t>10.17223/15617793/431/30</t>
  </si>
  <si>
    <t>WOS:000441014600030</t>
  </si>
  <si>
    <t>Kholod, N; Sivogrivov, D; Latypov, O; Mayorov, S; Kuznitsyn, R; Kajava, AV; Shlyapnikov, M; Granovsky, I</t>
  </si>
  <si>
    <t>Kholod, Natalia; Sivogrivov, Dmitry; Latypov, Oleg; Mayorov, Sergey; Kuznitsyn, Rafail; Kajava, Andrey V.; Shlyapnikov, Mikhail; Granovsky, Igor</t>
  </si>
  <si>
    <t>Single substitution in bacteriophage T4 RNase H alters the ratio between its exo- and endonuclease activities</t>
  </si>
  <si>
    <t>MUTATION RESEARCH-FUNDAMENTAL AND MOLECULAR MECHANISMS OF MUTAGENESIS</t>
  </si>
  <si>
    <t>Mayorov, Sergey/B-5712-2014; Granovsky, Igor/GWQ-7549-2022; Kuznitsyn, Rafail/ABA-8059-2020; Kholod, Natalia S/B-5724-2014; Granovsky, Igor/B-5774-2014; Kajava, Andrey V/E-1107-2014</t>
  </si>
  <si>
    <t>Granovsky, Igor/0000-0003-1368-2146; Granovsky, Igor/0000-0003-1368-2146; Kajava, Andrey V/0000-0002-2342-6886</t>
  </si>
  <si>
    <t>0027-5107</t>
  </si>
  <si>
    <t>1873-135X</t>
  </si>
  <si>
    <t>10.1016/j.mrfmmm.2015.09.004</t>
  </si>
  <si>
    <t>WOS:000364160200006</t>
  </si>
  <si>
    <t>Terentyeva, IV; Kirillova, O; Kirillova, T; Pugacheva, N; Lunev, A; Chemerilova, I; Luchinina, A</t>
  </si>
  <si>
    <t>Terentyeva, Irina Vasilyevna; Kirillova, Olga; Kirillova, Tatyana; Pugacheva, Natalya; Lunev, Aleksandr; Chemerilova, Irina; Luchinina, Anastasia</t>
  </si>
  <si>
    <t>Arrangement of cooperation between labour market and regional vocational education system</t>
  </si>
  <si>
    <t>INTERNATIONAL JOURNAL OF EDUCATIONAL MANAGEMENT</t>
  </si>
  <si>
    <t>Luchinina, Anastasia/AAB-8652-2021; Лучинина, Анастасия/AAK-4606-2020; Pugacheva, Natalya NP/B-7953-2017; Kirillova, Tatiana/T-9247-2019; Terenteva, Irina/M-1925-2013; Lunev, Aleksander/E-2163-2017</t>
  </si>
  <si>
    <t>Luchinina, Anastasia/0000-0003-0022-957X; Pugacheva, Natalya NP/0000-0003-1768-0076; Terenteva, Irina/0000-0002-7072-6822; Kirillova, Tat'ana/0000-0001-8394-897X; Lunev, Aleksander/0000-0002-7316-3770</t>
  </si>
  <si>
    <t>0951-354X</t>
  </si>
  <si>
    <t>1758-6518</t>
  </si>
  <si>
    <t>10.1108/IJEM-10-2017-0296</t>
  </si>
  <si>
    <t>WOS:000442506100007</t>
  </si>
  <si>
    <t>Matvienko, VV; Faleeva, LV; Yudina, AM; Lopanova, AP; Uvarova, NN; Polunina, OS; Gafurova, PA</t>
  </si>
  <si>
    <t>Matvienko, Valentin V.; Faleeva, Liya, V; Yudina, Anna M.; Lopanova, Anastasia P.; Uvarova, Natalia N.; Polunina, Olga S.; Gafurova, Parizod A.</t>
  </si>
  <si>
    <t>INFORMATION SOCIETY: SOCIO-PSYCHOLOGICAL CHARACTERISTICS OF INTERNET RESOURCES ACTIVE USERS</t>
  </si>
  <si>
    <t>HUMANIDADES &amp; INOVACAO</t>
  </si>
  <si>
    <t>Faleeva, Liya/W-9420-2018; Polunina, Olga/ABH-9875-2020; Yudina, Anna M/AAU-7059-2021; Yudina, Anna/AAX-3276-2021</t>
  </si>
  <si>
    <t xml:space="preserve">Faleeva, Liya/0000-0001-9749-0533; Yudina, Anna M/0000-0001-5420-6643; </t>
  </si>
  <si>
    <t>2358-8322</t>
  </si>
  <si>
    <t>WOS:000629197300019</t>
  </si>
  <si>
    <t>Popkova, EG; Bogoviz, AV; Lobova, SV; Chililov, AM; Sozinova, AA; Sergi, BS</t>
  </si>
  <si>
    <t>Popkova, Elena G.; Bogoviz, Aleksei, V; Lobova, Svetlana, V; Chililov, Abdula M.; Sozinova, Anastasia A.; Sergi, Bruno S.</t>
  </si>
  <si>
    <t>Changing entrepreneurial attitudes for mitigating the global pandemic's social drama</t>
  </si>
  <si>
    <t>HUMANITIES &amp; SOCIAL SCIENCES COMMUNICATIONS</t>
  </si>
  <si>
    <t>Bogoviz, Aleksei/H-1867-2017; Popkova, Elena G/C-8484-2014; Lobova, Svetlana Vladislavlevna/H-6304-2014</t>
  </si>
  <si>
    <t>Bogoviz, Aleksei/0000-0002-6667-5284; Popkova, Elena G/0000-0003-2136-2767; Lobova, Svetlana Vladislavlevna/0000-0002-5784-1260; Sergi, Bruno Sergio/0000-0002-5050-5651</t>
  </si>
  <si>
    <t>2662-9992</t>
  </si>
  <si>
    <t>APR 21</t>
  </si>
  <si>
    <t>10.1057/s41599-022-01151-2</t>
  </si>
  <si>
    <t>WOS:000784659800003</t>
  </si>
  <si>
    <t>Borisenkov, MF; Popov, SV; Smirnov, VV; Gubin, DG; Petrov, IM; Vasilkova, TN; Solovieva, SV; Martinson, EA; Pecherkina, AA; Dorogina, OI; Symaniuk, EE</t>
  </si>
  <si>
    <t>Borisenkov, Mikhail F.; Popov, Sergey, V; Smirnov, Vasily V.; Gubin, Denis G.; Petrov, Ivan M.; Vasilkova, Tatyana N.; Solovieva, Svetlana, V; Martinson, Ekaterina A.; Pecherkina, Anna A.; Dorogina, Olga, I; Symaniuk, Elvira E.</t>
  </si>
  <si>
    <t>Association between food addiction and time perspective during COVID-19 isolation</t>
  </si>
  <si>
    <t>EATING AND WEIGHT DISORDERS-STUDIES ON ANOREXIA BULIMIA AND OBESITY</t>
  </si>
  <si>
    <t>Petrov, Ivan/D-7613-2015; Popov, Sergey V/F-7627-2016; Borisenkov, Mikhail/H-7169-2019; Pecherkina, Anna A/Q-7376-2016; Smirnov, Vasily V/M-4942-2016; Gubin, Denis/P-9425-2015</t>
  </si>
  <si>
    <t>Petrov, Ivan/0000-0001-7766-1745; Popov, Sergey V/0000-0003-1763-8898; Borisenkov, Mikhail/0000-0002-4310-2010; Pecherkina, Anna A/0000-0002-2261-2505; Smirnov, Vasily V/0000-0003-3704-988X; Gubin, Denis/0000-0003-2028-1033; Dorogina, Olga/0000-0002-6860-8309</t>
  </si>
  <si>
    <t>1124-4909</t>
  </si>
  <si>
    <t>1590-1262</t>
  </si>
  <si>
    <t>10.1007/s40519-021-01259-5</t>
  </si>
  <si>
    <t>WOS:000757328000001</t>
  </si>
  <si>
    <t>Galchenko, NA; Zharkova, AA; Beltyukova, OV; Spirina, EV; Pavlova, EV; Ilkevich, BV; Kidinov, AV</t>
  </si>
  <si>
    <t>Galchenko, Natalya A.; Zharkova, Alena A.; Beltyukova, Oksana, V; Spirina, Elena, V; Pavlova, Elena, V; Ilkevich, Boris, V; Kidinov, Alexey, V</t>
  </si>
  <si>
    <t>SOCIAL AND PSYCHOLOGICAL CARE TO OLDER URBAN RESIDENTS DURING THE CORONAVIRUS PANDEMIC</t>
  </si>
  <si>
    <t>INTERNATIONAL REVIEW</t>
  </si>
  <si>
    <t>Galchenko, Natalia/AAX-9171-2021; Kidinov, Alexey/AAF-3721-2019</t>
  </si>
  <si>
    <t>Galchenko, Natalia/0000-0003-1039-4616; Kidinov, Alexey/0000-0002-1826-208X</t>
  </si>
  <si>
    <t>2217-9739</t>
  </si>
  <si>
    <t>WOS:000653732600016</t>
  </si>
  <si>
    <t>Wang, ZY; Utemov, VV; Krivonozhkina, EG; Liu, G; Galushkin, AA</t>
  </si>
  <si>
    <t>Wang, Zeyu; Utemov, Vyacheslav V.; Krivonozhkina, Ekaterina G.; Liu, Gang; Galushkin, Alexander A.</t>
  </si>
  <si>
    <t>Pedagogical Readiness of Mathematics Teachers to Implement Innovative Forms of Educational Activities</t>
  </si>
  <si>
    <t>Galushkin, Alexander A./J-7724-2013; Utemov, Vyacheslav V/F-1651-2017; Krivonozhkina, Ekaterina/O-2791-2016</t>
  </si>
  <si>
    <t>Galushkin, Alexander A./0000-0003-0034-2871; Utemov, Vyacheslav V/0000-0001-8156-5916; Krivonozhkina, Ekaterina/0000-0001-5853-8274</t>
  </si>
  <si>
    <t>10.12973/ejmste/80613</t>
  </si>
  <si>
    <t>WOS:000423586100043</t>
  </si>
  <si>
    <t>Liu, Y; Cao, K; Karpova, S; Olkhov, A; Filatova, A; Zhulkina, A; Burkov, A; Fomin, SV; Rosa, DS; Iordanskii, AL</t>
  </si>
  <si>
    <t>Liu, Yong; Cao, Kuan; Karpova, Svetlana; Olkhov, Anatoliy; Filatova, Anna; Zhulkina, Anna; Burkov, Andrey; Fomin, Sergey, V; Rosa, Derval S.; Iordanskii, Alexey L.</t>
  </si>
  <si>
    <t>Comparative Characterization of Melt Electrospun Fibers and Films Based on PLA-PHB Blends: Diffusion, Drug Release, and Structural Features</t>
  </si>
  <si>
    <t>MACROMOLECULAR SYMPOSIA</t>
  </si>
  <si>
    <t>5th International Conference on Natural Polymers, Bio-Polymers, Bio-Materials, Their Composites, Nanocomposites, Blends, IPNs, Polyelectrolytes, and Gels - Macro to Nano Scales (ICNP)</t>
  </si>
  <si>
    <t>JUN 07-09, 2017</t>
  </si>
  <si>
    <t>Rio de Janeiro, BRAZIL</t>
  </si>
  <si>
    <t>Liu, Yong/ABG-6214-2020; Fomin, Sergey V./A-7869-2014; Liu, Yong/K-3601-2015; Burkov, Andrei/N-5302-2016; Burkov, Andrey/ABB-8219-2021; Rosa, Derval dos Santos/K-9153-2016</t>
  </si>
  <si>
    <t>Liu, Yong/0000-0001-5562-7757; Fomin, Sergey V./0000-0003-0393-5613; Liu, Yong/0000-0001-5562-7757; Burkov, Andrei/0000-0002-3627-1262; Rosa, Derval dos Santos/0000-0001-9470-0638; Iordanskii, Alexey/0000-0003-0771-0825</t>
  </si>
  <si>
    <t>1022-1360</t>
  </si>
  <si>
    <t>1521-3900</t>
  </si>
  <si>
    <t>UNSP 1800130</t>
  </si>
  <si>
    <t>10.1002/masy.201800130</t>
  </si>
  <si>
    <t>WOS:000447303600019</t>
  </si>
  <si>
    <t>Baranov, VV; Savinov, AM; Ashrafullina, GS; Makarov, AL; Korzhanova, AA; Dzhamalova, BB; Magomedrasulov, MN</t>
  </si>
  <si>
    <t>Baranov, Vladimir V.; Savinov, Andrey M.; Ashrafullina, Gulnaz Sh; Makarov, Alexandr L.; Korzhanova, Alla A.; Dzhamalova, Bika B.; Magomedrasulov, Magomedrasul N.</t>
  </si>
  <si>
    <t>Youth Leisure in Cultural Space of Modern City: State and Prospects of Development</t>
  </si>
  <si>
    <t>Savinov, Andrei/0000-0001-5158-9968; Asrafullina, Gul'naz/0000-0003-1309-3456</t>
  </si>
  <si>
    <t>e643</t>
  </si>
  <si>
    <t>10.20511/pyr2020.v8nSPE2.643</t>
  </si>
  <si>
    <t>WOS:000559769600002</t>
  </si>
  <si>
    <t>Associations among sleep-wake rhythm characteristics, time perspective and psycho-emotional state during COVID-19 isolation</t>
  </si>
  <si>
    <t>BIOLOGICAL RHYTHM RESEARCH</t>
  </si>
  <si>
    <t>Pecherkina, Anna A/Q-7376-2016; Popov, Sergey V/F-7627-2016; Gubin, Denis/P-9425-2015; Smirnov, Vasily V/M-4942-2016; Borisenkov, Mikhail/H-7169-2019; Petrov, Ivan/D-7613-2015; Dorogina, Olga/AAS-5450-2020</t>
  </si>
  <si>
    <t>Pecherkina, Anna A/0000-0002-2261-2505; Popov, Sergey V/0000-0003-1763-8898; Gubin, Denis/0000-0003-2028-1033; Smirnov, Vasily V/0000-0003-3704-988X; Borisenkov, Mikhail/0000-0002-4310-2010; Petrov, Ivan/0000-0001-7766-1745; Dorogina, Olga/0000-0002-6860-8309</t>
  </si>
  <si>
    <t>0929-1016</t>
  </si>
  <si>
    <t>1744-4179</t>
  </si>
  <si>
    <t>NOV 2</t>
  </si>
  <si>
    <t>10.1080/09291016.2022.2041289</t>
  </si>
  <si>
    <t>WOS:000755399600001</t>
  </si>
  <si>
    <t>Stolbov, DN; Smirnova, AI; Savilov, SV; Shilov, MA; Burkov, AA; Parfenov, AS; Usol'tseva, NV</t>
  </si>
  <si>
    <t>Stolbov, D. N.; Smirnova, A., I; Savilov, S., V; Shilov, M. A.; Burkov, A. A.; Parfenov, A. S.; Usol'tseva, N., V</t>
  </si>
  <si>
    <t>Influence of different types of carbon nanoflakes on tribological and rheological properties of plastic lubricants</t>
  </si>
  <si>
    <t>FULLERENES NANOTUBES AND CARBON NANOSTRUCTURES</t>
  </si>
  <si>
    <t>Parfenov, Alexander/A-8413-2019; Burkov, Andrey/ABB-8219-2021; Burkov, Andrei/N-5302-2016; Stolbov, Dmitrii/U-4262-2019; Stolbov, Dmitrii/AAD-2560-2022; Stolbov, Dmitrii/GVS-7607-2022; Shilov, Mikhail Aleksandrovich/D-9621-2017</t>
  </si>
  <si>
    <t>Parfenov, Alexander/0000-0002-5729-4121; Burkov, Andrei/0000-0002-3627-1262; Stolbov, Dmitrii/0000-0001-8682-2328; Stolbov, Dmitrii/0000-0001-8682-2328; Shilov, Mikhail Aleksandrovich/0000-0002-6445-3303; Savilov, Serguei/0000-0002-5827-3912</t>
  </si>
  <si>
    <t>1536-383X</t>
  </si>
  <si>
    <t>1536-4046</t>
  </si>
  <si>
    <t>JAN 2</t>
  </si>
  <si>
    <t>10.1080/1536383X.2021.1960315</t>
  </si>
  <si>
    <t>WOS:000684132500001</t>
  </si>
  <si>
    <t>Latkov, NY; Dzhatdoeva, DT; Tokhiriyon, B; Lapina, V; Poznyakovsky, VM; Dzhabrailov, YM; Sorokopudova, OA; Karanina, EV; Kotandzhyan, AV; Kalitskaya, VV</t>
  </si>
  <si>
    <t>Latkov, Nikolay Yurievich; Dzhatdoeva, Diana Tokhtarovna; Tokhiriyon, Boisjoni; Lapina, Valentina; Poznyakovsky, Valeriy Mikhailovich; Dzhabrailov, Yusup Mohambekovich; Sorokopudova, Olga Anatolyevna; Karanina, Elena Valeryevna; Kotandzhyan, Asya Valentinovna; Kalitskaya, Victoria Vyacheslavovna</t>
  </si>
  <si>
    <t>Nutrition for Increased Adaptive Capacity, Better Sports Performance and Improved Quality of Life</t>
  </si>
  <si>
    <t>APPLIED SCIENCES-BASEL</t>
  </si>
  <si>
    <t>Тохириён, Боисджони/AAB-7152-2021</t>
  </si>
  <si>
    <t>Тохириён, Боисджони/0000-0002-0321-0359</t>
  </si>
  <si>
    <t>2076-3417</t>
  </si>
  <si>
    <t>10.3390/app122412681</t>
  </si>
  <si>
    <t>WOS:000902084800001</t>
  </si>
  <si>
    <t>Popkova, EG; Tyurina, YG; Sozinova, AA; Bychkova, LV; Zemskova, OM; Serebryakova, MF; Lazareva, NV</t>
  </si>
  <si>
    <t>Popkova, Elena G.; Tyurina, Yulia G.; Sozinova, Anastasia A.; Bychkova, Larisa V.; Zemskova, Olga M.; Serebryakova, Maria F.; Lazareva, Natalia V.</t>
  </si>
  <si>
    <t>Clustering as a Growth Point of Modern Russian Business</t>
  </si>
  <si>
    <t>Oshhepkova, Elena/AAB-4045-2020; Tyurina, Yuliya G/Q-9676-2018; Tyurina, Yuliya/AAJ-7522-2020; Sozinova, Anastasia/F-6298-2015; Popkova, Elena G/C-8484-2014; Lazareva, Natalia Viatcheslavovna/Q-3080-2016; Lazareva, Natalia/AAB-4986-2020</t>
  </si>
  <si>
    <t xml:space="preserve">Tyurina, Yuliya G/0000-0002-5279-4901; Tyurina, Yuliya/0000-0002-5279-4901; Sozinova, Anastasia/0000-0001-5876-2823; Popkova, Elena G/0000-0003-2136-2767; Lazareva, Natalia Viatcheslavovna/0000-0002-5490-9936; </t>
  </si>
  <si>
    <t>10.1007/978-3-319-45462-7_7</t>
  </si>
  <si>
    <t>WOS:000406973000007</t>
  </si>
  <si>
    <t>Masalimova, AR; Erdyneeva, KG; Kryukova, NI; Khlusyanov, O; Chudnovskiy, AD; Dobrokhotov, DA</t>
  </si>
  <si>
    <t>Masalimova, Alfiya R.; Erdyneeva, Klavdiya G.; Kryukova, Nina I.; Khlusyanov, Oleg V.; Chudnovskiy, Alexey D.; Dobrokhotov, Denis A.</t>
  </si>
  <si>
    <t>Bibliometric analysis of augmented reality in education and social science</t>
  </si>
  <si>
    <t>Kryukova, Nina Ivanovna/GQP-5523-2022; Erdyneeva, Klavdiya/A-8689-2019; Masalimova, Alfiya/K-3840-2015</t>
  </si>
  <si>
    <t>Erdyneeva, Klavdiya/0000-0001-5547-1887; Masalimova, Alfiya/0000-0003-3711-2527</t>
  </si>
  <si>
    <t>e202316</t>
  </si>
  <si>
    <t>10.30935/ojcmt/13018</t>
  </si>
  <si>
    <t>WOS:000944253000003</t>
  </si>
  <si>
    <t>Polukhina, A; Sheresheva, M; Efremova, M; Suranova, O; Agalakova, O; Antonov-Ovseenko, A</t>
  </si>
  <si>
    <t>Polukhina, Anna; Sheresheva, Marina; Efremova, Marina; Suranova, Oxana; Agalakova, Oksana; Antonov-Ovseenko, Anton</t>
  </si>
  <si>
    <t>The Concept of Sustainable Rural Tourism Development in the Face of COVID-19 Crisis: Evidence from Russia</t>
  </si>
  <si>
    <t>JOURNAL OF RISK AND FINANCIAL MANAGEMENT</t>
  </si>
  <si>
    <t>Антонов-Овсеенко, Антон Антонович/AAV-1154-2020; Sheresheva, Marina/AAH-4719-2021; SURANOVA, OKSANA/HLG-1631-2023; Polukhina, Anna Nicolaevna/Q-1154-2016</t>
  </si>
  <si>
    <t xml:space="preserve">Sheresheva, Marina/0000-0002-8153-7111; SURANOVA, OKSANA/0000-0001-5902-6465; </t>
  </si>
  <si>
    <t>1911-8066</t>
  </si>
  <si>
    <t>1911-8074</t>
  </si>
  <si>
    <t>10.3390/jrfm14010038</t>
  </si>
  <si>
    <t>WOS:000610339500001</t>
  </si>
  <si>
    <t>Byvalov, AA; Konyshev, IV; Uversky, VN; Dentovskaya, SV; Anisimov, AP</t>
  </si>
  <si>
    <t>Byvalov, Andrey A.; Konyshev, Ilya V.; Uversky, Vladimir N.; Dentovskaya, Svetlana V.; Anisimov, Andrey P.</t>
  </si>
  <si>
    <t>Yersinia Outer Membrane Vesicles as Potential Vaccine Candidates in Protecting against Plague</t>
  </si>
  <si>
    <t>BIOMOLECULES</t>
  </si>
  <si>
    <t>Uversky, Vladimir N./F-4515-2011; Anisimov, Andrey P./H-5257-2012; Konyshev, Ilya V./A-9370-2019; Byvalov, Andrey A./Y-6825-2018; Dentovskaya, Svetlana/F-4623-2017</t>
  </si>
  <si>
    <t>Uversky, Vladimir N./0000-0002-4037-5857; Anisimov, Andrey P./0000-0002-5499-7999; Konyshev, Ilya V./0000-0001-6575-9630; Byvalov, Andrey A./0000-0003-1117-5896; Dentovskaya, Svetlana/0000-0002-1996-8949</t>
  </si>
  <si>
    <t>2218-273X</t>
  </si>
  <si>
    <t>10.3390/biom10121694</t>
  </si>
  <si>
    <t>WOS:000601745400001</t>
  </si>
  <si>
    <t>Rahman, R; Bin Othman, A; Yurkin, Y; Burkov, A; Shestakova, U; Bin Bakri, MK; Alfaifi, SY; Madkhali, O; Aljabri, MD; Rahman, MM</t>
  </si>
  <si>
    <t>Rahman, Rezaur; Bin Othman, Al-Khalid; Yurkin, Yuriy; Burkov, Andrey; Shestakova, Ulyana; Bin Bakri, Muhammad Khusairy; Alfaifi, Sulaiman Y.; Madkhali, O.; Aljabri, Mahmood D.; Rahman, Mohammed M.</t>
  </si>
  <si>
    <t>Rheological and Mechanical Study of Micro-Nano Sized Biocarbon-PLA Biodegradable Biocomposites</t>
  </si>
  <si>
    <t>BIORESOURCES</t>
  </si>
  <si>
    <t>1930-2126</t>
  </si>
  <si>
    <t>10.15376/biores.18.3.4492-4509</t>
  </si>
  <si>
    <t>WOS:000992191400015</t>
  </si>
  <si>
    <t>Marchenko, AA; Korzhanova, AA; Kamalieva, GA; Sharonov, IA; Lichutina, MG; Sharov, SS; Vashechkina, OV; Varenik, PK</t>
  </si>
  <si>
    <t>Marchenko, Alla A.; Korzhanova, Alla A.; Kamalieva, Galina A.; Sharonov, Ivan A.; Lichutina, Marina G.; Sharov, Sergey S.; Vashechkina, Olga V.; Varenik, Petr K.</t>
  </si>
  <si>
    <t>Sustainable Development Concept Implementation in Environmental Education</t>
  </si>
  <si>
    <t>EKOLOJI</t>
  </si>
  <si>
    <t>Alexandrovich, Sharonov Ivan/N-3655-2016</t>
  </si>
  <si>
    <t>Alexandrovich, Sharonov Ivan/0000-0001-9234-1299</t>
  </si>
  <si>
    <t>1300-1361</t>
  </si>
  <si>
    <t>UNSP e107076</t>
  </si>
  <si>
    <t>WOS:000461678300026</t>
  </si>
  <si>
    <t>Tavstukha, OG; Osiyanova, OM; Chelpachenko, TV; Yudina, AM; Ovchinnikov, OM; Illarionova, LP; Gereev, ZG; Aleksandrova, NS</t>
  </si>
  <si>
    <t>Tavstukha, Olga G.; Osiyanova, Olga M.; Chelpachenko, Tatiana, V; Yudina, Anna M.; Ovchinnikov, Oleg M.; Illarionova, Lyudmila P.; Gereev, Zelimkhan G.; Aleksandrova, Natalia S.</t>
  </si>
  <si>
    <t>Counter-Pandemic Vector of Remote Learning for University Students: Risks and Benefits of Educational Process Large-Scale Digitalization</t>
  </si>
  <si>
    <t>Yudina, Anna/AAX-3276-2021; Yudina, Anna M/AAU-7059-2021; Aleksandrova, Natalia/T-3001-2018</t>
  </si>
  <si>
    <t>Yudina, Anna M/0000-0001-5420-6643; Aleksandrova, Natalia/0000-0002-5364-9204; Tavstukha, Olga Grigorevna/0000-0003-1672-3871</t>
  </si>
  <si>
    <t>e1133</t>
  </si>
  <si>
    <t>10.20511/pyr2021.v9nSPE3.1133</t>
  </si>
  <si>
    <t>WOS:000631706900069</t>
  </si>
  <si>
    <t>Chistopolskaya, KA; Mitina, OV; Enikolopov, SN; Nikolaev, EL; Semikin, GI; Chubina, SA; Ozol, SN; Drovosekov, SE</t>
  </si>
  <si>
    <t>Chistopolskaya, K. A.; Mitina, O. V.; Enikolopov, S. N.; Nikolaev, E. L.; Semikin, G. I.; Chubina, S. A.; Ozol, S. N.; Drovosekov, S. E.</t>
  </si>
  <si>
    <t>ADAPTATION ON A RUSSIAN SAMPLE OF THE SHORT VERSION OF EXPERIENCE IN CLOSE RELATIONSHIPS-REVISED QUESTIONNAIRE</t>
  </si>
  <si>
    <t>Chistopolskaya, Ksenia A./F-4213-2014; Semikin, Gennady Ivanovich/T-9092-2017; Mitina, Olga/I-5194-2012; Nikolaev, Evgeni L./P-8907-2016; Drovosekov, Sergei/AAG-8704-2020</t>
  </si>
  <si>
    <t xml:space="preserve">Chistopolskaya, Ksenia A./0000-0003-2552-5009; Mitina, Olga/0000-0002-2237-4404; Nikolaev, Evgeni L./0000-0001-8976-715X; </t>
  </si>
  <si>
    <t>10.31857/S020595920000838-7</t>
  </si>
  <si>
    <t>WOS:000453484800009</t>
  </si>
  <si>
    <t>Borisenkov, MF; Popov, SV; Pecherkina, AA; Dorogina, OI; Martinson, EA; Vetosheva, VI; Gubin, DG; Solovieva, SV; Turovinina, EF; Symaniuk, EE</t>
  </si>
  <si>
    <t>Borisenkov, Mikhail F.; Popov, Sergey V.; Pecherkina, Anna A.; Dorogina, Olga I.; Martinson, Ekaterina A.; Vetosheva, Valentina I.; Gubin, Denis G.; Solovieva, Svetlana V.; Turovinina, Elena F.; Symaniuk, Elvira E.</t>
  </si>
  <si>
    <t>Food addiction in young adult residents of Russia: Associations with emotional and anthropometric characteristics</t>
  </si>
  <si>
    <t>EUROPEAN EATING DISORDERS REVIEW</t>
  </si>
  <si>
    <t>Borisenkov, Mikhail/H-7169-2019; Popov, Sergey/AAM-6438-2021; Pecherkina, Anna A/Q-7376-2016; Gubin, Denis/P-9425-2015; Popov, Sergey V/F-7627-2016; Symanyuk, Elvira E/Q-8009-2016</t>
  </si>
  <si>
    <t>Borisenkov, Mikhail/0000-0002-4310-2010; Popov, Sergey/0000-0003-1763-8898; Pecherkina, Anna A/0000-0002-2261-2505; Gubin, Denis/0000-0003-2028-1033; Popov, Sergey V/0000-0003-1763-8898; Symanyuk, Elvira E/0000-0002-7591-7230; Dorogina, Olga/0000-0002-6860-8309</t>
  </si>
  <si>
    <t>1072-4133</t>
  </si>
  <si>
    <t>1099-0968</t>
  </si>
  <si>
    <t>10.1002/erv.2731</t>
  </si>
  <si>
    <t>WOS:000541677300010</t>
  </si>
  <si>
    <t>Borisenkov, MF; Popov, SV; Tserne, TA; Bakutova, LA; Pecherkina, AA; Dorogina, OI; Martinson, EA; Vetosheva, VI; Gubin, DG; Solovieva, SV; Turovinina, EF; Symanyuk, EE</t>
  </si>
  <si>
    <t>Borisenkov, Mikhail F.; Popov, Sergey V.; Tserne, Tatyana A.; Bakutova, Larisa A.; Pecherkina, Anna A.; Dorogina, Olga I.; Martinson, Ekaterina A.; Vetosheva, Valentina I.; Gubin, Denis G.; Solovieva, Svetlana V.; Turovinina, Elena F.; Symanyuk, Elvira E.</t>
  </si>
  <si>
    <t>Food addiction and symptoms of depression among inhabitants of the European North of Russia: Associations with sleep characteristics and photoperiod</t>
  </si>
  <si>
    <t>Popov, Sergey V/F-7627-2016; Popov, Sergey/AAM-6438-2021; Dorogina, Olga/AAS-5450-2020; Symanyuk, Elvira E/Q-8009-2016; Gubin, Denis/P-9425-2015; Pecherkina, Anna A/Q-7376-2016; Borisenkov, Mikhail/H-7169-2019</t>
  </si>
  <si>
    <t>Popov, Sergey V/0000-0003-1763-8898; Popov, Sergey/0000-0003-1763-8898; Symanyuk, Elvira E/0000-0002-7591-7230; Gubin, Denis/0000-0003-2028-1033; Pecherkina, Anna A/0000-0002-2261-2505; Borisenkov, Mikhail/0000-0002-4310-2010; Dorogina, Olga/0000-0002-6860-8309</t>
  </si>
  <si>
    <t>10.1002/erv.2728</t>
  </si>
  <si>
    <t>WOS:000529065200009</t>
  </si>
  <si>
    <t>Sergi, BS; Popkova, EG; Sozinova, AA; Fetisova, OV</t>
  </si>
  <si>
    <t>Sergi, BS</t>
  </si>
  <si>
    <t>Sergi, Bruno S.; Popkova, Elena G.; Sozinova, Anastasia A.; Fetisova, Olga V.</t>
  </si>
  <si>
    <t>Modeling Russian Industrial, Tech, and Financial Cooperation with the Asia-Pacific Region</t>
  </si>
  <si>
    <t>TECH, SMART CITIES, AND REGIONAL DEVELOPMENT IN CONTEMPORARY RUSSIA</t>
  </si>
  <si>
    <t>Popkova, Elena G/C-8484-2014; Sergi, Bruno/AAT-7504-2020; Sozinova, Anastasia/F-6298-2015</t>
  </si>
  <si>
    <t>Popkova, Elena G/0000-0003-2136-2767; Sergi, Bruno/0000-0002-5050-5651; Sozinova, Anastasia/0000-0001-5876-2823</t>
  </si>
  <si>
    <t>978-1-78973-881-0; 978-1-78973-882-7</t>
  </si>
  <si>
    <t>10.1108/978-1-78973-881-020191012</t>
  </si>
  <si>
    <t>10.1108/9781789738810</t>
  </si>
  <si>
    <t>WOS:000487529300011</t>
  </si>
  <si>
    <t>Borisenkov, MF; Tserne, TA; Popov, SV; Bakutova, LA; Pecherkina, AA; Dorogina, OI; Martinson, EA; Vetosheva, VI; Gubin, DG; Solovieva, SV; Turovinina, EF; Symaniuk, EE</t>
  </si>
  <si>
    <t>Borisenkov, Mikhail F.; Tserne, Tatyana A.; Popov, Sergey V.; Bakutova, Larisa A.; Pecherkina, Anna A.; Dorogina, Olga I.; Martinson, Ekaterina A.; Vetosheva, Valentina I.; Gubin, Denis G.; Solovieva, Svetlana V.; Turovinina, Elena F.; Symaniuk, Elvira E.</t>
  </si>
  <si>
    <t>Food preferences and YFAS/YFAS-C scores in schoolchildren and university students</t>
  </si>
  <si>
    <t>Gubin, Denis/P-9425-2015; Pecherkina, Anna A/Q-7376-2016; Popov, Sergey/AAM-6438-2021; Symanyuk, Elvira E/Q-8009-2016; Borisenkov, Mikhail/H-7169-2019; Popov, Sergey V/F-7627-2016</t>
  </si>
  <si>
    <t>Gubin, Denis/0000-0003-2028-1033; Pecherkina, Anna A/0000-0002-2261-2505; Popov, Sergey/0000-0003-1763-8898; Symanyuk, Elvira E/0000-0002-7591-7230; Borisenkov, Mikhail/0000-0002-4310-2010; Popov, Sergey V/0000-0003-1763-8898; Dorogina, Olga/0000-0002-6860-8309</t>
  </si>
  <si>
    <t>10.1007/s40519-020-01064-6</t>
  </si>
  <si>
    <t>JAN 2021</t>
  </si>
  <si>
    <t>WOS:000604484700009</t>
  </si>
  <si>
    <t>Parfenov, AS; Shilov, MA; Smirnova, AI; Berezina, EV; Tkachev, AG; Burkov, AA; Rozhkova, NN; Usol'tseva, NV</t>
  </si>
  <si>
    <t>Parfenov, A. S.; Shilov, M. A.; Smirnova, A., I; Berezina, E., V; Tkachev, A. G.; Burkov, A. A.; Rozhkova, N. N.; Usol'tseva, N., V</t>
  </si>
  <si>
    <t>Influence of Various Carbon Allotropes on Tribological and Rheological Characteristics of Model Lubricating Systems</t>
  </si>
  <si>
    <t>JOURNAL OF FRICTION AND WEAR</t>
  </si>
  <si>
    <t>Parfenov, Alexander/A-8413-2019; Tkachev, Alexey G./HHZ-6215-2022; Shilov, Mikhail Aleksandrovich/D-9621-2017</t>
  </si>
  <si>
    <t>Parfenov, Alexander/0000-0002-5729-4121; Tkachev, Alexey G./0000-0002-1095-7311; Shilov, Mikhail Aleksandrovich/0000-0002-6445-3303; Burkov, Andrey/0000-0002-3627-1262</t>
  </si>
  <si>
    <t>1068-3666</t>
  </si>
  <si>
    <t>1934-9386</t>
  </si>
  <si>
    <t>10.3103/S1068366621030132</t>
  </si>
  <si>
    <t>WOS:000712575600013</t>
  </si>
  <si>
    <t>Novikova, GP; Levanova, EA; Zatsepina, MB; Fabrikov, MS; Gubanova, NF; Erastov, AE; Aleksandrova, NS; Pankova, AS</t>
  </si>
  <si>
    <t>Novikova, Galina P.; Levanova, Elena A.; Zatsepina, Mariya B.; Fabrikov, Maxim S.; Gubanova, Natalya F.; Erastov, Anton E.; Aleksandrova, Natalia S.; Pankova, Anastasia S.</t>
  </si>
  <si>
    <t>Educational Cluster As A Mean Of Students Cultural Cooperation Forming</t>
  </si>
  <si>
    <t>Aleksandrova, Natalia/T-3001-2018</t>
  </si>
  <si>
    <t>WOS:000432679600026</t>
  </si>
  <si>
    <t>Pleshkova, N; Tokhiriyon, B; Vekovtsev, A; Poznyakovsky, VM; Lapina, V; Takaeva, MA; Sorokopudov, VN; Karanina, EV</t>
  </si>
  <si>
    <t>Pleshkova, Natalia; Tokhiriyon, Boisjoni; Vekovtsev, Andrei; Poznyakovsky, Valeriy Mikhailovich; Lapina, Valentina; Takaeva, Madina Atlaevna; Sorokopudov, Vladimir Nikolaevich; Karanina, Elena Valeryevna</t>
  </si>
  <si>
    <t>Efficacy of Biologically Active Food Supplements for People with Atherosclerotic Vascular Changes</t>
  </si>
  <si>
    <t>MOLECULES</t>
  </si>
  <si>
    <t>Lapina, Valentina/HHZ-5630-2022; Тохириён, Боисджони/AAB-7152-2021</t>
  </si>
  <si>
    <t>1420-3049</t>
  </si>
  <si>
    <t>10.3390/molecules27154812</t>
  </si>
  <si>
    <t>WOS:000839796000001</t>
  </si>
  <si>
    <t>Leont'ev, VK; Pogorel'skii, IP; Frolov, GA; Karasenkov, YN; Gusev, AA; Latuta, NV; Borozdkin, LL; Stefantsova, DS</t>
  </si>
  <si>
    <t>Leont'ev, V. K.; Pogorel'skii, I. P.; Frolov, G. A.; Karasenkov, Ya. N.; Gusev, A. A.; Latuta, N. V.; Borozdkin, L. L.; Stefantsova, D. S.</t>
  </si>
  <si>
    <t>Antibacterial Properties of Aqueous Colloid Solutions of Metal and Metal Oxide Nanoparticles against Dental Plaque Bacteria</t>
  </si>
  <si>
    <t>NANOTECHNOLOGIES IN RUSSIA</t>
  </si>
  <si>
    <t>Latuta, Nadezhda/GRO-7172-2022; Gusev, Alexander A./E-5028-2014; Gusev, Alexander/AAE-4989-2019; Latuta, Nadezhda/AAN-3816-2021; Straumal, Boris/I-7531-2013</t>
  </si>
  <si>
    <t>Gusev, Alexander A./0000-0002-8699-9112; Latuta, Nadezhda/0000-0002-6754-0314; Straumal, Boris/0000-0001-5601-0660; Borozdkin, Leonid/0000-0002-6403-2621</t>
  </si>
  <si>
    <t>1995-0780</t>
  </si>
  <si>
    <t>1995-0799</t>
  </si>
  <si>
    <t>10.1134/S1995078018020040</t>
  </si>
  <si>
    <t>WOS:000446030400015</t>
  </si>
  <si>
    <t>Vorotnikov, VA; Belyakov, SA; Plekhanov, MS; Stroeva, AY; Lesnichyova, AS; Zhigalina, OM; Khmelenin, DN; Basu, VG; Kuzmin, AV</t>
  </si>
  <si>
    <t>Vorotnikov, V. A.; Belyakov, S. A.; Plekhanov, M. S.; Stroeva, A. Yu; Lesnichyova, A. S.; Zhigalina, O. M.; Khmelenin, D. N.; Basu, V. G.; Kuzmin, A. V.</t>
  </si>
  <si>
    <t>Proton transfer in La2-xCaxZr2O7-delta pyrochlores: Reasons for limited water uptake and high grain boundary conductivity</t>
  </si>
  <si>
    <t>Belyakov, Semyon/L-5930-2017; Plekhanov, Maksim/X-2719-2018; Kuzmin, Anton/O-4057-2014</t>
  </si>
  <si>
    <t>Plekhanov, Maksim/0000-0002-2701-4619; Kuzmin, Anton/0000-0002-0700-662X; Lesnichyova, Alyona/0000-0003-1885-0137; Belyakov, Semyon/0000-0001-9237-8307</t>
  </si>
  <si>
    <t>A</t>
  </si>
  <si>
    <t>10.1016/j.ceramint.2022.08.115</t>
  </si>
  <si>
    <t>WOS:000894019500001</t>
  </si>
  <si>
    <t>Matin, P; Rahman, MR; Huda, D; Bin Bakri, MK; Uddin, J; Yurkin, Y; Burkov, A; Kuok, KK; Matin, MM</t>
  </si>
  <si>
    <t>Matin, Priyanka; Rahman, Md Rezaur; Huda, Durul; Bin Bakri, Muhammad Khusairy; Uddin, Jamal; Yurkin, Yuriy; Burkov, Andrey; Kuok, Kuok King; Matin, Mohammed Mahbubul</t>
  </si>
  <si>
    <t>Application of Synthetic Acyl Glucopyranosides for White-rot and Brown-rot Fungal Decay Resistance in Aspen and Pine Wood</t>
  </si>
  <si>
    <t>Bakri, Muhammad Khusairy Bin/C-3651-2018; Matin, Mohammed Mahbubul/ABA-2124-2020</t>
  </si>
  <si>
    <t>Bakri, Muhammad Khusairy Bin/0000-0003-1971-2350; Matin, Mohammed Mahbubul/0000-0003-4965-2280</t>
  </si>
  <si>
    <t>10.15376/biores.17.2.3025-3041</t>
  </si>
  <si>
    <t>WOS:000795947000024</t>
  </si>
  <si>
    <t>Beregovaya, EB; Kozin, MN; Larionova, SO; Suvorova, TN; Blinova, LN; Lukovenko, TG; Popova, OV; Novitskaya, LY</t>
  </si>
  <si>
    <t>Beregovaya, Elena B.; Kozin, Mikhail N.; Larionova, Svetlana O.; Suvorova, Tatyana N.; Blinova, Lyubov N.; Lukovenko, Tatyana G.; Popova, Olga V.; Novitskaya, Lyudmila Yu.</t>
  </si>
  <si>
    <t>Modern Approaches To Professional Development And Education Of Teachers</t>
  </si>
  <si>
    <t>Larionova, Svetlana/AAE-2235-2021; Lukovenko, Tatiana/AAY-2936-2021</t>
  </si>
  <si>
    <t>WOS:000443674500040</t>
  </si>
  <si>
    <t>Ju, R; Buldakova, NV; Sorokoumova, SN; Sergeeva, MG; Galushkin, AA; Soloviev, AA; Kryukova, NI</t>
  </si>
  <si>
    <t>Ju, Rong; Buldakova, Natalya V.; Sorokoumova, Svetlana N.; Sergeeva, Marina G.; Galushkin, Alexander A.; Soloviev, Andrey A.; Kryukova, Nina I.</t>
  </si>
  <si>
    <t>Foresight Methods in Pedagogical Design of University Learning Environment</t>
  </si>
  <si>
    <t>Sorokoumova, Svetlana/J-9166-2017; Kryukova, Nina Ivanovna/GQP-5523-2022; Galushkin, Alexander A./J-7724-2013</t>
  </si>
  <si>
    <t>Galushkin, Alexander A./0000-0003-0034-2871; Sorokoumova, Svetlana/0000-0001-8339-6597; Solovyev, Andrey/0000-0002-4305-9286; Kryukova, Nina I./0000-0002-0667-9945</t>
  </si>
  <si>
    <t>10.12973/eurasia.2017.01003a</t>
  </si>
  <si>
    <t>WOS:000409067500069</t>
  </si>
  <si>
    <t>Tserne, TA; Borisenkov, MF; Popov, SV; Bakutova, LA; Jongte, L; Trivedi, AK; Pecherkina, AA; Dorogina, OI; Martinson, EA; Vetosheva, VI; Gubin, DG; Solovieva, SV; Danilova, LA; Turovinina, EF; Symaniuk, EE</t>
  </si>
  <si>
    <t>Tserne, Tatyana A.; Borisenkov, Mikhail F.; Popov, Sergey, V; Bakutova, Larisa A.; Jongte, Lalremruati; Trivedi, Amit K.; Pecherkina, Anna A.; Dorogina, Olga, I; Martinson, Ekaterina A.; Vetosheva, Valentina, I; Gubin, Denis G.; Solovieva, Svetlana, V; Danilova, Lina A.; Turovinina, Elena F.; Symaniuk, Elvira E.</t>
  </si>
  <si>
    <t>Food addiction and weight in students with high academic performance</t>
  </si>
  <si>
    <t>PUBLIC HEALTH NUTRITION</t>
  </si>
  <si>
    <t>Dorogina, Olga/AAS-5450-2020; Popov, Sergey V/F-7627-2016; Pecherkina, Anna A/Q-7376-2016; Gubin, Denis/P-9425-2015; Borisenkov, Mikhail/H-7169-2019</t>
  </si>
  <si>
    <t>Popov, Sergey V/0000-0003-1763-8898; Pecherkina, Anna A/0000-0002-2261-2505; Gubin, Denis/0000-0003-2028-1033; Borisenkov, Mikhail/0000-0002-4310-2010; Dorogina, Olga/0000-0002-6860-8309</t>
  </si>
  <si>
    <t>1368-9800</t>
  </si>
  <si>
    <t>1475-2727</t>
  </si>
  <si>
    <t>10.1017/S1368980021002160</t>
  </si>
  <si>
    <t>WOS:000721004700008</t>
  </si>
  <si>
    <t>Stukalova, OV; Akhmadieva, RS; Khasyanov, OR; Faleeva, LV; Ashrafullina, GS; Fortova, LK; Kochneva, LV; Kryukova, NI</t>
  </si>
  <si>
    <t>Stukalova, Olga V.; Akhmadieva, Roza Sh.; Khasyanov, Oleg R.; Faleeva, Liya V.; Ashrafullina, Gulnaz Sh.; Fortova, Lyubov K.; Kochneva, Lyubov V.; Kryukova, Nina I.</t>
  </si>
  <si>
    <t>Modern Trends In Educational Institutions Education Quality Assessment</t>
  </si>
  <si>
    <t>Faleeva, Liya/W-9420-2018; Khasyanov, Oleg Renatovich/N-1730-2016; Stukalova, Olga Vadimovna/V-8824-2017; Kochneva, Lyubov Valentinovna/C-3025-2019; Ashrafullina, Gulnaz/M-2943-2015; Fortova, Lyubov/AAG-6726-2019; Kryukova, Nina Ivanovna/GQP-5523-2022</t>
  </si>
  <si>
    <t xml:space="preserve">Faleeva, Liya/0000-0001-9749-0533; </t>
  </si>
  <si>
    <t>WOS:000449115800022</t>
  </si>
  <si>
    <t>Shilov, MA; Smirnova, AI; Gvozdev, AA; Rozhkova, NN; Dyachkova, TP; Burkov, AA; Stolbov, DN; Savilov, SV; Usol'tseva, NV</t>
  </si>
  <si>
    <t>Shilov, M. A.; Smirnova, A. I.; Gvozdev, A. A.; Rozhkova, N. N.; Dyachkova, T. P.; Burkov, A. A.; Stolbov, D. N.; Savilov, S. V.; Usol'tseva, N. V.</t>
  </si>
  <si>
    <t>Rheology of Plastic Lubricants with Additives of Carbon Nanostructures of Various Type</t>
  </si>
  <si>
    <t>Burkov, Andrey/ABB-8219-2021; Stolbov, Dmitrii/GVS-7607-2022; Stolbov, Dmitrii/AAD-2560-2022; Stolbov, Dmitrii/U-4262-2019; Usol'tseva, Nadezhda V/I-9502-2017; Shilov, Mikhail Aleksandrovich/D-9621-2017; Smirnova, Antonina I/N-6946-2016; Dyachkova, Tatyana/Q-2145-2016</t>
  </si>
  <si>
    <t>Stolbov, Dmitrii/0000-0001-8682-2328; Stolbov, Dmitrii/0000-0001-8682-2328; Usol'tseva, Nadezhda V/0000-0001-8963-8024; Shilov, Mikhail Aleksandrovich/0000-0002-6445-3303; Smirnova, Antonina I/0000-0002-5234-1283; Dyachkova, Tatyana/0000-0002-4884-5171; Savilov, Serguei/0000-0002-5827-3912; Burkov, Andrey/0000-0002-3627-1262</t>
  </si>
  <si>
    <t>10.3103/S1068366619060217</t>
  </si>
  <si>
    <t>WOS:000511537300012</t>
  </si>
  <si>
    <t>Cherdymova, EI; Faleeva, LV; Ilkevich, TG; Sharonov, IA; Sayfutdinova, GB; Leusenko, IV; Popova, OV</t>
  </si>
  <si>
    <t>Cherdymova, Elena I.; Faleeva, Liya V.; Ilkevich, Tatyana G.; Sharonov, Ivan A.; Sayfutdinova, Guzel B.; Leusenko, Irina V.; Popova, Olga V.</t>
  </si>
  <si>
    <t>Socio-Psychological Factors that Contribute to and Impede the Process of Student Eco-Vocational Consciousness Formation</t>
  </si>
  <si>
    <t>Cherdymova, Elena/AAC-8866-2020; Faleeva, Liya/W-9420-2018; Alexandrovich, Sharonov Ivan/N-3655-2016</t>
  </si>
  <si>
    <t>Faleeva, Liya/0000-0001-9749-0533; Alexandrovich, Sharonov Ivan/0000-0001-9234-1299; Cherdymova, Elena I./0000-0002-0392-8483</t>
  </si>
  <si>
    <t>UNSP e107072</t>
  </si>
  <si>
    <t>WOS:000461678300017</t>
  </si>
  <si>
    <t>Natochaya, EN; Zhukova, MY; Aytuganova, JI; Nikitina, EL; Ezhikova, NY; Kharisova, RR; Alenina, EE; Spirina, EV</t>
  </si>
  <si>
    <t>Natochaya, Elena N.; Zhukova, Maria Ye; Aytuganova, Jhanna, I; Nikitina, Ekaterina L.; Ezhikova, Natalia Yu; Kharisova, Regina R.; Alenina, Elena E.; Spirina, Elena, V</t>
  </si>
  <si>
    <t>University Electronic Educational Resources: New Generation Of Multimedia Support For Educational Process</t>
  </si>
  <si>
    <t>Spirina, Elena/AAC-9470-2019; Natochaya, Elena/ABE-6664-2020; Alenina, Elena/AAG-8926-2020</t>
  </si>
  <si>
    <t>Alenina, Elena/0000-0002-0109-3064</t>
  </si>
  <si>
    <t>WOS:000451687800003</t>
  </si>
  <si>
    <t>Polyakova, LY; Nizamutdinova, GF; Zharikov, YS; Kartushina, IG; Minkova, ES; Plotnikov, DA; Popova, OV; Ukolova, LI</t>
  </si>
  <si>
    <t>Polyakova, Larisa Yu; Nizamutdinova, Gulnaz F.; Zharikov, Yuri S.; Kartushina, Irina G.; Minkova, Ekaterina S.; Plotnikov, Dmitry A.; Popova, Olga, V; Ukolova, Lyubov, I</t>
  </si>
  <si>
    <t>Design and Implementation of University Digital Campus Content as Educational Process Innovative Model</t>
  </si>
  <si>
    <t>Картушина, Ирина Г/G-3131-2019</t>
  </si>
  <si>
    <t>WOS:000451688200116</t>
  </si>
  <si>
    <t>Kovalenko, VL; Kotok, VA; Sykchin, A; Ananchenko, BA; Chernyad'ev, AV; Burkov, AA; Deabate, S; Mehdi, A; Henn, F; Bantignies, JL; Bychkov, KL; Verbitskiy, VV; Sukhyy, KM</t>
  </si>
  <si>
    <t>Kovalenko, V. L.; Kotok, V. A.; Sykchin, A.; Ananchenko, B. A.; Chernyad'ev, A. V.; Burkov, A. A.; Deabate, S.; Mehdi, A.; Henn, F.; Bantignies, J. -L.; Bychkov, K. L.; Verbitskiy, V. V.; Sukhyy, K. M.</t>
  </si>
  <si>
    <t>Al3+ Additive in the Nickel Hydroxide Obtained by High-Temperature Two-Step Synthesis: Activator or Poisoner for Chemical Power Source Application?</t>
  </si>
  <si>
    <t>Ananchenko, Boris/AAM-5831-2020; Kotok, Valerii/P-2977-2016; Burkov, Andrey/ABB-8219-2021; Kovalenko, Vadym/C-5386-2019</t>
  </si>
  <si>
    <t>Ananchenko, Boris/0000-0002-7975-7828; Kotok, Valerii/0000-0001-8879-7189; Kovalenko, Vadym/0000-0002-8012-6732; Burkov, Andrey/0000-0002-3627-1262</t>
  </si>
  <si>
    <t>JUN 16</t>
  </si>
  <si>
    <t>10.1149/1945-7111/ab9a2a</t>
  </si>
  <si>
    <t>WOS:000613254900001</t>
  </si>
  <si>
    <t>Philippov, DA; Ermilov, SG; Zaytseva, VL; Pestov, SV; Kuzmin, EA; Shabalina, JN; Sazhnev, AS; Ivicheva, KN; Sterlyagova, IN; Leonov, MM; Boychuk, MA; Czhobadze, AB; Prokina, KI; Dulin, MV; Joharchi, O; Shabunov, AB; Shiryaeva, OS; Levashov, AN; Komarova, AS; Yurchenko, VV</t>
  </si>
  <si>
    <t>Philippov, Dmitriy A.; Ermilov, Sergey G.; Zaytseva, Vera L.; Pestov, Sergey, V; Kuzmin, Eugeniy A.; Shabalina, Julia N.; Sazhnev, Alexey S.; Ivicheva, Ksenya N.; Sterlyagova, Irina N.; Leonov, Mikhail M.; Boychuk, Margarita A.; Czhobadze, Andrey B.; Prokina, Kristina, I; Dulin, Mikhail, V; Joharchi, Omid; Shabunov, Aleksey B.; Shiryaeva, Olga S.; Levashov, Andrey N.; Komarova, Aleksandra S.; Yurchenko, Victoria V.</t>
  </si>
  <si>
    <t>Biodiversity of a boreal mire, including its hydrographic network (Shichengskoe mire, north-western Russia)</t>
  </si>
  <si>
    <t>BIODIVERSITY DATA JOURNAL</t>
  </si>
  <si>
    <t>Yurchenko, Victoria V/R-3656-2016; Philippov, Dmitriy A./Q-5463-2016; Shiryaeva, Olga/AAR-3110-2021; Sterlyagova, Irina N/P-9584-2015; Sazhnev, Alexey/Q-6165-2016; Shabalina, Julia/F-2979-2016</t>
  </si>
  <si>
    <t>Yurchenko, Victoria V/0000-0001-8491-3621; Philippov, Dmitriy A./0000-0003-3075-1959; Sazhnev, Alexey/0000-0002-0907-5194; Shabalina, Julia/0000-0002-9728-8199; Ivicheva, Ksenya/0000-0002-4764-6138; Sterlyagova, Irina/0000-0003-2090-4114</t>
  </si>
  <si>
    <t>1314-2836</t>
  </si>
  <si>
    <t>1314-2828</t>
  </si>
  <si>
    <t>e77615</t>
  </si>
  <si>
    <t>10.3897/BDJ.9.e77615</t>
  </si>
  <si>
    <t>WOS:000723025300003</t>
  </si>
  <si>
    <t>Zolotareva, A; Khegay, A; Voevodina, E; Kritsky, I; Ibragimov, R; Nizovskih, N; Konstantinov, V; Malenova, A; Belasheva, I; Khodyreva, N; Preobrazhensky, V; Azanova, K; Sarapultseva, L; Galimova, A; Atamanova, I; Kulik, A; Neyaskina, Y; Lapshin, M; Mamonova, M; Kadyrov, R; Volkova, E; Drachkova, V; Seryy, A; Kosheleva, N; Osin, E</t>
  </si>
  <si>
    <t>Zolotareva, Alena; Khegay, Anna; Voevodina, Elena; Kritsky, Igor; Ibragimov, Roman; Nizovskih, Nina; Konstantinov, Vsevolod; Malenova, Arina; Belasheva, Irina; Khodyreva, Natalia; Preobrazhensky, Vladimir; Azanova, Kristina; Sarapultseva, Lilia; Galimova, Almira; Atamanova, Inna; Kulik, Anastasia; Neyaskina, Yulia; Lapshin, Maksim; Mamonova, Marina; Kadyrov, Ruslan; Volkova, Ekaterina; Drachkova, Viktoria; Seryy, Andrey; Kosheleva, Natalia; Osin, Evgeny</t>
  </si>
  <si>
    <t>Somatic burden in Russia during the COVID-19 pandemic</t>
  </si>
  <si>
    <t>Маленова, Арина Юрьевна/AAH-7974-2021; Konstantinov, Vsevolod/M-3235-2015; Seryy, Andrey/Q-7669-2018</t>
  </si>
  <si>
    <t>Маленова, Арина Юрьевна/0000-0001-5778-0739; Konstantinov, Vsevolod/0000-0002-1443-3195; Seryy, Andrey/0000-0002-9318-4333; Zolotareva, Alena/0000-0002-5724-2882</t>
  </si>
  <si>
    <t>MAR 10</t>
  </si>
  <si>
    <t>e0282345</t>
  </si>
  <si>
    <t>10.1371/journal.pone.0282345</t>
  </si>
  <si>
    <t>WOS:000995666700001</t>
  </si>
  <si>
    <t>Maslov, I; Volkov, O; Khorn, P; Orekhov, P; Gusach, A; Kuzmichev, P; Gerasimov, A; Luginina, A; Coucke, Q; Bogorodskiy, A; Gordeliy, V; Wanninger, S; Barth, A; Mishin, A; Hofkens, J; Cherezov, V; Gensch, T; Hendrix, J; Borshchevskiy, V</t>
  </si>
  <si>
    <t>Maslov, Ivan; Volkov, Oleksandr; Khorn, Polina; Orekhov, Philipp; Gusach, Anastasiia; Kuzmichev, Pavel; Gerasimov, Andrey; Luginina, Aleksandra; Coucke, Quinten; Bogorodskiy, Andrey; Gordeliy, Valentin; Wanninger, Simon; Barth, Anders; Mishin, Alexey; Hofkens, Johan; Cherezov, Vadim; Gensch, Thomas; Hendrix, Jelle; Borshchevskiy, Valentin</t>
  </si>
  <si>
    <t>Sub-millisecond conformational dynamics of the A(2A) adenosine receptor revealed by single-molecule FRET</t>
  </si>
  <si>
    <t>COMMUNICATIONS BIOLOGY</t>
  </si>
  <si>
    <t>Orekhov, Philipp/V-5214-2017; Hofkens, Johan/D-4284-2017; Borshchevskiy, Valentin/F-2287-2014; Khorn, Polina/K-5458-2015</t>
  </si>
  <si>
    <t>Orekhov, Philipp/0000-0003-4078-4762; Gerasimov, Andrey/0000-0002-3897-0622; Gusach, Anastasia/0000-0002-2594-8573; Hofkens, Johan/0000-0002-9101-0567; Borshchevskiy, Valentin/0000-0003-4398-9712; Khorn, Polina/0000-0002-2117-2130; Luginina, Aleksandra/0000-0003-2697-456X; Coucke, Quinten/0000-0002-2493-2668; Maslov, Ivan/0000-0003-3371-4416</t>
  </si>
  <si>
    <t>2399-3642</t>
  </si>
  <si>
    <t>APR 3</t>
  </si>
  <si>
    <t>10.1038/s42003-023-04727-z</t>
  </si>
  <si>
    <t>WOS:000962868600002</t>
  </si>
  <si>
    <t>Lyapina, E; Marin, E; Gusach, A; Orekhov, P; Gerasimov, A; Luginina, A; Vakhrameev, D; Ergasheva, M; Kovaleva, M; Khusainov, G; Khorn, P; Shevtsov, M; Kovalev, K; Bukhdruker, S; Okhrimenko, I; Popov, P; Hu, H; Weierstall, U; Liu, W; Cho, Y; Gushchin, I; Rogachev, A; Bourenkov, G; Park, S; Park, G; Hyun, HJ; Park, J; Gordeliy, V; Borshchevskiy, V; Mishin, A; Cherezov, V</t>
  </si>
  <si>
    <t>Lyapina, Elizaveta; Marin, Egor; Gusach, Anastasiia; Orekhov, Philipp; Gerasimov, Andrey; Luginina, Aleksandra; Vakhrameev, Daniil; Ergasheva, Margarita; Kovaleva, Margarita; Khusainov, Georgii; Khorn, Polina; Shevtsov, Mikhail; Kovalev, Kirill; Bukhdruker, Sergey; Okhrimenko, Ivan; Popov, Petr; Hu, Hao; Weierstall, Uwe; Liu, Wei; Cho, Yunje; Gushchin, Ivan; Rogachev, Andrey; Bourenkov, Gleb; Park, Sehan; Park, Gisu; Hyun, Hyo Jung; Park, Jaehyun; Gordeliy, Valentin; Borshchevskiy, Valentin; Mishin, Alexey; Cherezov, Vadim</t>
  </si>
  <si>
    <t>Structural basis for receptor selectivity and inverse agonism in S1P(5) receptors</t>
  </si>
  <si>
    <t>NATURE COMMUNICATIONS</t>
  </si>
  <si>
    <t>Marin, Egor/J-7381-2017; Orekhov, Philipp/V-5214-2017; Shevtsov, Mikhail B/I-1823-2014; Mishin, Alexey V/F-2960-2014; Borshchevskiy, Valentin I./F-2287-2014; Khorn, Polina/K-5458-2015; Rogachev, Andrey V/K-6829-2015; Okhrimenko, Ivan/I-4293-2016; Bourenkov, Gleb/C-7794-2017</t>
  </si>
  <si>
    <t>Marin, Egor/0000-0003-2369-1732; Orekhov, Philipp/0000-0003-4078-4762; Mishin, Alexey V/0000-0003-3759-380X; Borshchevskiy, Valentin I./0000-0003-4398-9712; Khorn, Polina/0000-0002-2117-2130; Rogachev, Andrey V/0000-0003-2872-7976; Okhrimenko, Ivan/0000-0002-1053-2778; Shevtsov, Mikhail/0000-0001-8160-2967; Kovaleva, Margarita/0000-0002-0753-3905; Popov, Petr/0000-0003-3745-7154; Lyapina, Elizaveta/0000-0003-0719-8497; Luginina, Aleksandra/0000-0003-2697-456X; Vakhrameev, Daniil/0000-0002-1430-0261; Bourenkov, Gleb/0000-0002-2617-5920; Gusach, Anastasia/0000-0002-2594-8573; Gerasimov, Andrey/0000-0002-3897-0622</t>
  </si>
  <si>
    <t>2041-1723</t>
  </si>
  <si>
    <t>AUG 12</t>
  </si>
  <si>
    <t>10.1038/s41467-022-32447-1</t>
  </si>
  <si>
    <t>WOS:000840114800006</t>
  </si>
</sst>
</file>

<file path=xl/styles.xml><?xml version="1.0" encoding="utf-8"?>
<styleSheet xmlns="http://schemas.openxmlformats.org/spreadsheetml/2006/main" xml:space="preserve">
  <numFmts count="0"/>
  <fonts count="1">
    <font>
      <b val="0"/>
      <i val="0"/>
      <strike val="0"/>
      <u val="none"/>
      <sz val="10"/>
      <color rgb="FF000000"/>
      <name val="Arial"/>
    </font>
  </fonts>
  <fills count="3">
    <fill>
      <patternFill patternType="none"/>
    </fill>
    <fill>
      <patternFill patternType="gray125">
        <fgColor rgb="FFFFFFFF"/>
        <bgColor rgb="FF000000"/>
      </patternFill>
    </fill>
    <fill>
      <patternFill patternType="solid">
        <fgColor rgb="FFFFCC99"/>
        <bgColor rgb="FF000000"/>
      </patternFill>
    </fill>
  </fills>
  <borders count="1">
    <border/>
  </borders>
  <cellStyleXfs count="1">
    <xf numFmtId="0" fontId="0" fillId="0" borderId="0"/>
  </cellStyleXfs>
  <cellXfs count="3">
    <xf xfId="0" fontId="0" numFmtId="0" fillId="0" borderId="0" applyFont="0" applyNumberFormat="0" applyFill="0" applyBorder="0" applyAlignment="0" applyProtection="true">
      <alignment horizontal="general" vertical="bottom" textRotation="0" wrapText="false" shrinkToFit="false"/>
      <protection hidden="false"/>
    </xf>
    <xf xfId="0" fontId="0" numFmtId="0" fillId="2" borderId="0" applyFont="0" applyNumberFormat="0" applyFill="1" applyBorder="0"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s%3A%2F%2Fwww.webofscience.com%2Fwos%2Fwoscc%2Ffull-record%2FWOS:000292365000009" TargetMode="External"/><Relationship Id="rId_hyperlink_2" Type="http://schemas.openxmlformats.org/officeDocument/2006/relationships/hyperlink" Target="http://dx.doi.org/10.1016/j.jocs.2022.101609" TargetMode="External"/><Relationship Id="rId_hyperlink_3" Type="http://schemas.openxmlformats.org/officeDocument/2006/relationships/hyperlink" Target="https%3A%2F%2Fwww.webofscience.com%2Fwos%2Fwoscc%2Ffull-record%2FWOS:000782587900010" TargetMode="External"/><Relationship Id="rId_hyperlink_4" Type="http://schemas.openxmlformats.org/officeDocument/2006/relationships/hyperlink" Target="http://dx.doi.org/10.25750/1995-4301-2022-1-235-242" TargetMode="External"/><Relationship Id="rId_hyperlink_5" Type="http://schemas.openxmlformats.org/officeDocument/2006/relationships/hyperlink" Target="https%3A%2F%2Fwww.webofscience.com%2Fwos%2Fwoscc%2Ffull-record%2FWOS:000819811100033" TargetMode="External"/><Relationship Id="rId_hyperlink_6" Type="http://schemas.openxmlformats.org/officeDocument/2006/relationships/hyperlink" Target="http://dx.doi.org/10.28995/2073-0101-2022-2-384-395" TargetMode="External"/><Relationship Id="rId_hyperlink_7" Type="http://schemas.openxmlformats.org/officeDocument/2006/relationships/hyperlink" Target="https%3A%2F%2Fwww.webofscience.com%2Fwos%2Fwoscc%2Ffull-record%2FWOS:000868958500005" TargetMode="External"/><Relationship Id="rId_hyperlink_8" Type="http://schemas.openxmlformats.org/officeDocument/2006/relationships/hyperlink" Target="http://dx.doi.org/10.15688/jvolsu4.2022.2.6" TargetMode="External"/><Relationship Id="rId_hyperlink_9" Type="http://schemas.openxmlformats.org/officeDocument/2006/relationships/hyperlink" Target="https%3A%2F%2Fwww.webofscience.com%2Fwos%2Fwoscc%2Ffull-record%2FWOS:000787124400007" TargetMode="External"/><Relationship Id="rId_hyperlink_10" Type="http://schemas.openxmlformats.org/officeDocument/2006/relationships/hyperlink" Target="http://dx.doi.org/10.12911/22998993/139066" TargetMode="External"/><Relationship Id="rId_hyperlink_11" Type="http://schemas.openxmlformats.org/officeDocument/2006/relationships/hyperlink" Target="https%3A%2F%2Fwww.webofscience.com%2Fwos%2Fwoscc%2Ffull-record%2FWOS:000672663900013" TargetMode="External"/><Relationship Id="rId_hyperlink_12" Type="http://schemas.openxmlformats.org/officeDocument/2006/relationships/hyperlink" Target="http://dx.doi.org/10.14529/hsm20s208" TargetMode="External"/><Relationship Id="rId_hyperlink_13" Type="http://schemas.openxmlformats.org/officeDocument/2006/relationships/hyperlink" Target="https%3A%2F%2Fwww.webofscience.com%2Fwos%2Fwoscc%2Ffull-record%2FWOS:000635166900008" TargetMode="External"/><Relationship Id="rId_hyperlink_14" Type="http://schemas.openxmlformats.org/officeDocument/2006/relationships/hyperlink" Target="http://dx.doi.org/10.5281/zenodo.4316637" TargetMode="External"/><Relationship Id="rId_hyperlink_15" Type="http://schemas.openxmlformats.org/officeDocument/2006/relationships/hyperlink" Target="https%3A%2F%2Fwww.webofscience.com%2Fwos%2Fwoscc%2Ffull-record%2FWOS:000599902400003" TargetMode="External"/><Relationship Id="rId_hyperlink_16" Type="http://schemas.openxmlformats.org/officeDocument/2006/relationships/hyperlink" Target="http://dx.doi.org/10.1007/978-3-030-39225-3_47" TargetMode="External"/><Relationship Id="rId_hyperlink_17" Type="http://schemas.openxmlformats.org/officeDocument/2006/relationships/hyperlink" Target="https%3A%2F%2Fwww.webofscience.com%2Fwos%2Fwoscc%2Ffull-record%2FWOS:000675525300047" TargetMode="External"/><Relationship Id="rId_hyperlink_18" Type="http://schemas.openxmlformats.org/officeDocument/2006/relationships/hyperlink" Target="http://dx.doi.org/10.13187/ejced.2019.1.167" TargetMode="External"/><Relationship Id="rId_hyperlink_19" Type="http://schemas.openxmlformats.org/officeDocument/2006/relationships/hyperlink" Target="https%3A%2F%2Fwww.webofscience.com%2Fwos%2Fwoscc%2Ffull-record%2FWOS:000462498700013" TargetMode="External"/><Relationship Id="rId_hyperlink_20" Type="http://schemas.openxmlformats.org/officeDocument/2006/relationships/hyperlink" Target="http://dx.doi.org/10.1088/1742-6596/1399/3/033094" TargetMode="External"/><Relationship Id="rId_hyperlink_21" Type="http://schemas.openxmlformats.org/officeDocument/2006/relationships/hyperlink" Target="https%3A%2F%2Fwww.webofscience.com%2Fwos%2Fwoscc%2Ffull-record%2FWOS:000589557100156" TargetMode="External"/><Relationship Id="rId_hyperlink_22" Type="http://schemas.openxmlformats.org/officeDocument/2006/relationships/hyperlink" Target="http://dx.doi.org/10.17223/23062061/16/9" TargetMode="External"/><Relationship Id="rId_hyperlink_23" Type="http://schemas.openxmlformats.org/officeDocument/2006/relationships/hyperlink" Target="https%3A%2F%2Fwww.webofscience.com%2Fwos%2Fwoscc%2Ffull-record%2FWOS:000451192400009" TargetMode="External"/><Relationship Id="rId_hyperlink_24" Type="http://schemas.openxmlformats.org/officeDocument/2006/relationships/hyperlink" Target="http://dx.doi.org/10.17853/1994-5639-2018-4-180-199" TargetMode="External"/><Relationship Id="rId_hyperlink_25" Type="http://schemas.openxmlformats.org/officeDocument/2006/relationships/hyperlink" Target="https%3A%2F%2Fwww.webofscience.com%2Fwos%2Fwoscc%2Ffull-record%2FWOS:000461120800008" TargetMode="External"/><Relationship Id="rId_hyperlink_26" Type="http://schemas.openxmlformats.org/officeDocument/2006/relationships/hyperlink" Target="https%3A%2F%2Fwww.webofscience.com%2Fwos%2Fwoscc%2Ffull-record%2FWOS:000478963800067" TargetMode="External"/><Relationship Id="rId_hyperlink_27" Type="http://schemas.openxmlformats.org/officeDocument/2006/relationships/hyperlink" Target="http://dx.doi.org/10.1088/1742-6596/1015/3/032059" TargetMode="External"/><Relationship Id="rId_hyperlink_28" Type="http://schemas.openxmlformats.org/officeDocument/2006/relationships/hyperlink" Target="https%3A%2F%2Fwww.webofscience.com%2Fwos%2Fwoscc%2Ffull-record%2FWOS:000446952000078" TargetMode="External"/><Relationship Id="rId_hyperlink_29" Type="http://schemas.openxmlformats.org/officeDocument/2006/relationships/hyperlink" Target="https%3A%2F%2Fwww.webofscience.com%2Fwos%2Fwoscc%2Ffull-record%2FWOS:000435422600001" TargetMode="External"/><Relationship Id="rId_hyperlink_30" Type="http://schemas.openxmlformats.org/officeDocument/2006/relationships/hyperlink" Target="https%3A%2F%2Fwww.webofscience.com%2Fwos%2Fwoscc%2Ffull-record%2FWOS:000430782900010" TargetMode="External"/><Relationship Id="rId_hyperlink_31" Type="http://schemas.openxmlformats.org/officeDocument/2006/relationships/hyperlink" Target="http://dx.doi.org/10.15405/epsbs.2017.08.02.55" TargetMode="External"/><Relationship Id="rId_hyperlink_32" Type="http://schemas.openxmlformats.org/officeDocument/2006/relationships/hyperlink" Target="https%3A%2F%2Fwww.webofscience.com%2Fwos%2Fwoscc%2Ffull-record%2FWOS:000432421300055" TargetMode="External"/><Relationship Id="rId_hyperlink_33" Type="http://schemas.openxmlformats.org/officeDocument/2006/relationships/hyperlink" Target="http://dx.doi.org/10.15405/epsbs.2016.07.8" TargetMode="External"/><Relationship Id="rId_hyperlink_34" Type="http://schemas.openxmlformats.org/officeDocument/2006/relationships/hyperlink" Target="https%3A%2F%2Fwww.webofscience.com%2Fwos%2Fwoscc%2Ffull-record%2FWOS:000383393800008" TargetMode="External"/><Relationship Id="rId_hyperlink_35" Type="http://schemas.openxmlformats.org/officeDocument/2006/relationships/hyperlink" Target="https%3A%2F%2Fwww.webofscience.com%2Fwos%2Fwoscc%2Ffull-record%2FWOS:000370908700007" TargetMode="External"/><Relationship Id="rId_hyperlink_36" Type="http://schemas.openxmlformats.org/officeDocument/2006/relationships/hyperlink" Target="https%3A%2F%2Fwww.webofscience.com%2Fwos%2Fwoscc%2Ffull-record%2FWOS:000358190200056" TargetMode="External"/><Relationship Id="rId_hyperlink_37" Type="http://schemas.openxmlformats.org/officeDocument/2006/relationships/hyperlink" Target="https%3A%2F%2Fwww.webofscience.com%2Fwos%2Fwoscc%2Ffull-record%2FWOS:000290830700011" TargetMode="External"/><Relationship Id="rId_hyperlink_38" Type="http://schemas.openxmlformats.org/officeDocument/2006/relationships/hyperlink" Target="https%3A%2F%2Fwww.webofscience.com%2Fwos%2Fwoscc%2Ffull-record%2FWOS:000271159400002" TargetMode="External"/><Relationship Id="rId_hyperlink_39" Type="http://schemas.openxmlformats.org/officeDocument/2006/relationships/hyperlink" Target="https%3A%2F%2Fwww.webofscience.com%2Fwos%2Fwoscc%2Ffull-record%2FWOS:000235642300014" TargetMode="External"/><Relationship Id="rId_hyperlink_40" Type="http://schemas.openxmlformats.org/officeDocument/2006/relationships/hyperlink" Target="http://dx.doi.org/10.1023/B:TFCE.0000036967.86553.56" TargetMode="External"/><Relationship Id="rId_hyperlink_41" Type="http://schemas.openxmlformats.org/officeDocument/2006/relationships/hyperlink" Target="https%3A%2F%2Fwww.webofscience.com%2Fwos%2Fwoscc%2Ffull-record%2FWOS:000223571800010" TargetMode="External"/><Relationship Id="rId_hyperlink_42" Type="http://schemas.openxmlformats.org/officeDocument/2006/relationships/hyperlink" Target="http://dx.doi.org/10.17853/1994-5639-2022-9-11-42" TargetMode="External"/><Relationship Id="rId_hyperlink_43" Type="http://schemas.openxmlformats.org/officeDocument/2006/relationships/hyperlink" Target="https%3A%2F%2Fwww.webofscience.com%2Fwos%2Fwoscc%2Ffull-record%2FWOS:000926386400001" TargetMode="External"/><Relationship Id="rId_hyperlink_44" Type="http://schemas.openxmlformats.org/officeDocument/2006/relationships/hyperlink" Target="http://dx.doi.org/10.24874/IJQR16.03-20" TargetMode="External"/><Relationship Id="rId_hyperlink_45" Type="http://schemas.openxmlformats.org/officeDocument/2006/relationships/hyperlink" Target="https%3A%2F%2Fwww.webofscience.com%2Fwos%2Fwoscc%2Ffull-record%2FWOS:000891387700001" TargetMode="External"/><Relationship Id="rId_hyperlink_46" Type="http://schemas.openxmlformats.org/officeDocument/2006/relationships/hyperlink" Target="https%3A%2F%2Fwww.webofscience.com%2Fwos%2Fwoscc%2Ffull-record%2FWOS:000583771900020" TargetMode="External"/><Relationship Id="rId_hyperlink_47" Type="http://schemas.openxmlformats.org/officeDocument/2006/relationships/hyperlink" Target="http://dx.doi.org/10.31166/VoprosyIstorii202010Staty165" TargetMode="External"/><Relationship Id="rId_hyperlink_48" Type="http://schemas.openxmlformats.org/officeDocument/2006/relationships/hyperlink" Target="https%3A%2F%2Fwww.webofscience.com%2Fwos%2Fwoscc%2Ffull-record%2FWOS:000605445300016" TargetMode="External"/><Relationship Id="rId_hyperlink_49" Type="http://schemas.openxmlformats.org/officeDocument/2006/relationships/hyperlink" Target="http://dx.doi.org/10.24874/IJQR14.02-12" TargetMode="External"/><Relationship Id="rId_hyperlink_50" Type="http://schemas.openxmlformats.org/officeDocument/2006/relationships/hyperlink" Target="https%3A%2F%2Fwww.webofscience.com%2Fwos%2Fwoscc%2Ffull-record%2FWOS:000531047700012" TargetMode="External"/><Relationship Id="rId_hyperlink_51" Type="http://schemas.openxmlformats.org/officeDocument/2006/relationships/hyperlink" Target="http://dx.doi.org/10.25750/1995-4301-2020-2-057-063" TargetMode="External"/><Relationship Id="rId_hyperlink_52" Type="http://schemas.openxmlformats.org/officeDocument/2006/relationships/hyperlink" Target="https%3A%2F%2Fwww.webofscience.com%2Fwos%2Fwoscc%2Ffull-record%2FWOS:000545295600007" TargetMode="External"/><Relationship Id="rId_hyperlink_53" Type="http://schemas.openxmlformats.org/officeDocument/2006/relationships/hyperlink" Target="https%3A%2F%2Fwww.webofscience.com%2Fwos%2Fwoscc%2Ffull-record%2FWOS:000590125300040" TargetMode="External"/><Relationship Id="rId_hyperlink_54" Type="http://schemas.openxmlformats.org/officeDocument/2006/relationships/hyperlink" Target="http://dx.doi.org/10.1007/978-3-030-39225-3_70" TargetMode="External"/><Relationship Id="rId_hyperlink_55" Type="http://schemas.openxmlformats.org/officeDocument/2006/relationships/hyperlink" Target="https%3A%2F%2Fwww.webofscience.com%2Fwos%2Fwoscc%2Ffull-record%2FWOS:000675525300070" TargetMode="External"/><Relationship Id="rId_hyperlink_56" Type="http://schemas.openxmlformats.org/officeDocument/2006/relationships/hyperlink" Target="https%3A%2F%2Fwww.webofscience.com%2Fwos%2Fwoscc%2Ffull-record%2FWOS:000458750500010" TargetMode="External"/><Relationship Id="rId_hyperlink_57" Type="http://schemas.openxmlformats.org/officeDocument/2006/relationships/hyperlink" Target="https%3A%2F%2Fwww.webofscience.com%2Fwos%2Fwoscc%2Ffull-record%2FWOS:000492146100119" TargetMode="External"/><Relationship Id="rId_hyperlink_58" Type="http://schemas.openxmlformats.org/officeDocument/2006/relationships/hyperlink" Target="http://dx.doi.org/10.17223/23062061/18/8" TargetMode="External"/><Relationship Id="rId_hyperlink_59" Type="http://schemas.openxmlformats.org/officeDocument/2006/relationships/hyperlink" Target="https%3A%2F%2Fwww.webofscience.com%2Fwos%2Fwoscc%2Ffull-record%2FWOS:000455535400008" TargetMode="External"/><Relationship Id="rId_hyperlink_60" Type="http://schemas.openxmlformats.org/officeDocument/2006/relationships/hyperlink" Target="http://dx.doi.org/10.1134/S1070427218070182" TargetMode="External"/><Relationship Id="rId_hyperlink_61" Type="http://schemas.openxmlformats.org/officeDocument/2006/relationships/hyperlink" Target="https%3A%2F%2Fwww.webofscience.com%2Fwos%2Fwoscc%2Ffull-record%2FWOS:000447673400018" TargetMode="External"/><Relationship Id="rId_hyperlink_62" Type="http://schemas.openxmlformats.org/officeDocument/2006/relationships/hyperlink" Target="https%3A%2F%2Fwww.webofscience.com%2Fwos%2Fwoscc%2Ffull-record%2FWOS:000517795800002" TargetMode="External"/><Relationship Id="rId_hyperlink_63" Type="http://schemas.openxmlformats.org/officeDocument/2006/relationships/hyperlink" Target="http://dx.doi.org/10.24833/2071-8160-2018-4-61-241-261" TargetMode="External"/><Relationship Id="rId_hyperlink_64" Type="http://schemas.openxmlformats.org/officeDocument/2006/relationships/hyperlink" Target="https%3A%2F%2Fwww.webofscience.com%2Fwos%2Fwoscc%2Ffull-record%2FWOS:000445743100013" TargetMode="External"/><Relationship Id="rId_hyperlink_65" Type="http://schemas.openxmlformats.org/officeDocument/2006/relationships/hyperlink" Target="http://dx.doi.org/10.1007/978-3-319-60696-5_3" TargetMode="External"/><Relationship Id="rId_hyperlink_66" Type="http://schemas.openxmlformats.org/officeDocument/2006/relationships/hyperlink" Target="https%3A%2F%2Fwww.webofscience.com%2Fwos%2Fwoscc%2Ffull-record%2FWOS:000426114200003" TargetMode="External"/><Relationship Id="rId_hyperlink_67" Type="http://schemas.openxmlformats.org/officeDocument/2006/relationships/hyperlink" Target="http://dx.doi.org/10.1007/978-3-319-60696-5_71" TargetMode="External"/><Relationship Id="rId_hyperlink_68" Type="http://schemas.openxmlformats.org/officeDocument/2006/relationships/hyperlink" Target="https%3A%2F%2Fwww.webofscience.com%2Fwos%2Fwoscc%2Ffull-record%2FWOS:000426114200071" TargetMode="External"/><Relationship Id="rId_hyperlink_69" Type="http://schemas.openxmlformats.org/officeDocument/2006/relationships/hyperlink" Target="https%3A%2F%2Fwww.webofscience.com%2Fwos%2Fwoscc%2Ffull-record%2FWOS:000380404000020" TargetMode="External"/><Relationship Id="rId_hyperlink_70" Type="http://schemas.openxmlformats.org/officeDocument/2006/relationships/hyperlink" Target="https%3A%2F%2Fwww.webofscience.com%2Fwos%2Fwoscc%2Ffull-record%2FWOS:000330336600010" TargetMode="External"/><Relationship Id="rId_hyperlink_71" Type="http://schemas.openxmlformats.org/officeDocument/2006/relationships/hyperlink" Target="http://dx.doi.org/10.1023/A:1025776212553" TargetMode="External"/><Relationship Id="rId_hyperlink_72" Type="http://schemas.openxmlformats.org/officeDocument/2006/relationships/hyperlink" Target="https%3A%2F%2Fwww.webofscience.com%2Fwos%2Fwoscc%2Ffull-record%2FWOS:000184763100039" TargetMode="External"/><Relationship Id="rId_hyperlink_73" Type="http://schemas.openxmlformats.org/officeDocument/2006/relationships/hyperlink" Target="https%3A%2F%2Fwww.webofscience.com%2Fwos%2Fwoscc%2Ffull-record%2FWOS:000165979500020" TargetMode="External"/><Relationship Id="rId_hyperlink_74" Type="http://schemas.openxmlformats.org/officeDocument/2006/relationships/hyperlink" Target="http://dx.doi.org/10.1139/er-2022-0081" TargetMode="External"/><Relationship Id="rId_hyperlink_75" Type="http://schemas.openxmlformats.org/officeDocument/2006/relationships/hyperlink" Target="https%3A%2F%2Fwww.webofscience.com%2Fwos%2Fwoscc%2Ffull-record%2FWOS:000931841200001" TargetMode="External"/><Relationship Id="rId_hyperlink_76" Type="http://schemas.openxmlformats.org/officeDocument/2006/relationships/hyperlink" Target="http://dx.doi.org/10.21638/spbu14.2022.102" TargetMode="External"/><Relationship Id="rId_hyperlink_77" Type="http://schemas.openxmlformats.org/officeDocument/2006/relationships/hyperlink" Target="https%3A%2F%2Fwww.webofscience.com%2Fwos%2Fwoscc%2Ffull-record%2FWOS:000806210500002" TargetMode="External"/><Relationship Id="rId_hyperlink_78" Type="http://schemas.openxmlformats.org/officeDocument/2006/relationships/hyperlink" Target="http://dx.doi.org/10.17223/22274200/22/2" TargetMode="External"/><Relationship Id="rId_hyperlink_79" Type="http://schemas.openxmlformats.org/officeDocument/2006/relationships/hyperlink" Target="https%3A%2F%2Fwww.webofscience.com%2Fwos%2Fwoscc%2Ffull-record%2FWOS:000869082400002" TargetMode="External"/><Relationship Id="rId_hyperlink_80" Type="http://schemas.openxmlformats.org/officeDocument/2006/relationships/hyperlink" Target="http://dx.doi.org/10.52254/1857-0070.2021.4-52.01" TargetMode="External"/><Relationship Id="rId_hyperlink_81" Type="http://schemas.openxmlformats.org/officeDocument/2006/relationships/hyperlink" Target="https%3A%2F%2Fwww.webofscience.com%2Fwos%2Fwoscc%2Ffull-record%2FWOS:000734088800001" TargetMode="External"/><Relationship Id="rId_hyperlink_82" Type="http://schemas.openxmlformats.org/officeDocument/2006/relationships/hyperlink" Target="http://dx.doi.org/10.33407/itlt.v86i6.4320" TargetMode="External"/><Relationship Id="rId_hyperlink_83" Type="http://schemas.openxmlformats.org/officeDocument/2006/relationships/hyperlink" Target="https%3A%2F%2Fwww.webofscience.com%2Fwos%2Fwoscc%2Ffull-record%2FWOS:000750127200002" TargetMode="External"/><Relationship Id="rId_hyperlink_84" Type="http://schemas.openxmlformats.org/officeDocument/2006/relationships/hyperlink" Target="http://dx.doi.org/10.3390/w13010047" TargetMode="External"/><Relationship Id="rId_hyperlink_85" Type="http://schemas.openxmlformats.org/officeDocument/2006/relationships/hyperlink" Target="https%3A%2F%2Fwww.webofscience.com%2Fwos%2Fwoscc%2Ffull-record%2FWOS:000606408000001" TargetMode="External"/><Relationship Id="rId_hyperlink_86" Type="http://schemas.openxmlformats.org/officeDocument/2006/relationships/hyperlink" Target="http://dx.doi.org/10.13187/ejced.2020.1.160" TargetMode="External"/><Relationship Id="rId_hyperlink_87" Type="http://schemas.openxmlformats.org/officeDocument/2006/relationships/hyperlink" Target="https%3A%2F%2Fwww.webofscience.com%2Fwos%2Fwoscc%2Ffull-record%2FWOS:000522736400013" TargetMode="External"/><Relationship Id="rId_hyperlink_88" Type="http://schemas.openxmlformats.org/officeDocument/2006/relationships/hyperlink" Target="http://dx.doi.org/10.15561/26649837.2020.0606" TargetMode="External"/><Relationship Id="rId_hyperlink_89" Type="http://schemas.openxmlformats.org/officeDocument/2006/relationships/hyperlink" Target="https%3A%2F%2Fwww.webofscience.com%2Fwos%2Fwoscc%2Ffull-record%2FWOS:000601302200006" TargetMode="External"/><Relationship Id="rId_hyperlink_90" Type="http://schemas.openxmlformats.org/officeDocument/2006/relationships/hyperlink" Target="http://dx.doi.org/10.1134/S0869864319020112" TargetMode="External"/><Relationship Id="rId_hyperlink_91" Type="http://schemas.openxmlformats.org/officeDocument/2006/relationships/hyperlink" Target="https%3A%2F%2Fwww.webofscience.com%2Fwos%2Fwoscc%2Ffull-record%2FWOS:000471203300011" TargetMode="External"/><Relationship Id="rId_hyperlink_92" Type="http://schemas.openxmlformats.org/officeDocument/2006/relationships/hyperlink" Target="https%3A%2F%2Fwww.webofscience.com%2Fwos%2Fwoscc%2Ffull-record%2FWOS:000469999300031" TargetMode="External"/><Relationship Id="rId_hyperlink_93" Type="http://schemas.openxmlformats.org/officeDocument/2006/relationships/hyperlink" Target="http://dx.doi.org/10.18720/MCE.89.6" TargetMode="External"/><Relationship Id="rId_hyperlink_94" Type="http://schemas.openxmlformats.org/officeDocument/2006/relationships/hyperlink" Target="https%3A%2F%2Fwww.webofscience.com%2Fwos%2Fwoscc%2Ffull-record%2FWOS:000487290800006" TargetMode="External"/><Relationship Id="rId_hyperlink_95" Type="http://schemas.openxmlformats.org/officeDocument/2006/relationships/hyperlink" Target="https%3A%2F%2Fwww.webofscience.com%2Fwos%2Fwoscc%2Ffull-record%2FWOS:000443674500029" TargetMode="External"/><Relationship Id="rId_hyperlink_96" Type="http://schemas.openxmlformats.org/officeDocument/2006/relationships/hyperlink" Target="https%3A%2F%2Fwww.webofscience.com%2Fwos%2Fwoscc%2Ffull-record%2FWOS:000517795800128" TargetMode="External"/><Relationship Id="rId_hyperlink_97" Type="http://schemas.openxmlformats.org/officeDocument/2006/relationships/hyperlink" Target="https%3A%2F%2Fwww.webofscience.com%2Fwos%2Fwoscc%2Ffull-record%2FWOS:000386994400006" TargetMode="External"/><Relationship Id="rId_hyperlink_98" Type="http://schemas.openxmlformats.org/officeDocument/2006/relationships/hyperlink" Target="http://dx.doi.org/10.1134/S1023193512120051" TargetMode="External"/><Relationship Id="rId_hyperlink_99" Type="http://schemas.openxmlformats.org/officeDocument/2006/relationships/hyperlink" Target="https%3A%2F%2Fwww.webofscience.com%2Fwos%2Fwoscc%2Ffull-record%2FWOS:000312405700009" TargetMode="External"/><Relationship Id="rId_hyperlink_100" Type="http://schemas.openxmlformats.org/officeDocument/2006/relationships/hyperlink" Target="http://dx.doi.org/10.1134/S0036024411010286" TargetMode="External"/><Relationship Id="rId_hyperlink_101" Type="http://schemas.openxmlformats.org/officeDocument/2006/relationships/hyperlink" Target="https%3A%2F%2Fwww.webofscience.com%2Fwos%2Fwoscc%2Ffull-record%2FWOS:000288387800020" TargetMode="External"/><Relationship Id="rId_hyperlink_102" Type="http://schemas.openxmlformats.org/officeDocument/2006/relationships/hyperlink" Target="http://dx.doi.org/10.25750/1995-4301-2022-4-119-123" TargetMode="External"/><Relationship Id="rId_hyperlink_103" Type="http://schemas.openxmlformats.org/officeDocument/2006/relationships/hyperlink" Target="https%3A%2F%2Fwww.webofscience.com%2Fwos%2Fwoscc%2Ffull-record%2FWOS:000929704700016" TargetMode="External"/><Relationship Id="rId_hyperlink_104" Type="http://schemas.openxmlformats.org/officeDocument/2006/relationships/hyperlink" Target="http://dx.doi.org/10.15688/jvolsu4.2022.2.8" TargetMode="External"/><Relationship Id="rId_hyperlink_105" Type="http://schemas.openxmlformats.org/officeDocument/2006/relationships/hyperlink" Target="https%3A%2F%2Fwww.webofscience.com%2Fwos%2Fwoscc%2Ffull-record%2FWOS:000787124400009" TargetMode="External"/><Relationship Id="rId_hyperlink_106" Type="http://schemas.openxmlformats.org/officeDocument/2006/relationships/hyperlink" Target="http://dx.doi.org/10.15826/qr.2022.5.755" TargetMode="External"/><Relationship Id="rId_hyperlink_107" Type="http://schemas.openxmlformats.org/officeDocument/2006/relationships/hyperlink" Target="https%3A%2F%2Fwww.webofscience.com%2Fwos%2Fwoscc%2Ffull-record%2FWOS:000945576100007" TargetMode="External"/><Relationship Id="rId_hyperlink_108" Type="http://schemas.openxmlformats.org/officeDocument/2006/relationships/hyperlink" Target="http://dx.doi.org/10.1134/S0036029520020032" TargetMode="External"/><Relationship Id="rId_hyperlink_109" Type="http://schemas.openxmlformats.org/officeDocument/2006/relationships/hyperlink" Target="https%3A%2F%2Fwww.webofscience.com%2Fwos%2Fwoscc%2Ffull-record%2FWOS:000520832000004" TargetMode="External"/><Relationship Id="rId_hyperlink_110" Type="http://schemas.openxmlformats.org/officeDocument/2006/relationships/hyperlink" Target="http://dx.doi.org/10.17759/psylaw.2020100115" TargetMode="External"/><Relationship Id="rId_hyperlink_111" Type="http://schemas.openxmlformats.org/officeDocument/2006/relationships/hyperlink" Target="https%3A%2F%2Fwww.webofscience.com%2Fwos%2Fwoscc%2Ffull-record%2FWOS:000523598300015" TargetMode="External"/><Relationship Id="rId_hyperlink_112" Type="http://schemas.openxmlformats.org/officeDocument/2006/relationships/hyperlink" Target="http://dx.doi.org/10.24224/2227-1295-2020-1-400-421" TargetMode="External"/><Relationship Id="rId_hyperlink_113" Type="http://schemas.openxmlformats.org/officeDocument/2006/relationships/hyperlink" Target="https%3A%2F%2Fwww.webofscience.com%2Fwos%2Fwoscc%2Ffull-record%2FWOS:000511435400025" TargetMode="External"/><Relationship Id="rId_hyperlink_114" Type="http://schemas.openxmlformats.org/officeDocument/2006/relationships/hyperlink" Target="http://dx.doi.org/10.18254/S207987840013183-0" TargetMode="External"/><Relationship Id="rId_hyperlink_115" Type="http://schemas.openxmlformats.org/officeDocument/2006/relationships/hyperlink" Target="https%3A%2F%2Fwww.webofscience.com%2Fwos%2Fwoscc%2Ffull-record%2FWOS:000609191500013" TargetMode="External"/><Relationship Id="rId_hyperlink_116" Type="http://schemas.openxmlformats.org/officeDocument/2006/relationships/hyperlink" Target="http://dx.doi.org/10.1134/S1062359019060116" TargetMode="External"/><Relationship Id="rId_hyperlink_117" Type="http://schemas.openxmlformats.org/officeDocument/2006/relationships/hyperlink" Target="https%3A%2F%2Fwww.webofscience.com%2Fwos%2Fwoscc%2Ffull-record%2FWOS:000511334100008" TargetMode="External"/><Relationship Id="rId_hyperlink_118" Type="http://schemas.openxmlformats.org/officeDocument/2006/relationships/hyperlink" Target="http://dx.doi.org/10.25750/1995-4301-2019-3-087-094" TargetMode="External"/><Relationship Id="rId_hyperlink_119" Type="http://schemas.openxmlformats.org/officeDocument/2006/relationships/hyperlink" Target="https%3A%2F%2Fwww.webofscience.com%2Fwos%2Fwoscc%2Ffull-record%2FWOS:000490704900012" TargetMode="External"/><Relationship Id="rId_hyperlink_120" Type="http://schemas.openxmlformats.org/officeDocument/2006/relationships/hyperlink" Target="https%3A%2F%2Fwww.webofscience.com%2Fwos%2Fwoscc%2Ffull-record%2FWOS:000457012100053" TargetMode="External"/><Relationship Id="rId_hyperlink_121" Type="http://schemas.openxmlformats.org/officeDocument/2006/relationships/hyperlink" Target="http://dx.doi.org/10.1134/S0031918X18070098" TargetMode="External"/><Relationship Id="rId_hyperlink_122" Type="http://schemas.openxmlformats.org/officeDocument/2006/relationships/hyperlink" Target="https%3A%2F%2Fwww.webofscience.com%2Fwos%2Fwoscc%2Ffull-record%2FWOS:000440113400005" TargetMode="External"/><Relationship Id="rId_hyperlink_123" Type="http://schemas.openxmlformats.org/officeDocument/2006/relationships/hyperlink" Target="http://dx.doi.org/10.17223/15617793/429/20" TargetMode="External"/><Relationship Id="rId_hyperlink_124" Type="http://schemas.openxmlformats.org/officeDocument/2006/relationships/hyperlink" Target="https%3A%2F%2Fwww.webofscience.com%2Fwos%2Fwoscc%2Ffull-record%2FWOS:000435701700020" TargetMode="External"/><Relationship Id="rId_hyperlink_125" Type="http://schemas.openxmlformats.org/officeDocument/2006/relationships/hyperlink" Target="https%3A%2F%2Fwww.webofscience.com%2Fwos%2Fwoscc%2Ffull-record%2FWOS:000399357000012" TargetMode="External"/><Relationship Id="rId_hyperlink_126" Type="http://schemas.openxmlformats.org/officeDocument/2006/relationships/hyperlink" Target="https%3A%2F%2Fwww.webofscience.com%2Fwos%2Fwoscc%2Ffull-record%2FWOS:000400700700024" TargetMode="External"/><Relationship Id="rId_hyperlink_127" Type="http://schemas.openxmlformats.org/officeDocument/2006/relationships/hyperlink" Target="https%3A%2F%2Fwww.webofscience.com%2Fwos%2Fwoscc%2Ffull-record%2FWOS:000383090900046" TargetMode="External"/><Relationship Id="rId_hyperlink_128" Type="http://schemas.openxmlformats.org/officeDocument/2006/relationships/hyperlink" Target="https%3A%2F%2Fwww.webofscience.com%2Fwos%2Fwoscc%2Ffull-record%2FWOS:000295100200008" TargetMode="External"/><Relationship Id="rId_hyperlink_129" Type="http://schemas.openxmlformats.org/officeDocument/2006/relationships/hyperlink" Target="https%3A%2F%2Fwww.webofscience.com%2Fwos%2Fwoscc%2Ffull-record%2FWOS:000169540600013" TargetMode="External"/><Relationship Id="rId_hyperlink_130" Type="http://schemas.openxmlformats.org/officeDocument/2006/relationships/hyperlink" Target="http://dx.doi.org/10.17223/15617793/464/24" TargetMode="External"/><Relationship Id="rId_hyperlink_131" Type="http://schemas.openxmlformats.org/officeDocument/2006/relationships/hyperlink" Target="https%3A%2F%2Fwww.webofscience.com%2Fwos%2Fwoscc%2Ffull-record%2FWOS:000662849700024" TargetMode="External"/><Relationship Id="rId_hyperlink_132" Type="http://schemas.openxmlformats.org/officeDocument/2006/relationships/hyperlink" Target="http://dx.doi.org/10.1016/j.matpr.2020.08.165" TargetMode="External"/><Relationship Id="rId_hyperlink_133" Type="http://schemas.openxmlformats.org/officeDocument/2006/relationships/hyperlink" Target="https%3A%2F%2Fwww.webofscience.com%2Fwos%2Fwoscc%2Ffull-record%2FWOS:000624313400081" TargetMode="External"/><Relationship Id="rId_hyperlink_134" Type="http://schemas.openxmlformats.org/officeDocument/2006/relationships/hyperlink" Target="http://dx.doi.org/10.31166/VoprosyIstorii202201Statyi02" TargetMode="External"/><Relationship Id="rId_hyperlink_135" Type="http://schemas.openxmlformats.org/officeDocument/2006/relationships/hyperlink" Target="https%3A%2F%2Fwww.webofscience.com%2Fwos%2Fwoscc%2Ffull-record%2FWOS:000757092500024" TargetMode="External"/><Relationship Id="rId_hyperlink_136" Type="http://schemas.openxmlformats.org/officeDocument/2006/relationships/hyperlink" Target="http://dx.doi.org/10.15826/qr.2021.3.628" TargetMode="External"/><Relationship Id="rId_hyperlink_137" Type="http://schemas.openxmlformats.org/officeDocument/2006/relationships/hyperlink" Target="https%3A%2F%2Fwww.webofscience.com%2Fwos%2Fwoscc%2Ffull-record%2FWOS:000727336000020" TargetMode="External"/><Relationship Id="rId_hyperlink_138" Type="http://schemas.openxmlformats.org/officeDocument/2006/relationships/hyperlink" Target="http://dx.doi.org/10.1134/S1995425520030105" TargetMode="External"/><Relationship Id="rId_hyperlink_139" Type="http://schemas.openxmlformats.org/officeDocument/2006/relationships/hyperlink" Target="https%3A%2F%2Fwww.webofscience.com%2Fwos%2Fwoscc%2Ffull-record%2FWOS:000545495200003" TargetMode="External"/><Relationship Id="rId_hyperlink_140" Type="http://schemas.openxmlformats.org/officeDocument/2006/relationships/hyperlink" Target="http://dx.doi.org/10.1109/ITNT49337.2020.9253206" TargetMode="External"/><Relationship Id="rId_hyperlink_141" Type="http://schemas.openxmlformats.org/officeDocument/2006/relationships/hyperlink" Target="https%3A%2F%2Fwww.webofscience.com%2Fwos%2Fwoscc%2Ffull-record%2FWOS:000647641500043" TargetMode="External"/><Relationship Id="rId_hyperlink_142" Type="http://schemas.openxmlformats.org/officeDocument/2006/relationships/hyperlink" Target="http://dx.doi.org/10.1007/978-3-030-22041-9_80" TargetMode="External"/><Relationship Id="rId_hyperlink_143" Type="http://schemas.openxmlformats.org/officeDocument/2006/relationships/hyperlink" Target="https%3A%2F%2Fwww.webofscience.com%2Fwos%2Fwoscc%2Ffull-record%2FWOS:000613138500080" TargetMode="External"/><Relationship Id="rId_hyperlink_144" Type="http://schemas.openxmlformats.org/officeDocument/2006/relationships/hyperlink" Target="http://dx.doi.org/10.13187/ejced.2019.3.613" TargetMode="External"/><Relationship Id="rId_hyperlink_145" Type="http://schemas.openxmlformats.org/officeDocument/2006/relationships/hyperlink" Target="https%3A%2F%2Fwww.webofscience.com%2Fwos%2Fwoscc%2Ffull-record%2FWOS:000486437000014" TargetMode="External"/><Relationship Id="rId_hyperlink_146" Type="http://schemas.openxmlformats.org/officeDocument/2006/relationships/hyperlink" Target="http://dx.doi.org/10.17853/1994-5639-2019-7-164-202" TargetMode="External"/><Relationship Id="rId_hyperlink_147" Type="http://schemas.openxmlformats.org/officeDocument/2006/relationships/hyperlink" Target="https%3A%2F%2Fwww.webofscience.com%2Fwos%2Fwoscc%2Ffull-record%2FWOS:000497661800007" TargetMode="External"/><Relationship Id="rId_hyperlink_148" Type="http://schemas.openxmlformats.org/officeDocument/2006/relationships/hyperlink" Target="http://dx.doi.org/10.17223/15617793/441/6" TargetMode="External"/><Relationship Id="rId_hyperlink_149" Type="http://schemas.openxmlformats.org/officeDocument/2006/relationships/hyperlink" Target="https%3A%2F%2Fwww.webofscience.com%2Fwos%2Fwoscc%2Ffull-record%2FWOS:000468214400006" TargetMode="External"/><Relationship Id="rId_hyperlink_150" Type="http://schemas.openxmlformats.org/officeDocument/2006/relationships/hyperlink" Target="https%3A%2F%2Fwww.webofscience.com%2Fwos%2Fwoscc%2Ffull-record%2FWOS:000625435700011" TargetMode="External"/><Relationship Id="rId_hyperlink_151" Type="http://schemas.openxmlformats.org/officeDocument/2006/relationships/hyperlink" Target="http://dx.doi.org/10.6060/ivkkt.20196209.5920" TargetMode="External"/><Relationship Id="rId_hyperlink_152" Type="http://schemas.openxmlformats.org/officeDocument/2006/relationships/hyperlink" Target="https%3A%2F%2Fwww.webofscience.com%2Fwos%2Fwoscc%2Ffull-record%2FWOS:000484823500009" TargetMode="External"/><Relationship Id="rId_hyperlink_153" Type="http://schemas.openxmlformats.org/officeDocument/2006/relationships/hyperlink" Target="https%3A%2F%2Fwww.webofscience.com%2Fwos%2Fwoscc%2Ffull-record%2FWOS:000450658500021" TargetMode="External"/><Relationship Id="rId_hyperlink_154" Type="http://schemas.openxmlformats.org/officeDocument/2006/relationships/hyperlink" Target="http://dx.doi.org/10.15561/20755279.2018.0101" TargetMode="External"/><Relationship Id="rId_hyperlink_155" Type="http://schemas.openxmlformats.org/officeDocument/2006/relationships/hyperlink" Target="https%3A%2F%2Fwww.webofscience.com%2Fwos%2Fwoscc%2Ffull-record%2FWOS:000429273100001" TargetMode="External"/><Relationship Id="rId_hyperlink_156" Type="http://schemas.openxmlformats.org/officeDocument/2006/relationships/hyperlink" Target="http://dx.doi.org/10.1088/1742-6596/944/1/012089" TargetMode="External"/><Relationship Id="rId_hyperlink_157" Type="http://schemas.openxmlformats.org/officeDocument/2006/relationships/hyperlink" Target="https%3A%2F%2Fwww.webofscience.com%2Fwos%2Fwoscc%2Ffull-record%2FWOS:000431622000089" TargetMode="External"/><Relationship Id="rId_hyperlink_158" Type="http://schemas.openxmlformats.org/officeDocument/2006/relationships/hyperlink" Target="http://dx.doi.org/10.13187/bg.2018.4.1725" TargetMode="External"/><Relationship Id="rId_hyperlink_159" Type="http://schemas.openxmlformats.org/officeDocument/2006/relationships/hyperlink" Target="https%3A%2F%2Fwww.webofscience.com%2Fwos%2Fwoscc%2Ffull-record%2FWOS:000451963100038" TargetMode="External"/><Relationship Id="rId_hyperlink_160" Type="http://schemas.openxmlformats.org/officeDocument/2006/relationships/hyperlink" Target="http://dx.doi.org/10.1016/j.proeng.2017.10.716" TargetMode="External"/><Relationship Id="rId_hyperlink_161" Type="http://schemas.openxmlformats.org/officeDocument/2006/relationships/hyperlink" Target="https%3A%2F%2Fwww.webofscience.com%2Fwos%2Fwoscc%2Ffull-record%2FWOS:000425674300290" TargetMode="External"/><Relationship Id="rId_hyperlink_162" Type="http://schemas.openxmlformats.org/officeDocument/2006/relationships/hyperlink" Target="https%3A%2F%2Fwww.webofscience.com%2Fwos%2Fwoscc%2Ffull-record%2FWOS:000426878200006" TargetMode="External"/><Relationship Id="rId_hyperlink_163" Type="http://schemas.openxmlformats.org/officeDocument/2006/relationships/hyperlink" Target="http://dx.doi.org/10.1109/EnT.2016.23" TargetMode="External"/><Relationship Id="rId_hyperlink_164" Type="http://schemas.openxmlformats.org/officeDocument/2006/relationships/hyperlink" Target="https%3A%2F%2Fwww.webofscience.com%2Fwos%2Fwoscc%2Ffull-record%2FWOS:000404436600017" TargetMode="External"/><Relationship Id="rId_hyperlink_165" Type="http://schemas.openxmlformats.org/officeDocument/2006/relationships/hyperlink" Target="http://dx.doi.org/10.1007/s11041-015-9821-6" TargetMode="External"/><Relationship Id="rId_hyperlink_166" Type="http://schemas.openxmlformats.org/officeDocument/2006/relationships/hyperlink" Target="https%3A%2F%2Fwww.webofscience.com%2Fwos%2Fwoscc%2Ffull-record%2FWOS:000352980200020" TargetMode="External"/><Relationship Id="rId_hyperlink_167" Type="http://schemas.openxmlformats.org/officeDocument/2006/relationships/hyperlink" Target="http://dx.doi.org/10.1109/EMS.2014.71" TargetMode="External"/><Relationship Id="rId_hyperlink_168" Type="http://schemas.openxmlformats.org/officeDocument/2006/relationships/hyperlink" Target="https%3A%2F%2Fwww.webofscience.com%2Fwos%2Fwoscc%2Ffull-record%2FWOS:000411856100067" TargetMode="External"/><Relationship Id="rId_hyperlink_169" Type="http://schemas.openxmlformats.org/officeDocument/2006/relationships/hyperlink" Target="https%3A%2F%2Fwww.webofscience.com%2Fwos%2Fwoscc%2Ffull-record%2FWOS:000358190200039" TargetMode="External"/><Relationship Id="rId_hyperlink_170" Type="http://schemas.openxmlformats.org/officeDocument/2006/relationships/hyperlink" Target="http://dx.doi.org/10.1134/S0003683813030150" TargetMode="External"/><Relationship Id="rId_hyperlink_171" Type="http://schemas.openxmlformats.org/officeDocument/2006/relationships/hyperlink" Target="https%3A%2F%2Fwww.webofscience.com%2Fwos%2Fwoscc%2Ffull-record%2FWOS:000318798500010" TargetMode="External"/><Relationship Id="rId_hyperlink_172" Type="http://schemas.openxmlformats.org/officeDocument/2006/relationships/hyperlink" Target="https%3A%2F%2Fwww.webofscience.com%2Fwos%2Fwoscc%2Ffull-record%2FWOS:000326774100013" TargetMode="External"/><Relationship Id="rId_hyperlink_173" Type="http://schemas.openxmlformats.org/officeDocument/2006/relationships/hyperlink" Target="http://dx.doi.org/10.1134/S1070427212050195" TargetMode="External"/><Relationship Id="rId_hyperlink_174" Type="http://schemas.openxmlformats.org/officeDocument/2006/relationships/hyperlink" Target="https%3A%2F%2Fwww.webofscience.com%2Fwos%2Fwoscc%2Ffull-record%2FWOS:000306594000019" TargetMode="External"/><Relationship Id="rId_hyperlink_175" Type="http://schemas.openxmlformats.org/officeDocument/2006/relationships/hyperlink" Target="http://dx.doi.org/10.1134/S0001434609050198" TargetMode="External"/><Relationship Id="rId_hyperlink_176" Type="http://schemas.openxmlformats.org/officeDocument/2006/relationships/hyperlink" Target="https%3A%2F%2Fwww.webofscience.com%2Fwos%2Fwoscc%2Ffull-record%2FWOS:000267684500019" TargetMode="External"/><Relationship Id="rId_hyperlink_177" Type="http://schemas.openxmlformats.org/officeDocument/2006/relationships/hyperlink" Target="http://dx.doi.org/10.1134/S0003683807040072" TargetMode="External"/><Relationship Id="rId_hyperlink_178" Type="http://schemas.openxmlformats.org/officeDocument/2006/relationships/hyperlink" Target="https%3A%2F%2Fwww.webofscience.com%2Fwos%2Fwoscc%2Ffull-record%2FWOS:000248054600007" TargetMode="External"/><Relationship Id="rId_hyperlink_179" Type="http://schemas.openxmlformats.org/officeDocument/2006/relationships/hyperlink" Target="http://dx.doi.org/10.1134/S002626170603012X" TargetMode="External"/><Relationship Id="rId_hyperlink_180" Type="http://schemas.openxmlformats.org/officeDocument/2006/relationships/hyperlink" Target="https%3A%2F%2Fwww.webofscience.com%2Fwos%2Fwoscc%2Ffull-record%2FWOS:000238267100012" TargetMode="External"/><Relationship Id="rId_hyperlink_181" Type="http://schemas.openxmlformats.org/officeDocument/2006/relationships/hyperlink" Target="http://dx.doi.org/10.1023/A:1012394524649" TargetMode="External"/><Relationship Id="rId_hyperlink_182" Type="http://schemas.openxmlformats.org/officeDocument/2006/relationships/hyperlink" Target="https%3A%2F%2Fwww.webofscience.com%2Fwos%2Fwoscc%2Ffull-record%2FWOS:000171839100018" TargetMode="External"/><Relationship Id="rId_hyperlink_183" Type="http://schemas.openxmlformats.org/officeDocument/2006/relationships/hyperlink" Target="http://dx.doi.org/10.1007/BF02467476" TargetMode="External"/><Relationship Id="rId_hyperlink_184" Type="http://schemas.openxmlformats.org/officeDocument/2006/relationships/hyperlink" Target="https%3A%2F%2Fwww.webofscience.com%2Fwos%2Fwoscc%2Ffull-record%2FWOS:000077330900001" TargetMode="External"/><Relationship Id="rId_hyperlink_185" Type="http://schemas.openxmlformats.org/officeDocument/2006/relationships/hyperlink" Target="https%3A%2F%2Fwww.webofscience.com%2Fwos%2Fwoscc%2Ffull-record%2FWOS:A1996TY61200025" TargetMode="External"/><Relationship Id="rId_hyperlink_186" Type="http://schemas.openxmlformats.org/officeDocument/2006/relationships/hyperlink" Target="http://dx.doi.org/10.3103/S0005105522030037" TargetMode="External"/><Relationship Id="rId_hyperlink_187" Type="http://schemas.openxmlformats.org/officeDocument/2006/relationships/hyperlink" Target="https%3A%2F%2Fwww.webofscience.com%2Fwos%2Fwoscc%2Ffull-record%2FWOS:000840844200004" TargetMode="External"/><Relationship Id="rId_hyperlink_188" Type="http://schemas.openxmlformats.org/officeDocument/2006/relationships/hyperlink" Target="http://dx.doi.org/10.17223/15617793/468/24" TargetMode="External"/><Relationship Id="rId_hyperlink_189" Type="http://schemas.openxmlformats.org/officeDocument/2006/relationships/hyperlink" Target="https%3A%2F%2Fwww.webofscience.com%2Fwos%2Fwoscc%2Ffull-record%2FWOS:000727809000024" TargetMode="External"/><Relationship Id="rId_hyperlink_190" Type="http://schemas.openxmlformats.org/officeDocument/2006/relationships/hyperlink" Target="http://dx.doi.org/10.3103/S0147688221020064" TargetMode="External"/><Relationship Id="rId_hyperlink_191" Type="http://schemas.openxmlformats.org/officeDocument/2006/relationships/hyperlink" Target="https%3A%2F%2Fwww.webofscience.com%2Fwos%2Fwoscc%2Ffull-record%2FWOS:000694881900005" TargetMode="External"/><Relationship Id="rId_hyperlink_192" Type="http://schemas.openxmlformats.org/officeDocument/2006/relationships/hyperlink" Target="http://dx.doi.org/10.1109/SIBCON50419.2021.9438922" TargetMode="External"/><Relationship Id="rId_hyperlink_193" Type="http://schemas.openxmlformats.org/officeDocument/2006/relationships/hyperlink" Target="https%3A%2F%2Fwww.webofscience.com%2Fwos%2Fwoscc%2Ffull-record%2FWOS:000680842100070" TargetMode="External"/><Relationship Id="rId_hyperlink_194" Type="http://schemas.openxmlformats.org/officeDocument/2006/relationships/hyperlink" Target="http://dx.doi.org/10.15405/epsbs.2021.07.02.40" TargetMode="External"/><Relationship Id="rId_hyperlink_195" Type="http://schemas.openxmlformats.org/officeDocument/2006/relationships/hyperlink" Target="https%3A%2F%2Fwww.webofscience.com%2Fwos%2Fwoscc%2Ffull-record%2FWOS:000771919100040" TargetMode="External"/><Relationship Id="rId_hyperlink_196" Type="http://schemas.openxmlformats.org/officeDocument/2006/relationships/hyperlink" Target="http://dx.doi.org/10.1134/S1995080220090255" TargetMode="External"/><Relationship Id="rId_hyperlink_197" Type="http://schemas.openxmlformats.org/officeDocument/2006/relationships/hyperlink" Target="https%3A%2F%2Fwww.webofscience.com%2Fwos%2Fwoscc%2Ffull-record%2FWOS:000587460100010" TargetMode="External"/><Relationship Id="rId_hyperlink_198" Type="http://schemas.openxmlformats.org/officeDocument/2006/relationships/hyperlink" Target="http://dx.doi.org/10.37358/mp.20.1.5313" TargetMode="External"/><Relationship Id="rId_hyperlink_199" Type="http://schemas.openxmlformats.org/officeDocument/2006/relationships/hyperlink" Target="https%3A%2F%2Fwww.webofscience.com%2Fwos%2Fwoscc%2Ffull-record%2FWOS:000528195000009" TargetMode="External"/><Relationship Id="rId_hyperlink_200" Type="http://schemas.openxmlformats.org/officeDocument/2006/relationships/hyperlink" Target="http://dx.doi.org/10.6060/ivkkt.20206301.6051" TargetMode="External"/><Relationship Id="rId_hyperlink_201" Type="http://schemas.openxmlformats.org/officeDocument/2006/relationships/hyperlink" Target="https%3A%2F%2Fwww.webofscience.com%2Fwos%2Fwoscc%2Ffull-record%2FWOS:000502525400009" TargetMode="External"/><Relationship Id="rId_hyperlink_202" Type="http://schemas.openxmlformats.org/officeDocument/2006/relationships/hyperlink" Target="http://dx.doi.org/10.1007/978-3-030-22041-9_113" TargetMode="External"/><Relationship Id="rId_hyperlink_203" Type="http://schemas.openxmlformats.org/officeDocument/2006/relationships/hyperlink" Target="https%3A%2F%2Fwww.webofscience.com%2Fwos%2Fwoscc%2Ffull-record%2FWOS:000613138500113" TargetMode="External"/><Relationship Id="rId_hyperlink_204" Type="http://schemas.openxmlformats.org/officeDocument/2006/relationships/hyperlink" Target="https%3A%2F%2Fwww.webofscience.com%2Fwos%2Fwoscc%2Ffull-record%2FWOS:000485631000022" TargetMode="External"/><Relationship Id="rId_hyperlink_205" Type="http://schemas.openxmlformats.org/officeDocument/2006/relationships/hyperlink" Target="http://dx.doi.org/10.17223/19988613/62/9" TargetMode="External"/><Relationship Id="rId_hyperlink_206" Type="http://schemas.openxmlformats.org/officeDocument/2006/relationships/hyperlink" Target="https%3A%2F%2Fwww.webofscience.com%2Fwos%2Fwoscc%2Ffull-record%2FWOS:000510467300009" TargetMode="External"/><Relationship Id="rId_hyperlink_207" Type="http://schemas.openxmlformats.org/officeDocument/2006/relationships/hyperlink" Target="http://dx.doi.org/10.25789/YMJ.2018.64.17" TargetMode="External"/><Relationship Id="rId_hyperlink_208" Type="http://schemas.openxmlformats.org/officeDocument/2006/relationships/hyperlink" Target="https%3A%2F%2Fwww.webofscience.com%2Fwos%2Fwoscc%2Ffull-record%2FWOS:000453449700017" TargetMode="External"/><Relationship Id="rId_hyperlink_209" Type="http://schemas.openxmlformats.org/officeDocument/2006/relationships/hyperlink" Target="https%3A%2F%2Fwww.webofscience.com%2Fwos%2Fwoscc%2Ffull-record%2FWOS:000644432200078" TargetMode="External"/><Relationship Id="rId_hyperlink_210" Type="http://schemas.openxmlformats.org/officeDocument/2006/relationships/hyperlink" Target="https%3A%2F%2Fwww.webofscience.com%2Fwos%2Fwoscc%2Ffull-record%2FWOS:000478963800053" TargetMode="External"/><Relationship Id="rId_hyperlink_211" Type="http://schemas.openxmlformats.org/officeDocument/2006/relationships/hyperlink" Target="https%3A%2F%2Fwww.webofscience.com%2Fwos%2Fwoscc%2Ffull-record%2FWOS:000517795800099" TargetMode="External"/><Relationship Id="rId_hyperlink_212" Type="http://schemas.openxmlformats.org/officeDocument/2006/relationships/hyperlink" Target="https%3A%2F%2Fwww.webofscience.com%2Fwos%2Fwoscc%2Ffull-record%2FWOS:000517795800058" TargetMode="External"/><Relationship Id="rId_hyperlink_213" Type="http://schemas.openxmlformats.org/officeDocument/2006/relationships/hyperlink" Target="http://dx.doi.org/10.1134/S1070427211120263" TargetMode="External"/><Relationship Id="rId_hyperlink_214" Type="http://schemas.openxmlformats.org/officeDocument/2006/relationships/hyperlink" Target="https%3A%2F%2Fwww.webofscience.com%2Fwos%2Fwoscc%2Ffull-record%2FWOS:000300088400026" TargetMode="External"/><Relationship Id="rId_hyperlink_215" Type="http://schemas.openxmlformats.org/officeDocument/2006/relationships/hyperlink" Target="http://dx.doi.org/10.1134/S1070427208100133" TargetMode="External"/><Relationship Id="rId_hyperlink_216" Type="http://schemas.openxmlformats.org/officeDocument/2006/relationships/hyperlink" Target="https%3A%2F%2Fwww.webofscience.com%2Fwos%2Fwoscc%2Ffull-record%2FWOS:000263171600013" TargetMode="External"/><Relationship Id="rId_hyperlink_217" Type="http://schemas.openxmlformats.org/officeDocument/2006/relationships/hyperlink" Target="http://dx.doi.org/10.1134/S0040579508040040" TargetMode="External"/><Relationship Id="rId_hyperlink_218" Type="http://schemas.openxmlformats.org/officeDocument/2006/relationships/hyperlink" Target="https%3A%2F%2Fwww.webofscience.com%2Fwos%2Fwoscc%2Ffull-record%2FWOS:000258408800004" TargetMode="External"/><Relationship Id="rId_hyperlink_219" Type="http://schemas.openxmlformats.org/officeDocument/2006/relationships/hyperlink" Target="https%3A%2F%2Fwww.webofscience.com%2Fwos%2Fwoscc%2Ffull-record%2FWOS:000253186900027" TargetMode="External"/><Relationship Id="rId_hyperlink_220" Type="http://schemas.openxmlformats.org/officeDocument/2006/relationships/hyperlink" Target="http://dx.doi.org/10.1117/12.783049" TargetMode="External"/><Relationship Id="rId_hyperlink_221" Type="http://schemas.openxmlformats.org/officeDocument/2006/relationships/hyperlink" Target="https%3A%2F%2Fwww.webofscience.com%2Fwos%2Fwoscc%2Ffull-record%2FWOS:000256667200009" TargetMode="External"/><Relationship Id="rId_hyperlink_222" Type="http://schemas.openxmlformats.org/officeDocument/2006/relationships/hyperlink" Target="http://dx.doi.org/10.1016/j.quaint.2006.02.018" TargetMode="External"/><Relationship Id="rId_hyperlink_223" Type="http://schemas.openxmlformats.org/officeDocument/2006/relationships/hyperlink" Target="https%3A%2F%2Fwww.webofscience.com%2Fwos%2Fwoscc%2Ffull-record%2FWOS:000239755800008" TargetMode="External"/><Relationship Id="rId_hyperlink_224" Type="http://schemas.openxmlformats.org/officeDocument/2006/relationships/hyperlink" Target="http://dx.doi.org/10.1134/S0036024406030241" TargetMode="External"/><Relationship Id="rId_hyperlink_225" Type="http://schemas.openxmlformats.org/officeDocument/2006/relationships/hyperlink" Target="https%3A%2F%2Fwww.webofscience.com%2Fwos%2Fwoscc%2Ffull-record%2FWOS:000243768200024" TargetMode="External"/><Relationship Id="rId_hyperlink_226" Type="http://schemas.openxmlformats.org/officeDocument/2006/relationships/hyperlink" Target="http://dx.doi.org/10.52254/1857-0070.2021.4-52.10" TargetMode="External"/><Relationship Id="rId_hyperlink_227" Type="http://schemas.openxmlformats.org/officeDocument/2006/relationships/hyperlink" Target="https%3A%2F%2Fwww.webofscience.com%2Fwos%2Fwoscc%2Ffull-record%2FWOS:000734088800009" TargetMode="External"/><Relationship Id="rId_hyperlink_228" Type="http://schemas.openxmlformats.org/officeDocument/2006/relationships/hyperlink" Target="http://dx.doi.org/10.1051/bioconf/20202400073" TargetMode="External"/><Relationship Id="rId_hyperlink_229" Type="http://schemas.openxmlformats.org/officeDocument/2006/relationships/hyperlink" Target="https%3A%2F%2Fwww.webofscience.com%2Fwos%2Fwoscc%2Ffull-record%2FWOS:000624287900073" TargetMode="External"/><Relationship Id="rId_hyperlink_230" Type="http://schemas.openxmlformats.org/officeDocument/2006/relationships/hyperlink" Target="https%3A%2F%2Fwww.webofscience.com%2Fwos%2Fwoscc%2Ffull-record%2FWOS:000514803300005" TargetMode="External"/><Relationship Id="rId_hyperlink_231" Type="http://schemas.openxmlformats.org/officeDocument/2006/relationships/hyperlink" Target="http://dx.doi.org/10.1051/e3sconf/201911002026" TargetMode="External"/><Relationship Id="rId_hyperlink_232" Type="http://schemas.openxmlformats.org/officeDocument/2006/relationships/hyperlink" Target="https%3A%2F%2Fwww.webofscience.com%2Fwos%2Fwoscc%2Ffull-record%2FWOS:000569050000115" TargetMode="External"/><Relationship Id="rId_hyperlink_233" Type="http://schemas.openxmlformats.org/officeDocument/2006/relationships/hyperlink" Target="http://dx.doi.org/10.13187/ejced.2018.2.275" TargetMode="External"/><Relationship Id="rId_hyperlink_234" Type="http://schemas.openxmlformats.org/officeDocument/2006/relationships/hyperlink" Target="https%3A%2F%2Fwww.webofscience.com%2Fwos%2Fwoscc%2Ffull-record%2FWOS:000434838300005" TargetMode="External"/><Relationship Id="rId_hyperlink_235" Type="http://schemas.openxmlformats.org/officeDocument/2006/relationships/hyperlink" Target="https%3A%2F%2Fwww.webofscience.com%2Fwos%2Fwoscc%2Ffull-record%2FWOS:000517795800079" TargetMode="External"/><Relationship Id="rId_hyperlink_236" Type="http://schemas.openxmlformats.org/officeDocument/2006/relationships/hyperlink" Target="http://dx.doi.org/10.25750/1995-4301-2018-3-019-026" TargetMode="External"/><Relationship Id="rId_hyperlink_237" Type="http://schemas.openxmlformats.org/officeDocument/2006/relationships/hyperlink" Target="https%3A%2F%2Fwww.webofscience.com%2Fwos%2Fwoscc%2Ffull-record%2FWOS:000468564900003" TargetMode="External"/><Relationship Id="rId_hyperlink_238" Type="http://schemas.openxmlformats.org/officeDocument/2006/relationships/hyperlink" Target="https%3A%2F%2Fwww.webofscience.com%2Fwos%2Fwoscc%2Ffull-record%2FWOS:000414282400134" TargetMode="External"/><Relationship Id="rId_hyperlink_239" Type="http://schemas.openxmlformats.org/officeDocument/2006/relationships/hyperlink" Target="https%3A%2F%2Fwww.webofscience.com%2Fwos%2Fwoscc%2Ffull-record%2FWOS:000414282400179" TargetMode="External"/><Relationship Id="rId_hyperlink_240" Type="http://schemas.openxmlformats.org/officeDocument/2006/relationships/hyperlink" Target="http://dx.doi.org/10.1051/matecconf/201712901013" TargetMode="External"/><Relationship Id="rId_hyperlink_241" Type="http://schemas.openxmlformats.org/officeDocument/2006/relationships/hyperlink" Target="https%3A%2F%2Fwww.webofscience.com%2Fwos%2Fwoscc%2Ffull-record%2FWOS:000426431000013" TargetMode="External"/><Relationship Id="rId_hyperlink_242" Type="http://schemas.openxmlformats.org/officeDocument/2006/relationships/hyperlink" Target="https%3A%2F%2Fwww.webofscience.com%2Fwos%2Fwoscc%2Ffull-record%2FWOS:000414282400356" TargetMode="External"/><Relationship Id="rId_hyperlink_243" Type="http://schemas.openxmlformats.org/officeDocument/2006/relationships/hyperlink" Target="https%3A%2F%2Fwww.webofscience.com%2Fwos%2Fwoscc%2Ffull-record%2FWOS:000403853500001" TargetMode="External"/><Relationship Id="rId_hyperlink_244" Type="http://schemas.openxmlformats.org/officeDocument/2006/relationships/hyperlink" Target="http://dx.doi.org/10.1007/978-3-319-41920-6_12" TargetMode="External"/><Relationship Id="rId_hyperlink_245" Type="http://schemas.openxmlformats.org/officeDocument/2006/relationships/hyperlink" Target="https%3A%2F%2Fwww.webofscience.com%2Fwos%2Fwoscc%2Ffull-record%2FWOS:000386510300012" TargetMode="External"/><Relationship Id="rId_hyperlink_246" Type="http://schemas.openxmlformats.org/officeDocument/2006/relationships/hyperlink" Target="http://dx.doi.org/10.1007/978-3-319-33625-1_19" TargetMode="External"/><Relationship Id="rId_hyperlink_247" Type="http://schemas.openxmlformats.org/officeDocument/2006/relationships/hyperlink" Target="https%3A%2F%2Fwww.webofscience.com%2Fwos%2Fwoscc%2Ffull-record%2FWOS:000385237600019" TargetMode="External"/><Relationship Id="rId_hyperlink_248" Type="http://schemas.openxmlformats.org/officeDocument/2006/relationships/hyperlink" Target="https%3A%2F%2Fwww.webofscience.com%2Fwos%2Fwoscc%2Ffull-record%2FWOS:000331107100053" TargetMode="External"/><Relationship Id="rId_hyperlink_249" Type="http://schemas.openxmlformats.org/officeDocument/2006/relationships/hyperlink" Target="http://dx.doi.org/10.1134/S0036024411030204" TargetMode="External"/><Relationship Id="rId_hyperlink_250" Type="http://schemas.openxmlformats.org/officeDocument/2006/relationships/hyperlink" Target="https%3A%2F%2Fwww.webofscience.com%2Fwos%2Fwoscc%2Ffull-record%2FWOS:000286985400027" TargetMode="External"/><Relationship Id="rId_hyperlink_251" Type="http://schemas.openxmlformats.org/officeDocument/2006/relationships/hyperlink" Target="http://dx.doi.org/10.12911/22998993/148148" TargetMode="External"/><Relationship Id="rId_hyperlink_252" Type="http://schemas.openxmlformats.org/officeDocument/2006/relationships/hyperlink" Target="https%3A%2F%2Fwww.webofscience.com%2Fwos%2Fwoscc%2Ffull-record%2FWOS:000814321000001" TargetMode="External"/><Relationship Id="rId_hyperlink_253" Type="http://schemas.openxmlformats.org/officeDocument/2006/relationships/hyperlink" Target="http://dx.doi.org/10.1007/978-3-030-70194-9_33" TargetMode="External"/><Relationship Id="rId_hyperlink_254" Type="http://schemas.openxmlformats.org/officeDocument/2006/relationships/hyperlink" Target="https%3A%2F%2Fwww.webofscience.com%2Fwos%2Fwoscc%2Ffull-record%2FWOS:000849737100032" TargetMode="External"/><Relationship Id="rId_hyperlink_255" Type="http://schemas.openxmlformats.org/officeDocument/2006/relationships/hyperlink" Target="http://dx.doi.org/10.17223/1998863X/50/6" TargetMode="External"/><Relationship Id="rId_hyperlink_256" Type="http://schemas.openxmlformats.org/officeDocument/2006/relationships/hyperlink" Target="https%3A%2F%2Fwww.webofscience.com%2Fwos%2Fwoscc%2Ffull-record%2FWOS:000500733100006" TargetMode="External"/><Relationship Id="rId_hyperlink_257" Type="http://schemas.openxmlformats.org/officeDocument/2006/relationships/hyperlink" Target="http://dx.doi.org/10.3103/S0147688219020096" TargetMode="External"/><Relationship Id="rId_hyperlink_258" Type="http://schemas.openxmlformats.org/officeDocument/2006/relationships/hyperlink" Target="https%3A%2F%2Fwww.webofscience.com%2Fwos%2Fwoscc%2Ffull-record%2FWOS:000481530700008" TargetMode="External"/><Relationship Id="rId_hyperlink_259" Type="http://schemas.openxmlformats.org/officeDocument/2006/relationships/hyperlink" Target="http://dx.doi.org/10.3897/ap.1.e0698" TargetMode="External"/><Relationship Id="rId_hyperlink_260" Type="http://schemas.openxmlformats.org/officeDocument/2006/relationships/hyperlink" Target="https%3A%2F%2Fwww.webofscience.com%2Fwos%2Fwoscc%2Ffull-record%2FWOS:000520005200072" TargetMode="External"/><Relationship Id="rId_hyperlink_261" Type="http://schemas.openxmlformats.org/officeDocument/2006/relationships/hyperlink" Target="https%3A%2F%2Fwww.webofscience.com%2Fwos%2Fwoscc%2Ffull-record%2FWOS:000444615300004" TargetMode="External"/><Relationship Id="rId_hyperlink_262" Type="http://schemas.openxmlformats.org/officeDocument/2006/relationships/hyperlink" Target="https%3A%2F%2Fwww.webofscience.com%2Fwos%2Fwoscc%2Ffull-record%2FWOS:000644432200110" TargetMode="External"/><Relationship Id="rId_hyperlink_263" Type="http://schemas.openxmlformats.org/officeDocument/2006/relationships/hyperlink" Target="https%3A%2F%2Fwww.webofscience.com%2Fwos%2Fwoscc%2Ffull-record%2FWOS:000478963800186" TargetMode="External"/><Relationship Id="rId_hyperlink_264" Type="http://schemas.openxmlformats.org/officeDocument/2006/relationships/hyperlink" Target="http://dx.doi.org/10.25750/1995-4301-2018-4-108-113" TargetMode="External"/><Relationship Id="rId_hyperlink_265" Type="http://schemas.openxmlformats.org/officeDocument/2006/relationships/hyperlink" Target="https%3A%2F%2Fwww.webofscience.com%2Fwos%2Fwoscc%2Ffull-record%2FWOS:000468565300014" TargetMode="External"/><Relationship Id="rId_hyperlink_266" Type="http://schemas.openxmlformats.org/officeDocument/2006/relationships/hyperlink" Target="http://dx.doi.org/10.1134/S1064230715060106" TargetMode="External"/><Relationship Id="rId_hyperlink_267" Type="http://schemas.openxmlformats.org/officeDocument/2006/relationships/hyperlink" Target="https%3A%2F%2Fwww.webofscience.com%2Fwos%2Fwoscc%2Ffull-record%2FWOS:000373156600007" TargetMode="External"/><Relationship Id="rId_hyperlink_268" Type="http://schemas.openxmlformats.org/officeDocument/2006/relationships/hyperlink" Target="https%3A%2F%2Fwww.webofscience.com%2Fwos%2Fwoscc%2Ffull-record%2FWOS:000357943500021" TargetMode="External"/><Relationship Id="rId_hyperlink_269" Type="http://schemas.openxmlformats.org/officeDocument/2006/relationships/hyperlink" Target="https%3A%2F%2Fwww.webofscience.com%2Fwos%2Fwoscc%2Ffull-record%2FWOS:000316525400002" TargetMode="External"/><Relationship Id="rId_hyperlink_270" Type="http://schemas.openxmlformats.org/officeDocument/2006/relationships/hyperlink" Target="http://dx.doi.org/10.1134/S1070427212080101" TargetMode="External"/><Relationship Id="rId_hyperlink_271" Type="http://schemas.openxmlformats.org/officeDocument/2006/relationships/hyperlink" Target="https%3A%2F%2Fwww.webofscience.com%2Fwos%2Fwoscc%2Ffull-record%2FWOS:000308813500010" TargetMode="External"/><Relationship Id="rId_hyperlink_272" Type="http://schemas.openxmlformats.org/officeDocument/2006/relationships/hyperlink" Target="https%3A%2F%2Fwww.webofscience.com%2Fwos%2Fwoscc%2Ffull-record%2FWOS:000247859600017" TargetMode="External"/><Relationship Id="rId_hyperlink_273" Type="http://schemas.openxmlformats.org/officeDocument/2006/relationships/hyperlink" Target="https%3A%2F%2Fwww.webofscience.com%2Fwos%2Fwoscc%2Ffull-record%2FWOS:000241086700004" TargetMode="External"/><Relationship Id="rId_hyperlink_274" Type="http://schemas.openxmlformats.org/officeDocument/2006/relationships/hyperlink" Target="https%3A%2F%2Fwww.webofscience.com%2Fwos%2Fwoscc%2Ffull-record%2FWOS:A1997WU95900007" TargetMode="External"/><Relationship Id="rId_hyperlink_275" Type="http://schemas.openxmlformats.org/officeDocument/2006/relationships/hyperlink" Target="https%3A%2F%2Fwww.webofscience.com%2Fwos%2Fwoscc%2Ffull-record%2FWOS:A1997XG33200003" TargetMode="External"/><Relationship Id="rId_hyperlink_276" Type="http://schemas.openxmlformats.org/officeDocument/2006/relationships/hyperlink" Target="http://dx.doi.org/10.31166/VoprosyIstorii202106Statyi39" TargetMode="External"/><Relationship Id="rId_hyperlink_277" Type="http://schemas.openxmlformats.org/officeDocument/2006/relationships/hyperlink" Target="https%3A%2F%2Fwww.webofscience.com%2Fwos%2Fwoscc%2Ffull-record%2FWOS:000729816200015" TargetMode="External"/><Relationship Id="rId_hyperlink_278" Type="http://schemas.openxmlformats.org/officeDocument/2006/relationships/hyperlink" Target="http://dx.doi.org/10.34910/MCE.107.7" TargetMode="External"/><Relationship Id="rId_hyperlink_279" Type="http://schemas.openxmlformats.org/officeDocument/2006/relationships/hyperlink" Target="https%3A%2F%2Fwww.webofscience.com%2Fwos%2Fwoscc%2Ffull-record%2FWOS:000730911700005" TargetMode="External"/><Relationship Id="rId_hyperlink_280" Type="http://schemas.openxmlformats.org/officeDocument/2006/relationships/hyperlink" Target="http://dx.doi.org/10.1007/978-3-030-39225-3_65" TargetMode="External"/><Relationship Id="rId_hyperlink_281" Type="http://schemas.openxmlformats.org/officeDocument/2006/relationships/hyperlink" Target="https%3A%2F%2Fwww.webofscience.com%2Fwos%2Fwoscc%2Ffull-record%2FWOS:000675525300065" TargetMode="External"/><Relationship Id="rId_hyperlink_282" Type="http://schemas.openxmlformats.org/officeDocument/2006/relationships/hyperlink" Target="http://dx.doi.org/10.31166/VoprosyIstorii202006Statyi08" TargetMode="External"/><Relationship Id="rId_hyperlink_283" Type="http://schemas.openxmlformats.org/officeDocument/2006/relationships/hyperlink" Target="https%3A%2F%2Fwww.webofscience.com%2Fwos%2Fwoscc%2Ffull-record%2FWOS:000657722200008" TargetMode="External"/><Relationship Id="rId_hyperlink_284" Type="http://schemas.openxmlformats.org/officeDocument/2006/relationships/hyperlink" Target="http://dx.doi.org/10.1088/1757-899X/971/3/032024" TargetMode="External"/><Relationship Id="rId_hyperlink_285" Type="http://schemas.openxmlformats.org/officeDocument/2006/relationships/hyperlink" Target="https%3A%2F%2Fwww.webofscience.com%2Fwos%2Fwoscc%2Ffull-record%2FWOS:000646359100125" TargetMode="External"/><Relationship Id="rId_hyperlink_286" Type="http://schemas.openxmlformats.org/officeDocument/2006/relationships/hyperlink" Target="http://dx.doi.org/10.24411/2500-2872-2020-10030" TargetMode="External"/><Relationship Id="rId_hyperlink_287" Type="http://schemas.openxmlformats.org/officeDocument/2006/relationships/hyperlink" Target="https%3A%2F%2Fwww.webofscience.com%2Fwos%2Fwoscc%2Ffull-record%2FWOS:000604555300006" TargetMode="External"/><Relationship Id="rId_hyperlink_288" Type="http://schemas.openxmlformats.org/officeDocument/2006/relationships/hyperlink" Target="http://dx.doi.org/10.13187/ejced.2019.2.357" TargetMode="External"/><Relationship Id="rId_hyperlink_289" Type="http://schemas.openxmlformats.org/officeDocument/2006/relationships/hyperlink" Target="https%3A%2F%2Fwww.webofscience.com%2Fwos%2Fwoscc%2Ffull-record%2FWOS:000471936000009" TargetMode="External"/><Relationship Id="rId_hyperlink_290" Type="http://schemas.openxmlformats.org/officeDocument/2006/relationships/hyperlink" Target="http://dx.doi.org/10.1007/978-3-030-37334-4_12" TargetMode="External"/><Relationship Id="rId_hyperlink_291" Type="http://schemas.openxmlformats.org/officeDocument/2006/relationships/hyperlink" Target="https%3A%2F%2Fwww.webofscience.com%2Fwos%2Fwoscc%2Ffull-record%2FWOS:000611787800012" TargetMode="External"/><Relationship Id="rId_hyperlink_292" Type="http://schemas.openxmlformats.org/officeDocument/2006/relationships/hyperlink" Target="http://dx.doi.org/10.1134/S0869864319010074" TargetMode="External"/><Relationship Id="rId_hyperlink_293" Type="http://schemas.openxmlformats.org/officeDocument/2006/relationships/hyperlink" Target="https%3A%2F%2Fwww.webofscience.com%2Fwos%2Fwoscc%2Ffull-record%2FWOS:000465534000008" TargetMode="External"/><Relationship Id="rId_hyperlink_294" Type="http://schemas.openxmlformats.org/officeDocument/2006/relationships/hyperlink" Target="https%3A%2F%2Fwww.webofscience.com%2Fwos%2Fwoscc%2Ffull-record%2FWOS:000739878500009" TargetMode="External"/><Relationship Id="rId_hyperlink_295" Type="http://schemas.openxmlformats.org/officeDocument/2006/relationships/hyperlink" Target="http://dx.doi.org/10.1134/S0036029518080049" TargetMode="External"/><Relationship Id="rId_hyperlink_296" Type="http://schemas.openxmlformats.org/officeDocument/2006/relationships/hyperlink" Target="https%3A%2F%2Fwww.webofscience.com%2Fwos%2Fwoscc%2Ffull-record%2FWOS:000454273600015" TargetMode="External"/><Relationship Id="rId_hyperlink_297" Type="http://schemas.openxmlformats.org/officeDocument/2006/relationships/hyperlink" Target="http://dx.doi.org/10.22631/ijaep.v7i2.268" TargetMode="External"/><Relationship Id="rId_hyperlink_298" Type="http://schemas.openxmlformats.org/officeDocument/2006/relationships/hyperlink" Target="https%3A%2F%2Fwww.webofscience.com%2Fwos%2Fwoscc%2Ffull-record%2FWOS:000435602100004" TargetMode="External"/><Relationship Id="rId_hyperlink_299" Type="http://schemas.openxmlformats.org/officeDocument/2006/relationships/hyperlink" Target="http://dx.doi.org/10.17223/2312461X/19/9" TargetMode="External"/><Relationship Id="rId_hyperlink_300" Type="http://schemas.openxmlformats.org/officeDocument/2006/relationships/hyperlink" Target="https%3A%2F%2Fwww.webofscience.com%2Fwos%2Fwoscc%2Ffull-record%2FWOS:000429668400009" TargetMode="External"/><Relationship Id="rId_hyperlink_301" Type="http://schemas.openxmlformats.org/officeDocument/2006/relationships/hyperlink" Target="https%3A%2F%2Fwww.webofscience.com%2Fwos%2Fwoscc%2Ffull-record%2FWOS:000403604400156" TargetMode="External"/><Relationship Id="rId_hyperlink_302" Type="http://schemas.openxmlformats.org/officeDocument/2006/relationships/hyperlink" Target="https%3A%2F%2Fwww.webofscience.com%2Fwos%2Fwoscc%2Ffull-record%2FWOS:000387159800034" TargetMode="External"/><Relationship Id="rId_hyperlink_303" Type="http://schemas.openxmlformats.org/officeDocument/2006/relationships/hyperlink" Target="https%3A%2F%2Fwww.webofscience.com%2Fwos%2Fwoscc%2Ffull-record%2FWOS:000387945700001" TargetMode="External"/><Relationship Id="rId_hyperlink_304" Type="http://schemas.openxmlformats.org/officeDocument/2006/relationships/hyperlink" Target="http://dx.doi.org/10.1088/1755-1315/41/1/012024" TargetMode="External"/><Relationship Id="rId_hyperlink_305" Type="http://schemas.openxmlformats.org/officeDocument/2006/relationships/hyperlink" Target="https%3A%2F%2Fwww.webofscience.com%2Fwos%2Fwoscc%2Ffull-record%2FWOS:000389919500024" TargetMode="External"/><Relationship Id="rId_hyperlink_306" Type="http://schemas.openxmlformats.org/officeDocument/2006/relationships/hyperlink" Target="https%3A%2F%2Fwww.webofscience.com%2Fwos%2Fwoscc%2Ffull-record%2FWOS:000403604400281" TargetMode="External"/><Relationship Id="rId_hyperlink_307" Type="http://schemas.openxmlformats.org/officeDocument/2006/relationships/hyperlink" Target="http://dx.doi.org/10.1134/S0036024409030169" TargetMode="External"/><Relationship Id="rId_hyperlink_308" Type="http://schemas.openxmlformats.org/officeDocument/2006/relationships/hyperlink" Target="https%3A%2F%2Fwww.webofscience.com%2Fwos%2Fwoscc%2Ffull-record%2FWOS:000263675600016" TargetMode="External"/><Relationship Id="rId_hyperlink_309" Type="http://schemas.openxmlformats.org/officeDocument/2006/relationships/hyperlink" Target="http://dx.doi.org/10.1007/s11041-006-0113-z" TargetMode="External"/><Relationship Id="rId_hyperlink_310" Type="http://schemas.openxmlformats.org/officeDocument/2006/relationships/hyperlink" Target="https%3A%2F%2Fwww.webofscience.com%2Fwos%2Fwoscc%2Ffull-record%2FWOS:000245753200011" TargetMode="External"/><Relationship Id="rId_hyperlink_311" Type="http://schemas.openxmlformats.org/officeDocument/2006/relationships/hyperlink" Target="https%3A%2F%2Fwww.webofscience.com%2Fwos%2Fwoscc%2Ffull-record%2FWOS:000223263200010" TargetMode="External"/><Relationship Id="rId_hyperlink_312" Type="http://schemas.openxmlformats.org/officeDocument/2006/relationships/hyperlink" Target="https%3A%2F%2Fwww.webofscience.com%2Fwos%2Fwoscc%2Ffull-record%2FWOS:000077454300020" TargetMode="External"/><Relationship Id="rId_hyperlink_313" Type="http://schemas.openxmlformats.org/officeDocument/2006/relationships/hyperlink" Target="http://dx.doi.org/10.15507/2658-4123.031.202103.349-363" TargetMode="External"/><Relationship Id="rId_hyperlink_314" Type="http://schemas.openxmlformats.org/officeDocument/2006/relationships/hyperlink" Target="https%3A%2F%2Fwww.webofscience.com%2Fwos%2Fwoscc%2Ffull-record%2FWOS:000698672500002" TargetMode="External"/><Relationship Id="rId_hyperlink_315" Type="http://schemas.openxmlformats.org/officeDocument/2006/relationships/hyperlink" Target="http://dx.doi.org/10.1088/1757-899X/962/2/022047" TargetMode="External"/><Relationship Id="rId_hyperlink_316" Type="http://schemas.openxmlformats.org/officeDocument/2006/relationships/hyperlink" Target="https%3A%2F%2Fwww.webofscience.com%2Fwos%2Fwoscc%2Ffull-record%2FWOS:000648432000047" TargetMode="External"/><Relationship Id="rId_hyperlink_317" Type="http://schemas.openxmlformats.org/officeDocument/2006/relationships/hyperlink" Target="https%3A%2F%2Fwww.webofscience.com%2Fwos%2Fwoscc%2Ffull-record%2FWOS:000610803200022" TargetMode="External"/><Relationship Id="rId_hyperlink_318" Type="http://schemas.openxmlformats.org/officeDocument/2006/relationships/hyperlink" Target="http://dx.doi.org/10.1108/OTH-07-2019-0041" TargetMode="External"/><Relationship Id="rId_hyperlink_319" Type="http://schemas.openxmlformats.org/officeDocument/2006/relationships/hyperlink" Target="https%3A%2F%2Fwww.webofscience.com%2Fwos%2Fwoscc%2Ffull-record%2FWOS:000491196500005" TargetMode="External"/><Relationship Id="rId_hyperlink_320" Type="http://schemas.openxmlformats.org/officeDocument/2006/relationships/hyperlink" Target="http://dx.doi.org/10.33186/1027-3689-2019-12-100-119" TargetMode="External"/><Relationship Id="rId_hyperlink_321" Type="http://schemas.openxmlformats.org/officeDocument/2006/relationships/hyperlink" Target="https%3A%2F%2Fwww.webofscience.com%2Fwos%2Fwoscc%2Ffull-record%2FWOS:000502575300009" TargetMode="External"/><Relationship Id="rId_hyperlink_322" Type="http://schemas.openxmlformats.org/officeDocument/2006/relationships/hyperlink" Target="https%3A%2F%2Fwww.webofscience.com%2Fwos%2Fwoscc%2Ffull-record%2FWOS:000468146000153" TargetMode="External"/><Relationship Id="rId_hyperlink_323" Type="http://schemas.openxmlformats.org/officeDocument/2006/relationships/hyperlink" Target="http://dx.doi.org/10.17223/15617793/434/26" TargetMode="External"/><Relationship Id="rId_hyperlink_324" Type="http://schemas.openxmlformats.org/officeDocument/2006/relationships/hyperlink" Target="https%3A%2F%2Fwww.webofscience.com%2Fwos%2Fwoscc%2Ffull-record%2FWOS:000451260400026" TargetMode="External"/><Relationship Id="rId_hyperlink_325" Type="http://schemas.openxmlformats.org/officeDocument/2006/relationships/hyperlink" Target="https%3A%2F%2Fwww.webofscience.com%2Fwos%2Fwoscc%2Ffull-record%2FWOS:000443793600009" TargetMode="External"/><Relationship Id="rId_hyperlink_326" Type="http://schemas.openxmlformats.org/officeDocument/2006/relationships/hyperlink" Target="http://dx.doi.org/10.1007/978-3-030-01204-5_14" TargetMode="External"/><Relationship Id="rId_hyperlink_327" Type="http://schemas.openxmlformats.org/officeDocument/2006/relationships/hyperlink" Target="https%3A%2F%2Fwww.webofscience.com%2Fwos%2Fwoscc%2Ffull-record%2FWOS:000460557600014" TargetMode="External"/><Relationship Id="rId_hyperlink_328" Type="http://schemas.openxmlformats.org/officeDocument/2006/relationships/hyperlink" Target="http://dx.doi.org/10.6060/tcct.20186104-05.5596" TargetMode="External"/><Relationship Id="rId_hyperlink_329" Type="http://schemas.openxmlformats.org/officeDocument/2006/relationships/hyperlink" Target="https%3A%2F%2Fwww.webofscience.com%2Fwos%2Fwoscc%2Ffull-record%2FWOS:000435584400009" TargetMode="External"/><Relationship Id="rId_hyperlink_330" Type="http://schemas.openxmlformats.org/officeDocument/2006/relationships/hyperlink" Target="http://dx.doi.org/10.1007/978-3-319-67516-9_4" TargetMode="External"/><Relationship Id="rId_hyperlink_331" Type="http://schemas.openxmlformats.org/officeDocument/2006/relationships/hyperlink" Target="https%3A%2F%2Fwww.webofscience.com%2Fwos%2Fwoscc%2Ffull-record%2FWOS:000440661000005" TargetMode="External"/><Relationship Id="rId_hyperlink_332" Type="http://schemas.openxmlformats.org/officeDocument/2006/relationships/hyperlink" Target="http://dx.doi.org/10.1088/1757-899X/451/1/012046" TargetMode="External"/><Relationship Id="rId_hyperlink_333" Type="http://schemas.openxmlformats.org/officeDocument/2006/relationships/hyperlink" Target="https%3A%2F%2Fwww.webofscience.com%2Fwos%2Fwoscc%2Ffull-record%2FWOS:000648426900046" TargetMode="External"/><Relationship Id="rId_hyperlink_334" Type="http://schemas.openxmlformats.org/officeDocument/2006/relationships/hyperlink" Target="https%3A%2F%2Fwww.webofscience.com%2Fwos%2Fwoscc%2Ffull-record%2FWOS:000423138700013" TargetMode="External"/><Relationship Id="rId_hyperlink_335" Type="http://schemas.openxmlformats.org/officeDocument/2006/relationships/hyperlink" Target="https%3A%2F%2Fwww.webofscience.com%2Fwos%2Fwoscc%2Ffull-record%2FWOS:000372373000011" TargetMode="External"/><Relationship Id="rId_hyperlink_336" Type="http://schemas.openxmlformats.org/officeDocument/2006/relationships/hyperlink" Target="http://dx.doi.org/10.1134/S102319351505002X" TargetMode="External"/><Relationship Id="rId_hyperlink_337" Type="http://schemas.openxmlformats.org/officeDocument/2006/relationships/hyperlink" Target="https%3A%2F%2Fwww.webofscience.com%2Fwos%2Fwoscc%2Ffull-record%2FWOS:000355411900015" TargetMode="External"/><Relationship Id="rId_hyperlink_338" Type="http://schemas.openxmlformats.org/officeDocument/2006/relationships/hyperlink" Target="https%3A%2F%2Fwww.webofscience.com%2Fwos%2Fwoscc%2Ffull-record%2FWOS:000382527700042" TargetMode="External"/><Relationship Id="rId_hyperlink_339" Type="http://schemas.openxmlformats.org/officeDocument/2006/relationships/hyperlink" Target="http://dx.doi.org/10.1134/S1070427214080126" TargetMode="External"/><Relationship Id="rId_hyperlink_340" Type="http://schemas.openxmlformats.org/officeDocument/2006/relationships/hyperlink" Target="https%3A%2F%2Fwww.webofscience.com%2Fwos%2Fwoscc%2Ffull-record%2FWOS:000345395800012" TargetMode="External"/><Relationship Id="rId_hyperlink_341" Type="http://schemas.openxmlformats.org/officeDocument/2006/relationships/hyperlink" Target="http://dx.doi.org/10.1134/S107042720808020X" TargetMode="External"/><Relationship Id="rId_hyperlink_342" Type="http://schemas.openxmlformats.org/officeDocument/2006/relationships/hyperlink" Target="https%3A%2F%2Fwww.webofscience.com%2Fwos%2Fwoscc%2Ffull-record%2FWOS:000259579700020" TargetMode="External"/><Relationship Id="rId_hyperlink_343" Type="http://schemas.openxmlformats.org/officeDocument/2006/relationships/hyperlink" Target="http://dx.doi.org/10.1134/S004057950803007X" TargetMode="External"/><Relationship Id="rId_hyperlink_344" Type="http://schemas.openxmlformats.org/officeDocument/2006/relationships/hyperlink" Target="https%3A%2F%2Fwww.webofscience.com%2Fwos%2Fwoscc%2Ffull-record%2FWOS:000257394200007" TargetMode="External"/><Relationship Id="rId_hyperlink_345" Type="http://schemas.openxmlformats.org/officeDocument/2006/relationships/hyperlink" Target="http://dx.doi.org/10.1023/A:1023833111833" TargetMode="External"/><Relationship Id="rId_hyperlink_346" Type="http://schemas.openxmlformats.org/officeDocument/2006/relationships/hyperlink" Target="https%3A%2F%2Fwww.webofscience.com%2Fwos%2Fwoscc%2Ffull-record%2FWOS:000183347900016" TargetMode="External"/><Relationship Id="rId_hyperlink_347" Type="http://schemas.openxmlformats.org/officeDocument/2006/relationships/hyperlink" Target="https%3A%2F%2Fwww.webofscience.com%2Fwos%2Fwoscc%2Ffull-record%2FWOS:A1996VT67800011" TargetMode="External"/><Relationship Id="rId_hyperlink_348" Type="http://schemas.openxmlformats.org/officeDocument/2006/relationships/hyperlink" Target="http://dx.doi.org/10.1134/S0001434622090061" TargetMode="External"/><Relationship Id="rId_hyperlink_349" Type="http://schemas.openxmlformats.org/officeDocument/2006/relationships/hyperlink" Target="https%3A%2F%2Fwww.webofscience.com%2Fwos%2Fwoscc%2Ffull-record%2FWOS:000871088800006" TargetMode="External"/><Relationship Id="rId_hyperlink_350" Type="http://schemas.openxmlformats.org/officeDocument/2006/relationships/hyperlink" Target="http://dx.doi.org/10.1007/978-3-030-93244-2_78" TargetMode="External"/><Relationship Id="rId_hyperlink_351" Type="http://schemas.openxmlformats.org/officeDocument/2006/relationships/hyperlink" Target="https%3A%2F%2Fwww.webofscience.com%2Fwos%2Fwoscc%2Ffull-record%2FWOS:000759460600078" TargetMode="External"/><Relationship Id="rId_hyperlink_352" Type="http://schemas.openxmlformats.org/officeDocument/2006/relationships/hyperlink" Target="http://dx.doi.org/10.15211/soveurope320212737" TargetMode="External"/><Relationship Id="rId_hyperlink_353" Type="http://schemas.openxmlformats.org/officeDocument/2006/relationships/hyperlink" Target="https%3A%2F%2Fwww.webofscience.com%2Fwos%2Fwoscc%2Ffull-record%2FWOS:000708406300003" TargetMode="External"/><Relationship Id="rId_hyperlink_354" Type="http://schemas.openxmlformats.org/officeDocument/2006/relationships/hyperlink" Target="http://dx.doi.org/10.22363/2312-8674-2021-20-1-108-124" TargetMode="External"/><Relationship Id="rId_hyperlink_355" Type="http://schemas.openxmlformats.org/officeDocument/2006/relationships/hyperlink" Target="https%3A%2F%2Fwww.webofscience.com%2Fwos%2Fwoscc%2Ffull-record%2FWOS:000624911700007" TargetMode="External"/><Relationship Id="rId_hyperlink_356" Type="http://schemas.openxmlformats.org/officeDocument/2006/relationships/hyperlink" Target="http://dx.doi.org/10.25750/1995-4301-2021-1-181-187" TargetMode="External"/><Relationship Id="rId_hyperlink_357" Type="http://schemas.openxmlformats.org/officeDocument/2006/relationships/hyperlink" Target="https%3A%2F%2Fwww.webofscience.com%2Fwos%2Fwoscc%2Ffull-record%2FWOS:000632219100024" TargetMode="External"/><Relationship Id="rId_hyperlink_358" Type="http://schemas.openxmlformats.org/officeDocument/2006/relationships/hyperlink" Target="http://dx.doi.org/10.3897/ap.2.e1227" TargetMode="External"/><Relationship Id="rId_hyperlink_359" Type="http://schemas.openxmlformats.org/officeDocument/2006/relationships/hyperlink" Target="https%3A%2F%2Fwww.webofscience.com%2Fwos%2Fwoscc%2Ffull-record%2FWOS:000671896200095" TargetMode="External"/><Relationship Id="rId_hyperlink_360" Type="http://schemas.openxmlformats.org/officeDocument/2006/relationships/hyperlink" Target="http://dx.doi.org/10.24874/IJQR14.01-07" TargetMode="External"/><Relationship Id="rId_hyperlink_361" Type="http://schemas.openxmlformats.org/officeDocument/2006/relationships/hyperlink" Target="https%3A%2F%2Fwww.webofscience.com%2Fwos%2Fwoscc%2Ffull-record%2FWOS:000518417300007" TargetMode="External"/><Relationship Id="rId_hyperlink_362" Type="http://schemas.openxmlformats.org/officeDocument/2006/relationships/hyperlink" Target="http://dx.doi.org/10.1108/OTH-07-2019-0042" TargetMode="External"/><Relationship Id="rId_hyperlink_363" Type="http://schemas.openxmlformats.org/officeDocument/2006/relationships/hyperlink" Target="https%3A%2F%2Fwww.webofscience.com%2Fwos%2Fwoscc%2Ffull-record%2FWOS:000491196500016" TargetMode="External"/><Relationship Id="rId_hyperlink_364" Type="http://schemas.openxmlformats.org/officeDocument/2006/relationships/hyperlink" Target="https%3A%2F%2Fwww.webofscience.com%2Fwos%2Fwoscc%2Ffull-record%2FWOS:000469999300035" TargetMode="External"/><Relationship Id="rId_hyperlink_365" Type="http://schemas.openxmlformats.org/officeDocument/2006/relationships/hyperlink" Target="https%3A%2F%2Fwww.webofscience.com%2Fwos%2Fwoscc%2Ffull-record%2FWOS:000477706200026" TargetMode="External"/><Relationship Id="rId_hyperlink_366" Type="http://schemas.openxmlformats.org/officeDocument/2006/relationships/hyperlink" Target="http://dx.doi.org/10.18720/MCE.91.8" TargetMode="External"/><Relationship Id="rId_hyperlink_367" Type="http://schemas.openxmlformats.org/officeDocument/2006/relationships/hyperlink" Target="https%3A%2F%2Fwww.webofscience.com%2Fwos%2Fwoscc%2Ffull-record%2FWOS:000593141100008" TargetMode="External"/><Relationship Id="rId_hyperlink_368" Type="http://schemas.openxmlformats.org/officeDocument/2006/relationships/hyperlink" Target="https%3A%2F%2Fwww.webofscience.com%2Fwos%2Fwoscc%2Ffull-record%2FWOS:000443674500037" TargetMode="External"/><Relationship Id="rId_hyperlink_369" Type="http://schemas.openxmlformats.org/officeDocument/2006/relationships/hyperlink" Target="https%3A%2F%2Fwww.webofscience.com%2Fwos%2Fwoscc%2Ffull-record%2FWOS:000478963800033" TargetMode="External"/><Relationship Id="rId_hyperlink_370" Type="http://schemas.openxmlformats.org/officeDocument/2006/relationships/hyperlink" Target="https%3A%2F%2Fwww.webofscience.com%2Fwos%2Fwoscc%2Ffull-record%2FWOS:000478963800234" TargetMode="External"/><Relationship Id="rId_hyperlink_371" Type="http://schemas.openxmlformats.org/officeDocument/2006/relationships/hyperlink" Target="http://dx.doi.org/10.17072/2219-3111-2018-4-107-116" TargetMode="External"/><Relationship Id="rId_hyperlink_372" Type="http://schemas.openxmlformats.org/officeDocument/2006/relationships/hyperlink" Target="https%3A%2F%2Fwww.webofscience.com%2Fwos%2Fwoscc%2Ffull-record%2FWOS:000456115100012" TargetMode="External"/><Relationship Id="rId_hyperlink_373" Type="http://schemas.openxmlformats.org/officeDocument/2006/relationships/hyperlink" Target="https%3A%2F%2Fwww.webofscience.com%2Fwos%2Fwoscc%2Ffull-record%2FWOS:000414282400171" TargetMode="External"/><Relationship Id="rId_hyperlink_374" Type="http://schemas.openxmlformats.org/officeDocument/2006/relationships/hyperlink" Target="https%3A%2F%2Fwww.webofscience.com%2Fwos%2Fwoscc%2Ffull-record%2FWOS:000414282400175" TargetMode="External"/><Relationship Id="rId_hyperlink_375" Type="http://schemas.openxmlformats.org/officeDocument/2006/relationships/hyperlink" Target="http://dx.doi.org/10.1051/matecconf/201710608012" TargetMode="External"/><Relationship Id="rId_hyperlink_376" Type="http://schemas.openxmlformats.org/officeDocument/2006/relationships/hyperlink" Target="https%3A%2F%2Fwww.webofscience.com%2Fwos%2Fwoscc%2Ffull-record%2FWOS:000426426600197" TargetMode="External"/><Relationship Id="rId_hyperlink_377" Type="http://schemas.openxmlformats.org/officeDocument/2006/relationships/hyperlink" Target="http://dx.doi.org/10.15405/epsbs.2017.08.02.64" TargetMode="External"/><Relationship Id="rId_hyperlink_378" Type="http://schemas.openxmlformats.org/officeDocument/2006/relationships/hyperlink" Target="https%3A%2F%2Fwww.webofscience.com%2Fwos%2Fwoscc%2Ffull-record%2FWOS:000432421300064" TargetMode="External"/><Relationship Id="rId_hyperlink_379" Type="http://schemas.openxmlformats.org/officeDocument/2006/relationships/hyperlink" Target="https%3A%2F%2Fwww.webofscience.com%2Fwos%2Fwoscc%2Ffull-record%2FWOS:000414282400176" TargetMode="External"/><Relationship Id="rId_hyperlink_380" Type="http://schemas.openxmlformats.org/officeDocument/2006/relationships/hyperlink" Target="http://dx.doi.org/10.1134/S1087659612040025" TargetMode="External"/><Relationship Id="rId_hyperlink_381" Type="http://schemas.openxmlformats.org/officeDocument/2006/relationships/hyperlink" Target="https%3A%2F%2Fwww.webofscience.com%2Fwos%2Fwoscc%2Ffull-record%2FWOS:000307556900009" TargetMode="External"/><Relationship Id="rId_hyperlink_382" Type="http://schemas.openxmlformats.org/officeDocument/2006/relationships/hyperlink" Target="http://dx.doi.org/10.1134/S1087659611060095" TargetMode="External"/><Relationship Id="rId_hyperlink_383" Type="http://schemas.openxmlformats.org/officeDocument/2006/relationships/hyperlink" Target="https%3A%2F%2Fwww.webofscience.com%2Fwos%2Fwoscc%2Ffull-record%2FWOS:000298396000009" TargetMode="External"/><Relationship Id="rId_hyperlink_384" Type="http://schemas.openxmlformats.org/officeDocument/2006/relationships/hyperlink" Target="http://dx.doi.org/10.1134/S0036024409030170" TargetMode="External"/><Relationship Id="rId_hyperlink_385" Type="http://schemas.openxmlformats.org/officeDocument/2006/relationships/hyperlink" Target="https%3A%2F%2Fwww.webofscience.com%2Fwos%2Fwoscc%2Ffull-record%2FWOS:000263675600017" TargetMode="External"/><Relationship Id="rId_hyperlink_386" Type="http://schemas.openxmlformats.org/officeDocument/2006/relationships/hyperlink" Target="http://dx.doi.org/10.1134/S1070427208020080" TargetMode="External"/><Relationship Id="rId_hyperlink_387" Type="http://schemas.openxmlformats.org/officeDocument/2006/relationships/hyperlink" Target="https%3A%2F%2Fwww.webofscience.com%2Fwos%2Fwoscc%2Ffull-record%2FWOS:000254752400008" TargetMode="External"/><Relationship Id="rId_hyperlink_388" Type="http://schemas.openxmlformats.org/officeDocument/2006/relationships/hyperlink" Target="https%3A%2F%2Fwww.webofscience.com%2Fwos%2Fwoscc%2Ffull-record%2FWOS:000167436400016" TargetMode="External"/><Relationship Id="rId_hyperlink_389" Type="http://schemas.openxmlformats.org/officeDocument/2006/relationships/hyperlink" Target="https%3A%2F%2Fwww.webofscience.com%2Fwos%2Fwoscc%2Ffull-record%2FWOS:A1996WH88100004" TargetMode="External"/><Relationship Id="rId_hyperlink_390" Type="http://schemas.openxmlformats.org/officeDocument/2006/relationships/hyperlink" Target="http://dx.doi.org/10.31166/VoprosyIstorii202212Statyi52" TargetMode="External"/><Relationship Id="rId_hyperlink_391" Type="http://schemas.openxmlformats.org/officeDocument/2006/relationships/hyperlink" Target="https%3A%2F%2Fwww.webofscience.com%2Fwos%2Fwoscc%2Ffull-record%2FWOS:000904073900003" TargetMode="External"/><Relationship Id="rId_hyperlink_392" Type="http://schemas.openxmlformats.org/officeDocument/2006/relationships/hyperlink" Target="http://dx.doi.org/10.25750/1995-4301-2022-2-165-172" TargetMode="External"/><Relationship Id="rId_hyperlink_393" Type="http://schemas.openxmlformats.org/officeDocument/2006/relationships/hyperlink" Target="https%3A%2F%2Fwww.webofscience.com%2Fwos%2Fwoscc%2Ffull-record%2FWOS:000820802000021" TargetMode="External"/><Relationship Id="rId_hyperlink_394" Type="http://schemas.openxmlformats.org/officeDocument/2006/relationships/hyperlink" Target="http://dx.doi.org/10.24224/2227-1295-2021-12-396-412" TargetMode="External"/><Relationship Id="rId_hyperlink_395" Type="http://schemas.openxmlformats.org/officeDocument/2006/relationships/hyperlink" Target="https%3A%2F%2Fwww.webofscience.com%2Fwos%2Fwoscc%2Ffull-record%2FWOS:000751642500022" TargetMode="External"/><Relationship Id="rId_hyperlink_396" Type="http://schemas.openxmlformats.org/officeDocument/2006/relationships/hyperlink" Target="http://dx.doi.org/10.21638/11701/spbu02.2021.114" TargetMode="External"/><Relationship Id="rId_hyperlink_397" Type="http://schemas.openxmlformats.org/officeDocument/2006/relationships/hyperlink" Target="https%3A%2F%2Fwww.webofscience.com%2Fwos%2Fwoscc%2Ffull-record%2FWOS:000637851800014" TargetMode="External"/><Relationship Id="rId_hyperlink_398" Type="http://schemas.openxmlformats.org/officeDocument/2006/relationships/hyperlink" Target="http://dx.doi.org/10.15826/qr.2021.4.651" TargetMode="External"/><Relationship Id="rId_hyperlink_399" Type="http://schemas.openxmlformats.org/officeDocument/2006/relationships/hyperlink" Target="https%3A%2F%2Fwww.webofscience.com%2Fwos%2Fwoscc%2Ffull-record%2FWOS:000757029100020" TargetMode="External"/><Relationship Id="rId_hyperlink_400" Type="http://schemas.openxmlformats.org/officeDocument/2006/relationships/hyperlink" Target="http://dx.doi.org/10.18254/S207987840017862-7" TargetMode="External"/><Relationship Id="rId_hyperlink_401" Type="http://schemas.openxmlformats.org/officeDocument/2006/relationships/hyperlink" Target="https%3A%2F%2Fwww.webofscience.com%2Fwos%2Fwoscc%2Ffull-record%2FWOS:000773993800016" TargetMode="External"/><Relationship Id="rId_hyperlink_402" Type="http://schemas.openxmlformats.org/officeDocument/2006/relationships/hyperlink" Target="http://dx.doi.org/10.24224/2227-1295-2020-5-171-191" TargetMode="External"/><Relationship Id="rId_hyperlink_403" Type="http://schemas.openxmlformats.org/officeDocument/2006/relationships/hyperlink" Target="https%3A%2F%2Fwww.webofscience.com%2Fwos%2Fwoscc%2Ffull-record%2FWOS:000538093300011" TargetMode="External"/><Relationship Id="rId_hyperlink_404" Type="http://schemas.openxmlformats.org/officeDocument/2006/relationships/hyperlink" Target="http://dx.doi.org/10.17072/2219-3111-2020-3-118-127" TargetMode="External"/><Relationship Id="rId_hyperlink_405" Type="http://schemas.openxmlformats.org/officeDocument/2006/relationships/hyperlink" Target="https%3A%2F%2Fwww.webofscience.com%2Fwos%2Fwoscc%2Ffull-record%2FWOS:000591510800011" TargetMode="External"/><Relationship Id="rId_hyperlink_406" Type="http://schemas.openxmlformats.org/officeDocument/2006/relationships/hyperlink" Target="http://dx.doi.org/10.1108/OTH-07-2019-0039" TargetMode="External"/><Relationship Id="rId_hyperlink_407" Type="http://schemas.openxmlformats.org/officeDocument/2006/relationships/hyperlink" Target="https%3A%2F%2Fwww.webofscience.com%2Fwos%2Fwoscc%2Ffull-record%2FWOS:000491196500017" TargetMode="External"/><Relationship Id="rId_hyperlink_408" Type="http://schemas.openxmlformats.org/officeDocument/2006/relationships/hyperlink" Target="http://dx.doi.org/10.30472/ijaep.v8i1.303" TargetMode="External"/><Relationship Id="rId_hyperlink_409" Type="http://schemas.openxmlformats.org/officeDocument/2006/relationships/hyperlink" Target="https%3A%2F%2Fwww.webofscience.com%2Fwos%2Fwoscc%2Ffull-record%2FWOS:000457011900011" TargetMode="External"/><Relationship Id="rId_hyperlink_410" Type="http://schemas.openxmlformats.org/officeDocument/2006/relationships/hyperlink" Target="http://dx.doi.org/10.28995/2073-0101-2019-2-458-466" TargetMode="External"/><Relationship Id="rId_hyperlink_411" Type="http://schemas.openxmlformats.org/officeDocument/2006/relationships/hyperlink" Target="https%3A%2F%2Fwww.webofscience.com%2Fwos%2Fwoscc%2Ffull-record%2FWOS:000473803800012" TargetMode="External"/><Relationship Id="rId_hyperlink_412" Type="http://schemas.openxmlformats.org/officeDocument/2006/relationships/hyperlink" Target="http://dx.doi.org/10.17223/19986645/51/13" TargetMode="External"/><Relationship Id="rId_hyperlink_413" Type="http://schemas.openxmlformats.org/officeDocument/2006/relationships/hyperlink" Target="https%3A%2F%2Fwww.webofscience.com%2Fwos%2Fwoscc%2Ffull-record%2FWOS:000436334100013" TargetMode="External"/><Relationship Id="rId_hyperlink_414" Type="http://schemas.openxmlformats.org/officeDocument/2006/relationships/hyperlink" Target="http://dx.doi.org/10.17323/2072-8166.2018.4.196.215" TargetMode="External"/><Relationship Id="rId_hyperlink_415" Type="http://schemas.openxmlformats.org/officeDocument/2006/relationships/hyperlink" Target="https%3A%2F%2Fwww.webofscience.com%2Fwos%2Fwoscc%2Ffull-record%2FWOS:000455584700011" TargetMode="External"/><Relationship Id="rId_hyperlink_416" Type="http://schemas.openxmlformats.org/officeDocument/2006/relationships/hyperlink" Target="http://dx.doi.org/10.1134/S0965544117110068" TargetMode="External"/><Relationship Id="rId_hyperlink_417" Type="http://schemas.openxmlformats.org/officeDocument/2006/relationships/hyperlink" Target="https%3A%2F%2Fwww.webofscience.com%2Fwos%2Fwoscc%2Ffull-record%2FWOS:000412901200004" TargetMode="External"/><Relationship Id="rId_hyperlink_418" Type="http://schemas.openxmlformats.org/officeDocument/2006/relationships/hyperlink" Target="https%3A%2F%2Fwww.webofscience.com%2Fwos%2Fwoscc%2Ffull-record%2FWOS:000428759500110" TargetMode="External"/><Relationship Id="rId_hyperlink_419" Type="http://schemas.openxmlformats.org/officeDocument/2006/relationships/hyperlink" Target="https%3A%2F%2Fwww.webofscience.com%2Fwos%2Fwoscc%2Ffull-record%2FWOS:000414282400348" TargetMode="External"/><Relationship Id="rId_hyperlink_420" Type="http://schemas.openxmlformats.org/officeDocument/2006/relationships/hyperlink" Target="https%3A%2F%2Fwww.webofscience.com%2Fwos%2Fwoscc%2Ffull-record%2FWOS:000383090900124" TargetMode="External"/><Relationship Id="rId_hyperlink_421" Type="http://schemas.openxmlformats.org/officeDocument/2006/relationships/hyperlink" Target="https%3A%2F%2Fwww.webofscience.com%2Fwos%2Fwoscc%2Ffull-record%2FWOS:000358190200019" TargetMode="External"/><Relationship Id="rId_hyperlink_422" Type="http://schemas.openxmlformats.org/officeDocument/2006/relationships/hyperlink" Target="http://dx.doi.org/10.1007/s11236-005-0083-7" TargetMode="External"/><Relationship Id="rId_hyperlink_423" Type="http://schemas.openxmlformats.org/officeDocument/2006/relationships/hyperlink" Target="https%3A%2F%2Fwww.webofscience.com%2Fwos%2Fwoscc%2Ffull-record%2FWOS:000230025900016" TargetMode="External"/><Relationship Id="rId_hyperlink_424" Type="http://schemas.openxmlformats.org/officeDocument/2006/relationships/hyperlink" Target="https%3A%2F%2Fwww.webofscience.com%2Fwos%2Fwoscc%2Ffull-record%2FWOS:000083212500006" TargetMode="External"/><Relationship Id="rId_hyperlink_425" Type="http://schemas.openxmlformats.org/officeDocument/2006/relationships/hyperlink" Target="http://dx.doi.org/10.34910/MCE.117.13" TargetMode="External"/><Relationship Id="rId_hyperlink_426" Type="http://schemas.openxmlformats.org/officeDocument/2006/relationships/hyperlink" Target="https%3A%2F%2Fwww.webofscience.com%2Fwos%2Fwoscc%2Ffull-record%2FWOS:000935004600004" TargetMode="External"/><Relationship Id="rId_hyperlink_427" Type="http://schemas.openxmlformats.org/officeDocument/2006/relationships/hyperlink" Target="http://dx.doi.org/10.1016/j.micpro.2022.104529" TargetMode="External"/><Relationship Id="rId_hyperlink_428" Type="http://schemas.openxmlformats.org/officeDocument/2006/relationships/hyperlink" Target="https%3A%2F%2Fwww.webofscience.com%2Fwos%2Fwoscc%2Ffull-record%2FWOS:000797303800001" TargetMode="External"/><Relationship Id="rId_hyperlink_429" Type="http://schemas.openxmlformats.org/officeDocument/2006/relationships/hyperlink" Target="http://dx.doi.org/10.1134/S0001434622030191" TargetMode="External"/><Relationship Id="rId_hyperlink_430" Type="http://schemas.openxmlformats.org/officeDocument/2006/relationships/hyperlink" Target="https%3A%2F%2Fwww.webofscience.com%2Fwos%2Fwoscc%2Ffull-record%2FWOS:000787851100019" TargetMode="External"/><Relationship Id="rId_hyperlink_431" Type="http://schemas.openxmlformats.org/officeDocument/2006/relationships/hyperlink" Target="http://dx.doi.org/10.17072/2219-3111-2022-1-163-171" TargetMode="External"/><Relationship Id="rId_hyperlink_432" Type="http://schemas.openxmlformats.org/officeDocument/2006/relationships/hyperlink" Target="https%3A%2F%2Fwww.webofscience.com%2Fwos%2Fwoscc%2Ffull-record%2FWOS:000865406500015" TargetMode="External"/><Relationship Id="rId_hyperlink_433" Type="http://schemas.openxmlformats.org/officeDocument/2006/relationships/hyperlink" Target="http://dx.doi.org/10.25750/1995-4301-2021-2-229-234" TargetMode="External"/><Relationship Id="rId_hyperlink_434" Type="http://schemas.openxmlformats.org/officeDocument/2006/relationships/hyperlink" Target="https%3A%2F%2Fwww.webofscience.com%2Fwos%2Fwoscc%2Ffull-record%2FWOS:000667025400033" TargetMode="External"/><Relationship Id="rId_hyperlink_435" Type="http://schemas.openxmlformats.org/officeDocument/2006/relationships/hyperlink" Target="http://dx.doi.org/10.1007/978-3-030-70194-9_34" TargetMode="External"/><Relationship Id="rId_hyperlink_436" Type="http://schemas.openxmlformats.org/officeDocument/2006/relationships/hyperlink" Target="https%3A%2F%2Fwww.webofscience.com%2Fwos%2Fwoscc%2Ffull-record%2FWOS:000849737100033" TargetMode="External"/><Relationship Id="rId_hyperlink_437" Type="http://schemas.openxmlformats.org/officeDocument/2006/relationships/hyperlink" Target="http://dx.doi.org/10.13187/ejced.2020.3.529" TargetMode="External"/><Relationship Id="rId_hyperlink_438" Type="http://schemas.openxmlformats.org/officeDocument/2006/relationships/hyperlink" Target="https%3A%2F%2Fwww.webofscience.com%2Fwos%2Fwoscc%2Ffull-record%2FWOS:000567722400005" TargetMode="External"/><Relationship Id="rId_hyperlink_439" Type="http://schemas.openxmlformats.org/officeDocument/2006/relationships/hyperlink" Target="https%3A%2F%2Fwww.webofscience.com%2Fwos%2Fwoscc%2Ffull-record%2FWOS:000649745900025" TargetMode="External"/><Relationship Id="rId_hyperlink_440" Type="http://schemas.openxmlformats.org/officeDocument/2006/relationships/hyperlink" Target="http://dx.doi.org/10.20952/revtee.v12i31.11888" TargetMode="External"/><Relationship Id="rId_hyperlink_441" Type="http://schemas.openxmlformats.org/officeDocument/2006/relationships/hyperlink" Target="https%3A%2F%2Fwww.webofscience.com%2Fwos%2Fwoscc%2Ffull-record%2FWOS:000496533000013" TargetMode="External"/><Relationship Id="rId_hyperlink_442" Type="http://schemas.openxmlformats.org/officeDocument/2006/relationships/hyperlink" Target="http://dx.doi.org/10.31901/24566322.2019/26.1-3.1083" TargetMode="External"/><Relationship Id="rId_hyperlink_443" Type="http://schemas.openxmlformats.org/officeDocument/2006/relationships/hyperlink" Target="https%3A%2F%2Fwww.webofscience.com%2Fwos%2Fwoscc%2Ffull-record%2FWOS:000491261400002" TargetMode="External"/><Relationship Id="rId_hyperlink_444" Type="http://schemas.openxmlformats.org/officeDocument/2006/relationships/hyperlink" Target="http://dx.doi.org/10.1051/e3sconf/201911002021" TargetMode="External"/><Relationship Id="rId_hyperlink_445" Type="http://schemas.openxmlformats.org/officeDocument/2006/relationships/hyperlink" Target="https%3A%2F%2Fwww.webofscience.com%2Fwos%2Fwoscc%2Ffull-record%2FWOS:000569050000110" TargetMode="External"/><Relationship Id="rId_hyperlink_446" Type="http://schemas.openxmlformats.org/officeDocument/2006/relationships/hyperlink" Target="https%3A%2F%2Fwww.webofscience.com%2Fwos%2Fwoscc%2Ffull-record%2FWOS:000469452600028" TargetMode="External"/><Relationship Id="rId_hyperlink_447" Type="http://schemas.openxmlformats.org/officeDocument/2006/relationships/hyperlink" Target="http://dx.doi.org/10.18720/MCE.85.9" TargetMode="External"/><Relationship Id="rId_hyperlink_448" Type="http://schemas.openxmlformats.org/officeDocument/2006/relationships/hyperlink" Target="https%3A%2F%2Fwww.webofscience.com%2Fwos%2Fwoscc%2Ffull-record%2FWOS:000474459100009" TargetMode="External"/><Relationship Id="rId_hyperlink_449" Type="http://schemas.openxmlformats.org/officeDocument/2006/relationships/hyperlink" Target="http://dx.doi.org/10.15826/qr.2019.4.441" TargetMode="External"/><Relationship Id="rId_hyperlink_450" Type="http://schemas.openxmlformats.org/officeDocument/2006/relationships/hyperlink" Target="https%3A%2F%2Fwww.webofscience.com%2Fwos%2Fwoscc%2Ffull-record%2FWOS:000510178900019" TargetMode="External"/><Relationship Id="rId_hyperlink_451" Type="http://schemas.openxmlformats.org/officeDocument/2006/relationships/hyperlink" Target="http://dx.doi.org/10.17223/23062061/16/7" TargetMode="External"/><Relationship Id="rId_hyperlink_452" Type="http://schemas.openxmlformats.org/officeDocument/2006/relationships/hyperlink" Target="https%3A%2F%2Fwww.webofscience.com%2Fwos%2Fwoscc%2Ffull-record%2FWOS:000451192400007" TargetMode="External"/><Relationship Id="rId_hyperlink_453" Type="http://schemas.openxmlformats.org/officeDocument/2006/relationships/hyperlink" Target="https%3A%2F%2Fwww.webofscience.com%2Fwos%2Fwoscc%2Ffull-record%2FWOS:000478963800197" TargetMode="External"/><Relationship Id="rId_hyperlink_454" Type="http://schemas.openxmlformats.org/officeDocument/2006/relationships/hyperlink" Target="https%3A%2F%2Fwww.webofscience.com%2Fwos%2Fwoscc%2Ffull-record%2FWOS:000527800600059" TargetMode="External"/><Relationship Id="rId_hyperlink_455" Type="http://schemas.openxmlformats.org/officeDocument/2006/relationships/hyperlink" Target="http://dx.doi.org/10.1088/1742-6596/891/1/012226" TargetMode="External"/><Relationship Id="rId_hyperlink_456" Type="http://schemas.openxmlformats.org/officeDocument/2006/relationships/hyperlink" Target="https%3A%2F%2Fwww.webofscience.com%2Fwos%2Fwoscc%2Ffull-record%2FWOS:000424078500226" TargetMode="External"/><Relationship Id="rId_hyperlink_457" Type="http://schemas.openxmlformats.org/officeDocument/2006/relationships/hyperlink" Target="http://dx.doi.org/10.1007/978-3-319-60696-5_1" TargetMode="External"/><Relationship Id="rId_hyperlink_458" Type="http://schemas.openxmlformats.org/officeDocument/2006/relationships/hyperlink" Target="https%3A%2F%2Fwww.webofscience.com%2Fwos%2Fwoscc%2Ffull-record%2FWOS:000426114200001" TargetMode="External"/><Relationship Id="rId_hyperlink_459" Type="http://schemas.openxmlformats.org/officeDocument/2006/relationships/hyperlink" Target="https%3A%2F%2Fwww.webofscience.com%2Fwos%2Fwoscc%2Ffull-record%2FWOS:000383090900086" TargetMode="External"/><Relationship Id="rId_hyperlink_460" Type="http://schemas.openxmlformats.org/officeDocument/2006/relationships/hyperlink" Target="http://dx.doi.org/10.1134/S199542551505011X" TargetMode="External"/><Relationship Id="rId_hyperlink_461" Type="http://schemas.openxmlformats.org/officeDocument/2006/relationships/hyperlink" Target="https%3A%2F%2Fwww.webofscience.com%2Fwos%2Fwoscc%2Ffull-record%2FWOS:000363241200002" TargetMode="External"/><Relationship Id="rId_hyperlink_462" Type="http://schemas.openxmlformats.org/officeDocument/2006/relationships/hyperlink" Target="https%3A%2F%2Fwww.webofscience.com%2Fwos%2Fwoscc%2Ffull-record%2FWOS:000369886300005" TargetMode="External"/><Relationship Id="rId_hyperlink_463" Type="http://schemas.openxmlformats.org/officeDocument/2006/relationships/hyperlink" Target="https%3A%2F%2Fwww.webofscience.com%2Fwos%2Fwoscc%2Ffull-record%2FWOS:000313402500011" TargetMode="External"/><Relationship Id="rId_hyperlink_464" Type="http://schemas.openxmlformats.org/officeDocument/2006/relationships/hyperlink" Target="https%3A%2F%2Fwww.webofscience.com%2Fwos%2Fwoscc%2Ffull-record%2FWOS:000251119000010" TargetMode="External"/><Relationship Id="rId_hyperlink_465" Type="http://schemas.openxmlformats.org/officeDocument/2006/relationships/hyperlink" Target="http://dx.doi.org/10.1007/s11236-005-0112-6" TargetMode="External"/><Relationship Id="rId_hyperlink_466" Type="http://schemas.openxmlformats.org/officeDocument/2006/relationships/hyperlink" Target="https%3A%2F%2Fwww.webofscience.com%2Fwos%2Fwoscc%2Ffull-record%2FWOS:000232940300011" TargetMode="External"/><Relationship Id="rId_hyperlink_467" Type="http://schemas.openxmlformats.org/officeDocument/2006/relationships/hyperlink" Target="https%3A%2F%2Fwww.webofscience.com%2Fwos%2Fwoscc%2Ffull-record%2FWOS:000180718300010" TargetMode="External"/><Relationship Id="rId_hyperlink_468" Type="http://schemas.openxmlformats.org/officeDocument/2006/relationships/hyperlink" Target="https%3A%2F%2Fwww.webofscience.com%2Fwos%2Fwoscc%2Ffull-record%2FWOS:000173770700008" TargetMode="External"/><Relationship Id="rId_hyperlink_469" Type="http://schemas.openxmlformats.org/officeDocument/2006/relationships/hyperlink" Target="https%3A%2F%2Fwww.webofscience.com%2Fwos%2Fwoscc%2Ffull-record%2FWOS:A1995RD36300005" TargetMode="External"/><Relationship Id="rId_hyperlink_470" Type="http://schemas.openxmlformats.org/officeDocument/2006/relationships/hyperlink" Target="http://dx.doi.org/10.1134/S0040601523010044" TargetMode="External"/><Relationship Id="rId_hyperlink_471" Type="http://schemas.openxmlformats.org/officeDocument/2006/relationships/hyperlink" Target="https%3A%2F%2Fwww.webofscience.com%2Fwos%2Fwoscc%2Ffull-record%2FWOS:000949710000007" TargetMode="External"/><Relationship Id="rId_hyperlink_472" Type="http://schemas.openxmlformats.org/officeDocument/2006/relationships/hyperlink" Target="http://dx.doi.org/10.54770/20729286_2023_1_50" TargetMode="External"/><Relationship Id="rId_hyperlink_473" Type="http://schemas.openxmlformats.org/officeDocument/2006/relationships/hyperlink" Target="https%3A%2F%2Fwww.webofscience.com%2Fwos%2Fwoscc%2Ffull-record%2FWOS:000971558700003" TargetMode="External"/><Relationship Id="rId_hyperlink_474" Type="http://schemas.openxmlformats.org/officeDocument/2006/relationships/hyperlink" Target="http://dx.doi.org/10.25750/1995-4301-2022-3-034-040" TargetMode="External"/><Relationship Id="rId_hyperlink_475" Type="http://schemas.openxmlformats.org/officeDocument/2006/relationships/hyperlink" Target="https%3A%2F%2Fwww.webofscience.com%2Fwos%2Fwoscc%2Ffull-record%2FWOS:000885393200004" TargetMode="External"/><Relationship Id="rId_hyperlink_476" Type="http://schemas.openxmlformats.org/officeDocument/2006/relationships/hyperlink" Target="http://dx.doi.org/10.17150/2500-4255.2022.16(2).257-267" TargetMode="External"/><Relationship Id="rId_hyperlink_477" Type="http://schemas.openxmlformats.org/officeDocument/2006/relationships/hyperlink" Target="https%3A%2F%2Fwww.webofscience.com%2Fwos%2Fwoscc%2Ffull-record%2FWOS:000805759500011" TargetMode="External"/><Relationship Id="rId_hyperlink_478" Type="http://schemas.openxmlformats.org/officeDocument/2006/relationships/hyperlink" Target="http://dx.doi.org/10.21638/11701/spbu24.2022.106" TargetMode="External"/><Relationship Id="rId_hyperlink_479" Type="http://schemas.openxmlformats.org/officeDocument/2006/relationships/hyperlink" Target="https%3A%2F%2Fwww.webofscience.com%2Fwos%2Fwoscc%2Ffull-record%2FWOS:000905283300006" TargetMode="External"/><Relationship Id="rId_hyperlink_480" Type="http://schemas.openxmlformats.org/officeDocument/2006/relationships/hyperlink" Target="http://dx.doi.org/10.31166/VoprosyIstorii202005Statyi06" TargetMode="External"/><Relationship Id="rId_hyperlink_481" Type="http://schemas.openxmlformats.org/officeDocument/2006/relationships/hyperlink" Target="https%3A%2F%2Fwww.webofscience.com%2Fwos%2Fwoscc%2Ffull-record%2FWOS:000657720900006" TargetMode="External"/><Relationship Id="rId_hyperlink_482" Type="http://schemas.openxmlformats.org/officeDocument/2006/relationships/hyperlink" Target="http://dx.doi.org/10.24874/IJQR14.02-13" TargetMode="External"/><Relationship Id="rId_hyperlink_483" Type="http://schemas.openxmlformats.org/officeDocument/2006/relationships/hyperlink" Target="https%3A%2F%2Fwww.webofscience.com%2Fwos%2Fwoscc%2Ffull-record%2FWOS:000531047700013" TargetMode="External"/><Relationship Id="rId_hyperlink_484" Type="http://schemas.openxmlformats.org/officeDocument/2006/relationships/hyperlink" Target="http://dx.doi.org/10.17223/15617793/450/2" TargetMode="External"/><Relationship Id="rId_hyperlink_485" Type="http://schemas.openxmlformats.org/officeDocument/2006/relationships/hyperlink" Target="https%3A%2F%2Fwww.webofscience.com%2Fwos%2Fwoscc%2Ffull-record%2FWOS:000513895200002" TargetMode="External"/><Relationship Id="rId_hyperlink_486" Type="http://schemas.openxmlformats.org/officeDocument/2006/relationships/hyperlink" Target="http://dx.doi.org/10.24833/2071-8160-2020-1-70-56-81" TargetMode="External"/><Relationship Id="rId_hyperlink_487" Type="http://schemas.openxmlformats.org/officeDocument/2006/relationships/hyperlink" Target="https%3A%2F%2Fwww.webofscience.com%2Fwos%2Fwoscc%2Ffull-record%2FWOS:000518853200004" TargetMode="External"/><Relationship Id="rId_hyperlink_488" Type="http://schemas.openxmlformats.org/officeDocument/2006/relationships/hyperlink" Target="http://dx.doi.org/10.15507/2658-4123.029.201903.383-395" TargetMode="External"/><Relationship Id="rId_hyperlink_489" Type="http://schemas.openxmlformats.org/officeDocument/2006/relationships/hyperlink" Target="https%3A%2F%2Fwww.webofscience.com%2Fwos%2Fwoscc%2Ffull-record%2FWOS:000487855400004" TargetMode="External"/><Relationship Id="rId_hyperlink_490" Type="http://schemas.openxmlformats.org/officeDocument/2006/relationships/hyperlink" Target="http://dx.doi.org/10.5281/zenodo.1343404" TargetMode="External"/><Relationship Id="rId_hyperlink_491" Type="http://schemas.openxmlformats.org/officeDocument/2006/relationships/hyperlink" Target="https%3A%2F%2Fwww.webofscience.com%2Fwos%2Fwoscc%2Ffull-record%2FWOS:000441795300009" TargetMode="External"/><Relationship Id="rId_hyperlink_492" Type="http://schemas.openxmlformats.org/officeDocument/2006/relationships/hyperlink" Target="http://dx.doi.org/10.1088/1742-6596/1058/1/012017" TargetMode="External"/><Relationship Id="rId_hyperlink_493" Type="http://schemas.openxmlformats.org/officeDocument/2006/relationships/hyperlink" Target="https%3A%2F%2Fwww.webofscience.com%2Fwos%2Fwoscc%2Ffull-record%2FWOS:000518798300017" TargetMode="External"/><Relationship Id="rId_hyperlink_494" Type="http://schemas.openxmlformats.org/officeDocument/2006/relationships/hyperlink" Target="http://dx.doi.org/10.1080/09668136.2017.1371496" TargetMode="External"/><Relationship Id="rId_hyperlink_495" Type="http://schemas.openxmlformats.org/officeDocument/2006/relationships/hyperlink" Target="https%3A%2F%2Fwww.webofscience.com%2Fwos%2Fwoscc%2Ffull-record%2FWOS:000413946100011" TargetMode="External"/><Relationship Id="rId_hyperlink_496" Type="http://schemas.openxmlformats.org/officeDocument/2006/relationships/hyperlink" Target="https%3A%2F%2Fwww.webofscience.com%2Fwos%2Fwoscc%2Ffull-record%2FWOS:000383090900118" TargetMode="External"/><Relationship Id="rId_hyperlink_497" Type="http://schemas.openxmlformats.org/officeDocument/2006/relationships/hyperlink" Target="http://dx.doi.org/10.1134/S1023193515060129" TargetMode="External"/><Relationship Id="rId_hyperlink_498" Type="http://schemas.openxmlformats.org/officeDocument/2006/relationships/hyperlink" Target="https%3A%2F%2Fwww.webofscience.com%2Fwos%2Fwoscc%2Ffull-record%2FWOS:000356494600008" TargetMode="External"/><Relationship Id="rId_hyperlink_499" Type="http://schemas.openxmlformats.org/officeDocument/2006/relationships/hyperlink" Target="http://dx.doi.org/10.1134/S1023193511050053" TargetMode="External"/><Relationship Id="rId_hyperlink_500" Type="http://schemas.openxmlformats.org/officeDocument/2006/relationships/hyperlink" Target="https%3A%2F%2Fwww.webofscience.com%2Fwos%2Fwoscc%2Ffull-record%2FWOS:000292270900006" TargetMode="External"/><Relationship Id="rId_hyperlink_501" Type="http://schemas.openxmlformats.org/officeDocument/2006/relationships/hyperlink" Target="http://dx.doi.org/10.1134/S1087659609030158" TargetMode="External"/><Relationship Id="rId_hyperlink_502" Type="http://schemas.openxmlformats.org/officeDocument/2006/relationships/hyperlink" Target="https%3A%2F%2Fwww.webofscience.com%2Fwos%2Fwoscc%2Ffull-record%2FWOS:000267486100015" TargetMode="External"/><Relationship Id="rId_hyperlink_503" Type="http://schemas.openxmlformats.org/officeDocument/2006/relationships/hyperlink" Target="https%3A%2F%2Fwww.webofscience.com%2Fwos%2Fwoscc%2Ffull-record%2FWOS:000252876100012" TargetMode="External"/><Relationship Id="rId_hyperlink_504" Type="http://schemas.openxmlformats.org/officeDocument/2006/relationships/hyperlink" Target="https%3A%2F%2Fwww.webofscience.com%2Fwos%2Fwoscc%2Ffull-record%2FWOS:A1996WR53300012" TargetMode="External"/><Relationship Id="rId_hyperlink_505" Type="http://schemas.openxmlformats.org/officeDocument/2006/relationships/hyperlink" Target="http://dx.doi.org/10.17853/1994-5639-2023-5-49-76" TargetMode="External"/><Relationship Id="rId_hyperlink_506" Type="http://schemas.openxmlformats.org/officeDocument/2006/relationships/hyperlink" Target="https%3A%2F%2Fwww.webofscience.com%2Fwos%2Fwoscc%2Ffull-record%2FWOS:000996323100002" TargetMode="External"/><Relationship Id="rId_hyperlink_507" Type="http://schemas.openxmlformats.org/officeDocument/2006/relationships/hyperlink" Target="http://dx.doi.org/10.17150/2500-1442.2023.17(1).22-34" TargetMode="External"/><Relationship Id="rId_hyperlink_508" Type="http://schemas.openxmlformats.org/officeDocument/2006/relationships/hyperlink" Target="https%3A%2F%2Fwww.webofscience.com%2Fwos%2Fwoscc%2Ffull-record%2FWOS:000953399900003" TargetMode="External"/><Relationship Id="rId_hyperlink_509" Type="http://schemas.openxmlformats.org/officeDocument/2006/relationships/hyperlink" Target="http://dx.doi.org/10.15405/epsbs.2021.04.91" TargetMode="External"/><Relationship Id="rId_hyperlink_510" Type="http://schemas.openxmlformats.org/officeDocument/2006/relationships/hyperlink" Target="https%3A%2F%2Fwww.webofscience.com%2Fwos%2Fwoscc%2Ffull-record%2FWOS:000773381800091" TargetMode="External"/><Relationship Id="rId_hyperlink_511" Type="http://schemas.openxmlformats.org/officeDocument/2006/relationships/hyperlink" Target="http://dx.doi.org/10.18254/S207987840016048-1" TargetMode="External"/><Relationship Id="rId_hyperlink_512" Type="http://schemas.openxmlformats.org/officeDocument/2006/relationships/hyperlink" Target="https%3A%2F%2Fwww.webofscience.com%2Fwos%2Fwoscc%2Ffull-record%2FWOS:000685513200017" TargetMode="External"/><Relationship Id="rId_hyperlink_513" Type="http://schemas.openxmlformats.org/officeDocument/2006/relationships/hyperlink" Target="http://dx.doi.org/10.16926/par.2020.08.06" TargetMode="External"/><Relationship Id="rId_hyperlink_514" Type="http://schemas.openxmlformats.org/officeDocument/2006/relationships/hyperlink" Target="https%3A%2F%2Fwww.webofscience.com%2Fwos%2Fwoscc%2Ffull-record%2FWOS:000519128200006" TargetMode="External"/><Relationship Id="rId_hyperlink_515" Type="http://schemas.openxmlformats.org/officeDocument/2006/relationships/hyperlink" Target="http://dx.doi.org/10.13187/me.2020.3.549" TargetMode="External"/><Relationship Id="rId_hyperlink_516" Type="http://schemas.openxmlformats.org/officeDocument/2006/relationships/hyperlink" Target="https%3A%2F%2Fwww.webofscience.com%2Fwos%2Fwoscc%2Ffull-record%2FWOS:000574588500017" TargetMode="External"/><Relationship Id="rId_hyperlink_517" Type="http://schemas.openxmlformats.org/officeDocument/2006/relationships/hyperlink" Target="https%3A%2F%2Fwww.webofscience.com%2Fwos%2Fwoscc%2Ffull-record%2FWOS:000483412400101" TargetMode="External"/><Relationship Id="rId_hyperlink_518" Type="http://schemas.openxmlformats.org/officeDocument/2006/relationships/hyperlink" Target="http://dx.doi.org/10.1590/1806-9282.65.2.211" TargetMode="External"/><Relationship Id="rId_hyperlink_519" Type="http://schemas.openxmlformats.org/officeDocument/2006/relationships/hyperlink" Target="https%3A%2F%2Fwww.webofscience.com%2Fwos%2Fwoscc%2Ffull-record%2FWOS:000461474100020" TargetMode="External"/><Relationship Id="rId_hyperlink_520" Type="http://schemas.openxmlformats.org/officeDocument/2006/relationships/hyperlink" Target="https%3A%2F%2Fwww.webofscience.com%2Fwos%2Fwoscc%2Ffull-record%2FWOS:000467893700017" TargetMode="External"/><Relationship Id="rId_hyperlink_521" Type="http://schemas.openxmlformats.org/officeDocument/2006/relationships/hyperlink" Target="https%3A%2F%2Fwww.webofscience.com%2Fwos%2Fwoscc%2Ffull-record%2FWOS:000473107100007" TargetMode="External"/><Relationship Id="rId_hyperlink_522" Type="http://schemas.openxmlformats.org/officeDocument/2006/relationships/hyperlink" Target="https%3A%2F%2Fwww.webofscience.com%2Fwos%2Fwoscc%2Ffull-record%2FWOS:000492146100144" TargetMode="External"/><Relationship Id="rId_hyperlink_523" Type="http://schemas.openxmlformats.org/officeDocument/2006/relationships/hyperlink" Target="http://dx.doi.org/10.1134/S0036029518020076" TargetMode="External"/><Relationship Id="rId_hyperlink_524" Type="http://schemas.openxmlformats.org/officeDocument/2006/relationships/hyperlink" Target="https%3A%2F%2Fwww.webofscience.com%2Fwos%2Fwoscc%2Ffull-record%2FWOS:000435618500013" TargetMode="External"/><Relationship Id="rId_hyperlink_525" Type="http://schemas.openxmlformats.org/officeDocument/2006/relationships/hyperlink" Target="http://dx.doi.org/10.1134/S1023193517070059" TargetMode="External"/><Relationship Id="rId_hyperlink_526" Type="http://schemas.openxmlformats.org/officeDocument/2006/relationships/hyperlink" Target="https%3A%2F%2Fwww.webofscience.com%2Fwos%2Fwoscc%2Ffull-record%2FWOS:000407274400015" TargetMode="External"/><Relationship Id="rId_hyperlink_527" Type="http://schemas.openxmlformats.org/officeDocument/2006/relationships/hyperlink" Target="http://dx.doi.org/10.1088/1757-899X/262/1/012010" TargetMode="External"/><Relationship Id="rId_hyperlink_528" Type="http://schemas.openxmlformats.org/officeDocument/2006/relationships/hyperlink" Target="https%3A%2F%2Fwww.webofscience.com%2Fwos%2Fwoscc%2Ffull-record%2FWOS:000423728200010" TargetMode="External"/><Relationship Id="rId_hyperlink_529" Type="http://schemas.openxmlformats.org/officeDocument/2006/relationships/hyperlink" Target="https%3A%2F%2Fwww.webofscience.com%2Fwos%2Fwoscc%2Ffull-record%2FWOS:000375522500012" TargetMode="External"/><Relationship Id="rId_hyperlink_530" Type="http://schemas.openxmlformats.org/officeDocument/2006/relationships/hyperlink" Target="http://dx.doi.org/10.1504/IJDMB.2014.060049" TargetMode="External"/><Relationship Id="rId_hyperlink_531" Type="http://schemas.openxmlformats.org/officeDocument/2006/relationships/hyperlink" Target="https%3A%2F%2Fwww.webofscience.com%2Fwos%2Fwoscc%2Ffull-record%2FWOS:000333745900001" TargetMode="External"/><Relationship Id="rId_hyperlink_532" Type="http://schemas.openxmlformats.org/officeDocument/2006/relationships/hyperlink" Target="http://dx.doi.org/10.1134/S102319351308003X" TargetMode="External"/><Relationship Id="rId_hyperlink_533" Type="http://schemas.openxmlformats.org/officeDocument/2006/relationships/hyperlink" Target="https%3A%2F%2Fwww.webofscience.com%2Fwos%2Fwoscc%2Ffull-record%2FWOS:000323258500006" TargetMode="External"/><Relationship Id="rId_hyperlink_534" Type="http://schemas.openxmlformats.org/officeDocument/2006/relationships/hyperlink" Target="http://dx.doi.org/10.1134/S1070427211090278" TargetMode="External"/><Relationship Id="rId_hyperlink_535" Type="http://schemas.openxmlformats.org/officeDocument/2006/relationships/hyperlink" Target="https%3A%2F%2Fwww.webofscience.com%2Fwos%2Fwoscc%2Ffull-record%2FWOS:000297357300027" TargetMode="External"/><Relationship Id="rId_hyperlink_536" Type="http://schemas.openxmlformats.org/officeDocument/2006/relationships/hyperlink" Target="http://dx.doi.org/10.1023/A:1015564806467" TargetMode="External"/><Relationship Id="rId_hyperlink_537" Type="http://schemas.openxmlformats.org/officeDocument/2006/relationships/hyperlink" Target="https%3A%2F%2Fwww.webofscience.com%2Fwos%2Fwoscc%2Ffull-record%2FWOS:000175980800015" TargetMode="External"/><Relationship Id="rId_hyperlink_538" Type="http://schemas.openxmlformats.org/officeDocument/2006/relationships/hyperlink" Target="http://dx.doi.org/10.1007/BF01395646" TargetMode="External"/><Relationship Id="rId_hyperlink_539" Type="http://schemas.openxmlformats.org/officeDocument/2006/relationships/hyperlink" Target="https%3A%2F%2Fwww.webofscience.com%2Fwos%2Fwoscc%2Ffull-record%2FWOS:A1996XD81500008" TargetMode="External"/><Relationship Id="rId_hyperlink_540" Type="http://schemas.openxmlformats.org/officeDocument/2006/relationships/hyperlink" Target="http://dx.doi.org/10.28995/2073-0101-2022-4-1271-1279" TargetMode="External"/><Relationship Id="rId_hyperlink_541" Type="http://schemas.openxmlformats.org/officeDocument/2006/relationships/hyperlink" Target="https%3A%2F%2Fwww.webofscience.com%2Fwos%2Fwoscc%2Ffull-record%2FWOS:000906584000023" TargetMode="External"/><Relationship Id="rId_hyperlink_542" Type="http://schemas.openxmlformats.org/officeDocument/2006/relationships/hyperlink" Target="http://dx.doi.org/10.1007/s11041-021-00646-0" TargetMode="External"/><Relationship Id="rId_hyperlink_543" Type="http://schemas.openxmlformats.org/officeDocument/2006/relationships/hyperlink" Target="https%3A%2F%2Fwww.webofscience.com%2Fwos%2Fwoscc%2Ffull-record%2FWOS:000659035900005" TargetMode="External"/><Relationship Id="rId_hyperlink_544" Type="http://schemas.openxmlformats.org/officeDocument/2006/relationships/hyperlink" Target="http://dx.doi.org/10.24874/IJQR14.02-03" TargetMode="External"/><Relationship Id="rId_hyperlink_545" Type="http://schemas.openxmlformats.org/officeDocument/2006/relationships/hyperlink" Target="https%3A%2F%2Fwww.webofscience.com%2Fwos%2Fwoscc%2Ffull-record%2FWOS:000531047700003" TargetMode="External"/><Relationship Id="rId_hyperlink_546" Type="http://schemas.openxmlformats.org/officeDocument/2006/relationships/hyperlink" Target="http://dx.doi.org/10.1088/1757-899X/971/3/032028" TargetMode="External"/><Relationship Id="rId_hyperlink_547" Type="http://schemas.openxmlformats.org/officeDocument/2006/relationships/hyperlink" Target="https%3A%2F%2Fwww.webofscience.com%2Fwos%2Fwoscc%2Ffull-record%2FWOS:000646359100129" TargetMode="External"/><Relationship Id="rId_hyperlink_548" Type="http://schemas.openxmlformats.org/officeDocument/2006/relationships/hyperlink" Target="http://dx.doi.org/10.24833/2071-8160-2020-6-75-53-76" TargetMode="External"/><Relationship Id="rId_hyperlink_549" Type="http://schemas.openxmlformats.org/officeDocument/2006/relationships/hyperlink" Target="https%3A%2F%2Fwww.webofscience.com%2Fwos%2Fwoscc%2Ffull-record%2FWOS:000605204300002" TargetMode="External"/><Relationship Id="rId_hyperlink_550" Type="http://schemas.openxmlformats.org/officeDocument/2006/relationships/hyperlink" Target="http://dx.doi.org/10.24224/2227-1295-2020-4-401-419" TargetMode="External"/><Relationship Id="rId_hyperlink_551" Type="http://schemas.openxmlformats.org/officeDocument/2006/relationships/hyperlink" Target="https%3A%2F%2Fwww.webofscience.com%2Fwos%2Fwoscc%2Ffull-record%2FWOS:000530639000025" TargetMode="External"/><Relationship Id="rId_hyperlink_552" Type="http://schemas.openxmlformats.org/officeDocument/2006/relationships/hyperlink" Target="http://dx.doi.org/10.17223/19988613/63/13" TargetMode="External"/><Relationship Id="rId_hyperlink_553" Type="http://schemas.openxmlformats.org/officeDocument/2006/relationships/hyperlink" Target="https%3A%2F%2Fwww.webofscience.com%2Fwos%2Fwoscc%2Ffull-record%2FWOS:000517821700013" TargetMode="External"/><Relationship Id="rId_hyperlink_554" Type="http://schemas.openxmlformats.org/officeDocument/2006/relationships/hyperlink" Target="http://dx.doi.org/10.33048/semi.2020.17.021" TargetMode="External"/><Relationship Id="rId_hyperlink_555" Type="http://schemas.openxmlformats.org/officeDocument/2006/relationships/hyperlink" Target="https%3A%2F%2Fwww.webofscience.com%2Fwos%2Fwoscc%2Ffull-record%2FWOS:000518782500001" TargetMode="External"/><Relationship Id="rId_hyperlink_556" Type="http://schemas.openxmlformats.org/officeDocument/2006/relationships/hyperlink" Target="http://dx.doi.org/10.4018/IJCINI.2019040104" TargetMode="External"/><Relationship Id="rId_hyperlink_557" Type="http://schemas.openxmlformats.org/officeDocument/2006/relationships/hyperlink" Target="https%3A%2F%2Fwww.webofscience.com%2Fwos%2Fwoscc%2Ffull-record%2FWOS:000501202200004" TargetMode="External"/><Relationship Id="rId_hyperlink_558" Type="http://schemas.openxmlformats.org/officeDocument/2006/relationships/hyperlink" Target="http://dx.doi.org/10.13187/ejced.2018.3.541" TargetMode="External"/><Relationship Id="rId_hyperlink_559" Type="http://schemas.openxmlformats.org/officeDocument/2006/relationships/hyperlink" Target="https%3A%2F%2Fwww.webofscience.com%2Fwos%2Fwoscc%2Ffull-record%2FWOS:000445146400009" TargetMode="External"/><Relationship Id="rId_hyperlink_560" Type="http://schemas.openxmlformats.org/officeDocument/2006/relationships/hyperlink" Target="https%3A%2F%2Fwww.webofscience.com%2Fwos%2Fwoscc%2Ffull-record%2FWOS:000679066800160" TargetMode="External"/><Relationship Id="rId_hyperlink_561" Type="http://schemas.openxmlformats.org/officeDocument/2006/relationships/hyperlink" Target="https%3A%2F%2Fwww.webofscience.com%2Fwos%2Fwoscc%2Ffull-record%2FWOS:000644432200112" TargetMode="External"/><Relationship Id="rId_hyperlink_562" Type="http://schemas.openxmlformats.org/officeDocument/2006/relationships/hyperlink" Target="http://dx.doi.org/10.22616/ERDev2018.17.N241" TargetMode="External"/><Relationship Id="rId_hyperlink_563" Type="http://schemas.openxmlformats.org/officeDocument/2006/relationships/hyperlink" Target="https%3A%2F%2Fwww.webofscience.com%2Fwos%2Fwoscc%2Ffull-record%2FWOS:000805412200175" TargetMode="External"/><Relationship Id="rId_hyperlink_564" Type="http://schemas.openxmlformats.org/officeDocument/2006/relationships/hyperlink" Target="https%3A%2F%2Fwww.webofscience.com%2Fwos%2Fwoscc%2Ffull-record%2FWOS:000644432200031" TargetMode="External"/><Relationship Id="rId_hyperlink_565" Type="http://schemas.openxmlformats.org/officeDocument/2006/relationships/hyperlink" Target="http://dx.doi.org/10.1088/1755-1315/177/1/012007" TargetMode="External"/><Relationship Id="rId_hyperlink_566" Type="http://schemas.openxmlformats.org/officeDocument/2006/relationships/hyperlink" Target="https%3A%2F%2Fwww.webofscience.com%2Fwos%2Fwoscc%2Ffull-record%2FWOS:000451502800007" TargetMode="External"/><Relationship Id="rId_hyperlink_567" Type="http://schemas.openxmlformats.org/officeDocument/2006/relationships/hyperlink" Target="http://dx.doi.org/10.18720/MCE.77.3" TargetMode="External"/><Relationship Id="rId_hyperlink_568" Type="http://schemas.openxmlformats.org/officeDocument/2006/relationships/hyperlink" Target="https%3A%2F%2Fwww.webofscience.com%2Fwos%2Fwoscc%2Ffull-record%2FWOS:000431443100003" TargetMode="External"/><Relationship Id="rId_hyperlink_569" Type="http://schemas.openxmlformats.org/officeDocument/2006/relationships/hyperlink" Target="http://dx.doi.org/10.15826/qr.2018.1.294" TargetMode="External"/><Relationship Id="rId_hyperlink_570" Type="http://schemas.openxmlformats.org/officeDocument/2006/relationships/hyperlink" Target="https%3A%2F%2Fwww.webofscience.com%2Fwos%2Fwoscc%2Ffull-record%2FWOS:000447487200018" TargetMode="External"/><Relationship Id="rId_hyperlink_571" Type="http://schemas.openxmlformats.org/officeDocument/2006/relationships/hyperlink" Target="http://dx.doi.org/10.1088/1742-6596/1058/1/012028" TargetMode="External"/><Relationship Id="rId_hyperlink_572" Type="http://schemas.openxmlformats.org/officeDocument/2006/relationships/hyperlink" Target="https%3A%2F%2Fwww.webofscience.com%2Fwos%2Fwoscc%2Ffull-record%2FWOS:000518798300028" TargetMode="External"/><Relationship Id="rId_hyperlink_573" Type="http://schemas.openxmlformats.org/officeDocument/2006/relationships/hyperlink" Target="https%3A%2F%2Fwww.webofscience.com%2Fwos%2Fwoscc%2Ffull-record%2FWOS:000425868400157" TargetMode="External"/><Relationship Id="rId_hyperlink_574" Type="http://schemas.openxmlformats.org/officeDocument/2006/relationships/hyperlink" Target="https%3A%2F%2Fwww.webofscience.com%2Fwos%2Fwoscc%2Ffull-record%2FWOS:000410460100004" TargetMode="External"/><Relationship Id="rId_hyperlink_575" Type="http://schemas.openxmlformats.org/officeDocument/2006/relationships/hyperlink" Target="https%3A%2F%2Fwww.webofscience.com%2Fwos%2Fwoscc%2Ffull-record%2FWOS:000395727700049" TargetMode="External"/><Relationship Id="rId_hyperlink_576" Type="http://schemas.openxmlformats.org/officeDocument/2006/relationships/hyperlink" Target="https%3A%2F%2Fwww.webofscience.com%2Fwos%2Fwoscc%2Ffull-record%2FWOS:000382527700045" TargetMode="External"/><Relationship Id="rId_hyperlink_577" Type="http://schemas.openxmlformats.org/officeDocument/2006/relationships/hyperlink" Target="https%3A%2F%2Fwww.webofscience.com%2Fwos%2Fwoscc%2Ffull-record%2FWOS:000370730601064" TargetMode="External"/><Relationship Id="rId_hyperlink_578" Type="http://schemas.openxmlformats.org/officeDocument/2006/relationships/hyperlink" Target="https%3A%2F%2Fwww.webofscience.com%2Fwos%2Fwoscc%2Ffull-record%2FWOS:000289763200005" TargetMode="External"/><Relationship Id="rId_hyperlink_579" Type="http://schemas.openxmlformats.org/officeDocument/2006/relationships/hyperlink" Target="http://dx.doi.org/10.1134/S0040579510040056" TargetMode="External"/><Relationship Id="rId_hyperlink_580" Type="http://schemas.openxmlformats.org/officeDocument/2006/relationships/hyperlink" Target="https%3A%2F%2Fwww.webofscience.com%2Fwos%2Fwoscc%2Ffull-record%2FWOS:000280701900005" TargetMode="External"/><Relationship Id="rId_hyperlink_581" Type="http://schemas.openxmlformats.org/officeDocument/2006/relationships/hyperlink" Target="https%3A%2F%2Fwww.webofscience.com%2Fwos%2Fwoscc%2Ffull-record%2FWOS:000279999300006" TargetMode="External"/><Relationship Id="rId_hyperlink_582" Type="http://schemas.openxmlformats.org/officeDocument/2006/relationships/hyperlink" Target="https%3A%2F%2Fwww.webofscience.com%2Fwos%2Fwoscc%2Ffull-record%2FWOS:000672554500002" TargetMode="External"/><Relationship Id="rId_hyperlink_583" Type="http://schemas.openxmlformats.org/officeDocument/2006/relationships/hyperlink" Target="https%3A%2F%2Fwww.webofscience.com%2Fwos%2Fwoscc%2Ffull-record%2FWOS:000607234900037" TargetMode="External"/><Relationship Id="rId_hyperlink_584" Type="http://schemas.openxmlformats.org/officeDocument/2006/relationships/hyperlink" Target="http://dx.doi.org/10.17223/19988613/63/12" TargetMode="External"/><Relationship Id="rId_hyperlink_585" Type="http://schemas.openxmlformats.org/officeDocument/2006/relationships/hyperlink" Target="https%3A%2F%2Fwww.webofscience.com%2Fwos%2Fwoscc%2Ffull-record%2FWOS:000517821700012" TargetMode="External"/><Relationship Id="rId_hyperlink_586" Type="http://schemas.openxmlformats.org/officeDocument/2006/relationships/hyperlink" Target="https%3A%2F%2Fwww.webofscience.com%2Fwos%2Fwoscc%2Ffull-record%2FWOS:000625435700025" TargetMode="External"/><Relationship Id="rId_hyperlink_587" Type="http://schemas.openxmlformats.org/officeDocument/2006/relationships/hyperlink" Target="http://dx.doi.org/10.15561/18189172.2019.0107" TargetMode="External"/><Relationship Id="rId_hyperlink_588" Type="http://schemas.openxmlformats.org/officeDocument/2006/relationships/hyperlink" Target="https%3A%2F%2Fwww.webofscience.com%2Fwos%2Fwoscc%2Ffull-record%2FWOS:000459821500007" TargetMode="External"/><Relationship Id="rId_hyperlink_589" Type="http://schemas.openxmlformats.org/officeDocument/2006/relationships/hyperlink" Target="http://dx.doi.org/10.26170/FK19-02-25" TargetMode="External"/><Relationship Id="rId_hyperlink_590" Type="http://schemas.openxmlformats.org/officeDocument/2006/relationships/hyperlink" Target="https%3A%2F%2Fwww.webofscience.com%2Fwos%2Fwoscc%2Ffull-record%2FWOS:000489097600025" TargetMode="External"/><Relationship Id="rId_hyperlink_591" Type="http://schemas.openxmlformats.org/officeDocument/2006/relationships/hyperlink" Target="https%3A%2F%2Fwww.webofscience.com%2Fwos%2Fwoscc%2Ffull-record%2FWOS:000443674500030" TargetMode="External"/><Relationship Id="rId_hyperlink_592" Type="http://schemas.openxmlformats.org/officeDocument/2006/relationships/hyperlink" Target="https%3A%2F%2Fwww.webofscience.com%2Fwos%2Fwoscc%2Ffull-record%2FWOS:000427548200006" TargetMode="External"/><Relationship Id="rId_hyperlink_593" Type="http://schemas.openxmlformats.org/officeDocument/2006/relationships/hyperlink" Target="http://dx.doi.org/10.15826/izv2.2018.20.2.022" TargetMode="External"/><Relationship Id="rId_hyperlink_594" Type="http://schemas.openxmlformats.org/officeDocument/2006/relationships/hyperlink" Target="https%3A%2F%2Fwww.webofscience.com%2Fwos%2Fwoscc%2Ffull-record%2FWOS:000468389000002" TargetMode="External"/><Relationship Id="rId_hyperlink_595" Type="http://schemas.openxmlformats.org/officeDocument/2006/relationships/hyperlink" Target="http://dx.doi.org/10.15561/18189172.2018.0108" TargetMode="External"/><Relationship Id="rId_hyperlink_596" Type="http://schemas.openxmlformats.org/officeDocument/2006/relationships/hyperlink" Target="https%3A%2F%2Fwww.webofscience.com%2Fwos%2Fwoscc%2Ffull-record%2FWOS:000431046900008" TargetMode="External"/><Relationship Id="rId_hyperlink_597" Type="http://schemas.openxmlformats.org/officeDocument/2006/relationships/hyperlink" Target="http://dx.doi.org/10.1088/1755-1315/90/1/012087" TargetMode="External"/><Relationship Id="rId_hyperlink_598" Type="http://schemas.openxmlformats.org/officeDocument/2006/relationships/hyperlink" Target="https%3A%2F%2Fwww.webofscience.com%2Fwos%2Fwoscc%2Ffull-record%2FWOS:000419816700087" TargetMode="External"/><Relationship Id="rId_hyperlink_599" Type="http://schemas.openxmlformats.org/officeDocument/2006/relationships/hyperlink" Target="https%3A%2F%2Fwww.webofscience.com%2Fwos%2Fwoscc%2Ffull-record%2FWOS:000428759500052" TargetMode="External"/><Relationship Id="rId_hyperlink_600" Type="http://schemas.openxmlformats.org/officeDocument/2006/relationships/hyperlink" Target="https%3A%2F%2Fwww.webofscience.com%2Fwos%2Fwoscc%2Ffull-record%2FWOS:000427690500083" TargetMode="External"/><Relationship Id="rId_hyperlink_601" Type="http://schemas.openxmlformats.org/officeDocument/2006/relationships/hyperlink" Target="https%3A%2F%2Fwww.webofscience.com%2Fwos%2Fwoscc%2Ffull-record%2FWOS:000403604400114" TargetMode="External"/><Relationship Id="rId_hyperlink_602" Type="http://schemas.openxmlformats.org/officeDocument/2006/relationships/hyperlink" Target="http://dx.doi.org/10.1134/S0036024411010134" TargetMode="External"/><Relationship Id="rId_hyperlink_603" Type="http://schemas.openxmlformats.org/officeDocument/2006/relationships/hyperlink" Target="https%3A%2F%2Fwww.webofscience.com%2Fwos%2Fwoscc%2Ffull-record%2FWOS:000288387800025" TargetMode="External"/><Relationship Id="rId_hyperlink_604" Type="http://schemas.openxmlformats.org/officeDocument/2006/relationships/hyperlink" Target="https%3A%2F%2Fwww.webofscience.com%2Fwos%2Fwoscc%2Ffull-record%2FWOS:000255228700011" TargetMode="External"/><Relationship Id="rId_hyperlink_605" Type="http://schemas.openxmlformats.org/officeDocument/2006/relationships/hyperlink" Target="http://dx.doi.org/10.1134/S1087659607040104" TargetMode="External"/><Relationship Id="rId_hyperlink_606" Type="http://schemas.openxmlformats.org/officeDocument/2006/relationships/hyperlink" Target="https%3A%2F%2Fwww.webofscience.com%2Fwos%2Fwoscc%2Ffull-record%2FWOS:000249259800010" TargetMode="External"/><Relationship Id="rId_hyperlink_607" Type="http://schemas.openxmlformats.org/officeDocument/2006/relationships/hyperlink" Target="http://dx.doi.org/10.1134/S1023193507060043" TargetMode="External"/><Relationship Id="rId_hyperlink_608" Type="http://schemas.openxmlformats.org/officeDocument/2006/relationships/hyperlink" Target="https%3A%2F%2Fwww.webofscience.com%2Fwos%2Fwoscc%2Ffull-record%2FWOS:000247977600004" TargetMode="External"/><Relationship Id="rId_hyperlink_609" Type="http://schemas.openxmlformats.org/officeDocument/2006/relationships/hyperlink" Target="https%3A%2F%2Fwww.webofscience.com%2Fwos%2Fwoscc%2Ffull-record%2FWOS:000241852800011" TargetMode="External"/><Relationship Id="rId_hyperlink_610" Type="http://schemas.openxmlformats.org/officeDocument/2006/relationships/hyperlink" Target="http://dx.doi.org/10.1007/978-3-030-70194-9_36" TargetMode="External"/><Relationship Id="rId_hyperlink_611" Type="http://schemas.openxmlformats.org/officeDocument/2006/relationships/hyperlink" Target="https%3A%2F%2Fwww.webofscience.com%2Fwos%2Fwoscc%2Ffull-record%2FWOS:000849737100035" TargetMode="External"/><Relationship Id="rId_hyperlink_612" Type="http://schemas.openxmlformats.org/officeDocument/2006/relationships/hyperlink" Target="http://dx.doi.org/10.1109/SIBCON50419.2021.9438931" TargetMode="External"/><Relationship Id="rId_hyperlink_613" Type="http://schemas.openxmlformats.org/officeDocument/2006/relationships/hyperlink" Target="https%3A%2F%2Fwww.webofscience.com%2Fwos%2Fwoscc%2Ffull-record%2FWOS:000680842100079" TargetMode="External"/><Relationship Id="rId_hyperlink_614" Type="http://schemas.openxmlformats.org/officeDocument/2006/relationships/hyperlink" Target="http://dx.doi.org/10.14529/hsm200110" TargetMode="External"/><Relationship Id="rId_hyperlink_615" Type="http://schemas.openxmlformats.org/officeDocument/2006/relationships/hyperlink" Target="https%3A%2F%2Fwww.webofscience.com%2Fwos%2Fwoscc%2Ffull-record%2FWOS:000539044700010" TargetMode="External"/><Relationship Id="rId_hyperlink_616" Type="http://schemas.openxmlformats.org/officeDocument/2006/relationships/hyperlink" Target="http://dx.doi.org/10.31166/VoprosyIstorii202012Statyi19" TargetMode="External"/><Relationship Id="rId_hyperlink_617" Type="http://schemas.openxmlformats.org/officeDocument/2006/relationships/hyperlink" Target="https%3A%2F%2Fwww.webofscience.com%2Fwos%2Fwoscc%2Ffull-record%2FWOS:000618381400019" TargetMode="External"/><Relationship Id="rId_hyperlink_618" Type="http://schemas.openxmlformats.org/officeDocument/2006/relationships/hyperlink" Target="http://dx.doi.org/10.1088/1757-899X/962/2/022041" TargetMode="External"/><Relationship Id="rId_hyperlink_619" Type="http://schemas.openxmlformats.org/officeDocument/2006/relationships/hyperlink" Target="https%3A%2F%2Fwww.webofscience.com%2Fwos%2Fwoscc%2Ffull-record%2FWOS:000648432000041" TargetMode="External"/><Relationship Id="rId_hyperlink_620" Type="http://schemas.openxmlformats.org/officeDocument/2006/relationships/hyperlink" Target="http://dx.doi.org/10.25750/1995-4301-2020-4-149-154" TargetMode="External"/><Relationship Id="rId_hyperlink_621" Type="http://schemas.openxmlformats.org/officeDocument/2006/relationships/hyperlink" Target="https%3A%2F%2Fwww.webofscience.com%2Fwos%2Fwoscc%2Ffull-record%2FWOS:000597810500023" TargetMode="External"/><Relationship Id="rId_hyperlink_622" Type="http://schemas.openxmlformats.org/officeDocument/2006/relationships/hyperlink" Target="http://dx.doi.org/10.1108/OTH-07-2019-0034" TargetMode="External"/><Relationship Id="rId_hyperlink_623" Type="http://schemas.openxmlformats.org/officeDocument/2006/relationships/hyperlink" Target="https%3A%2F%2Fwww.webofscience.com%2Fwos%2Fwoscc%2Ffull-record%2FWOS:000491196500007" TargetMode="External"/><Relationship Id="rId_hyperlink_624" Type="http://schemas.openxmlformats.org/officeDocument/2006/relationships/hyperlink" Target="http://dx.doi.org/10.1134/S0361768819050074" TargetMode="External"/><Relationship Id="rId_hyperlink_625" Type="http://schemas.openxmlformats.org/officeDocument/2006/relationships/hyperlink" Target="https%3A%2F%2Fwww.webofscience.com%2Fwos%2Fwoscc%2Ffull-record%2FWOS:000510646100002" TargetMode="External"/><Relationship Id="rId_hyperlink_626" Type="http://schemas.openxmlformats.org/officeDocument/2006/relationships/hyperlink" Target="http://dx.doi.org/10.1051/e3sconf/201911002005" TargetMode="External"/><Relationship Id="rId_hyperlink_627" Type="http://schemas.openxmlformats.org/officeDocument/2006/relationships/hyperlink" Target="https%3A%2F%2Fwww.webofscience.com%2Fwos%2Fwoscc%2Ffull-record%2FWOS:000569050000094" TargetMode="External"/><Relationship Id="rId_hyperlink_628" Type="http://schemas.openxmlformats.org/officeDocument/2006/relationships/hyperlink" Target="https%3A%2F%2Fwww.webofscience.com%2Fwos%2Fwoscc%2Ffull-record%2FWOS:000464215200015" TargetMode="External"/><Relationship Id="rId_hyperlink_629" Type="http://schemas.openxmlformats.org/officeDocument/2006/relationships/hyperlink" Target="http://dx.doi.org/10.1134/S0036029518080177" TargetMode="External"/><Relationship Id="rId_hyperlink_630" Type="http://schemas.openxmlformats.org/officeDocument/2006/relationships/hyperlink" Target="https%3A%2F%2Fwww.webofscience.com%2Fwos%2Fwoscc%2Ffull-record%2FWOS:000454273600016" TargetMode="External"/><Relationship Id="rId_hyperlink_631" Type="http://schemas.openxmlformats.org/officeDocument/2006/relationships/hyperlink" Target="http://dx.doi.org/10.3103/S0005105518010089" TargetMode="External"/><Relationship Id="rId_hyperlink_632" Type="http://schemas.openxmlformats.org/officeDocument/2006/relationships/hyperlink" Target="https%3A%2F%2Fwww.webofscience.com%2Fwos%2Fwoscc%2Ffull-record%2FWOS:000435445400003" TargetMode="External"/><Relationship Id="rId_hyperlink_633" Type="http://schemas.openxmlformats.org/officeDocument/2006/relationships/hyperlink" Target="http://dx.doi.org/10.1088/1742-6596/944/1/012088" TargetMode="External"/><Relationship Id="rId_hyperlink_634" Type="http://schemas.openxmlformats.org/officeDocument/2006/relationships/hyperlink" Target="https%3A%2F%2Fwww.webofscience.com%2Fwos%2Fwoscc%2Ffull-record%2FWOS:000431622000088" TargetMode="External"/><Relationship Id="rId_hyperlink_635" Type="http://schemas.openxmlformats.org/officeDocument/2006/relationships/hyperlink" Target="http://dx.doi.org/10.5281/zenodo.2222335" TargetMode="External"/><Relationship Id="rId_hyperlink_636" Type="http://schemas.openxmlformats.org/officeDocument/2006/relationships/hyperlink" Target="https%3A%2F%2Fwww.webofscience.com%2Fwos%2Fwoscc%2Ffull-record%2FWOS:000453865300004" TargetMode="External"/><Relationship Id="rId_hyperlink_637" Type="http://schemas.openxmlformats.org/officeDocument/2006/relationships/hyperlink" Target="https%3A%2F%2Fwww.webofscience.com%2Fwos%2Fwoscc%2Ffull-record%2FWOS:000426878200134" TargetMode="External"/><Relationship Id="rId_hyperlink_638" Type="http://schemas.openxmlformats.org/officeDocument/2006/relationships/hyperlink" Target="https%3A%2F%2Fwww.webofscience.com%2Fwos%2Fwoscc%2Ffull-record%2FWOS:000426878200109" TargetMode="External"/><Relationship Id="rId_hyperlink_639" Type="http://schemas.openxmlformats.org/officeDocument/2006/relationships/hyperlink" Target="https%3A%2F%2Fwww.webofscience.com%2Fwos%2Fwoscc%2Ffull-record%2FWOS:000374618600005" TargetMode="External"/><Relationship Id="rId_hyperlink_640" Type="http://schemas.openxmlformats.org/officeDocument/2006/relationships/hyperlink" Target="https%3A%2F%2Fwww.webofscience.com%2Fwos%2Fwoscc%2Ffull-record%2FWOS:000387159800059" TargetMode="External"/><Relationship Id="rId_hyperlink_641" Type="http://schemas.openxmlformats.org/officeDocument/2006/relationships/hyperlink" Target="http://dx.doi.org/10.1016/j.proeng.2016.11.808" TargetMode="External"/><Relationship Id="rId_hyperlink_642" Type="http://schemas.openxmlformats.org/officeDocument/2006/relationships/hyperlink" Target="https%3A%2F%2Fwww.webofscience.com%2Fwos%2Fwoscc%2Ffull-record%2FWOS:000391640800110" TargetMode="External"/><Relationship Id="rId_hyperlink_643" Type="http://schemas.openxmlformats.org/officeDocument/2006/relationships/hyperlink" Target="http://dx.doi.org/10.1134/S0031030115140166" TargetMode="External"/><Relationship Id="rId_hyperlink_644" Type="http://schemas.openxmlformats.org/officeDocument/2006/relationships/hyperlink" Target="https%3A%2F%2Fwww.webofscience.com%2Fwos%2Fwoscc%2Ffull-record%2FWOS:000367543100016" TargetMode="External"/><Relationship Id="rId_hyperlink_645" Type="http://schemas.openxmlformats.org/officeDocument/2006/relationships/hyperlink" Target="https%3A%2F%2Fwww.webofscience.com%2Fwos%2Fwoscc%2Ffull-record%2FWOS:000380571600167" TargetMode="External"/><Relationship Id="rId_hyperlink_646" Type="http://schemas.openxmlformats.org/officeDocument/2006/relationships/hyperlink" Target="https%3A%2F%2Fwww.webofscience.com%2Fwos%2Fwoscc%2Ffull-record%2FWOS:000367967600001" TargetMode="External"/><Relationship Id="rId_hyperlink_647" Type="http://schemas.openxmlformats.org/officeDocument/2006/relationships/hyperlink" Target="https%3A%2F%2Fwww.webofscience.com%2Fwos%2Fwoscc%2Ffull-record%2FWOS:000332042400059" TargetMode="External"/><Relationship Id="rId_hyperlink_648" Type="http://schemas.openxmlformats.org/officeDocument/2006/relationships/hyperlink" Target="http://dx.doi.org/10.1134/S0001434609070165" TargetMode="External"/><Relationship Id="rId_hyperlink_649" Type="http://schemas.openxmlformats.org/officeDocument/2006/relationships/hyperlink" Target="https%3A%2F%2Fwww.webofscience.com%2Fwos%2Fwoscc%2Ffull-record%2FWOS:000269660400016" TargetMode="External"/><Relationship Id="rId_hyperlink_650" Type="http://schemas.openxmlformats.org/officeDocument/2006/relationships/hyperlink" Target="http://dx.doi.org/10.1134/S1023193507050072" TargetMode="External"/><Relationship Id="rId_hyperlink_651" Type="http://schemas.openxmlformats.org/officeDocument/2006/relationships/hyperlink" Target="https%3A%2F%2Fwww.webofscience.com%2Fwos%2Fwoscc%2Ffull-record%2FWOS:000247212300007" TargetMode="External"/><Relationship Id="rId_hyperlink_652" Type="http://schemas.openxmlformats.org/officeDocument/2006/relationships/hyperlink" Target="https%3A%2F%2Fwww.webofscience.com%2Fwos%2Fwoscc%2Ffull-record%2FWOS:000241086700008" TargetMode="External"/><Relationship Id="rId_hyperlink_653" Type="http://schemas.openxmlformats.org/officeDocument/2006/relationships/hyperlink" Target="http://dx.doi.org/10.1007/s11167-005-0056-y" TargetMode="External"/><Relationship Id="rId_hyperlink_654" Type="http://schemas.openxmlformats.org/officeDocument/2006/relationships/hyperlink" Target="https%3A%2F%2Fwww.webofscience.com%2Fwos%2Fwoscc%2Ffull-record%2FWOS:000225845100017" TargetMode="External"/><Relationship Id="rId_hyperlink_655" Type="http://schemas.openxmlformats.org/officeDocument/2006/relationships/hyperlink" Target="http://dx.doi.org/10.1080/09668136.2023.2181591" TargetMode="External"/><Relationship Id="rId_hyperlink_656" Type="http://schemas.openxmlformats.org/officeDocument/2006/relationships/hyperlink" Target="https%3A%2F%2Fwww.webofscience.com%2Fwos%2Fwoscc%2Ffull-record%2FWOS:000974908800008" TargetMode="External"/><Relationship Id="rId_hyperlink_657" Type="http://schemas.openxmlformats.org/officeDocument/2006/relationships/hyperlink" Target="http://dx.doi.org/10.1007/s10527-022-10173-8" TargetMode="External"/><Relationship Id="rId_hyperlink_658" Type="http://schemas.openxmlformats.org/officeDocument/2006/relationships/hyperlink" Target="https%3A%2F%2Fwww.webofscience.com%2Fwos%2Fwoscc%2Ffull-record%2FWOS:000917953100003" TargetMode="External"/><Relationship Id="rId_hyperlink_659" Type="http://schemas.openxmlformats.org/officeDocument/2006/relationships/hyperlink" Target="http://dx.doi.org/10.25750/1995-4301-2022-4-224-231" TargetMode="External"/><Relationship Id="rId_hyperlink_660" Type="http://schemas.openxmlformats.org/officeDocument/2006/relationships/hyperlink" Target="https%3A%2F%2Fwww.webofscience.com%2Fwos%2Fwoscc%2Ffull-record%2FWOS:000929704700030" TargetMode="External"/><Relationship Id="rId_hyperlink_661" Type="http://schemas.openxmlformats.org/officeDocument/2006/relationships/hyperlink" Target="http://dx.doi.org/10.1080/09668136.2021.1948972" TargetMode="External"/><Relationship Id="rId_hyperlink_662" Type="http://schemas.openxmlformats.org/officeDocument/2006/relationships/hyperlink" Target="https%3A%2F%2Fwww.webofscience.com%2Fwos%2Fwoscc%2Ffull-record%2FWOS:000674798100001" TargetMode="External"/><Relationship Id="rId_hyperlink_663" Type="http://schemas.openxmlformats.org/officeDocument/2006/relationships/hyperlink" Target="http://dx.doi.org/10.17072/2219-3111-2020-1-167-178" TargetMode="External"/><Relationship Id="rId_hyperlink_664" Type="http://schemas.openxmlformats.org/officeDocument/2006/relationships/hyperlink" Target="https%3A%2F%2Fwww.webofscience.com%2Fwos%2Fwoscc%2Ffull-record%2FWOS:000589794700015" TargetMode="External"/><Relationship Id="rId_hyperlink_665" Type="http://schemas.openxmlformats.org/officeDocument/2006/relationships/hyperlink" Target="http://dx.doi.org/10.31166/VoprosyIstorii202010Statyi82" TargetMode="External"/><Relationship Id="rId_hyperlink_666" Type="http://schemas.openxmlformats.org/officeDocument/2006/relationships/hyperlink" Target="https%3A%2F%2Fwww.webofscience.com%2Fwos%2Fwoscc%2Ffull-record%2FWOS:000605445400019" TargetMode="External"/><Relationship Id="rId_hyperlink_667" Type="http://schemas.openxmlformats.org/officeDocument/2006/relationships/hyperlink" Target="http://dx.doi.org/10.3897/ap.2.e2633" TargetMode="External"/><Relationship Id="rId_hyperlink_668" Type="http://schemas.openxmlformats.org/officeDocument/2006/relationships/hyperlink" Target="https%3A%2F%2Fwww.webofscience.com%2Fwos%2Fwoscc%2Ffull-record%2FWOS:000671896200205" TargetMode="External"/><Relationship Id="rId_hyperlink_669" Type="http://schemas.openxmlformats.org/officeDocument/2006/relationships/hyperlink" Target="https%3A%2F%2Fwww.webofscience.com%2Fwos%2Fwoscc%2Ffull-record%2FWOS:000496818300132" TargetMode="External"/><Relationship Id="rId_hyperlink_670" Type="http://schemas.openxmlformats.org/officeDocument/2006/relationships/hyperlink" Target="https%3A%2F%2Fwww.webofscience.com%2Fwos%2Fwoscc%2Ffull-record%2FWOS:000553304904024" TargetMode="External"/><Relationship Id="rId_hyperlink_671" Type="http://schemas.openxmlformats.org/officeDocument/2006/relationships/hyperlink" Target="http://dx.doi.org/10.3897/ap.1.e0545" TargetMode="External"/><Relationship Id="rId_hyperlink_672" Type="http://schemas.openxmlformats.org/officeDocument/2006/relationships/hyperlink" Target="https%3A%2F%2Fwww.webofscience.com%2Fwos%2Fwoscc%2Ffull-record%2FWOS:000520005200058" TargetMode="External"/><Relationship Id="rId_hyperlink_673" Type="http://schemas.openxmlformats.org/officeDocument/2006/relationships/hyperlink" Target="http://dx.doi.org/10.15405/epsbs.2019.08.03.67" TargetMode="External"/><Relationship Id="rId_hyperlink_674" Type="http://schemas.openxmlformats.org/officeDocument/2006/relationships/hyperlink" Target="https%3A%2F%2Fwww.webofscience.com%2Fwos%2Fwoscc%2Ffull-record%2FWOS:000582461100067" TargetMode="External"/><Relationship Id="rId_hyperlink_675" Type="http://schemas.openxmlformats.org/officeDocument/2006/relationships/hyperlink" Target="http://dx.doi.org/10.5281/zenodo.3562205" TargetMode="External"/><Relationship Id="rId_hyperlink_676" Type="http://schemas.openxmlformats.org/officeDocument/2006/relationships/hyperlink" Target="https%3A%2F%2Fwww.webofscience.com%2Fwos%2Fwoscc%2Ffull-record%2FWOS:000504406100007" TargetMode="External"/><Relationship Id="rId_hyperlink_677" Type="http://schemas.openxmlformats.org/officeDocument/2006/relationships/hyperlink" Target="http://dx.doi.org/10.1007/978-3-319-70987-1_34" TargetMode="External"/><Relationship Id="rId_hyperlink_678" Type="http://schemas.openxmlformats.org/officeDocument/2006/relationships/hyperlink" Target="https%3A%2F%2Fwww.webofscience.com%2Fwos%2Fwoscc%2Ffull-record%2FWOS:000436502300034" TargetMode="External"/><Relationship Id="rId_hyperlink_679" Type="http://schemas.openxmlformats.org/officeDocument/2006/relationships/hyperlink" Target="https%3A%2F%2Fwww.webofscience.com%2Fwos%2Fwoscc%2Ffull-record%2FWOS:000451688700021" TargetMode="External"/><Relationship Id="rId_hyperlink_680" Type="http://schemas.openxmlformats.org/officeDocument/2006/relationships/hyperlink" Target="http://dx.doi.org/10.17072/2219-3111-2018-4-40-49" TargetMode="External"/><Relationship Id="rId_hyperlink_681" Type="http://schemas.openxmlformats.org/officeDocument/2006/relationships/hyperlink" Target="https%3A%2F%2Fwww.webofscience.com%2Fwos%2Fwoscc%2Ffull-record%2FWOS:000456115100005" TargetMode="External"/><Relationship Id="rId_hyperlink_682" Type="http://schemas.openxmlformats.org/officeDocument/2006/relationships/hyperlink" Target="https%3A%2F%2Fwww.webofscience.com%2Fwos%2Fwoscc%2Ffull-record%2FWOS:000478963800147" TargetMode="External"/><Relationship Id="rId_hyperlink_683" Type="http://schemas.openxmlformats.org/officeDocument/2006/relationships/hyperlink" Target="https%3A%2F%2Fwww.webofscience.com%2Fwos%2Fwoscc%2Ffull-record%2FWOS:000517795800124" TargetMode="External"/><Relationship Id="rId_hyperlink_684" Type="http://schemas.openxmlformats.org/officeDocument/2006/relationships/hyperlink" Target="https%3A%2F%2Fwww.webofscience.com%2Fwos%2Fwoscc%2Ffull-record%2FWOS:000410460100012" TargetMode="External"/><Relationship Id="rId_hyperlink_685" Type="http://schemas.openxmlformats.org/officeDocument/2006/relationships/hyperlink" Target="https%3A%2F%2Fwww.webofscience.com%2Fwos%2Fwoscc%2Ffull-record%2FWOS:000403604400157" TargetMode="External"/><Relationship Id="rId_hyperlink_686" Type="http://schemas.openxmlformats.org/officeDocument/2006/relationships/hyperlink" Target="https%3A%2F%2Fwww.webofscience.com%2Fwos%2Fwoscc%2Ffull-record%2FWOS:000380571600294" TargetMode="External"/><Relationship Id="rId_hyperlink_687" Type="http://schemas.openxmlformats.org/officeDocument/2006/relationships/hyperlink" Target="https%3A%2F%2Fwww.webofscience.com%2Fwos%2Fwoscc%2Ffull-record%2FWOS:000382527700060" TargetMode="External"/><Relationship Id="rId_hyperlink_688" Type="http://schemas.openxmlformats.org/officeDocument/2006/relationships/hyperlink" Target="https%3A%2F%2Fwww.webofscience.com%2Fwos%2Fwoscc%2Ffull-record%2FWOS:000353450900007" TargetMode="External"/><Relationship Id="rId_hyperlink_689" Type="http://schemas.openxmlformats.org/officeDocument/2006/relationships/hyperlink" Target="http://dx.doi.org/10.1134/S1023193511070068" TargetMode="External"/><Relationship Id="rId_hyperlink_690" Type="http://schemas.openxmlformats.org/officeDocument/2006/relationships/hyperlink" Target="https%3A%2F%2Fwww.webofscience.com%2Fwos%2Fwoscc%2Ffull-record%2FWOS:000295530300015" TargetMode="External"/><Relationship Id="rId_hyperlink_691" Type="http://schemas.openxmlformats.org/officeDocument/2006/relationships/hyperlink" Target="http://dx.doi.org/10.1023/A:1023816608198" TargetMode="External"/><Relationship Id="rId_hyperlink_692" Type="http://schemas.openxmlformats.org/officeDocument/2006/relationships/hyperlink" Target="https%3A%2F%2Fwww.webofscience.com%2Fwos%2Fwoscc%2Ffull-record%2FWOS:000183347900008" TargetMode="External"/><Relationship Id="rId_hyperlink_693" Type="http://schemas.openxmlformats.org/officeDocument/2006/relationships/hyperlink" Target="https%3A%2F%2Fwww.webofscience.com%2Fwos%2Fwoscc%2Ffull-record%2FWOS:A1996UZ60600014" TargetMode="External"/><Relationship Id="rId_hyperlink_694" Type="http://schemas.openxmlformats.org/officeDocument/2006/relationships/hyperlink" Target="http://dx.doi.org/10.31857/S0201708322040088" TargetMode="External"/><Relationship Id="rId_hyperlink_695" Type="http://schemas.openxmlformats.org/officeDocument/2006/relationships/hyperlink" Target="https%3A%2F%2Fwww.webofscience.com%2Fwos%2Fwoscc%2Ffull-record%2FWOS:000894195500008" TargetMode="External"/><Relationship Id="rId_hyperlink_696" Type="http://schemas.openxmlformats.org/officeDocument/2006/relationships/hyperlink" Target="http://dx.doi.org/10.1134/S0036029522020033" TargetMode="External"/><Relationship Id="rId_hyperlink_697" Type="http://schemas.openxmlformats.org/officeDocument/2006/relationships/hyperlink" Target="https%3A%2F%2Fwww.webofscience.com%2Fwos%2Fwoscc%2Ffull-record%2FWOS:000787803600016" TargetMode="External"/><Relationship Id="rId_hyperlink_698" Type="http://schemas.openxmlformats.org/officeDocument/2006/relationships/hyperlink" Target="http://dx.doi.org/10.25750/1995-4301-2022-3-041-048" TargetMode="External"/><Relationship Id="rId_hyperlink_699" Type="http://schemas.openxmlformats.org/officeDocument/2006/relationships/hyperlink" Target="https%3A%2F%2Fwww.webofscience.com%2Fwos%2Fwoscc%2Ffull-record%2FWOS:000885393200005" TargetMode="External"/><Relationship Id="rId_hyperlink_700" Type="http://schemas.openxmlformats.org/officeDocument/2006/relationships/hyperlink" Target="http://dx.doi.org/10.25750/1995-4301-2022-3-103-109" TargetMode="External"/><Relationship Id="rId_hyperlink_701" Type="http://schemas.openxmlformats.org/officeDocument/2006/relationships/hyperlink" Target="https%3A%2F%2Fwww.webofscience.com%2Fwos%2Fwoscc%2Ffull-record%2FWOS:000885393200013" TargetMode="External"/><Relationship Id="rId_hyperlink_702" Type="http://schemas.openxmlformats.org/officeDocument/2006/relationships/hyperlink" Target="http://dx.doi.org/10.24224/2227-1295-2021-11-216-234" TargetMode="External"/><Relationship Id="rId_hyperlink_703" Type="http://schemas.openxmlformats.org/officeDocument/2006/relationships/hyperlink" Target="https%3A%2F%2Fwww.webofscience.com%2Fwos%2Fwoscc%2Ffull-record%2FWOS:000726493300012" TargetMode="External"/><Relationship Id="rId_hyperlink_704" Type="http://schemas.openxmlformats.org/officeDocument/2006/relationships/hyperlink" Target="http://dx.doi.org/10.17759/psylaw.2021110405" TargetMode="External"/><Relationship Id="rId_hyperlink_705" Type="http://schemas.openxmlformats.org/officeDocument/2006/relationships/hyperlink" Target="https%3A%2F%2Fwww.webofscience.com%2Fwos%2Fwoscc%2Ffull-record%2FWOS:000739852400005" TargetMode="External"/><Relationship Id="rId_hyperlink_706" Type="http://schemas.openxmlformats.org/officeDocument/2006/relationships/hyperlink" Target="http://dx.doi.org/10.1007/978-3-030-70194-9_35" TargetMode="External"/><Relationship Id="rId_hyperlink_707" Type="http://schemas.openxmlformats.org/officeDocument/2006/relationships/hyperlink" Target="https%3A%2F%2Fwww.webofscience.com%2Fwos%2Fwoscc%2Ffull-record%2FWOS:000849737100034" TargetMode="External"/><Relationship Id="rId_hyperlink_708" Type="http://schemas.openxmlformats.org/officeDocument/2006/relationships/hyperlink" Target="http://dx.doi.org/10.25750/995-4301-2021-4-058-063" TargetMode="External"/><Relationship Id="rId_hyperlink_709" Type="http://schemas.openxmlformats.org/officeDocument/2006/relationships/hyperlink" Target="https%3A%2F%2Fwww.webofscience.com%2Fwos%2Fwoscc%2Ffull-record%2FWOS:000755154100008" TargetMode="External"/><Relationship Id="rId_hyperlink_710" Type="http://schemas.openxmlformats.org/officeDocument/2006/relationships/hyperlink" Target="http://dx.doi.org/10.17223/15617793/451/8" TargetMode="External"/><Relationship Id="rId_hyperlink_711" Type="http://schemas.openxmlformats.org/officeDocument/2006/relationships/hyperlink" Target="https%3A%2F%2Fwww.webofscience.com%2Fwos%2Fwoscc%2Ffull-record%2FWOS:000530049500008" TargetMode="External"/><Relationship Id="rId_hyperlink_712" Type="http://schemas.openxmlformats.org/officeDocument/2006/relationships/hyperlink" Target="http://dx.doi.org/10.17323/1813-8918-2020-4-696-718" TargetMode="External"/><Relationship Id="rId_hyperlink_713" Type="http://schemas.openxmlformats.org/officeDocument/2006/relationships/hyperlink" Target="https%3A%2F%2Fwww.webofscience.com%2Fwos%2Fwoscc%2Ffull-record%2FWOS:000607584700007" TargetMode="External"/><Relationship Id="rId_hyperlink_714" Type="http://schemas.openxmlformats.org/officeDocument/2006/relationships/hyperlink" Target="http://dx.doi.org/10.5281/zenodo.4317048" TargetMode="External"/><Relationship Id="rId_hyperlink_715" Type="http://schemas.openxmlformats.org/officeDocument/2006/relationships/hyperlink" Target="https%3A%2F%2Fwww.webofscience.com%2Fwos%2Fwoscc%2Ffull-record%2FWOS:000599902400007" TargetMode="External"/><Relationship Id="rId_hyperlink_716" Type="http://schemas.openxmlformats.org/officeDocument/2006/relationships/hyperlink" Target="http://dx.doi.org/10.6060/ivkkt.20206302.6055" TargetMode="External"/><Relationship Id="rId_hyperlink_717" Type="http://schemas.openxmlformats.org/officeDocument/2006/relationships/hyperlink" Target="https%3A%2F%2Fwww.webofscience.com%2Fwos%2Fwoscc%2Ffull-record%2FWOS:000518856900015" TargetMode="External"/><Relationship Id="rId_hyperlink_718" Type="http://schemas.openxmlformats.org/officeDocument/2006/relationships/hyperlink" Target="http://dx.doi.org/10.25750/1995-4301-2019-2-143-148" TargetMode="External"/><Relationship Id="rId_hyperlink_719" Type="http://schemas.openxmlformats.org/officeDocument/2006/relationships/hyperlink" Target="https%3A%2F%2Fwww.webofscience.com%2Fwos%2Fwoscc%2Ffull-record%2FWOS:000477826000018" TargetMode="External"/><Relationship Id="rId_hyperlink_720" Type="http://schemas.openxmlformats.org/officeDocument/2006/relationships/hyperlink" Target="https%3A%2F%2Fwww.webofscience.com%2Fwos%2Fwoscc%2Ffull-record%2FWOS:000625435700039" TargetMode="External"/><Relationship Id="rId_hyperlink_721" Type="http://schemas.openxmlformats.org/officeDocument/2006/relationships/hyperlink" Target="https%3A%2F%2Fwww.webofscience.com%2Fwos%2Fwoscc%2Ffull-record%2FWOS:000450658500001" TargetMode="External"/><Relationship Id="rId_hyperlink_722" Type="http://schemas.openxmlformats.org/officeDocument/2006/relationships/hyperlink" Target="http://dx.doi.org/10.3103/S0147688218030036" TargetMode="External"/><Relationship Id="rId_hyperlink_723" Type="http://schemas.openxmlformats.org/officeDocument/2006/relationships/hyperlink" Target="https%3A%2F%2Fwww.webofscience.com%2Fwos%2Fwoscc%2Ffull-record%2FWOS:000449782000002" TargetMode="External"/><Relationship Id="rId_hyperlink_724" Type="http://schemas.openxmlformats.org/officeDocument/2006/relationships/hyperlink" Target="http://dx.doi.org/10.17377/semi.2018.15.053" TargetMode="External"/><Relationship Id="rId_hyperlink_725" Type="http://schemas.openxmlformats.org/officeDocument/2006/relationships/hyperlink" Target="https%3A%2F%2Fwww.webofscience.com%2Fwos%2Fwoscc%2Ffull-record%2FWOS:000438412200053" TargetMode="External"/><Relationship Id="rId_hyperlink_726" Type="http://schemas.openxmlformats.org/officeDocument/2006/relationships/hyperlink" Target="https%3A%2F%2Fwww.webofscience.com%2Fwos%2Fwoscc%2Ffull-record%2FWOS:000432656200010" TargetMode="External"/><Relationship Id="rId_hyperlink_727" Type="http://schemas.openxmlformats.org/officeDocument/2006/relationships/hyperlink" Target="http://dx.doi.org/10.1007/978-3-319-71746-3_12" TargetMode="External"/><Relationship Id="rId_hyperlink_728" Type="http://schemas.openxmlformats.org/officeDocument/2006/relationships/hyperlink" Target="https%3A%2F%2Fwww.webofscience.com%2Fwos%2Fwoscc%2Ffull-record%2FWOS:000437301200012" TargetMode="External"/><Relationship Id="rId_hyperlink_729" Type="http://schemas.openxmlformats.org/officeDocument/2006/relationships/hyperlink" Target="http://dx.doi.org/10.1080/09668136.2018.1503891" TargetMode="External"/><Relationship Id="rId_hyperlink_730" Type="http://schemas.openxmlformats.org/officeDocument/2006/relationships/hyperlink" Target="https%3A%2F%2Fwww.webofscience.com%2Fwos%2Fwoscc%2Ffull-record%2FWOS:000446581900017" TargetMode="External"/><Relationship Id="rId_hyperlink_731" Type="http://schemas.openxmlformats.org/officeDocument/2006/relationships/hyperlink" Target="http://dx.doi.org/10.15688/jvolsu4.2018.4.10" TargetMode="External"/><Relationship Id="rId_hyperlink_732" Type="http://schemas.openxmlformats.org/officeDocument/2006/relationships/hyperlink" Target="https%3A%2F%2Fwww.webofscience.com%2Fwos%2Fwoscc%2Ffull-record%2FWOS:000442951100010" TargetMode="External"/><Relationship Id="rId_hyperlink_733" Type="http://schemas.openxmlformats.org/officeDocument/2006/relationships/hyperlink" Target="https%3A%2F%2Fwww.webofscience.com%2Fwos%2Fwoscc%2Ffull-record%2FWOS:000408075600011" TargetMode="External"/><Relationship Id="rId_hyperlink_734" Type="http://schemas.openxmlformats.org/officeDocument/2006/relationships/hyperlink" Target="http://dx.doi.org/10.1109/ICEnT.2017.36" TargetMode="External"/><Relationship Id="rId_hyperlink_735" Type="http://schemas.openxmlformats.org/officeDocument/2006/relationships/hyperlink" Target="https%3A%2F%2Fwww.webofscience.com%2Fwos%2Fwoscc%2Ffull-record%2FWOS:000427144900030" TargetMode="External"/><Relationship Id="rId_hyperlink_736" Type="http://schemas.openxmlformats.org/officeDocument/2006/relationships/hyperlink" Target="https%3A%2F%2Fwww.webofscience.com%2Fwos%2Fwoscc%2Ffull-record%2FWOS:000414282400354" TargetMode="External"/><Relationship Id="rId_hyperlink_737" Type="http://schemas.openxmlformats.org/officeDocument/2006/relationships/hyperlink" Target="http://dx.doi.org/10.1007/978-3-319-60696-5_4" TargetMode="External"/><Relationship Id="rId_hyperlink_738" Type="http://schemas.openxmlformats.org/officeDocument/2006/relationships/hyperlink" Target="https%3A%2F%2Fwww.webofscience.com%2Fwos%2Fwoscc%2Ffull-record%2FWOS:000426114200004" TargetMode="External"/><Relationship Id="rId_hyperlink_739" Type="http://schemas.openxmlformats.org/officeDocument/2006/relationships/hyperlink" Target="http://dx.doi.org/10.1007/978-3-319-60696-5_51" TargetMode="External"/><Relationship Id="rId_hyperlink_740" Type="http://schemas.openxmlformats.org/officeDocument/2006/relationships/hyperlink" Target="https%3A%2F%2Fwww.webofscience.com%2Fwos%2Fwoscc%2Ffull-record%2FWOS:000426114200051" TargetMode="External"/><Relationship Id="rId_hyperlink_741" Type="http://schemas.openxmlformats.org/officeDocument/2006/relationships/hyperlink" Target="http://dx.doi.org/10.3103/S1067821214020096" TargetMode="External"/><Relationship Id="rId_hyperlink_742" Type="http://schemas.openxmlformats.org/officeDocument/2006/relationships/hyperlink" Target="https%3A%2F%2Fwww.webofscience.com%2Fwos%2Fwoscc%2Ffull-record%2FWOS:000335735500004" TargetMode="External"/><Relationship Id="rId_hyperlink_743" Type="http://schemas.openxmlformats.org/officeDocument/2006/relationships/hyperlink" Target="http://dx.doi.org/10.1134/S1023193511050089" TargetMode="External"/><Relationship Id="rId_hyperlink_744" Type="http://schemas.openxmlformats.org/officeDocument/2006/relationships/hyperlink" Target="https%3A%2F%2Fwww.webofscience.com%2Fwos%2Fwoscc%2Ffull-record%2FWOS:000292270900007" TargetMode="External"/><Relationship Id="rId_hyperlink_745" Type="http://schemas.openxmlformats.org/officeDocument/2006/relationships/hyperlink" Target="http://dx.doi.org/10.1134/S0036024406110069" TargetMode="External"/><Relationship Id="rId_hyperlink_746" Type="http://schemas.openxmlformats.org/officeDocument/2006/relationships/hyperlink" Target="https%3A%2F%2Fwww.webofscience.com%2Fwos%2Fwoscc%2Ffull-record%2FWOS:000245667100006" TargetMode="External"/><Relationship Id="rId_hyperlink_747" Type="http://schemas.openxmlformats.org/officeDocument/2006/relationships/hyperlink" Target="http://dx.doi.org/10.1007/978-3-030-93244-2_83" TargetMode="External"/><Relationship Id="rId_hyperlink_748" Type="http://schemas.openxmlformats.org/officeDocument/2006/relationships/hyperlink" Target="https%3A%2F%2Fwww.webofscience.com%2Fwos%2Fwoscc%2Ffull-record%2FWOS:000759460600083" TargetMode="External"/><Relationship Id="rId_hyperlink_749" Type="http://schemas.openxmlformats.org/officeDocument/2006/relationships/hyperlink" Target="http://dx.doi.org/10.15507/2658-4123.032.202202.279-294" TargetMode="External"/><Relationship Id="rId_hyperlink_750" Type="http://schemas.openxmlformats.org/officeDocument/2006/relationships/hyperlink" Target="https%3A%2F%2Fwww.webofscience.com%2Fwos%2Fwoscc%2Ffull-record%2FWOS:000822052400007" TargetMode="External"/><Relationship Id="rId_hyperlink_751" Type="http://schemas.openxmlformats.org/officeDocument/2006/relationships/hyperlink" Target="http://dx.doi.org/10.17223/15617793/465/15" TargetMode="External"/><Relationship Id="rId_hyperlink_752" Type="http://schemas.openxmlformats.org/officeDocument/2006/relationships/hyperlink" Target="https%3A%2F%2Fwww.webofscience.com%2Fwos%2Fwoscc%2Ffull-record%2FWOS:000691270200015" TargetMode="External"/><Relationship Id="rId_hyperlink_753" Type="http://schemas.openxmlformats.org/officeDocument/2006/relationships/hyperlink" Target="http://dx.doi.org/10.24833/2071-8160-2021-4-79-26-50" TargetMode="External"/><Relationship Id="rId_hyperlink_754" Type="http://schemas.openxmlformats.org/officeDocument/2006/relationships/hyperlink" Target="https%3A%2F%2Fwww.webofscience.com%2Fwos%2Fwoscc%2Ffull-record%2FWOS:000695496900002" TargetMode="External"/><Relationship Id="rId_hyperlink_755" Type="http://schemas.openxmlformats.org/officeDocument/2006/relationships/hyperlink" Target="http://dx.doi.org/10.17223/15617793/460/23" TargetMode="External"/><Relationship Id="rId_hyperlink_756" Type="http://schemas.openxmlformats.org/officeDocument/2006/relationships/hyperlink" Target="https%3A%2F%2Fwww.webofscience.com%2Fwos%2Fwoscc%2Ffull-record%2FWOS:000624428700023" TargetMode="External"/><Relationship Id="rId_hyperlink_757" Type="http://schemas.openxmlformats.org/officeDocument/2006/relationships/hyperlink" Target="http://dx.doi.org/10.12911/22998993/125459" TargetMode="External"/><Relationship Id="rId_hyperlink_758" Type="http://schemas.openxmlformats.org/officeDocument/2006/relationships/hyperlink" Target="https%3A%2F%2Fwww.webofscience.com%2Fwos%2Fwoscc%2Ffull-record%2FWOS:000576664500002" TargetMode="External"/><Relationship Id="rId_hyperlink_759" Type="http://schemas.openxmlformats.org/officeDocument/2006/relationships/hyperlink" Target="https%3A%2F%2Fwww.webofscience.com%2Fwos%2Fwoscc%2Ffull-record%2FWOS:000612854100118" TargetMode="External"/><Relationship Id="rId_hyperlink_760" Type="http://schemas.openxmlformats.org/officeDocument/2006/relationships/hyperlink" Target="http://dx.doi.org/10.1007/978-3-030-19810-7_1" TargetMode="External"/><Relationship Id="rId_hyperlink_761" Type="http://schemas.openxmlformats.org/officeDocument/2006/relationships/hyperlink" Target="https%3A%2F%2Fwww.webofscience.com%2Fwos%2Fwoscc%2Ffull-record%2FWOS:000503762800001" TargetMode="External"/><Relationship Id="rId_hyperlink_762" Type="http://schemas.openxmlformats.org/officeDocument/2006/relationships/hyperlink" Target="https%3A%2F%2Fwww.webofscience.com%2Fwos%2Fwoscc%2Ffull-record%2FWOS:000560311400085" TargetMode="External"/><Relationship Id="rId_hyperlink_763" Type="http://schemas.openxmlformats.org/officeDocument/2006/relationships/hyperlink" Target="http://dx.doi.org/10.33048/semi.2019.16.103" TargetMode="External"/><Relationship Id="rId_hyperlink_764" Type="http://schemas.openxmlformats.org/officeDocument/2006/relationships/hyperlink" Target="https%3A%2F%2Fwww.webofscience.com%2Fwos%2Fwoscc%2Ffull-record%2FWOS:000491071700001" TargetMode="External"/><Relationship Id="rId_hyperlink_765" Type="http://schemas.openxmlformats.org/officeDocument/2006/relationships/hyperlink" Target="http://dx.doi.org/10.17223/19996195/41/16" TargetMode="External"/><Relationship Id="rId_hyperlink_766" Type="http://schemas.openxmlformats.org/officeDocument/2006/relationships/hyperlink" Target="https%3A%2F%2Fwww.webofscience.com%2Fwos%2Fwoscc%2Ffull-record%2FWOS:000437910300016" TargetMode="External"/><Relationship Id="rId_hyperlink_767" Type="http://schemas.openxmlformats.org/officeDocument/2006/relationships/hyperlink" Target="http://dx.doi.org/10.1109/EnT-MIPT.2018.00042" TargetMode="External"/><Relationship Id="rId_hyperlink_768" Type="http://schemas.openxmlformats.org/officeDocument/2006/relationships/hyperlink" Target="https%3A%2F%2Fwww.webofscience.com%2Fwos%2Fwoscc%2Ffull-record%2FWOS:000490858200035" TargetMode="External"/><Relationship Id="rId_hyperlink_769" Type="http://schemas.openxmlformats.org/officeDocument/2006/relationships/hyperlink" Target="http://dx.doi.org/10.1088/1742-6596/944/1/012045" TargetMode="External"/><Relationship Id="rId_hyperlink_770" Type="http://schemas.openxmlformats.org/officeDocument/2006/relationships/hyperlink" Target="https%3A%2F%2Fwww.webofscience.com%2Fwos%2Fwoscc%2Ffull-record%2FWOS:000431622000045" TargetMode="External"/><Relationship Id="rId_hyperlink_771" Type="http://schemas.openxmlformats.org/officeDocument/2006/relationships/hyperlink" Target="https%3A%2F%2Fwww.webofscience.com%2Fwos%2Fwoscc%2Ffull-record%2FWOS:000679066800151" TargetMode="External"/><Relationship Id="rId_hyperlink_772" Type="http://schemas.openxmlformats.org/officeDocument/2006/relationships/hyperlink" Target="http://dx.doi.org/10.21638/11701/spbu02.2018.417" TargetMode="External"/><Relationship Id="rId_hyperlink_773" Type="http://schemas.openxmlformats.org/officeDocument/2006/relationships/hyperlink" Target="https%3A%2F%2Fwww.webofscience.com%2Fwos%2Fwoscc%2Ffull-record%2FWOS:000456948700017" TargetMode="External"/><Relationship Id="rId_hyperlink_774" Type="http://schemas.openxmlformats.org/officeDocument/2006/relationships/hyperlink" Target="https%3A%2F%2Fwww.webofscience.com%2Fwos%2Fwoscc%2Ffull-record%2FWOS:000396961700009" TargetMode="External"/><Relationship Id="rId_hyperlink_775" Type="http://schemas.openxmlformats.org/officeDocument/2006/relationships/hyperlink" Target="https%3A%2F%2Fwww.webofscience.com%2Fwos%2Fwoscc%2Ffull-record%2FWOS:000396961700011" TargetMode="External"/><Relationship Id="rId_hyperlink_776" Type="http://schemas.openxmlformats.org/officeDocument/2006/relationships/hyperlink" Target="http://dx.doi.org/10.1007/978-3-319-62932-2_18" TargetMode="External"/><Relationship Id="rId_hyperlink_777" Type="http://schemas.openxmlformats.org/officeDocument/2006/relationships/hyperlink" Target="https%3A%2F%2Fwww.webofscience.com%2Fwos%2Fwoscc%2Ffull-record%2FWOS:000444105600018" TargetMode="External"/><Relationship Id="rId_hyperlink_778" Type="http://schemas.openxmlformats.org/officeDocument/2006/relationships/hyperlink" Target="https%3A%2F%2Fwww.webofscience.com%2Fwos%2Fwoscc%2Ffull-record%2FWOS:000428759500042" TargetMode="External"/><Relationship Id="rId_hyperlink_779" Type="http://schemas.openxmlformats.org/officeDocument/2006/relationships/hyperlink" Target="https%3A%2F%2Fwww.webofscience.com%2Fwos%2Fwoscc%2Ffull-record%2FWOS:000403604400117" TargetMode="External"/><Relationship Id="rId_hyperlink_780" Type="http://schemas.openxmlformats.org/officeDocument/2006/relationships/hyperlink" Target="https%3A%2F%2Fwww.webofscience.com%2Fwos%2Fwoscc%2Ffull-record%2FWOS:000357943500061" TargetMode="External"/><Relationship Id="rId_hyperlink_781" Type="http://schemas.openxmlformats.org/officeDocument/2006/relationships/hyperlink" Target="https%3A%2F%2Fwww.webofscience.com%2Fwos%2Fwoscc%2Ffull-record%2FWOS:000296675600009" TargetMode="External"/><Relationship Id="rId_hyperlink_782" Type="http://schemas.openxmlformats.org/officeDocument/2006/relationships/hyperlink" Target="http://dx.doi.org/10.1070/RM2007v062n01ABEH004387" TargetMode="External"/><Relationship Id="rId_hyperlink_783" Type="http://schemas.openxmlformats.org/officeDocument/2006/relationships/hyperlink" Target="https%3A%2F%2Fwww.webofscience.com%2Fwos%2Fwoscc%2Ffull-record%2FWOS:000247727000013" TargetMode="External"/><Relationship Id="rId_hyperlink_784" Type="http://schemas.openxmlformats.org/officeDocument/2006/relationships/hyperlink" Target="http://dx.doi.org/10.1134/S102319350612007X" TargetMode="External"/><Relationship Id="rId_hyperlink_785" Type="http://schemas.openxmlformats.org/officeDocument/2006/relationships/hyperlink" Target="https%3A%2F%2Fwww.webofscience.com%2Fwos%2Fwoscc%2Ffull-record%2FWOS:000243338000007" TargetMode="External"/><Relationship Id="rId_hyperlink_786" Type="http://schemas.openxmlformats.org/officeDocument/2006/relationships/hyperlink" Target="https%3A%2F%2Fwww.webofscience.com%2Fwos%2Fwoscc%2Ffull-record%2FWOS:000229563300003" TargetMode="External"/><Relationship Id="rId_hyperlink_787" Type="http://schemas.openxmlformats.org/officeDocument/2006/relationships/hyperlink" Target="http://dx.doi.org/10.1023/A:1016616732627" TargetMode="External"/><Relationship Id="rId_hyperlink_788" Type="http://schemas.openxmlformats.org/officeDocument/2006/relationships/hyperlink" Target="https%3A%2F%2Fwww.webofscience.com%2Fwos%2Fwoscc%2Ffull-record%2FWOS:000168892900016" TargetMode="External"/><Relationship Id="rId_hyperlink_789" Type="http://schemas.openxmlformats.org/officeDocument/2006/relationships/hyperlink" Target="http://dx.doi.org/10.1109/ACCESS.2023.3269720" TargetMode="External"/><Relationship Id="rId_hyperlink_790" Type="http://schemas.openxmlformats.org/officeDocument/2006/relationships/hyperlink" Target="https%3A%2F%2Fwww.webofscience.com%2Fwos%2Fwoscc%2Ffull-record%2FWOS:000981905100001" TargetMode="External"/><Relationship Id="rId_hyperlink_791" Type="http://schemas.openxmlformats.org/officeDocument/2006/relationships/hyperlink" Target="http://dx.doi.org/10.1080/09668136.2022.2083309" TargetMode="External"/><Relationship Id="rId_hyperlink_792" Type="http://schemas.openxmlformats.org/officeDocument/2006/relationships/hyperlink" Target="https%3A%2F%2Fwww.webofscience.com%2Fwos%2Fwoscc%2Ffull-record%2FWOS:000814439200009" TargetMode="External"/><Relationship Id="rId_hyperlink_793" Type="http://schemas.openxmlformats.org/officeDocument/2006/relationships/hyperlink" Target="http://dx.doi.org/10.4025/actascihealthsci.v44i1.56397" TargetMode="External"/><Relationship Id="rId_hyperlink_794" Type="http://schemas.openxmlformats.org/officeDocument/2006/relationships/hyperlink" Target="https%3A%2F%2Fwww.webofscience.com%2Fwos%2Fwoscc%2Ffull-record%2FWOS:000744117000001" TargetMode="External"/><Relationship Id="rId_hyperlink_795" Type="http://schemas.openxmlformats.org/officeDocument/2006/relationships/hyperlink" Target="http://dx.doi.org/10.24224/2227-1295-2022-11-7-59-73" TargetMode="External"/><Relationship Id="rId_hyperlink_796" Type="http://schemas.openxmlformats.org/officeDocument/2006/relationships/hyperlink" Target="https%3A%2F%2Fwww.webofscience.com%2Fwos%2Fwoscc%2Ffull-record%2FWOS:000886616200004" TargetMode="External"/><Relationship Id="rId_hyperlink_797" Type="http://schemas.openxmlformats.org/officeDocument/2006/relationships/hyperlink" Target="http://dx.doi.org/10.1080/09668136.2021.1977037" TargetMode="External"/><Relationship Id="rId_hyperlink_798" Type="http://schemas.openxmlformats.org/officeDocument/2006/relationships/hyperlink" Target="https%3A%2F%2Fwww.webofscience.com%2Fwos%2Fwoscc%2Ffull-record%2FWOS:000734240600010" TargetMode="External"/><Relationship Id="rId_hyperlink_799" Type="http://schemas.openxmlformats.org/officeDocument/2006/relationships/hyperlink" Target="http://dx.doi.org/10.15405/epsbs.2021.07.02.46" TargetMode="External"/><Relationship Id="rId_hyperlink_800" Type="http://schemas.openxmlformats.org/officeDocument/2006/relationships/hyperlink" Target="https%3A%2F%2Fwww.webofscience.com%2Fwos%2Fwoscc%2Ffull-record%2FWOS:000771919100046" TargetMode="External"/><Relationship Id="rId_hyperlink_801" Type="http://schemas.openxmlformats.org/officeDocument/2006/relationships/hyperlink" Target="http://dx.doi.org/10.26170/FK20-03-11" TargetMode="External"/><Relationship Id="rId_hyperlink_802" Type="http://schemas.openxmlformats.org/officeDocument/2006/relationships/hyperlink" Target="https%3A%2F%2Fwww.webofscience.com%2Fwos%2Fwoscc%2Ffull-record%2FWOS:000607937300011" TargetMode="External"/><Relationship Id="rId_hyperlink_803" Type="http://schemas.openxmlformats.org/officeDocument/2006/relationships/hyperlink" Target="http://dx.doi.org/10.24874/IJQR14.01-16" TargetMode="External"/><Relationship Id="rId_hyperlink_804" Type="http://schemas.openxmlformats.org/officeDocument/2006/relationships/hyperlink" Target="https%3A%2F%2Fwww.webofscience.com%2Fwos%2Fwoscc%2Ffull-record%2FWOS:000518417300016" TargetMode="External"/><Relationship Id="rId_hyperlink_805" Type="http://schemas.openxmlformats.org/officeDocument/2006/relationships/hyperlink" Target="http://dx.doi.org/10.24833/2071-8160-2020-2-71-7-39" TargetMode="External"/><Relationship Id="rId_hyperlink_806" Type="http://schemas.openxmlformats.org/officeDocument/2006/relationships/hyperlink" Target="https%3A%2F%2Fwww.webofscience.com%2Fwos%2Fwoscc%2Ffull-record%2FWOS:000530164600001" TargetMode="External"/><Relationship Id="rId_hyperlink_807" Type="http://schemas.openxmlformats.org/officeDocument/2006/relationships/hyperlink" Target="https%3A%2F%2Fwww.webofscience.com%2Fwos%2Fwoscc%2Ffull-record%2FWOS:000477564000021" TargetMode="External"/><Relationship Id="rId_hyperlink_808" Type="http://schemas.openxmlformats.org/officeDocument/2006/relationships/hyperlink" Target="http://dx.doi.org/10.24224/2227-1295-2019-9-159-172" TargetMode="External"/><Relationship Id="rId_hyperlink_809" Type="http://schemas.openxmlformats.org/officeDocument/2006/relationships/hyperlink" Target="https%3A%2F%2Fwww.webofscience.com%2Fwos%2Fwoscc%2Ffull-record%2FWOS:000484392200010" TargetMode="External"/><Relationship Id="rId_hyperlink_810" Type="http://schemas.openxmlformats.org/officeDocument/2006/relationships/hyperlink" Target="http://dx.doi.org/10.1145/3357419.3357430" TargetMode="External"/><Relationship Id="rId_hyperlink_811" Type="http://schemas.openxmlformats.org/officeDocument/2006/relationships/hyperlink" Target="https%3A%2F%2Fwww.webofscience.com%2Fwos%2Fwoscc%2Ffull-record%2FWOS:000518414100009" TargetMode="External"/><Relationship Id="rId_hyperlink_812" Type="http://schemas.openxmlformats.org/officeDocument/2006/relationships/hyperlink" Target="https%3A%2F%2Fwww.webofscience.com%2Fwos%2Fwoscc%2Ffull-record%2FWOS:000434451000017" TargetMode="External"/><Relationship Id="rId_hyperlink_813" Type="http://schemas.openxmlformats.org/officeDocument/2006/relationships/hyperlink" Target="http://dx.doi.org/10.17853/1994-5639-2018-3-53-82" TargetMode="External"/><Relationship Id="rId_hyperlink_814" Type="http://schemas.openxmlformats.org/officeDocument/2006/relationships/hyperlink" Target="https%3A%2F%2Fwww.webofscience.com%2Fwos%2Fwoscc%2Ffull-record%2FWOS:000461120400003" TargetMode="External"/><Relationship Id="rId_hyperlink_815" Type="http://schemas.openxmlformats.org/officeDocument/2006/relationships/hyperlink" Target="http://dx.doi.org/10.1142/S0218126618500044" TargetMode="External"/><Relationship Id="rId_hyperlink_816" Type="http://schemas.openxmlformats.org/officeDocument/2006/relationships/hyperlink" Target="https%3A%2F%2Fwww.webofscience.com%2Fwos%2Fwoscc%2Ffull-record%2FWOS:000408205300004" TargetMode="External"/><Relationship Id="rId_hyperlink_817" Type="http://schemas.openxmlformats.org/officeDocument/2006/relationships/hyperlink" Target="http://dx.doi.org/10.15507/0236-2910.028.201803.416-428" TargetMode="External"/><Relationship Id="rId_hyperlink_818" Type="http://schemas.openxmlformats.org/officeDocument/2006/relationships/hyperlink" Target="https%3A%2F%2Fwww.webofscience.com%2Fwos%2Fwoscc%2Ffull-record%2FWOS:000444121400010" TargetMode="External"/><Relationship Id="rId_hyperlink_819" Type="http://schemas.openxmlformats.org/officeDocument/2006/relationships/hyperlink" Target="https%3A%2F%2Fwww.webofscience.com%2Fwos%2Fwoscc%2Ffull-record%2FWOS:000432248900136" TargetMode="External"/><Relationship Id="rId_hyperlink_820" Type="http://schemas.openxmlformats.org/officeDocument/2006/relationships/hyperlink" Target="https%3A%2F%2Fwww.webofscience.com%2Fwos%2Fwoscc%2Ffull-record%2FWOS:000618551100040" TargetMode="External"/><Relationship Id="rId_hyperlink_821" Type="http://schemas.openxmlformats.org/officeDocument/2006/relationships/hyperlink" Target="https%3A%2F%2Fwww.webofscience.com%2Fwos%2Fwoscc%2Ffull-record%2FWOS:000679066800223" TargetMode="External"/><Relationship Id="rId_hyperlink_822" Type="http://schemas.openxmlformats.org/officeDocument/2006/relationships/hyperlink" Target="http://dx.doi.org/10.1007/s11185-016-9174-9" TargetMode="External"/><Relationship Id="rId_hyperlink_823" Type="http://schemas.openxmlformats.org/officeDocument/2006/relationships/hyperlink" Target="https%3A%2F%2Fwww.webofscience.com%2Fwos%2Fwoscc%2Ffull-record%2FWOS:000398165000003" TargetMode="External"/><Relationship Id="rId_hyperlink_824" Type="http://schemas.openxmlformats.org/officeDocument/2006/relationships/hyperlink" Target="https%3A%2F%2Fwww.webofscience.com%2Fwos%2Fwoscc%2Ffull-record%2FWOS:000414282400359" TargetMode="External"/><Relationship Id="rId_hyperlink_825" Type="http://schemas.openxmlformats.org/officeDocument/2006/relationships/hyperlink" Target="http://dx.doi.org/10.1016/j.proeng.2017.10.692" TargetMode="External"/><Relationship Id="rId_hyperlink_826" Type="http://schemas.openxmlformats.org/officeDocument/2006/relationships/hyperlink" Target="https%3A%2F%2Fwww.webofscience.com%2Fwos%2Fwoscc%2Ffull-record%2FWOS:000425674300266" TargetMode="External"/><Relationship Id="rId_hyperlink_827" Type="http://schemas.openxmlformats.org/officeDocument/2006/relationships/hyperlink" Target="https%3A%2F%2Fwww.webofscience.com%2Fwos%2Fwoscc%2Ffull-record%2FWOS:000414282400167" TargetMode="External"/><Relationship Id="rId_hyperlink_828" Type="http://schemas.openxmlformats.org/officeDocument/2006/relationships/hyperlink" Target="http://dx.doi.org/10.1007/978-3-319-21909-7_5" TargetMode="External"/><Relationship Id="rId_hyperlink_829" Type="http://schemas.openxmlformats.org/officeDocument/2006/relationships/hyperlink" Target="https%3A%2F%2Fwww.webofscience.com%2Fwos%2Fwoscc%2Ffull-record%2FWOS:000363763200005" TargetMode="External"/><Relationship Id="rId_hyperlink_830" Type="http://schemas.openxmlformats.org/officeDocument/2006/relationships/hyperlink" Target="http://dx.doi.org/10.1007/s11141-007-0030-z" TargetMode="External"/><Relationship Id="rId_hyperlink_831" Type="http://schemas.openxmlformats.org/officeDocument/2006/relationships/hyperlink" Target="https%3A%2F%2Fwww.webofscience.com%2Fwos%2Fwoscc%2Ffull-record%2FWOS:000207860900009" TargetMode="External"/><Relationship Id="rId_hyperlink_832" Type="http://schemas.openxmlformats.org/officeDocument/2006/relationships/hyperlink" Target="http://dx.doi.org/10.1023/A:1021274019713" TargetMode="External"/><Relationship Id="rId_hyperlink_833" Type="http://schemas.openxmlformats.org/officeDocument/2006/relationships/hyperlink" Target="https%3A%2F%2Fwww.webofscience.com%2Fwos%2Fwoscc%2Ffull-record%2FWOS:000180094300016" TargetMode="External"/><Relationship Id="rId_hyperlink_834" Type="http://schemas.openxmlformats.org/officeDocument/2006/relationships/hyperlink" Target="http://dx.doi.org/10.12911/22998993/131029" TargetMode="External"/><Relationship Id="rId_hyperlink_835" Type="http://schemas.openxmlformats.org/officeDocument/2006/relationships/hyperlink" Target="https%3A%2F%2Fwww.webofscience.com%2Fwos%2Fwoscc%2Ffull-record%2FWOS:000615787800022" TargetMode="External"/><Relationship Id="rId_hyperlink_836" Type="http://schemas.openxmlformats.org/officeDocument/2006/relationships/hyperlink" Target="http://dx.doi.org/10.17212/1994-6309-2020-22.4-18-30" TargetMode="External"/><Relationship Id="rId_hyperlink_837" Type="http://schemas.openxmlformats.org/officeDocument/2006/relationships/hyperlink" Target="https%3A%2F%2Fwww.webofscience.com%2Fwos%2Fwoscc%2Ffull-record%2FWOS:000598224000002" TargetMode="External"/><Relationship Id="rId_hyperlink_838" Type="http://schemas.openxmlformats.org/officeDocument/2006/relationships/hyperlink" Target="http://dx.doi.org/10.1016/j.dib.2020.105506" TargetMode="External"/><Relationship Id="rId_hyperlink_839" Type="http://schemas.openxmlformats.org/officeDocument/2006/relationships/hyperlink" Target="https%3A%2F%2Fwww.webofscience.com%2Fwos%2Fwoscc%2Ffull-record%2FWOS:000541974200007" TargetMode="External"/><Relationship Id="rId_hyperlink_840" Type="http://schemas.openxmlformats.org/officeDocument/2006/relationships/hyperlink" Target="http://dx.doi.org/10.17223/22220836/38/16" TargetMode="External"/><Relationship Id="rId_hyperlink_841" Type="http://schemas.openxmlformats.org/officeDocument/2006/relationships/hyperlink" Target="https%3A%2F%2Fwww.webofscience.com%2Fwos%2Fwoscc%2Ffull-record%2FWOS:000540950700016" TargetMode="External"/><Relationship Id="rId_hyperlink_842" Type="http://schemas.openxmlformats.org/officeDocument/2006/relationships/hyperlink" Target="http://dx.doi.org/10.17223/15617793/451/23" TargetMode="External"/><Relationship Id="rId_hyperlink_843" Type="http://schemas.openxmlformats.org/officeDocument/2006/relationships/hyperlink" Target="https%3A%2F%2Fwww.webofscience.com%2Fwos%2Fwoscc%2Ffull-record%2FWOS:000530049500023" TargetMode="External"/><Relationship Id="rId_hyperlink_844" Type="http://schemas.openxmlformats.org/officeDocument/2006/relationships/hyperlink" Target="http://dx.doi.org/10.15393/j9.art.2020.6882" TargetMode="External"/><Relationship Id="rId_hyperlink_845" Type="http://schemas.openxmlformats.org/officeDocument/2006/relationships/hyperlink" Target="https%3A%2F%2Fwww.webofscience.com%2Fwos%2Fwoscc%2Ffull-record%2FWOS:000528268000005" TargetMode="External"/><Relationship Id="rId_hyperlink_846" Type="http://schemas.openxmlformats.org/officeDocument/2006/relationships/hyperlink" Target="http://dx.doi.org/10.24224/2227-1295-2020-9-420-433" TargetMode="External"/><Relationship Id="rId_hyperlink_847" Type="http://schemas.openxmlformats.org/officeDocument/2006/relationships/hyperlink" Target="https%3A%2F%2Fwww.webofscience.com%2Fwos%2Fwoscc%2Ffull-record%2FWOS:000576831000025" TargetMode="External"/><Relationship Id="rId_hyperlink_848" Type="http://schemas.openxmlformats.org/officeDocument/2006/relationships/hyperlink" Target="http://dx.doi.org/10.21538/0134-4889-2020-26-3-171-186" TargetMode="External"/><Relationship Id="rId_hyperlink_849" Type="http://schemas.openxmlformats.org/officeDocument/2006/relationships/hyperlink" Target="https%3A%2F%2Fwww.webofscience.com%2Fwos%2Fwoscc%2Ffull-record%2FWOS:000592231900015" TargetMode="External"/><Relationship Id="rId_hyperlink_850" Type="http://schemas.openxmlformats.org/officeDocument/2006/relationships/hyperlink" Target="http://dx.doi.org/10.18720/MCE.95.9" TargetMode="External"/><Relationship Id="rId_hyperlink_851" Type="http://schemas.openxmlformats.org/officeDocument/2006/relationships/hyperlink" Target="https%3A%2F%2Fwww.webofscience.com%2Fwos%2Fwoscc%2Ffull-record%2FWOS:000593143400009" TargetMode="External"/><Relationship Id="rId_hyperlink_852" Type="http://schemas.openxmlformats.org/officeDocument/2006/relationships/hyperlink" Target="http://dx.doi.org/10.15405/epsbs.2019.03.73" TargetMode="External"/><Relationship Id="rId_hyperlink_853" Type="http://schemas.openxmlformats.org/officeDocument/2006/relationships/hyperlink" Target="https%3A%2F%2Fwww.webofscience.com%2Fwos%2Fwoscc%2Ffull-record%2FWOS:000471325700073" TargetMode="External"/><Relationship Id="rId_hyperlink_854" Type="http://schemas.openxmlformats.org/officeDocument/2006/relationships/hyperlink" Target="http://dx.doi.org/10.3116/VoprosyIstorii201912Statyi45" TargetMode="External"/><Relationship Id="rId_hyperlink_855" Type="http://schemas.openxmlformats.org/officeDocument/2006/relationships/hyperlink" Target="https%3A%2F%2Fwww.webofscience.com%2Fwos%2Fwoscc%2Ffull-record%2FWOS:000514212900023" TargetMode="External"/><Relationship Id="rId_hyperlink_856" Type="http://schemas.openxmlformats.org/officeDocument/2006/relationships/hyperlink" Target="http://dx.doi.org/10.17223/20710410/44/2" TargetMode="External"/><Relationship Id="rId_hyperlink_857" Type="http://schemas.openxmlformats.org/officeDocument/2006/relationships/hyperlink" Target="https%3A%2F%2Fwww.webofscience.com%2Fwos%2Fwoscc%2Ffull-record%2FWOS:000476644400002" TargetMode="External"/><Relationship Id="rId_hyperlink_858" Type="http://schemas.openxmlformats.org/officeDocument/2006/relationships/hyperlink" Target="http://dx.doi.org/10.1007/978-3-030-00102-5_114" TargetMode="External"/><Relationship Id="rId_hyperlink_859" Type="http://schemas.openxmlformats.org/officeDocument/2006/relationships/hyperlink" Target="https%3A%2F%2Fwww.webofscience.com%2Fwos%2Fwoscc%2Ffull-record%2FWOS:000460581800114" TargetMode="External"/><Relationship Id="rId_hyperlink_860" Type="http://schemas.openxmlformats.org/officeDocument/2006/relationships/hyperlink" Target="http://dx.doi.org/10.18254/S207987840005469-4" TargetMode="External"/><Relationship Id="rId_hyperlink_861" Type="http://schemas.openxmlformats.org/officeDocument/2006/relationships/hyperlink" Target="https%3A%2F%2Fwww.webofscience.com%2Fwos%2Fwoscc%2Ffull-record%2FWOS:000483368500016" TargetMode="External"/><Relationship Id="rId_hyperlink_862" Type="http://schemas.openxmlformats.org/officeDocument/2006/relationships/hyperlink" Target="http://dx.doi.org/10.18720/MCE.79.6" TargetMode="External"/><Relationship Id="rId_hyperlink_863" Type="http://schemas.openxmlformats.org/officeDocument/2006/relationships/hyperlink" Target="https%3A%2F%2Fwww.webofscience.com%2Fwos%2Fwoscc%2Ffull-record%2FWOS:000447699900006" TargetMode="External"/><Relationship Id="rId_hyperlink_864" Type="http://schemas.openxmlformats.org/officeDocument/2006/relationships/hyperlink" Target="http://dx.doi.org/10.15405/epsbs.2018.09.60" TargetMode="External"/><Relationship Id="rId_hyperlink_865" Type="http://schemas.openxmlformats.org/officeDocument/2006/relationships/hyperlink" Target="https%3A%2F%2Fwww.webofscience.com%2Fwos%2Fwoscc%2Ffull-record%2FWOS:000472144400060" TargetMode="External"/><Relationship Id="rId_hyperlink_866" Type="http://schemas.openxmlformats.org/officeDocument/2006/relationships/hyperlink" Target="https%3A%2F%2Fwww.webofscience.com%2Fwos%2Fwoscc%2Ffull-record%2FWOS:000414282400174" TargetMode="External"/><Relationship Id="rId_hyperlink_867" Type="http://schemas.openxmlformats.org/officeDocument/2006/relationships/hyperlink" Target="https%3A%2F%2Fwww.webofscience.com%2Fwos%2Fwoscc%2Ffull-record%2FWOS:000391650700009" TargetMode="External"/><Relationship Id="rId_hyperlink_868" Type="http://schemas.openxmlformats.org/officeDocument/2006/relationships/hyperlink" Target="https%3A%2F%2Fwww.webofscience.com%2Fwos%2Fwoscc%2Ffull-record%2FWOS:000400700700089" TargetMode="External"/><Relationship Id="rId_hyperlink_869" Type="http://schemas.openxmlformats.org/officeDocument/2006/relationships/hyperlink" Target="http://dx.doi.org/10.1134/S102319350906010X" TargetMode="External"/><Relationship Id="rId_hyperlink_870" Type="http://schemas.openxmlformats.org/officeDocument/2006/relationships/hyperlink" Target="https%3A%2F%2Fwww.webofscience.com%2Fwos%2Fwoscc%2Ffull-record%2FWOS:000267670800010" TargetMode="External"/><Relationship Id="rId_hyperlink_871" Type="http://schemas.openxmlformats.org/officeDocument/2006/relationships/hyperlink" Target="https%3A%2F%2Fwww.webofscience.com%2Fwos%2Fwoscc%2Ffull-record%2FWOS:000184314600002" TargetMode="External"/><Relationship Id="rId_hyperlink_872" Type="http://schemas.openxmlformats.org/officeDocument/2006/relationships/hyperlink" Target="http://dx.doi.org/10.20542/0131-2227-2023-67-3-116-129" TargetMode="External"/><Relationship Id="rId_hyperlink_873" Type="http://schemas.openxmlformats.org/officeDocument/2006/relationships/hyperlink" Target="https%3A%2F%2Fwww.webofscience.com%2Fwos%2Fwoscc%2Ffull-record%2FWOS:000946882600010" TargetMode="External"/><Relationship Id="rId_hyperlink_874" Type="http://schemas.openxmlformats.org/officeDocument/2006/relationships/hyperlink" Target="http://dx.doi.org/10.17223/19988613/76/11" TargetMode="External"/><Relationship Id="rId_hyperlink_875" Type="http://schemas.openxmlformats.org/officeDocument/2006/relationships/hyperlink" Target="https%3A%2F%2Fwww.webofscience.com%2Fwos%2Fwoscc%2Ffull-record%2FWOS:000869093900011" TargetMode="External"/><Relationship Id="rId_hyperlink_876" Type="http://schemas.openxmlformats.org/officeDocument/2006/relationships/hyperlink" Target="http://dx.doi.org/10.1007/s11041-022-00720-1" TargetMode="External"/><Relationship Id="rId_hyperlink_877" Type="http://schemas.openxmlformats.org/officeDocument/2006/relationships/hyperlink" Target="https%3A%2F%2Fwww.webofscience.com%2Fwos%2Fwoscc%2Ffull-record%2FWOS:000761143200002" TargetMode="External"/><Relationship Id="rId_hyperlink_878" Type="http://schemas.openxmlformats.org/officeDocument/2006/relationships/hyperlink" Target="http://dx.doi.org/10.52254/1857-0070.2022.4-56.01" TargetMode="External"/><Relationship Id="rId_hyperlink_879" Type="http://schemas.openxmlformats.org/officeDocument/2006/relationships/hyperlink" Target="https%3A%2F%2Fwww.webofscience.com%2Fwos%2Fwoscc%2Ffull-record%2FWOS:000904633900001" TargetMode="External"/><Relationship Id="rId_hyperlink_880" Type="http://schemas.openxmlformats.org/officeDocument/2006/relationships/hyperlink" Target="http://dx.doi.org/10.14529/hsm220415" TargetMode="External"/><Relationship Id="rId_hyperlink_881" Type="http://schemas.openxmlformats.org/officeDocument/2006/relationships/hyperlink" Target="https%3A%2F%2Fwww.webofscience.com%2Fwos%2Fwoscc%2Ffull-record%2FWOS:000957611400015" TargetMode="External"/><Relationship Id="rId_hyperlink_882" Type="http://schemas.openxmlformats.org/officeDocument/2006/relationships/hyperlink" Target="http://dx.doi.org/10.1007/978-3-030-93244-2_47" TargetMode="External"/><Relationship Id="rId_hyperlink_883" Type="http://schemas.openxmlformats.org/officeDocument/2006/relationships/hyperlink" Target="https%3A%2F%2Fwww.webofscience.com%2Fwos%2Fwoscc%2Ffull-record%2FWOS:000759460600047" TargetMode="External"/><Relationship Id="rId_hyperlink_884" Type="http://schemas.openxmlformats.org/officeDocument/2006/relationships/hyperlink" Target="http://dx.doi.org/10.1080/08974454.2021.1980483" TargetMode="External"/><Relationship Id="rId_hyperlink_885" Type="http://schemas.openxmlformats.org/officeDocument/2006/relationships/hyperlink" Target="https%3A%2F%2Fwww.webofscience.com%2Fwos%2Fwoscc%2Ffull-record%2FWOS:000702679300001" TargetMode="External"/><Relationship Id="rId_hyperlink_886" Type="http://schemas.openxmlformats.org/officeDocument/2006/relationships/hyperlink" Target="http://dx.doi.org/10.15405/epsbs.2021.07.02.45" TargetMode="External"/><Relationship Id="rId_hyperlink_887" Type="http://schemas.openxmlformats.org/officeDocument/2006/relationships/hyperlink" Target="https%3A%2F%2Fwww.webofscience.com%2Fwos%2Fwoscc%2Ffull-record%2FWOS:000771919100045" TargetMode="External"/><Relationship Id="rId_hyperlink_888" Type="http://schemas.openxmlformats.org/officeDocument/2006/relationships/hyperlink" Target="http://dx.doi.org/10.1109/SIBCON50419.2021.9438904" TargetMode="External"/><Relationship Id="rId_hyperlink_889" Type="http://schemas.openxmlformats.org/officeDocument/2006/relationships/hyperlink" Target="https%3A%2F%2Fwww.webofscience.com%2Fwos%2Fwoscc%2Ffull-record%2FWOS:000680842100054" TargetMode="External"/><Relationship Id="rId_hyperlink_890" Type="http://schemas.openxmlformats.org/officeDocument/2006/relationships/hyperlink" Target="http://dx.doi.org/10.24224/2227-1295-2020-7-158-176" TargetMode="External"/><Relationship Id="rId_hyperlink_891" Type="http://schemas.openxmlformats.org/officeDocument/2006/relationships/hyperlink" Target="https%3A%2F%2Fwww.webofscience.com%2Fwos%2Fwoscc%2Ffull-record%2FWOS:000568419600010" TargetMode="External"/><Relationship Id="rId_hyperlink_892" Type="http://schemas.openxmlformats.org/officeDocument/2006/relationships/hyperlink" Target="http://dx.doi.org/10.24224/2227-1295-2020-7-226-240" TargetMode="External"/><Relationship Id="rId_hyperlink_893" Type="http://schemas.openxmlformats.org/officeDocument/2006/relationships/hyperlink" Target="https%3A%2F%2Fwww.webofscience.com%2Fwos%2Fwoscc%2Ffull-record%2FWOS:000568419600014" TargetMode="External"/><Relationship Id="rId_hyperlink_894" Type="http://schemas.openxmlformats.org/officeDocument/2006/relationships/hyperlink" Target="https%3A%2F%2Fwww.webofscience.com%2Fwos%2Fwoscc%2Ffull-record%2FWOS:000489760100016" TargetMode="External"/><Relationship Id="rId_hyperlink_895" Type="http://schemas.openxmlformats.org/officeDocument/2006/relationships/hyperlink" Target="http://dx.doi.org/10.18421/TEM82-31" TargetMode="External"/><Relationship Id="rId_hyperlink_896" Type="http://schemas.openxmlformats.org/officeDocument/2006/relationships/hyperlink" Target="https%3A%2F%2Fwww.webofscience.com%2Fwos%2Fwoscc%2Ffull-record%2FWOS:000468971700031" TargetMode="External"/><Relationship Id="rId_hyperlink_897" Type="http://schemas.openxmlformats.org/officeDocument/2006/relationships/hyperlink" Target="http://dx.doi.org/10.3897/ap.1.e0254" TargetMode="External"/><Relationship Id="rId_hyperlink_898" Type="http://schemas.openxmlformats.org/officeDocument/2006/relationships/hyperlink" Target="https%3A%2F%2Fwww.webofscience.com%2Fwos%2Fwoscc%2Ffull-record%2FWOS:000520005200027" TargetMode="External"/><Relationship Id="rId_hyperlink_899" Type="http://schemas.openxmlformats.org/officeDocument/2006/relationships/hyperlink" Target="https%3A%2F%2Fwww.webofscience.com%2Fwos%2Fwoscc%2Ffull-record%2FWOS:000560311400076" TargetMode="External"/><Relationship Id="rId_hyperlink_900" Type="http://schemas.openxmlformats.org/officeDocument/2006/relationships/hyperlink" Target="http://dx.doi.org/10.1088/1742-6596/1399/3/033050" TargetMode="External"/><Relationship Id="rId_hyperlink_901" Type="http://schemas.openxmlformats.org/officeDocument/2006/relationships/hyperlink" Target="https%3A%2F%2Fwww.webofscience.com%2Fwos%2Fwoscc%2Ffull-record%2FWOS:000589557100112" TargetMode="External"/><Relationship Id="rId_hyperlink_902" Type="http://schemas.openxmlformats.org/officeDocument/2006/relationships/hyperlink" Target="https%3A%2F%2Fwww.webofscience.com%2Fwos%2Fwoscc%2Ffull-record%2FWOS:000454987400002" TargetMode="External"/><Relationship Id="rId_hyperlink_903" Type="http://schemas.openxmlformats.org/officeDocument/2006/relationships/hyperlink" Target="http://dx.doi.org/10.26710/fk18-01-23" TargetMode="External"/><Relationship Id="rId_hyperlink_904" Type="http://schemas.openxmlformats.org/officeDocument/2006/relationships/hyperlink" Target="https%3A%2F%2Fwww.webofscience.com%2Fwos%2Fwoscc%2Ffull-record%2FWOS:000438455300022" TargetMode="External"/><Relationship Id="rId_hyperlink_905" Type="http://schemas.openxmlformats.org/officeDocument/2006/relationships/hyperlink" Target="https%3A%2F%2Fwww.webofscience.com%2Fwos%2Fwoscc%2Ffull-record%2FWOS:000644432200115" TargetMode="External"/><Relationship Id="rId_hyperlink_906" Type="http://schemas.openxmlformats.org/officeDocument/2006/relationships/hyperlink" Target="http://dx.doi.org/10.15405/epsbs.2017.08.02.17" TargetMode="External"/><Relationship Id="rId_hyperlink_907" Type="http://schemas.openxmlformats.org/officeDocument/2006/relationships/hyperlink" Target="https%3A%2F%2Fwww.webofscience.com%2Fwos%2Fwoscc%2Ffull-record%2FWOS:000432421300017" TargetMode="External"/><Relationship Id="rId_hyperlink_908" Type="http://schemas.openxmlformats.org/officeDocument/2006/relationships/hyperlink" Target="https%3A%2F%2Fwww.webofscience.com%2Fwos%2Fwoscc%2Ffull-record%2FWOS:000395727700063" TargetMode="External"/><Relationship Id="rId_hyperlink_909" Type="http://schemas.openxmlformats.org/officeDocument/2006/relationships/hyperlink" Target="https%3A%2F%2Fwww.webofscience.com%2Fwos%2Fwoscc%2Ffull-record%2FWOS:000335425700007" TargetMode="External"/><Relationship Id="rId_hyperlink_910" Type="http://schemas.openxmlformats.org/officeDocument/2006/relationships/hyperlink" Target="http://dx.doi.org/10.1134/S0040579512020121" TargetMode="External"/><Relationship Id="rId_hyperlink_911" Type="http://schemas.openxmlformats.org/officeDocument/2006/relationships/hyperlink" Target="https%3A%2F%2Fwww.webofscience.com%2Fwos%2Fwoscc%2Ffull-record%2FWOS:000305421400001" TargetMode="External"/><Relationship Id="rId_hyperlink_912" Type="http://schemas.openxmlformats.org/officeDocument/2006/relationships/hyperlink" Target="https%3A%2F%2Fwww.webofscience.com%2Fwos%2Fwoscc%2Ffull-record%2FWOS:000287838000014" TargetMode="External"/><Relationship Id="rId_hyperlink_913" Type="http://schemas.openxmlformats.org/officeDocument/2006/relationships/hyperlink" Target="https%3A%2F%2Fwww.webofscience.com%2Fwos%2Fwoscc%2Ffull-record%2FWOS:000246945000011" TargetMode="External"/><Relationship Id="rId_hyperlink_914" Type="http://schemas.openxmlformats.org/officeDocument/2006/relationships/hyperlink" Target="https%3A%2F%2Fwww.webofscience.com%2Fwos%2Fwoscc%2Ffull-record%2FWOS:000089912600010" TargetMode="External"/><Relationship Id="rId_hyperlink_915" Type="http://schemas.openxmlformats.org/officeDocument/2006/relationships/hyperlink" Target="http://dx.doi.org/10.1016/j.tate.2023.104064" TargetMode="External"/><Relationship Id="rId_hyperlink_916" Type="http://schemas.openxmlformats.org/officeDocument/2006/relationships/hyperlink" Target="https%3A%2F%2Fwww.webofscience.com%2Fwos%2Fwoscc%2Ffull-record%2FWOS:000944440600001" TargetMode="External"/><Relationship Id="rId_hyperlink_917" Type="http://schemas.openxmlformats.org/officeDocument/2006/relationships/hyperlink" Target="http://dx.doi.org/10.1134/S0031918X22601251" TargetMode="External"/><Relationship Id="rId_hyperlink_918" Type="http://schemas.openxmlformats.org/officeDocument/2006/relationships/hyperlink" Target="https%3A%2F%2Fwww.webofscience.com%2Fwos%2Fwoscc%2Ffull-record%2FWOS:000931264400009" TargetMode="External"/><Relationship Id="rId_hyperlink_919" Type="http://schemas.openxmlformats.org/officeDocument/2006/relationships/hyperlink" Target="http://dx.doi.org/10.51762/1FK-2021-26-04-24" TargetMode="External"/><Relationship Id="rId_hyperlink_920" Type="http://schemas.openxmlformats.org/officeDocument/2006/relationships/hyperlink" Target="https%3A%2F%2Fwww.webofscience.com%2Fwos%2Fwoscc%2Ffull-record%2FWOS:000742349400006" TargetMode="External"/><Relationship Id="rId_hyperlink_921" Type="http://schemas.openxmlformats.org/officeDocument/2006/relationships/hyperlink" Target="http://dx.doi.org/10.13187/ejced.2020.2.417" TargetMode="External"/><Relationship Id="rId_hyperlink_922" Type="http://schemas.openxmlformats.org/officeDocument/2006/relationships/hyperlink" Target="https%3A%2F%2Fwww.webofscience.com%2Fwos%2Fwoscc%2Ffull-record%2FWOS:000542265300011" TargetMode="External"/><Relationship Id="rId_hyperlink_923" Type="http://schemas.openxmlformats.org/officeDocument/2006/relationships/hyperlink" Target="http://dx.doi.org/10.1093/ehr/cez365" TargetMode="External"/><Relationship Id="rId_hyperlink_924" Type="http://schemas.openxmlformats.org/officeDocument/2006/relationships/hyperlink" Target="https%3A%2F%2Fwww.webofscience.com%2Fwos%2Fwoscc%2Ffull-record%2FWOS:000559957200058" TargetMode="External"/><Relationship Id="rId_hyperlink_925" Type="http://schemas.openxmlformats.org/officeDocument/2006/relationships/hyperlink" Target="http://dx.doi.org/10.24224/2227-1295-2020-10-268-279" TargetMode="External"/><Relationship Id="rId_hyperlink_926" Type="http://schemas.openxmlformats.org/officeDocument/2006/relationships/hyperlink" Target="https%3A%2F%2Fwww.webofscience.com%2Fwos%2Fwoscc%2Ffull-record%2FWOS:000586248800017" TargetMode="External"/><Relationship Id="rId_hyperlink_927" Type="http://schemas.openxmlformats.org/officeDocument/2006/relationships/hyperlink" Target="https%3A%2F%2Fwww.webofscience.com%2Fwos%2Fwoscc%2Ffull-record%2FWOS:000649745900031" TargetMode="External"/><Relationship Id="rId_hyperlink_928" Type="http://schemas.openxmlformats.org/officeDocument/2006/relationships/hyperlink" Target="http://dx.doi.org/10.1108/OTH-07-2019-0040" TargetMode="External"/><Relationship Id="rId_hyperlink_929" Type="http://schemas.openxmlformats.org/officeDocument/2006/relationships/hyperlink" Target="https%3A%2F%2Fwww.webofscience.com%2Fwos%2Fwoscc%2Ffull-record%2FWOS:000491196500008" TargetMode="External"/><Relationship Id="rId_hyperlink_930" Type="http://schemas.openxmlformats.org/officeDocument/2006/relationships/hyperlink" Target="http://dx.doi.org/10.17853/1994-5639-2019-6-146-170" TargetMode="External"/><Relationship Id="rId_hyperlink_931" Type="http://schemas.openxmlformats.org/officeDocument/2006/relationships/hyperlink" Target="https%3A%2F%2Fwww.webofscience.com%2Fwos%2Fwoscc%2Ffull-record%2FWOS:000497663600007" TargetMode="External"/><Relationship Id="rId_hyperlink_932" Type="http://schemas.openxmlformats.org/officeDocument/2006/relationships/hyperlink" Target="https%3A%2F%2Fwww.webofscience.com%2Fwos%2Fwoscc%2Ffull-record%2FWOS:000607240300036" TargetMode="External"/><Relationship Id="rId_hyperlink_933" Type="http://schemas.openxmlformats.org/officeDocument/2006/relationships/hyperlink" Target="https%3A%2F%2Fwww.webofscience.com%2Fwos%2Fwoscc%2Ffull-record%2FWOS:000492146100124" TargetMode="External"/><Relationship Id="rId_hyperlink_934" Type="http://schemas.openxmlformats.org/officeDocument/2006/relationships/hyperlink" Target="http://dx.doi.org/10.21638/spbu14.2019.304" TargetMode="External"/><Relationship Id="rId_hyperlink_935" Type="http://schemas.openxmlformats.org/officeDocument/2006/relationships/hyperlink" Target="https%3A%2F%2Fwww.webofscience.com%2Fwos%2Fwoscc%2Ffull-record%2FWOS:000490917500004" TargetMode="External"/><Relationship Id="rId_hyperlink_936" Type="http://schemas.openxmlformats.org/officeDocument/2006/relationships/hyperlink" Target="http://dx.doi.org/10.1051/e3sconf/201911002010" TargetMode="External"/><Relationship Id="rId_hyperlink_937" Type="http://schemas.openxmlformats.org/officeDocument/2006/relationships/hyperlink" Target="https%3A%2F%2Fwww.webofscience.com%2Fwos%2Fwoscc%2Ffull-record%2FWOS:000569050000099" TargetMode="External"/><Relationship Id="rId_hyperlink_938" Type="http://schemas.openxmlformats.org/officeDocument/2006/relationships/hyperlink" Target="https%3A%2F%2Fwww.webofscience.com%2Fwos%2Fwoscc%2Ffull-record%2FWOS:000443708100031" TargetMode="External"/><Relationship Id="rId_hyperlink_939" Type="http://schemas.openxmlformats.org/officeDocument/2006/relationships/hyperlink" Target="https%3A%2F%2Fwww.webofscience.com%2Fwos%2Fwoscc%2Ffull-record%2FWOS:000478963800045" TargetMode="External"/><Relationship Id="rId_hyperlink_940" Type="http://schemas.openxmlformats.org/officeDocument/2006/relationships/hyperlink" Target="https%3A%2F%2Fwww.webofscience.com%2Fwos%2Fwoscc%2Ffull-record%2FWOS:000478963800128" TargetMode="External"/><Relationship Id="rId_hyperlink_941" Type="http://schemas.openxmlformats.org/officeDocument/2006/relationships/hyperlink" Target="http://dx.doi.org/10.1007/978-3-319-60696-5_10" TargetMode="External"/><Relationship Id="rId_hyperlink_942" Type="http://schemas.openxmlformats.org/officeDocument/2006/relationships/hyperlink" Target="https%3A%2F%2Fwww.webofscience.com%2Fwos%2Fwoscc%2Ffull-record%2FWOS:000426114200010" TargetMode="External"/><Relationship Id="rId_hyperlink_943" Type="http://schemas.openxmlformats.org/officeDocument/2006/relationships/hyperlink" Target="https%3A%2F%2Fwww.webofscience.com%2Fwos%2Fwoscc%2Ffull-record%2FWOS:000414282400146" TargetMode="External"/><Relationship Id="rId_hyperlink_944" Type="http://schemas.openxmlformats.org/officeDocument/2006/relationships/hyperlink" Target="https%3A%2F%2Fwww.webofscience.com%2Fwos%2Fwoscc%2Ffull-record%2FWOS:000403604400349" TargetMode="External"/><Relationship Id="rId_hyperlink_945" Type="http://schemas.openxmlformats.org/officeDocument/2006/relationships/hyperlink" Target="https%3A%2F%2Fwww.webofscience.com%2Fwos%2Fwoscc%2Ffull-record%2FWOS:000354658300006" TargetMode="External"/><Relationship Id="rId_hyperlink_946" Type="http://schemas.openxmlformats.org/officeDocument/2006/relationships/hyperlink" Target="http://dx.doi.org/10.1134/S1087659609010118" TargetMode="External"/><Relationship Id="rId_hyperlink_947" Type="http://schemas.openxmlformats.org/officeDocument/2006/relationships/hyperlink" Target="https%3A%2F%2Fwww.webofscience.com%2Fwos%2Fwoscc%2Ffull-record%2FWOS:000266335300011" TargetMode="External"/><Relationship Id="rId_hyperlink_948" Type="http://schemas.openxmlformats.org/officeDocument/2006/relationships/hyperlink" Target="https%3A%2F%2Fwww.webofscience.com%2Fwos%2Fwoscc%2Ffull-record%2FWOS:000249387600012" TargetMode="External"/><Relationship Id="rId_hyperlink_949" Type="http://schemas.openxmlformats.org/officeDocument/2006/relationships/hyperlink" Target="http://dx.doi.org/10.1023/B:MSAT.0000043100.72622.0e" TargetMode="External"/><Relationship Id="rId_hyperlink_950" Type="http://schemas.openxmlformats.org/officeDocument/2006/relationships/hyperlink" Target="https%3A%2F%2Fwww.webofscience.com%2Fwos%2Fwoscc%2Ffull-record%2FWOS:000226016200005" TargetMode="External"/><Relationship Id="rId_hyperlink_951" Type="http://schemas.openxmlformats.org/officeDocument/2006/relationships/hyperlink" Target="https%3A%2F%2Fwww.webofscience.com%2Fwos%2Fwoscc%2Ffull-record%2FWOS:000089082400005" TargetMode="External"/><Relationship Id="rId_hyperlink_952" Type="http://schemas.openxmlformats.org/officeDocument/2006/relationships/hyperlink" Target="https%3A%2F%2Fwww.webofscience.com%2Fwos%2Fwoscc%2Ffull-record%2FWOS:A1997WU95900016" TargetMode="External"/><Relationship Id="rId_hyperlink_953" Type="http://schemas.openxmlformats.org/officeDocument/2006/relationships/hyperlink" Target="https%3A%2F%2Fwww.webofscience.com%2Fwos%2Fwoscc%2Ffull-record%2FWOS:A1994QA42800002" TargetMode="External"/><Relationship Id="rId_hyperlink_954" Type="http://schemas.openxmlformats.org/officeDocument/2006/relationships/hyperlink" Target="http://dx.doi.org/10.47836/pjst.31.3.17" TargetMode="External"/><Relationship Id="rId_hyperlink_955" Type="http://schemas.openxmlformats.org/officeDocument/2006/relationships/hyperlink" Target="https%3A%2F%2Fwww.webofscience.com%2Fwos%2Fwoscc%2Ffull-record%2FWOS:000976016100017" TargetMode="External"/><Relationship Id="rId_hyperlink_956" Type="http://schemas.openxmlformats.org/officeDocument/2006/relationships/hyperlink" Target="http://dx.doi.org/10.17223/19996195/60/15" TargetMode="External"/><Relationship Id="rId_hyperlink_957" Type="http://schemas.openxmlformats.org/officeDocument/2006/relationships/hyperlink" Target="https%3A%2F%2Fwww.webofscience.com%2Fwos%2Fwoscc%2Ffull-record%2FWOS:000935399800015" TargetMode="External"/><Relationship Id="rId_hyperlink_958" Type="http://schemas.openxmlformats.org/officeDocument/2006/relationships/hyperlink" Target="http://dx.doi.org/10.1134/S0869864322040096" TargetMode="External"/><Relationship Id="rId_hyperlink_959" Type="http://schemas.openxmlformats.org/officeDocument/2006/relationships/hyperlink" Target="https%3A%2F%2Fwww.webofscience.com%2Fwos%2Fwoscc%2Ffull-record%2FWOS:000889060400009" TargetMode="External"/><Relationship Id="rId_hyperlink_960" Type="http://schemas.openxmlformats.org/officeDocument/2006/relationships/hyperlink" Target="http://dx.doi.org/10.17223/22274200/23/2" TargetMode="External"/><Relationship Id="rId_hyperlink_961" Type="http://schemas.openxmlformats.org/officeDocument/2006/relationships/hyperlink" Target="https%3A%2F%2Fwww.webofscience.com%2Fwos%2Fwoscc%2Ffull-record%2FWOS:000869083300002" TargetMode="External"/><Relationship Id="rId_hyperlink_962" Type="http://schemas.openxmlformats.org/officeDocument/2006/relationships/hyperlink" Target="http://dx.doi.org/10.1007/s13762-022-03971-w" TargetMode="External"/><Relationship Id="rId_hyperlink_963" Type="http://schemas.openxmlformats.org/officeDocument/2006/relationships/hyperlink" Target="https%3A%2F%2Fwww.webofscience.com%2Fwos%2Fwoscc%2Ffull-record%2FWOS:000753334600003" TargetMode="External"/><Relationship Id="rId_hyperlink_964" Type="http://schemas.openxmlformats.org/officeDocument/2006/relationships/hyperlink" Target="http://dx.doi.org/10.25750/1995-4301-2022-1-056-063" TargetMode="External"/><Relationship Id="rId_hyperlink_965" Type="http://schemas.openxmlformats.org/officeDocument/2006/relationships/hyperlink" Target="https%3A%2F%2Fwww.webofscience.com%2Fwos%2Fwoscc%2Ffull-record%2FWOS:000819811100007" TargetMode="External"/><Relationship Id="rId_hyperlink_966" Type="http://schemas.openxmlformats.org/officeDocument/2006/relationships/hyperlink" Target="http://dx.doi.org/10.25750/1995-4301-2020-2-187-192" TargetMode="External"/><Relationship Id="rId_hyperlink_967" Type="http://schemas.openxmlformats.org/officeDocument/2006/relationships/hyperlink" Target="https%3A%2F%2Fwww.webofscience.com%2Fwos%2Fwoscc%2Ffull-record%2FWOS:000545295600026" TargetMode="External"/><Relationship Id="rId_hyperlink_968" Type="http://schemas.openxmlformats.org/officeDocument/2006/relationships/hyperlink" Target="https%3A%2F%2Fwww.webofscience.com%2Fwos%2Fwoscc%2Ffull-record%2FWOS:000548170500008" TargetMode="External"/><Relationship Id="rId_hyperlink_969" Type="http://schemas.openxmlformats.org/officeDocument/2006/relationships/hyperlink" Target="http://dx.doi.org/10.28995/2073-0101-2020-1-169-179" TargetMode="External"/><Relationship Id="rId_hyperlink_970" Type="http://schemas.openxmlformats.org/officeDocument/2006/relationships/hyperlink" Target="https%3A%2F%2Fwww.webofscience.com%2Fwos%2Fwoscc%2Ffull-record%2FWOS:000521784200013" TargetMode="External"/><Relationship Id="rId_hyperlink_971" Type="http://schemas.openxmlformats.org/officeDocument/2006/relationships/hyperlink" Target="http://dx.doi.org/10.24833/2071-8160-2020-4-73-52-79" TargetMode="External"/><Relationship Id="rId_hyperlink_972" Type="http://schemas.openxmlformats.org/officeDocument/2006/relationships/hyperlink" Target="https%3A%2F%2Fwww.webofscience.com%2Fwos%2Fwoscc%2Ffull-record%2FWOS:000566776900002" TargetMode="External"/><Relationship Id="rId_hyperlink_973" Type="http://schemas.openxmlformats.org/officeDocument/2006/relationships/hyperlink" Target="http://dx.doi.org/10.25750/1995-4301-2019-1-041-046" TargetMode="External"/><Relationship Id="rId_hyperlink_974" Type="http://schemas.openxmlformats.org/officeDocument/2006/relationships/hyperlink" Target="https%3A%2F%2Fwww.webofscience.com%2Fwos%2Fwoscc%2Ffull-record%2FWOS:000468565900006" TargetMode="External"/><Relationship Id="rId_hyperlink_975" Type="http://schemas.openxmlformats.org/officeDocument/2006/relationships/hyperlink" Target="https%3A%2F%2Fwww.webofscience.com%2Fwos%2Fwoscc%2Ffull-record%2FWOS:000607240300166" TargetMode="External"/><Relationship Id="rId_hyperlink_976" Type="http://schemas.openxmlformats.org/officeDocument/2006/relationships/hyperlink" Target="https%3A%2F%2Fwww.webofscience.com%2Fwos%2Fwoscc%2Ffull-record%2FWOS:000478963800091" TargetMode="External"/><Relationship Id="rId_hyperlink_977" Type="http://schemas.openxmlformats.org/officeDocument/2006/relationships/hyperlink" Target="http://dx.doi.org/10.15405/epsbs.2018.09.103" TargetMode="External"/><Relationship Id="rId_hyperlink_978" Type="http://schemas.openxmlformats.org/officeDocument/2006/relationships/hyperlink" Target="https%3A%2F%2Fwww.webofscience.com%2Fwos%2Fwoscc%2Ffull-record%2FWOS:000472144400095" TargetMode="External"/><Relationship Id="rId_hyperlink_979" Type="http://schemas.openxmlformats.org/officeDocument/2006/relationships/hyperlink" Target="https%3A%2F%2Fwww.webofscience.com%2Fwos%2Fwoscc%2Ffull-record%2FWOS:000435214800002" TargetMode="External"/><Relationship Id="rId_hyperlink_980" Type="http://schemas.openxmlformats.org/officeDocument/2006/relationships/hyperlink" Target="https%3A%2F%2Fwww.webofscience.com%2Fwos%2Fwoscc%2Ffull-record%2FWOS:000452093000013" TargetMode="External"/><Relationship Id="rId_hyperlink_981" Type="http://schemas.openxmlformats.org/officeDocument/2006/relationships/hyperlink" Target="http://dx.doi.org/10.14529/hsm180312" TargetMode="External"/><Relationship Id="rId_hyperlink_982" Type="http://schemas.openxmlformats.org/officeDocument/2006/relationships/hyperlink" Target="https%3A%2F%2Fwww.webofscience.com%2Fwos%2Fwoscc%2Ffull-record%2FWOS:000446135400012" TargetMode="External"/><Relationship Id="rId_hyperlink_983" Type="http://schemas.openxmlformats.org/officeDocument/2006/relationships/hyperlink" Target="http://dx.doi.org/10.22616/ERDev2018.17.N217" TargetMode="External"/><Relationship Id="rId_hyperlink_984" Type="http://schemas.openxmlformats.org/officeDocument/2006/relationships/hyperlink" Target="https%3A%2F%2Fwww.webofscience.com%2Fwos%2Fwoscc%2Ffull-record%2FWOS:000805412200171" TargetMode="External"/><Relationship Id="rId_hyperlink_985" Type="http://schemas.openxmlformats.org/officeDocument/2006/relationships/hyperlink" Target="https%3A%2F%2Fwww.webofscience.com%2Fwos%2Fwoscc%2Ffull-record%2FWOS:000414282400252" TargetMode="External"/><Relationship Id="rId_hyperlink_986" Type="http://schemas.openxmlformats.org/officeDocument/2006/relationships/hyperlink" Target="http://dx.doi.org/10.1007/978-3-319-55669-7_14" TargetMode="External"/><Relationship Id="rId_hyperlink_987" Type="http://schemas.openxmlformats.org/officeDocument/2006/relationships/hyperlink" Target="https%3A%2F%2Fwww.webofscience.com%2Fwos%2Fwoscc%2Ffull-record%2FWOS:000429275000014" TargetMode="External"/><Relationship Id="rId_hyperlink_988" Type="http://schemas.openxmlformats.org/officeDocument/2006/relationships/hyperlink" Target="http://dx.doi.org/10.1016/j.proeng.2016.07.237" TargetMode="External"/><Relationship Id="rId_hyperlink_989" Type="http://schemas.openxmlformats.org/officeDocument/2006/relationships/hyperlink" Target="https%3A%2F%2Fwww.webofscience.com%2Fwos%2Fwoscc%2Ffull-record%2FWOS:000387965000183" TargetMode="External"/><Relationship Id="rId_hyperlink_990" Type="http://schemas.openxmlformats.org/officeDocument/2006/relationships/hyperlink" Target="https%3A%2F%2Fwww.webofscience.com%2Fwos%2Fwoscc%2Ffull-record%2FWOS:000383090900161" TargetMode="External"/><Relationship Id="rId_hyperlink_991" Type="http://schemas.openxmlformats.org/officeDocument/2006/relationships/hyperlink" Target="https%3A%2F%2Fwww.webofscience.com%2Fwos%2Fwoscc%2Ffull-record%2FWOS:000380571600163" TargetMode="External"/><Relationship Id="rId_hyperlink_992" Type="http://schemas.openxmlformats.org/officeDocument/2006/relationships/hyperlink" Target="http://dx.doi.org/10.1007/s10517-014-2623-9" TargetMode="External"/><Relationship Id="rId_hyperlink_993" Type="http://schemas.openxmlformats.org/officeDocument/2006/relationships/hyperlink" Target="https%3A%2F%2Fwww.webofscience.com%2Fwos%2Fwoscc%2Ffull-record%2FWOS:000343135900015" TargetMode="External"/><Relationship Id="rId_hyperlink_994" Type="http://schemas.openxmlformats.org/officeDocument/2006/relationships/hyperlink" Target="http://dx.doi.org/10.1134/S0965544113070165" TargetMode="External"/><Relationship Id="rId_hyperlink_995" Type="http://schemas.openxmlformats.org/officeDocument/2006/relationships/hyperlink" Target="https%3A%2F%2Fwww.webofscience.com%2Fwos%2Fwoscc%2Ffull-record%2FWOS:000327218300009" TargetMode="External"/><Relationship Id="rId_hyperlink_996" Type="http://schemas.openxmlformats.org/officeDocument/2006/relationships/hyperlink" Target="http://dx.doi.org/10.1134/S1064229312110075" TargetMode="External"/><Relationship Id="rId_hyperlink_997" Type="http://schemas.openxmlformats.org/officeDocument/2006/relationships/hyperlink" Target="https%3A%2F%2Fwww.webofscience.com%2Fwos%2Fwoscc%2Ffull-record%2FWOS:000310830000002" TargetMode="External"/><Relationship Id="rId_hyperlink_998" Type="http://schemas.openxmlformats.org/officeDocument/2006/relationships/hyperlink" Target="http://dx.doi.org/10.1007/s11041-012-9491-6" TargetMode="External"/><Relationship Id="rId_hyperlink_999" Type="http://schemas.openxmlformats.org/officeDocument/2006/relationships/hyperlink" Target="https%3A%2F%2Fwww.webofscience.com%2Fwos%2Fwoscc%2Ffull-record%2FWOS:000314271400009" TargetMode="External"/><Relationship Id="rId_hyperlink_1000" Type="http://schemas.openxmlformats.org/officeDocument/2006/relationships/hyperlink" Target="http://dx.doi.org/10.1134/S1064230708020111" TargetMode="External"/><Relationship Id="rId_hyperlink_1001" Type="http://schemas.openxmlformats.org/officeDocument/2006/relationships/hyperlink" Target="https%3A%2F%2Fwww.webofscience.com%2Fwos%2Fwoscc%2Ffull-record%2FWOS:000255862200011" TargetMode="External"/><Relationship Id="rId_hyperlink_1002" Type="http://schemas.openxmlformats.org/officeDocument/2006/relationships/hyperlink" Target="http://dx.doi.org/10.1134/S1023193507060171" TargetMode="External"/><Relationship Id="rId_hyperlink_1003" Type="http://schemas.openxmlformats.org/officeDocument/2006/relationships/hyperlink" Target="https%3A%2F%2Fwww.webofscience.com%2Fwos%2Fwoscc%2Ffull-record%2FWOS:000247977600017" TargetMode="External"/><Relationship Id="rId_hyperlink_1004" Type="http://schemas.openxmlformats.org/officeDocument/2006/relationships/hyperlink" Target="http://dx.doi.org/10.1134/S1023193507060031" TargetMode="External"/><Relationship Id="rId_hyperlink_1005" Type="http://schemas.openxmlformats.org/officeDocument/2006/relationships/hyperlink" Target="https%3A%2F%2Fwww.webofscience.com%2Fwos%2Fwoscc%2Ffull-record%2FWOS:000247977600003" TargetMode="External"/><Relationship Id="rId_hyperlink_1006" Type="http://schemas.openxmlformats.org/officeDocument/2006/relationships/hyperlink" Target="https%3A%2F%2Fwww.webofscience.com%2Fwos%2Fwoscc%2Ffull-record%2FWOS:000227402900013" TargetMode="External"/><Relationship Id="rId_hyperlink_1007" Type="http://schemas.openxmlformats.org/officeDocument/2006/relationships/hyperlink" Target="http://dx.doi.org/10.1023/A:1016822030399" TargetMode="External"/><Relationship Id="rId_hyperlink_1008" Type="http://schemas.openxmlformats.org/officeDocument/2006/relationships/hyperlink" Target="https%3A%2F%2Fwww.webofscience.com%2Fwos%2Fwoscc%2Ffull-record%2FWOS:000177879100015" TargetMode="External"/><Relationship Id="rId_hyperlink_1009" Type="http://schemas.openxmlformats.org/officeDocument/2006/relationships/hyperlink" Target="https%3A%2F%2Fwww.webofscience.com%2Fwos%2Fwoscc%2Ffull-record%2FWOS:000088980400006" TargetMode="External"/><Relationship Id="rId_hyperlink_1010" Type="http://schemas.openxmlformats.org/officeDocument/2006/relationships/hyperlink" Target="http://dx.doi.org/10.1007/978-3-030-93244-2_46" TargetMode="External"/><Relationship Id="rId_hyperlink_1011" Type="http://schemas.openxmlformats.org/officeDocument/2006/relationships/hyperlink" Target="https%3A%2F%2Fwww.webofscience.com%2Fwos%2Fwoscc%2Ffull-record%2FWOS:000759460600046" TargetMode="External"/><Relationship Id="rId_hyperlink_1012" Type="http://schemas.openxmlformats.org/officeDocument/2006/relationships/hyperlink" Target="http://dx.doi.org/10.17223/23062061/27/12" TargetMode="External"/><Relationship Id="rId_hyperlink_1013" Type="http://schemas.openxmlformats.org/officeDocument/2006/relationships/hyperlink" Target="https%3A%2F%2Fwww.webofscience.com%2Fwos%2Fwoscc%2Ffull-record%2FWOS:000740965900012" TargetMode="External"/><Relationship Id="rId_hyperlink_1014" Type="http://schemas.openxmlformats.org/officeDocument/2006/relationships/hyperlink" Target="http://dx.doi.org/10.3390/computation9020009" TargetMode="External"/><Relationship Id="rId_hyperlink_1015" Type="http://schemas.openxmlformats.org/officeDocument/2006/relationships/hyperlink" Target="https%3A%2F%2Fwww.webofscience.com%2Fwos%2Fwoscc%2Ffull-record%2FWOS:000622388100001" TargetMode="External"/><Relationship Id="rId_hyperlink_1016" Type="http://schemas.openxmlformats.org/officeDocument/2006/relationships/hyperlink" Target="http://dx.doi.org/10.24874/IJQR15.01-18" TargetMode="External"/><Relationship Id="rId_hyperlink_1017" Type="http://schemas.openxmlformats.org/officeDocument/2006/relationships/hyperlink" Target="https%3A%2F%2Fwww.webofscience.com%2Fwos%2Fwoscc%2Ffull-record%2FWOS:000617169900018" TargetMode="External"/><Relationship Id="rId_hyperlink_1018" Type="http://schemas.openxmlformats.org/officeDocument/2006/relationships/hyperlink" Target="http://dx.doi.org/10.52254/1857-0070.2021.4-52.08" TargetMode="External"/><Relationship Id="rId_hyperlink_1019" Type="http://schemas.openxmlformats.org/officeDocument/2006/relationships/hyperlink" Target="https%3A%2F%2Fwww.webofscience.com%2Fwos%2Fwoscc%2Ffull-record%2FWOS:000734088800007" TargetMode="External"/><Relationship Id="rId_hyperlink_1020" Type="http://schemas.openxmlformats.org/officeDocument/2006/relationships/hyperlink" Target="http://dx.doi.org/10.17223/23062061/22/8" TargetMode="External"/><Relationship Id="rId_hyperlink_1021" Type="http://schemas.openxmlformats.org/officeDocument/2006/relationships/hyperlink" Target="https%3A%2F%2Fwww.webofscience.com%2Fwos%2Fwoscc%2Ffull-record%2FWOS:000530061000008" TargetMode="External"/><Relationship Id="rId_hyperlink_1022" Type="http://schemas.openxmlformats.org/officeDocument/2006/relationships/hyperlink" Target="http://dx.doi.org/10.15382/sturI202089.113-128" TargetMode="External"/><Relationship Id="rId_hyperlink_1023" Type="http://schemas.openxmlformats.org/officeDocument/2006/relationships/hyperlink" Target="https%3A%2F%2Fwww.webofscience.com%2Fwos%2Fwoscc%2Ffull-record%2FWOS:000546888000006" TargetMode="External"/><Relationship Id="rId_hyperlink_1024" Type="http://schemas.openxmlformats.org/officeDocument/2006/relationships/hyperlink" Target="http://dx.doi.org/10.1109/ACCESS.2020.2982365" TargetMode="External"/><Relationship Id="rId_hyperlink_1025" Type="http://schemas.openxmlformats.org/officeDocument/2006/relationships/hyperlink" Target="https%3A%2F%2Fwww.webofscience.com%2Fwos%2Fwoscc%2Ffull-record%2FWOS:000527414300001" TargetMode="External"/><Relationship Id="rId_hyperlink_1026" Type="http://schemas.openxmlformats.org/officeDocument/2006/relationships/hyperlink" Target="https%3A%2F%2Fwww.webofscience.com%2Fwos%2Fwoscc%2Ffull-record%2FWOS:000607234900159" TargetMode="External"/><Relationship Id="rId_hyperlink_1027" Type="http://schemas.openxmlformats.org/officeDocument/2006/relationships/hyperlink" Target="http://dx.doi.org/10.28995/2073-0101-2020-4-1007-1019" TargetMode="External"/><Relationship Id="rId_hyperlink_1028" Type="http://schemas.openxmlformats.org/officeDocument/2006/relationships/hyperlink" Target="https%3A%2F%2Fwww.webofscience.com%2Fwos%2Fwoscc%2Ffull-record%2FWOS:000613509300004" TargetMode="External"/><Relationship Id="rId_hyperlink_1029" Type="http://schemas.openxmlformats.org/officeDocument/2006/relationships/hyperlink" Target="http://dx.doi.org/10.1007/978-3-030-50097-9_16" TargetMode="External"/><Relationship Id="rId_hyperlink_1030" Type="http://schemas.openxmlformats.org/officeDocument/2006/relationships/hyperlink" Target="https%3A%2F%2Fwww.webofscience.com%2Fwos%2Fwoscc%2Ffull-record%2FWOS:000590145400016" TargetMode="External"/><Relationship Id="rId_hyperlink_1031" Type="http://schemas.openxmlformats.org/officeDocument/2006/relationships/hyperlink" Target="http://dx.doi.org/10.5281/zenodo.3562179" TargetMode="External"/><Relationship Id="rId_hyperlink_1032" Type="http://schemas.openxmlformats.org/officeDocument/2006/relationships/hyperlink" Target="https%3A%2F%2Fwww.webofscience.com%2Fwos%2Fwoscc%2Ffull-record%2FWOS:000504406100001" TargetMode="External"/><Relationship Id="rId_hyperlink_1033" Type="http://schemas.openxmlformats.org/officeDocument/2006/relationships/hyperlink" Target="http://dx.doi.org/10.24224/2227-1295-2019-11-418-432" TargetMode="External"/><Relationship Id="rId_hyperlink_1034" Type="http://schemas.openxmlformats.org/officeDocument/2006/relationships/hyperlink" Target="https%3A%2F%2Fwww.webofscience.com%2Fwos%2Fwoscc%2Ffull-record%2FWOS:000498897100031" TargetMode="External"/><Relationship Id="rId_hyperlink_1035" Type="http://schemas.openxmlformats.org/officeDocument/2006/relationships/hyperlink" Target="http://dx.doi.org/10.15561/20755279.2019.0206" TargetMode="External"/><Relationship Id="rId_hyperlink_1036" Type="http://schemas.openxmlformats.org/officeDocument/2006/relationships/hyperlink" Target="https%3A%2F%2Fwww.webofscience.com%2Fwos%2Fwoscc%2Ffull-record%2FWOS:000465309700006" TargetMode="External"/><Relationship Id="rId_hyperlink_1037" Type="http://schemas.openxmlformats.org/officeDocument/2006/relationships/hyperlink" Target="http://dx.doi.org/10.17223/23062061/16/6" TargetMode="External"/><Relationship Id="rId_hyperlink_1038" Type="http://schemas.openxmlformats.org/officeDocument/2006/relationships/hyperlink" Target="https%3A%2F%2Fwww.webofscience.com%2Fwos%2Fwoscc%2Ffull-record%2FWOS:000451192400006" TargetMode="External"/><Relationship Id="rId_hyperlink_1039" Type="http://schemas.openxmlformats.org/officeDocument/2006/relationships/hyperlink" Target="http://dx.doi.org/10.18720/MCE.82.16" TargetMode="External"/><Relationship Id="rId_hyperlink_1040" Type="http://schemas.openxmlformats.org/officeDocument/2006/relationships/hyperlink" Target="https%3A%2F%2Fwww.webofscience.com%2Fwos%2Fwoscc%2Ffull-record%2FWOS:000457172600016" TargetMode="External"/><Relationship Id="rId_hyperlink_1041" Type="http://schemas.openxmlformats.org/officeDocument/2006/relationships/hyperlink" Target="http://dx.doi.org/10.1134/S1070427217040152" TargetMode="External"/><Relationship Id="rId_hyperlink_1042" Type="http://schemas.openxmlformats.org/officeDocument/2006/relationships/hyperlink" Target="https%3A%2F%2Fwww.webofscience.com%2Fwos%2Fwoscc%2Ffull-record%2FWOS:000406398900015" TargetMode="External"/><Relationship Id="rId_hyperlink_1043" Type="http://schemas.openxmlformats.org/officeDocument/2006/relationships/hyperlink" Target="https%3A%2F%2Fwww.webofscience.com%2Fwos%2Fwoscc%2Ffull-record%2FWOS:000403604400155" TargetMode="External"/><Relationship Id="rId_hyperlink_1044" Type="http://schemas.openxmlformats.org/officeDocument/2006/relationships/hyperlink" Target="http://dx.doi.org/10.1134/S0869864315030129" TargetMode="External"/><Relationship Id="rId_hyperlink_1045" Type="http://schemas.openxmlformats.org/officeDocument/2006/relationships/hyperlink" Target="https%3A%2F%2Fwww.webofscience.com%2Fwos%2Fwoscc%2Ffull-record%2FWOS:000360647500012" TargetMode="External"/><Relationship Id="rId_hyperlink_1046" Type="http://schemas.openxmlformats.org/officeDocument/2006/relationships/hyperlink" Target="https%3A%2F%2Fwww.webofscience.com%2Fwos%2Fwoscc%2Ffull-record%2FWOS:000378098500003" TargetMode="External"/><Relationship Id="rId_hyperlink_1047" Type="http://schemas.openxmlformats.org/officeDocument/2006/relationships/hyperlink" Target="http://dx.doi.org/10.1134/S0869593814070053" TargetMode="External"/><Relationship Id="rId_hyperlink_1048" Type="http://schemas.openxmlformats.org/officeDocument/2006/relationships/hyperlink" Target="https%3A%2F%2Fwww.webofscience.com%2Fwos%2Fwoscc%2Ffull-record%2FWOS:000346415800004" TargetMode="External"/><Relationship Id="rId_hyperlink_1049" Type="http://schemas.openxmlformats.org/officeDocument/2006/relationships/hyperlink" Target="https%3A%2F%2Fwww.webofscience.com%2Fwos%2Fwoscc%2Ffull-record%2FWOS:000380470800042" TargetMode="External"/><Relationship Id="rId_hyperlink_1050" Type="http://schemas.openxmlformats.org/officeDocument/2006/relationships/hyperlink" Target="https%3A%2F%2Fwww.webofscience.com%2Fwos%2Fwoscc%2Ffull-record%2FWOS:000311018500012" TargetMode="External"/><Relationship Id="rId_hyperlink_1051" Type="http://schemas.openxmlformats.org/officeDocument/2006/relationships/hyperlink" Target="http://dx.doi.org/10.1023/A:1010410711855" TargetMode="External"/><Relationship Id="rId_hyperlink_1052" Type="http://schemas.openxmlformats.org/officeDocument/2006/relationships/hyperlink" Target="https%3A%2F%2Fwww.webofscience.com%2Fwos%2Fwoscc%2Ffull-record%2FWOS:000169595300014" TargetMode="External"/><Relationship Id="rId_hyperlink_1053" Type="http://schemas.openxmlformats.org/officeDocument/2006/relationships/hyperlink" Target="https%3A%2F%2Fwww.webofscience.com%2Fwos%2Fwoscc%2Ffull-record%2FWOS:A1995RQ36400016" TargetMode="External"/><Relationship Id="rId_hyperlink_1054" Type="http://schemas.openxmlformats.org/officeDocument/2006/relationships/hyperlink" Target="http://dx.doi.org/10.3390/en16031237" TargetMode="External"/><Relationship Id="rId_hyperlink_1055" Type="http://schemas.openxmlformats.org/officeDocument/2006/relationships/hyperlink" Target="https%3A%2F%2Fwww.webofscience.com%2Fwos%2Fwoscc%2Ffull-record%2FWOS:000930351400001" TargetMode="External"/><Relationship Id="rId_hyperlink_1056" Type="http://schemas.openxmlformats.org/officeDocument/2006/relationships/hyperlink" Target="http://dx.doi.org/10.1134/S0869864322030118" TargetMode="External"/><Relationship Id="rId_hyperlink_1057" Type="http://schemas.openxmlformats.org/officeDocument/2006/relationships/hyperlink" Target="https%3A%2F%2Fwww.webofscience.com%2Fwos%2Fwoscc%2Ffull-record%2FWOS:000868305900011" TargetMode="External"/><Relationship Id="rId_hyperlink_1058" Type="http://schemas.openxmlformats.org/officeDocument/2006/relationships/hyperlink" Target="http://dx.doi.org/10.52254/1857-0070.2022.3-55.06" TargetMode="External"/><Relationship Id="rId_hyperlink_1059" Type="http://schemas.openxmlformats.org/officeDocument/2006/relationships/hyperlink" Target="https%3A%2F%2Fwww.webofscience.com%2Fwos%2Fwoscc%2Ffull-record%2FWOS:000892787700010" TargetMode="External"/><Relationship Id="rId_hyperlink_1060" Type="http://schemas.openxmlformats.org/officeDocument/2006/relationships/hyperlink" Target="http://dx.doi.org/10.13187/bg.2021.3.1203" TargetMode="External"/><Relationship Id="rId_hyperlink_1061" Type="http://schemas.openxmlformats.org/officeDocument/2006/relationships/hyperlink" Target="https%3A%2F%2Fwww.webofscience.com%2Fwos%2Fwoscc%2Ffull-record%2FWOS:000695383200016" TargetMode="External"/><Relationship Id="rId_hyperlink_1062" Type="http://schemas.openxmlformats.org/officeDocument/2006/relationships/hyperlink" Target="http://dx.doi.org/10.24874/IJQR15.04-05" TargetMode="External"/><Relationship Id="rId_hyperlink_1063" Type="http://schemas.openxmlformats.org/officeDocument/2006/relationships/hyperlink" Target="https%3A%2F%2Fwww.webofscience.com%2Fwos%2Fwoscc%2Ffull-record%2FWOS:000720953800005" TargetMode="External"/><Relationship Id="rId_hyperlink_1064" Type="http://schemas.openxmlformats.org/officeDocument/2006/relationships/hyperlink" Target="http://dx.doi.org/10.17853/1994-5639-2020-1-113-145" TargetMode="External"/><Relationship Id="rId_hyperlink_1065" Type="http://schemas.openxmlformats.org/officeDocument/2006/relationships/hyperlink" Target="https%3A%2F%2Fwww.webofscience.com%2Fwos%2Fwoscc%2Ffull-record%2FWOS:000512879700005" TargetMode="External"/><Relationship Id="rId_hyperlink_1066" Type="http://schemas.openxmlformats.org/officeDocument/2006/relationships/hyperlink" Target="http://dx.doi.org/10.24874/IJQR14.01-03" TargetMode="External"/><Relationship Id="rId_hyperlink_1067" Type="http://schemas.openxmlformats.org/officeDocument/2006/relationships/hyperlink" Target="https%3A%2F%2Fwww.webofscience.com%2Fwos%2Fwoscc%2Ffull-record%2FWOS:000518417300003" TargetMode="External"/><Relationship Id="rId_hyperlink_1068" Type="http://schemas.openxmlformats.org/officeDocument/2006/relationships/hyperlink" Target="http://dx.doi.org/10.17223/19996195/47/11" TargetMode="External"/><Relationship Id="rId_hyperlink_1069" Type="http://schemas.openxmlformats.org/officeDocument/2006/relationships/hyperlink" Target="https%3A%2F%2Fwww.webofscience.com%2Fwos%2Fwoscc%2Ffull-record%2FWOS:000507408400011" TargetMode="External"/><Relationship Id="rId_hyperlink_1070" Type="http://schemas.openxmlformats.org/officeDocument/2006/relationships/hyperlink" Target="http://dx.doi.org/10.1134/S0037446619030157" TargetMode="External"/><Relationship Id="rId_hyperlink_1071" Type="http://schemas.openxmlformats.org/officeDocument/2006/relationships/hyperlink" Target="https%3A%2F%2Fwww.webofscience.com%2Fwos%2Fwoscc%2Ffull-record%2FWOS:000471617300015" TargetMode="External"/><Relationship Id="rId_hyperlink_1072" Type="http://schemas.openxmlformats.org/officeDocument/2006/relationships/hyperlink" Target="http://dx.doi.org/10.5281/zenodo.2650407" TargetMode="External"/><Relationship Id="rId_hyperlink_1073" Type="http://schemas.openxmlformats.org/officeDocument/2006/relationships/hyperlink" Target="https%3A%2F%2Fwww.webofscience.com%2Fwos%2Fwoscc%2Ffull-record%2FWOS:000465587600001" TargetMode="External"/><Relationship Id="rId_hyperlink_1074" Type="http://schemas.openxmlformats.org/officeDocument/2006/relationships/hyperlink" Target="http://dx.doi.org/10.24224/2227-1295-2019-11-144-154" TargetMode="External"/><Relationship Id="rId_hyperlink_1075" Type="http://schemas.openxmlformats.org/officeDocument/2006/relationships/hyperlink" Target="https%3A%2F%2Fwww.webofscience.com%2Fwos%2Fwoscc%2Ffull-record%2FWOS:000498897100011" TargetMode="External"/><Relationship Id="rId_hyperlink_1076" Type="http://schemas.openxmlformats.org/officeDocument/2006/relationships/hyperlink" Target="http://dx.doi.org/10.1051/e3sconf/201911002090" TargetMode="External"/><Relationship Id="rId_hyperlink_1077" Type="http://schemas.openxmlformats.org/officeDocument/2006/relationships/hyperlink" Target="https%3A%2F%2Fwww.webofscience.com%2Fwos%2Fwoscc%2Ffull-record%2FWOS:000569050000179" TargetMode="External"/><Relationship Id="rId_hyperlink_1078" Type="http://schemas.openxmlformats.org/officeDocument/2006/relationships/hyperlink" Target="https%3A%2F%2Fwww.webofscience.com%2Fwos%2Fwoscc%2Ffull-record%2FWOS:000469452600026" TargetMode="External"/><Relationship Id="rId_hyperlink_1079" Type="http://schemas.openxmlformats.org/officeDocument/2006/relationships/hyperlink" Target="http://dx.doi.org/10.18254/S207987840008095-3" TargetMode="External"/><Relationship Id="rId_hyperlink_1080" Type="http://schemas.openxmlformats.org/officeDocument/2006/relationships/hyperlink" Target="https%3A%2F%2Fwww.webofscience.com%2Fwos%2Fwoscc%2Ffull-record%2FWOS:000506663000033" TargetMode="External"/><Relationship Id="rId_hyperlink_1081" Type="http://schemas.openxmlformats.org/officeDocument/2006/relationships/hyperlink" Target="http://dx.doi.org/10.1134/S1062359019010114" TargetMode="External"/><Relationship Id="rId_hyperlink_1082" Type="http://schemas.openxmlformats.org/officeDocument/2006/relationships/hyperlink" Target="https%3A%2F%2Fwww.webofscience.com%2Fwos%2Fwoscc%2Ffull-record%2FWOS:000467048800009" TargetMode="External"/><Relationship Id="rId_hyperlink_1083" Type="http://schemas.openxmlformats.org/officeDocument/2006/relationships/hyperlink" Target="http://dx.doi.org/10.17223/19986645/54/1" TargetMode="External"/><Relationship Id="rId_hyperlink_1084" Type="http://schemas.openxmlformats.org/officeDocument/2006/relationships/hyperlink" Target="https%3A%2F%2Fwww.webofscience.com%2Fwos%2Fwoscc%2Ffull-record%2FWOS:000448064100001" TargetMode="External"/><Relationship Id="rId_hyperlink_1085" Type="http://schemas.openxmlformats.org/officeDocument/2006/relationships/hyperlink" Target="http://dx.doi.org/10.1051/matecconf/201817001003" TargetMode="External"/><Relationship Id="rId_hyperlink_1086" Type="http://schemas.openxmlformats.org/officeDocument/2006/relationships/hyperlink" Target="https%3A%2F%2Fwww.webofscience.com%2Fwos%2Fwoscc%2Ffull-record%2FWOS:000449660800003" TargetMode="External"/><Relationship Id="rId_hyperlink_1087" Type="http://schemas.openxmlformats.org/officeDocument/2006/relationships/hyperlink" Target="http://dx.doi.org/10.1088/1757-899X/450/3/032034" TargetMode="External"/><Relationship Id="rId_hyperlink_1088" Type="http://schemas.openxmlformats.org/officeDocument/2006/relationships/hyperlink" Target="https%3A%2F%2Fwww.webofscience.com%2Fwos%2Fwoscc%2Ffull-record%2FWOS:000462356300069" TargetMode="External"/><Relationship Id="rId_hyperlink_1089" Type="http://schemas.openxmlformats.org/officeDocument/2006/relationships/hyperlink" Target="https%3A%2F%2Fwww.webofscience.com%2Fwos%2Fwoscc%2Ffull-record%2FWOS:000426114200050" TargetMode="External"/><Relationship Id="rId_hyperlink_1090" Type="http://schemas.openxmlformats.org/officeDocument/2006/relationships/hyperlink" Target="https%3A%2F%2Fwww.webofscience.com%2Fwos%2Fwoscc%2Ffull-record%2FWOS:000426878200031" TargetMode="External"/><Relationship Id="rId_hyperlink_1091" Type="http://schemas.openxmlformats.org/officeDocument/2006/relationships/hyperlink" Target="http://dx.doi.org/10.1007/978-3-319-60696-5_40" TargetMode="External"/><Relationship Id="rId_hyperlink_1092" Type="http://schemas.openxmlformats.org/officeDocument/2006/relationships/hyperlink" Target="https%3A%2F%2Fwww.webofscience.com%2Fwos%2Fwoscc%2Ffull-record%2FWOS:000426114200040" TargetMode="External"/><Relationship Id="rId_hyperlink_1093" Type="http://schemas.openxmlformats.org/officeDocument/2006/relationships/hyperlink" Target="http://dx.doi.org/10.1134/S1070427213060116" TargetMode="External"/><Relationship Id="rId_hyperlink_1094" Type="http://schemas.openxmlformats.org/officeDocument/2006/relationships/hyperlink" Target="https%3A%2F%2Fwww.webofscience.com%2Fwos%2Fwoscc%2Ffull-record%2FWOS:000322156700011" TargetMode="External"/><Relationship Id="rId_hyperlink_1095" Type="http://schemas.openxmlformats.org/officeDocument/2006/relationships/hyperlink" Target="http://dx.doi.org/10.1109/EURCON.2009.5167811" TargetMode="External"/><Relationship Id="rId_hyperlink_1096" Type="http://schemas.openxmlformats.org/officeDocument/2006/relationships/hyperlink" Target="https%3A%2F%2Fwww.webofscience.com%2Fwos%2Fwoscc%2Ffull-record%2FWOS:000272589500216" TargetMode="External"/><Relationship Id="rId_hyperlink_1097" Type="http://schemas.openxmlformats.org/officeDocument/2006/relationships/hyperlink" Target="https%3A%2F%2Fwww.webofscience.com%2Fwos%2Fwoscc%2Ffull-record%2FWOS:000253186900013" TargetMode="External"/><Relationship Id="rId_hyperlink_1098" Type="http://schemas.openxmlformats.org/officeDocument/2006/relationships/hyperlink" Target="http://dx.doi.org/10.1117/12.724894" TargetMode="External"/><Relationship Id="rId_hyperlink_1099" Type="http://schemas.openxmlformats.org/officeDocument/2006/relationships/hyperlink" Target="https%3A%2F%2Fwww.webofscience.com%2Fwos%2Fwoscc%2Ffull-record%2FWOS:000245102200011" TargetMode="External"/><Relationship Id="rId_hyperlink_1100" Type="http://schemas.openxmlformats.org/officeDocument/2006/relationships/hyperlink" Target="https%3A%2F%2Fwww.webofscience.com%2Fwos%2Fwoscc%2Ffull-record%2FWOS:000225664900020" TargetMode="External"/><Relationship Id="rId_hyperlink_1101" Type="http://schemas.openxmlformats.org/officeDocument/2006/relationships/hyperlink" Target="https%3A%2F%2Fwww.webofscience.com%2Fwos%2Fwoscc%2Ffull-record%2FWOS:000165979500021" TargetMode="External"/><Relationship Id="rId_hyperlink_1102" Type="http://schemas.openxmlformats.org/officeDocument/2006/relationships/hyperlink" Target="http://dx.doi.org/10.1007/s00233-022-10327-w" TargetMode="External"/><Relationship Id="rId_hyperlink_1103" Type="http://schemas.openxmlformats.org/officeDocument/2006/relationships/hyperlink" Target="https%3A%2F%2Fwww.webofscience.com%2Fwos%2Fwoscc%2Ffull-record%2FWOS:000894407100001" TargetMode="External"/><Relationship Id="rId_hyperlink_1104" Type="http://schemas.openxmlformats.org/officeDocument/2006/relationships/hyperlink" Target="http://dx.doi.org/10.25750/1995-4301-2022-4-214-223" TargetMode="External"/><Relationship Id="rId_hyperlink_1105" Type="http://schemas.openxmlformats.org/officeDocument/2006/relationships/hyperlink" Target="https%3A%2F%2Fwww.webofscience.com%2Fwos%2Fwoscc%2Ffull-record%2FWOS:000929704700029" TargetMode="External"/><Relationship Id="rId_hyperlink_1106" Type="http://schemas.openxmlformats.org/officeDocument/2006/relationships/hyperlink" Target="https%3A%2F%2Fwww.webofscience.com%2Fwos%2Fwoscc%2Ffull-record%2FWOS:000805642800025" TargetMode="External"/><Relationship Id="rId_hyperlink_1107" Type="http://schemas.openxmlformats.org/officeDocument/2006/relationships/hyperlink" Target="http://dx.doi.org/10.24833/2071-8160-2022-4-85-7-42" TargetMode="External"/><Relationship Id="rId_hyperlink_1108" Type="http://schemas.openxmlformats.org/officeDocument/2006/relationships/hyperlink" Target="https%3A%2F%2Fwww.webofscience.com%2Fwos%2Fwoscc%2Ffull-record%2FWOS:000874742700001" TargetMode="External"/><Relationship Id="rId_hyperlink_1109" Type="http://schemas.openxmlformats.org/officeDocument/2006/relationships/hyperlink" Target="http://dx.doi.org/10.14529/hsm210413" TargetMode="External"/><Relationship Id="rId_hyperlink_1110" Type="http://schemas.openxmlformats.org/officeDocument/2006/relationships/hyperlink" Target="https%3A%2F%2Fwww.webofscience.com%2Fwos%2Fwoscc%2Ffull-record%2FWOS:000762279000013" TargetMode="External"/><Relationship Id="rId_hyperlink_1111" Type="http://schemas.openxmlformats.org/officeDocument/2006/relationships/hyperlink" Target="http://dx.doi.org/10.37220/MIT.2021.52.2.023" TargetMode="External"/><Relationship Id="rId_hyperlink_1112" Type="http://schemas.openxmlformats.org/officeDocument/2006/relationships/hyperlink" Target="https%3A%2F%2Fwww.webofscience.com%2Fwos%2Fwoscc%2Ffull-record%2FWOS:000664516800022" TargetMode="External"/><Relationship Id="rId_hyperlink_1113" Type="http://schemas.openxmlformats.org/officeDocument/2006/relationships/hyperlink" Target="http://dx.doi.org/10.28995/2073-0101-2021-2-482-495" TargetMode="External"/><Relationship Id="rId_hyperlink_1114" Type="http://schemas.openxmlformats.org/officeDocument/2006/relationships/hyperlink" Target="https%3A%2F%2Fwww.webofscience.com%2Fwos%2Fwoscc%2Ffull-record%2FWOS:000698603400013" TargetMode="External"/><Relationship Id="rId_hyperlink_1115" Type="http://schemas.openxmlformats.org/officeDocument/2006/relationships/hyperlink" Target="http://dx.doi.org/10.1134/S1995082920020297" TargetMode="External"/><Relationship Id="rId_hyperlink_1116" Type="http://schemas.openxmlformats.org/officeDocument/2006/relationships/hyperlink" Target="https%3A%2F%2Fwww.webofscience.com%2Fwos%2Fwoscc%2Ffull-record%2FWOS:000545314100010" TargetMode="External"/><Relationship Id="rId_hyperlink_1117" Type="http://schemas.openxmlformats.org/officeDocument/2006/relationships/hyperlink" Target="http://dx.doi.org/10.1051/bioconf/20202400039" TargetMode="External"/><Relationship Id="rId_hyperlink_1118" Type="http://schemas.openxmlformats.org/officeDocument/2006/relationships/hyperlink" Target="https%3A%2F%2Fwww.webofscience.com%2Fwos%2Fwoscc%2Ffull-record%2FWOS:000624287900039" TargetMode="External"/><Relationship Id="rId_hyperlink_1119" Type="http://schemas.openxmlformats.org/officeDocument/2006/relationships/hyperlink" Target="https%3A%2F%2Fwww.webofscience.com%2Fwos%2Fwoscc%2Ffull-record%2FWOS:000536400400017" TargetMode="External"/><Relationship Id="rId_hyperlink_1120" Type="http://schemas.openxmlformats.org/officeDocument/2006/relationships/hyperlink" Target="https%3A%2F%2Fwww.webofscience.com%2Fwos%2Fwoscc%2Ffull-record%2FWOS:000588252000019" TargetMode="External"/><Relationship Id="rId_hyperlink_1121" Type="http://schemas.openxmlformats.org/officeDocument/2006/relationships/hyperlink" Target="http://dx.doi.org/10.15826/qr.2020.1.453" TargetMode="External"/><Relationship Id="rId_hyperlink_1122" Type="http://schemas.openxmlformats.org/officeDocument/2006/relationships/hyperlink" Target="https%3A%2F%2Fwww.webofscience.com%2Fwos%2Fwoscc%2Ffull-record%2FWOS:000579426800010" TargetMode="External"/><Relationship Id="rId_hyperlink_1123" Type="http://schemas.openxmlformats.org/officeDocument/2006/relationships/hyperlink" Target="http://dx.doi.org/10.5281/zenodo.3722888" TargetMode="External"/><Relationship Id="rId_hyperlink_1124" Type="http://schemas.openxmlformats.org/officeDocument/2006/relationships/hyperlink" Target="https%3A%2F%2Fwww.webofscience.com%2Fwos%2Fwoscc%2Ffull-record%2FWOS:000522670600013" TargetMode="External"/><Relationship Id="rId_hyperlink_1125" Type="http://schemas.openxmlformats.org/officeDocument/2006/relationships/hyperlink" Target="http://dx.doi.org/10.1134/S1995082919050134" TargetMode="External"/><Relationship Id="rId_hyperlink_1126" Type="http://schemas.openxmlformats.org/officeDocument/2006/relationships/hyperlink" Target="https%3A%2F%2Fwww.webofscience.com%2Fwos%2Fwoscc%2Ffull-record%2FWOS:000483728400002" TargetMode="External"/><Relationship Id="rId_hyperlink_1127" Type="http://schemas.openxmlformats.org/officeDocument/2006/relationships/hyperlink" Target="http://dx.doi.org/10.14529/hsm190308" TargetMode="External"/><Relationship Id="rId_hyperlink_1128" Type="http://schemas.openxmlformats.org/officeDocument/2006/relationships/hyperlink" Target="https%3A%2F%2Fwww.webofscience.com%2Fwos%2Fwoscc%2Ffull-record%2FWOS:000502010700008" TargetMode="External"/><Relationship Id="rId_hyperlink_1129" Type="http://schemas.openxmlformats.org/officeDocument/2006/relationships/hyperlink" Target="http://dx.doi.org/10.13187/bg.2019.4.1811" TargetMode="External"/><Relationship Id="rId_hyperlink_1130" Type="http://schemas.openxmlformats.org/officeDocument/2006/relationships/hyperlink" Target="https%3A%2F%2Fwww.webofscience.com%2Fwos%2Fwoscc%2Ffull-record%2FWOS:000501567300041" TargetMode="External"/><Relationship Id="rId_hyperlink_1131" Type="http://schemas.openxmlformats.org/officeDocument/2006/relationships/hyperlink" Target="http://dx.doi.org/10.31166/VoprosyIstorii201908Statyil6" TargetMode="External"/><Relationship Id="rId_hyperlink_1132" Type="http://schemas.openxmlformats.org/officeDocument/2006/relationships/hyperlink" Target="https%3A%2F%2Fwww.webofscience.com%2Fwos%2Fwoscc%2Ffull-record%2FWOS:000484656400012" TargetMode="External"/><Relationship Id="rId_hyperlink_1133" Type="http://schemas.openxmlformats.org/officeDocument/2006/relationships/hyperlink" Target="https%3A%2F%2Fwww.webofscience.com%2Fwos%2Fwoscc%2Ffull-record%2FWOS:000492146100097" TargetMode="External"/><Relationship Id="rId_hyperlink_1134" Type="http://schemas.openxmlformats.org/officeDocument/2006/relationships/hyperlink" Target="http://dx.doi.org/10.14529/hsm19s215" TargetMode="External"/><Relationship Id="rId_hyperlink_1135" Type="http://schemas.openxmlformats.org/officeDocument/2006/relationships/hyperlink" Target="https%3A%2F%2Fwww.webofscience.com%2Fwos%2Fwoscc%2Ffull-record%2FWOS:000521649200015" TargetMode="External"/><Relationship Id="rId_hyperlink_1136" Type="http://schemas.openxmlformats.org/officeDocument/2006/relationships/hyperlink" Target="http://dx.doi.org/10.1134/S1995080219010128" TargetMode="External"/><Relationship Id="rId_hyperlink_1137" Type="http://schemas.openxmlformats.org/officeDocument/2006/relationships/hyperlink" Target="https%3A%2F%2Fwww.webofscience.com%2Fwos%2Fwoscc%2Ffull-record%2FWOS:000464212300011" TargetMode="External"/><Relationship Id="rId_hyperlink_1138" Type="http://schemas.openxmlformats.org/officeDocument/2006/relationships/hyperlink" Target="http://dx.doi.org/10.24833/2071-8160-2019-1-64-59-82" TargetMode="External"/><Relationship Id="rId_hyperlink_1139" Type="http://schemas.openxmlformats.org/officeDocument/2006/relationships/hyperlink" Target="https%3A%2F%2Fwww.webofscience.com%2Fwos%2Fwoscc%2Ffull-record%2FWOS:000473744600005" TargetMode="External"/><Relationship Id="rId_hyperlink_1140" Type="http://schemas.openxmlformats.org/officeDocument/2006/relationships/hyperlink" Target="https%3A%2F%2Fwww.webofscience.com%2Fwos%2Fwoscc%2Ffull-record%2FWOS:000438854600005" TargetMode="External"/><Relationship Id="rId_hyperlink_1141" Type="http://schemas.openxmlformats.org/officeDocument/2006/relationships/hyperlink" Target="http://dx.doi.org/10.15561/18189172.2018.0106" TargetMode="External"/><Relationship Id="rId_hyperlink_1142" Type="http://schemas.openxmlformats.org/officeDocument/2006/relationships/hyperlink" Target="https%3A%2F%2Fwww.webofscience.com%2Fwos%2Fwoscc%2Ffull-record%2FWOS:000431046900006" TargetMode="External"/><Relationship Id="rId_hyperlink_1143" Type="http://schemas.openxmlformats.org/officeDocument/2006/relationships/hyperlink" Target="https%3A%2F%2Fwww.webofscience.com%2Fwos%2Fwoscc%2Ffull-record%2FWOS:000414282400145" TargetMode="External"/><Relationship Id="rId_hyperlink_1144" Type="http://schemas.openxmlformats.org/officeDocument/2006/relationships/hyperlink" Target="http://dx.doi.org/10.1088/1742-6596/669/1/012040" TargetMode="External"/><Relationship Id="rId_hyperlink_1145" Type="http://schemas.openxmlformats.org/officeDocument/2006/relationships/hyperlink" Target="https%3A%2F%2Fwww.webofscience.com%2Fwos%2Fwoscc%2Ffull-record%2FWOS:000371617600040" TargetMode="External"/><Relationship Id="rId_hyperlink_1146" Type="http://schemas.openxmlformats.org/officeDocument/2006/relationships/hyperlink" Target="https%3A%2F%2Fwww.webofscience.com%2Fwos%2Fwoscc%2Ffull-record%2FWOS:000395727700051" TargetMode="External"/><Relationship Id="rId_hyperlink_1147" Type="http://schemas.openxmlformats.org/officeDocument/2006/relationships/hyperlink" Target="http://dx.doi.org/10.1070/SM8609" TargetMode="External"/><Relationship Id="rId_hyperlink_1148" Type="http://schemas.openxmlformats.org/officeDocument/2006/relationships/hyperlink" Target="https%3A%2F%2Fwww.webofscience.com%2Fwos%2Fwoscc%2Ffull-record%2FWOS:000391848300004" TargetMode="External"/><Relationship Id="rId_hyperlink_1149" Type="http://schemas.openxmlformats.org/officeDocument/2006/relationships/hyperlink" Target="http://dx.doi.org/10.1134/S10704272150110105" TargetMode="External"/><Relationship Id="rId_hyperlink_1150" Type="http://schemas.openxmlformats.org/officeDocument/2006/relationships/hyperlink" Target="https%3A%2F%2Fwww.webofscience.com%2Fwos%2Fwoscc%2Ffull-record%2FWOS:000370279700010" TargetMode="External"/><Relationship Id="rId_hyperlink_1151" Type="http://schemas.openxmlformats.org/officeDocument/2006/relationships/hyperlink" Target="http://dx.doi.org/10.1134/S1064230713050122" TargetMode="External"/><Relationship Id="rId_hyperlink_1152" Type="http://schemas.openxmlformats.org/officeDocument/2006/relationships/hyperlink" Target="https%3A%2F%2Fwww.webofscience.com%2Fwos%2Fwoscc%2Ffull-record%2FWOS:000325636200009" TargetMode="External"/><Relationship Id="rId_hyperlink_1153" Type="http://schemas.openxmlformats.org/officeDocument/2006/relationships/hyperlink" Target="http://dx.doi.org/10.1134/S0040579513020103" TargetMode="External"/><Relationship Id="rId_hyperlink_1154" Type="http://schemas.openxmlformats.org/officeDocument/2006/relationships/hyperlink" Target="https%3A%2F%2Fwww.webofscience.com%2Fwos%2Fwoscc%2Ffull-record%2FWOS:000323369900008" TargetMode="External"/><Relationship Id="rId_hyperlink_1155" Type="http://schemas.openxmlformats.org/officeDocument/2006/relationships/hyperlink" Target="http://dx.doi.org/10.1134/S1070427207010120" TargetMode="External"/><Relationship Id="rId_hyperlink_1156" Type="http://schemas.openxmlformats.org/officeDocument/2006/relationships/hyperlink" Target="https%3A%2F%2Fwww.webofscience.com%2Fwos%2Fwoscc%2Ffull-record%2FWOS:000244828900012" TargetMode="External"/><Relationship Id="rId_hyperlink_1157" Type="http://schemas.openxmlformats.org/officeDocument/2006/relationships/hyperlink" Target="https%3A%2F%2Fwww.webofscience.com%2Fwos%2Fwoscc%2Ffull-record%2FWOS:000189119800014" TargetMode="External"/><Relationship Id="rId_hyperlink_1158" Type="http://schemas.openxmlformats.org/officeDocument/2006/relationships/hyperlink" Target="http://dx.doi.org/10.1007/BF02537553" TargetMode="External"/><Relationship Id="rId_hyperlink_1159" Type="http://schemas.openxmlformats.org/officeDocument/2006/relationships/hyperlink" Target="https%3A%2F%2Fwww.webofscience.com%2Fwos%2Fwoscc%2Ffull-record%2FWOS:000075783700017" TargetMode="External"/><Relationship Id="rId_hyperlink_1160" Type="http://schemas.openxmlformats.org/officeDocument/2006/relationships/hyperlink" Target="http://dx.doi.org/10.37358/MP.22.1.5555" TargetMode="External"/><Relationship Id="rId_hyperlink_1161" Type="http://schemas.openxmlformats.org/officeDocument/2006/relationships/hyperlink" Target="https%3A%2F%2Fwww.webofscience.com%2Fwos%2Fwoscc%2Ffull-record%2FWOS:000783749900001" TargetMode="External"/><Relationship Id="rId_hyperlink_1162" Type="http://schemas.openxmlformats.org/officeDocument/2006/relationships/hyperlink" Target="http://dx.doi.org/10.25750/1995-4301-2022-1-191-197" TargetMode="External"/><Relationship Id="rId_hyperlink_1163" Type="http://schemas.openxmlformats.org/officeDocument/2006/relationships/hyperlink" Target="https%3A%2F%2Fwww.webofscience.com%2Fwos%2Fwoscc%2Ffull-record%2FWOS:000819811100027" TargetMode="External"/><Relationship Id="rId_hyperlink_1164" Type="http://schemas.openxmlformats.org/officeDocument/2006/relationships/hyperlink" Target="http://dx.doi.org/10.25750/1995-4301-2021-4-064-070" TargetMode="External"/><Relationship Id="rId_hyperlink_1165" Type="http://schemas.openxmlformats.org/officeDocument/2006/relationships/hyperlink" Target="https%3A%2F%2Fwww.webofscience.com%2Fwos%2Fwoscc%2Ffull-record%2FWOS:000755154100009" TargetMode="External"/><Relationship Id="rId_hyperlink_1166" Type="http://schemas.openxmlformats.org/officeDocument/2006/relationships/hyperlink" Target="https%3A%2F%2Fwww.webofscience.com%2Fwos%2Fwoscc%2Ffull-record%2FWOS:000619393300195" TargetMode="External"/><Relationship Id="rId_hyperlink_1167" Type="http://schemas.openxmlformats.org/officeDocument/2006/relationships/hyperlink" Target="https%3A%2F%2Fwww.webofscience.com%2Fwos%2Fwoscc%2Ffull-record%2FWOS:000532483500140" TargetMode="External"/><Relationship Id="rId_hyperlink_1168" Type="http://schemas.openxmlformats.org/officeDocument/2006/relationships/hyperlink" Target="https%3A%2F%2Fwww.webofscience.com%2Fwos%2Fwoscc%2Ffull-record%2FWOS:000563081500010" TargetMode="External"/><Relationship Id="rId_hyperlink_1169" Type="http://schemas.openxmlformats.org/officeDocument/2006/relationships/hyperlink" Target="http://dx.doi.org/10.15826/izv2.2020.22.4.072" TargetMode="External"/><Relationship Id="rId_hyperlink_1170" Type="http://schemas.openxmlformats.org/officeDocument/2006/relationships/hyperlink" Target="https%3A%2F%2Fwww.webofscience.com%2Fwos%2Fwoscc%2Ffull-record%2FWOS:000604183000013" TargetMode="External"/><Relationship Id="rId_hyperlink_1171" Type="http://schemas.openxmlformats.org/officeDocument/2006/relationships/hyperlink" Target="http://dx.doi.org/10.20339/PhS.4-19.003" TargetMode="External"/><Relationship Id="rId_hyperlink_1172" Type="http://schemas.openxmlformats.org/officeDocument/2006/relationships/hyperlink" Target="https%3A%2F%2Fwww.webofscience.com%2Fwos%2Fwoscc%2Ffull-record%2FWOS:000476942200001" TargetMode="External"/><Relationship Id="rId_hyperlink_1173" Type="http://schemas.openxmlformats.org/officeDocument/2006/relationships/hyperlink" Target="https%3A%2F%2Fwww.webofscience.com%2Fwos%2Fwoscc%2Ffull-record%2FWOS:000470308600018" TargetMode="External"/><Relationship Id="rId_hyperlink_1174" Type="http://schemas.openxmlformats.org/officeDocument/2006/relationships/hyperlink" Target="https%3A%2F%2Fwww.webofscience.com%2Fwos%2Fwoscc%2Ffull-record%2FWOS:000492146100091" TargetMode="External"/><Relationship Id="rId_hyperlink_1175" Type="http://schemas.openxmlformats.org/officeDocument/2006/relationships/hyperlink" Target="http://dx.doi.org/10.3897/ap.1.e0422" TargetMode="External"/><Relationship Id="rId_hyperlink_1176" Type="http://schemas.openxmlformats.org/officeDocument/2006/relationships/hyperlink" Target="https%3A%2F%2Fwww.webofscience.com%2Fwos%2Fwoscc%2Ffull-record%2FWOS:000520005200045" TargetMode="External"/><Relationship Id="rId_hyperlink_1177" Type="http://schemas.openxmlformats.org/officeDocument/2006/relationships/hyperlink" Target="http://dx.doi.org/10.24224/2227-1295-2019-10-434-451" TargetMode="External"/><Relationship Id="rId_hyperlink_1178" Type="http://schemas.openxmlformats.org/officeDocument/2006/relationships/hyperlink" Target="https%3A%2F%2Fwww.webofscience.com%2Fwos%2Fwoscc%2Ffull-record%2FWOS:000493393100027" TargetMode="External"/><Relationship Id="rId_hyperlink_1179" Type="http://schemas.openxmlformats.org/officeDocument/2006/relationships/hyperlink" Target="http://dx.doi.org/10.12841/wood.1644-3985.268.06" TargetMode="External"/><Relationship Id="rId_hyperlink_1180" Type="http://schemas.openxmlformats.org/officeDocument/2006/relationships/hyperlink" Target="https%3A%2F%2Fwww.webofscience.com%2Fwos%2Fwoscc%2Ffull-record%2FWOS:000500693100002" TargetMode="External"/><Relationship Id="rId_hyperlink_1181" Type="http://schemas.openxmlformats.org/officeDocument/2006/relationships/hyperlink" Target="http://dx.doi.org/10.1007/978-3-319-94310-7_13" TargetMode="External"/><Relationship Id="rId_hyperlink_1182" Type="http://schemas.openxmlformats.org/officeDocument/2006/relationships/hyperlink" Target="https%3A%2F%2Fwww.webofscience.com%2Fwos%2Fwoscc%2Ffull-record%2FWOS:000555691800014" TargetMode="External"/><Relationship Id="rId_hyperlink_1183" Type="http://schemas.openxmlformats.org/officeDocument/2006/relationships/hyperlink" Target="http://dx.doi.org/10.25750/1995-4301-2019-1-088-093" TargetMode="External"/><Relationship Id="rId_hyperlink_1184" Type="http://schemas.openxmlformats.org/officeDocument/2006/relationships/hyperlink" Target="https%3A%2F%2Fwww.webofscience.com%2Fwos%2Fwoscc%2Ffull-record%2FWOS:000468565900013" TargetMode="External"/><Relationship Id="rId_hyperlink_1185" Type="http://schemas.openxmlformats.org/officeDocument/2006/relationships/hyperlink" Target="http://dx.doi.org/10.13187/ejced.2018.4.845" TargetMode="External"/><Relationship Id="rId_hyperlink_1186" Type="http://schemas.openxmlformats.org/officeDocument/2006/relationships/hyperlink" Target="https%3A%2F%2Fwww.webofscience.com%2Fwos%2Fwoscc%2Ffull-record%2FWOS:000453622300017" TargetMode="External"/><Relationship Id="rId_hyperlink_1187" Type="http://schemas.openxmlformats.org/officeDocument/2006/relationships/hyperlink" Target="http://dx.doi.org/10.1134/S1064229318070074" TargetMode="External"/><Relationship Id="rId_hyperlink_1188" Type="http://schemas.openxmlformats.org/officeDocument/2006/relationships/hyperlink" Target="https%3A%2F%2Fwww.webofscience.com%2Fwos%2Fwoscc%2Ffull-record%2FWOS:000441009400003" TargetMode="External"/><Relationship Id="rId_hyperlink_1189" Type="http://schemas.openxmlformats.org/officeDocument/2006/relationships/hyperlink" Target="http://dx.doi.org/10.14529/hsm180415" TargetMode="External"/><Relationship Id="rId_hyperlink_1190" Type="http://schemas.openxmlformats.org/officeDocument/2006/relationships/hyperlink" Target="https%3A%2F%2Fwww.webofscience.com%2Fwos%2Fwoscc%2Ffull-record%2FWOS:000458656200002" TargetMode="External"/><Relationship Id="rId_hyperlink_1191" Type="http://schemas.openxmlformats.org/officeDocument/2006/relationships/hyperlink" Target="http://dx.doi.org/10.28995/2073-0101-2018-2-455-462" TargetMode="External"/><Relationship Id="rId_hyperlink_1192" Type="http://schemas.openxmlformats.org/officeDocument/2006/relationships/hyperlink" Target="https%3A%2F%2Fwww.webofscience.com%2Fwos%2Fwoscc%2Ffull-record%2FWOS:000452895600011" TargetMode="External"/><Relationship Id="rId_hyperlink_1193" Type="http://schemas.openxmlformats.org/officeDocument/2006/relationships/hyperlink" Target="https%3A%2F%2Fwww.webofscience.com%2Fwos%2Fwoscc%2Ffull-record%2FWOS:000426785900169" TargetMode="External"/><Relationship Id="rId_hyperlink_1194" Type="http://schemas.openxmlformats.org/officeDocument/2006/relationships/hyperlink" Target="http://dx.doi.org/10.1088/1757-899X/262/1/012052" TargetMode="External"/><Relationship Id="rId_hyperlink_1195" Type="http://schemas.openxmlformats.org/officeDocument/2006/relationships/hyperlink" Target="https%3A%2F%2Fwww.webofscience.com%2Fwos%2Fwoscc%2Ffull-record%2FWOS:000423728200052" TargetMode="External"/><Relationship Id="rId_hyperlink_1196" Type="http://schemas.openxmlformats.org/officeDocument/2006/relationships/hyperlink" Target="https%3A%2F%2Fwww.webofscience.com%2Fwos%2Fwoscc%2Ffull-record%2FWOS:000430880200012" TargetMode="External"/><Relationship Id="rId_hyperlink_1197" Type="http://schemas.openxmlformats.org/officeDocument/2006/relationships/hyperlink" Target="https%3A%2F%2Fwww.webofscience.com%2Fwos%2Fwoscc%2Ffull-record%2FWOS:000386421700003" TargetMode="External"/><Relationship Id="rId_hyperlink_1198" Type="http://schemas.openxmlformats.org/officeDocument/2006/relationships/hyperlink" Target="http://dx.doi.org/10.1134/S1070427212040143" TargetMode="External"/><Relationship Id="rId_hyperlink_1199" Type="http://schemas.openxmlformats.org/officeDocument/2006/relationships/hyperlink" Target="https%3A%2F%2Fwww.webofscience.com%2Fwos%2Fwoscc%2Ffull-record%2FWOS:000304155200014" TargetMode="External"/><Relationship Id="rId_hyperlink_1200" Type="http://schemas.openxmlformats.org/officeDocument/2006/relationships/hyperlink" Target="http://dx.doi.org/10.1134/S108765960903016X" TargetMode="External"/><Relationship Id="rId_hyperlink_1201" Type="http://schemas.openxmlformats.org/officeDocument/2006/relationships/hyperlink" Target="https%3A%2F%2Fwww.webofscience.com%2Fwos%2Fwoscc%2Ffull-record%2FWOS:000267486100016" TargetMode="External"/><Relationship Id="rId_hyperlink_1202" Type="http://schemas.openxmlformats.org/officeDocument/2006/relationships/hyperlink" Target="http://dx.doi.org/10.1134/S1995082908030139" TargetMode="External"/><Relationship Id="rId_hyperlink_1203" Type="http://schemas.openxmlformats.org/officeDocument/2006/relationships/hyperlink" Target="https%3A%2F%2Fwww.webofscience.com%2Fwos%2Fwoscc%2Ffull-record%2FWOS:000259462900013" TargetMode="External"/><Relationship Id="rId_hyperlink_1204" Type="http://schemas.openxmlformats.org/officeDocument/2006/relationships/hyperlink" Target="https%3A%2F%2Fwww.webofscience.com%2Fwos%2Fwoscc%2Ffull-record%2FWOS:000245904600016" TargetMode="External"/><Relationship Id="rId_hyperlink_1205" Type="http://schemas.openxmlformats.org/officeDocument/2006/relationships/hyperlink" Target="http://dx.doi.org/10.1134/S0965544114080040" TargetMode="External"/><Relationship Id="rId_hyperlink_1206" Type="http://schemas.openxmlformats.org/officeDocument/2006/relationships/hyperlink" Target="https%3A%2F%2Fwww.webofscience.com%2Fwos%2Fwoscc%2Ffull-record%2FWOS:000347556300007" TargetMode="External"/><Relationship Id="rId_hyperlink_1207" Type="http://schemas.openxmlformats.org/officeDocument/2006/relationships/hyperlink" Target="http://dx.doi.org/10.17223/15617793/484/18" TargetMode="External"/><Relationship Id="rId_hyperlink_1208" Type="http://schemas.openxmlformats.org/officeDocument/2006/relationships/hyperlink" Target="https%3A%2F%2Fwww.webofscience.com%2Fwos%2Fwoscc%2Ffull-record%2FWOS:000952852900018" TargetMode="External"/><Relationship Id="rId_hyperlink_1209" Type="http://schemas.openxmlformats.org/officeDocument/2006/relationships/hyperlink" Target="http://dx.doi.org/10.1007/s10527-020-09947-9" TargetMode="External"/><Relationship Id="rId_hyperlink_1210" Type="http://schemas.openxmlformats.org/officeDocument/2006/relationships/hyperlink" Target="https%3A%2F%2Fwww.webofscience.com%2Fwos%2Fwoscc%2Ffull-record%2FWOS:000748254500002" TargetMode="External"/><Relationship Id="rId_hyperlink_1211" Type="http://schemas.openxmlformats.org/officeDocument/2006/relationships/hyperlink" Target="http://dx.doi.org/10.14529/hsm180314" TargetMode="External"/><Relationship Id="rId_hyperlink_1212" Type="http://schemas.openxmlformats.org/officeDocument/2006/relationships/hyperlink" Target="https%3A%2F%2Fwww.webofscience.com%2Fwos%2Fwoscc%2Ffull-record%2FWOS:000454315400002" TargetMode="External"/><Relationship Id="rId_hyperlink_1213" Type="http://schemas.openxmlformats.org/officeDocument/2006/relationships/hyperlink" Target="http://dx.doi.org/10.31166/VoprosyIstorii202108Statyi20" TargetMode="External"/><Relationship Id="rId_hyperlink_1214" Type="http://schemas.openxmlformats.org/officeDocument/2006/relationships/hyperlink" Target="https%3A%2F%2Fwww.webofscience.com%2Fwos%2Fwoscc%2Ffull-record%2FWOS:000729816800022" TargetMode="External"/><Relationship Id="rId_hyperlink_1215" Type="http://schemas.openxmlformats.org/officeDocument/2006/relationships/hyperlink" Target="http://dx.doi.org/10.1023/B:ABIM.0000025950.07659.92" TargetMode="External"/><Relationship Id="rId_hyperlink_1216" Type="http://schemas.openxmlformats.org/officeDocument/2006/relationships/hyperlink" Target="https%3A%2F%2Fwww.webofscience.com%2Fwos%2Fwoscc%2Ffull-record%2FWOS:000221647800010" TargetMode="External"/><Relationship Id="rId_hyperlink_1217" Type="http://schemas.openxmlformats.org/officeDocument/2006/relationships/hyperlink" Target="http://dx.doi.org/10.1134/S106422932105015X" TargetMode="External"/><Relationship Id="rId_hyperlink_1218" Type="http://schemas.openxmlformats.org/officeDocument/2006/relationships/hyperlink" Target="https%3A%2F%2Fwww.webofscience.com%2Fwos%2Fwoscc%2Ffull-record%2FWOS:000654172900015" TargetMode="External"/><Relationship Id="rId_hyperlink_1219" Type="http://schemas.openxmlformats.org/officeDocument/2006/relationships/hyperlink" Target="http://dx.doi.org/10.17150/2500-4255.2021.15(2).229-237" TargetMode="External"/><Relationship Id="rId_hyperlink_1220" Type="http://schemas.openxmlformats.org/officeDocument/2006/relationships/hyperlink" Target="https%3A%2F%2Fwww.webofscience.com%2Fwos%2Fwoscc%2Ffull-record%2FWOS:000646592300008" TargetMode="External"/><Relationship Id="rId_hyperlink_1221" Type="http://schemas.openxmlformats.org/officeDocument/2006/relationships/hyperlink" Target="http://dx.doi.org/10.1007/s11041-019-00410-5" TargetMode="External"/><Relationship Id="rId_hyperlink_1222" Type="http://schemas.openxmlformats.org/officeDocument/2006/relationships/hyperlink" Target="https%3A%2F%2Fwww.webofscience.com%2Fwos%2Fwoscc%2Ffull-record%2FWOS:000492180000001" TargetMode="External"/><Relationship Id="rId_hyperlink_1223" Type="http://schemas.openxmlformats.org/officeDocument/2006/relationships/hyperlink" Target="http://dx.doi.org/10.3897/ap.2.e0323" TargetMode="External"/><Relationship Id="rId_hyperlink_1224" Type="http://schemas.openxmlformats.org/officeDocument/2006/relationships/hyperlink" Target="https%3A%2F%2Fwww.webofscience.com%2Fwos%2Fwoscc%2Ffull-record%2FWOS:000671896200024" TargetMode="External"/><Relationship Id="rId_hyperlink_1225" Type="http://schemas.openxmlformats.org/officeDocument/2006/relationships/hyperlink" Target="http://dx.doi.org/10.5281/zenodo.4018949" TargetMode="External"/><Relationship Id="rId_hyperlink_1226" Type="http://schemas.openxmlformats.org/officeDocument/2006/relationships/hyperlink" Target="https%3A%2F%2Fwww.webofscience.com%2Fwos%2Fwoscc%2Ffull-record%2FWOS:000573617200005" TargetMode="External"/><Relationship Id="rId_hyperlink_1227" Type="http://schemas.openxmlformats.org/officeDocument/2006/relationships/hyperlink" Target="http://dx.doi.org/10.3897/ap.1.e0526" TargetMode="External"/><Relationship Id="rId_hyperlink_1228" Type="http://schemas.openxmlformats.org/officeDocument/2006/relationships/hyperlink" Target="https%3A%2F%2Fwww.webofscience.com%2Fwos%2Fwoscc%2Ffull-record%2FWOS:000520005200056" TargetMode="External"/><Relationship Id="rId_hyperlink_1229" Type="http://schemas.openxmlformats.org/officeDocument/2006/relationships/hyperlink" Target="http://dx.doi.org/10.1134/S1087659608060096" TargetMode="External"/><Relationship Id="rId_hyperlink_1230" Type="http://schemas.openxmlformats.org/officeDocument/2006/relationships/hyperlink" Target="https%3A%2F%2Fwww.webofscience.com%2Fwos%2Fwoscc%2Ffull-record%2FWOS:000261789200009" TargetMode="External"/><Relationship Id="rId_hyperlink_1231" Type="http://schemas.openxmlformats.org/officeDocument/2006/relationships/hyperlink" Target="http://dx.doi.org/10.1134/S0869864321020116" TargetMode="External"/><Relationship Id="rId_hyperlink_1232" Type="http://schemas.openxmlformats.org/officeDocument/2006/relationships/hyperlink" Target="https%3A%2F%2Fwww.webofscience.com%2Fwos%2Fwoscc%2Ffull-record%2FWOS:000675572800011" TargetMode="External"/><Relationship Id="rId_hyperlink_1233" Type="http://schemas.openxmlformats.org/officeDocument/2006/relationships/hyperlink" Target="http://dx.doi.org/10.25750/1995-4301-2021-1-172-180" TargetMode="External"/><Relationship Id="rId_hyperlink_1234" Type="http://schemas.openxmlformats.org/officeDocument/2006/relationships/hyperlink" Target="https%3A%2F%2Fwww.webofscience.com%2Fwos%2Fwoscc%2Ffull-record%2FWOS:000632219100033" TargetMode="External"/><Relationship Id="rId_hyperlink_1235" Type="http://schemas.openxmlformats.org/officeDocument/2006/relationships/hyperlink" Target="http://dx.doi.org/10.1007/s11041-017-0179-9" TargetMode="External"/><Relationship Id="rId_hyperlink_1236" Type="http://schemas.openxmlformats.org/officeDocument/2006/relationships/hyperlink" Target="https%3A%2F%2Fwww.webofscience.com%2Fwos%2Fwoscc%2Ffull-record%2FWOS:000415952700018" TargetMode="External"/><Relationship Id="rId_hyperlink_1237" Type="http://schemas.openxmlformats.org/officeDocument/2006/relationships/hyperlink" Target="https%3A%2F%2Fwww.webofscience.com%2Fwos%2Fwoscc%2Ffull-record%2FWOS:000400700700060" TargetMode="External"/><Relationship Id="rId_hyperlink_1238" Type="http://schemas.openxmlformats.org/officeDocument/2006/relationships/hyperlink" Target="http://dx.doi.org/10.17223/23062061/30/6" TargetMode="External"/><Relationship Id="rId_hyperlink_1239" Type="http://schemas.openxmlformats.org/officeDocument/2006/relationships/hyperlink" Target="https%3A%2F%2Fwww.webofscience.com%2Fwos%2Fwoscc%2Ffull-record%2FWOS:000906501300006" TargetMode="External"/><Relationship Id="rId_hyperlink_1240" Type="http://schemas.openxmlformats.org/officeDocument/2006/relationships/hyperlink" Target="http://dx.doi.org/10.5281/zenodo.3898322" TargetMode="External"/><Relationship Id="rId_hyperlink_1241" Type="http://schemas.openxmlformats.org/officeDocument/2006/relationships/hyperlink" Target="https%3A%2F%2Fwww.webofscience.com%2Fwos%2Fwoscc%2Ffull-record%2FWOS:000543394200010" TargetMode="External"/><Relationship Id="rId_hyperlink_1242" Type="http://schemas.openxmlformats.org/officeDocument/2006/relationships/hyperlink" Target="http://dx.doi.org/10.22616/ERDev2019.18.N053" TargetMode="External"/><Relationship Id="rId_hyperlink_1243" Type="http://schemas.openxmlformats.org/officeDocument/2006/relationships/hyperlink" Target="https%3A%2F%2Fwww.webofscience.com%2Fwos%2Fwoscc%2Ffull-record%2FWOS:000482103500009" TargetMode="External"/><Relationship Id="rId_hyperlink_1244" Type="http://schemas.openxmlformats.org/officeDocument/2006/relationships/hyperlink" Target="http://dx.doi.org/10.1134/S199508291304010X" TargetMode="External"/><Relationship Id="rId_hyperlink_1245" Type="http://schemas.openxmlformats.org/officeDocument/2006/relationships/hyperlink" Target="https%3A%2F%2Fwww.webofscience.com%2Fwos%2Fwoscc%2Ffull-record%2FWOS:000330971500009" TargetMode="External"/><Relationship Id="rId_hyperlink_1246" Type="http://schemas.openxmlformats.org/officeDocument/2006/relationships/hyperlink" Target="http://dx.doi.org/10.3390/risks11020037" TargetMode="External"/><Relationship Id="rId_hyperlink_1247" Type="http://schemas.openxmlformats.org/officeDocument/2006/relationships/hyperlink" Target="https%3A%2F%2Fwww.webofscience.com%2Fwos%2Fwoscc%2Ffull-record%2FWOS:000940113100001" TargetMode="External"/><Relationship Id="rId_hyperlink_1248" Type="http://schemas.openxmlformats.org/officeDocument/2006/relationships/hyperlink" Target="http://dx.doi.org/10.1134/S1070427221120053" TargetMode="External"/><Relationship Id="rId_hyperlink_1249" Type="http://schemas.openxmlformats.org/officeDocument/2006/relationships/hyperlink" Target="https%3A%2F%2Fwww.webofscience.com%2Fwos%2Fwoscc%2Ffull-record%2FWOS:000770333700005" TargetMode="External"/><Relationship Id="rId_hyperlink_1250" Type="http://schemas.openxmlformats.org/officeDocument/2006/relationships/hyperlink" Target="http://dx.doi.org/10.14529/hsm200102" TargetMode="External"/><Relationship Id="rId_hyperlink_1251" Type="http://schemas.openxmlformats.org/officeDocument/2006/relationships/hyperlink" Target="https%3A%2F%2Fwww.webofscience.com%2Fwos%2Fwoscc%2Ffull-record%2FWOS:000539044700002" TargetMode="External"/><Relationship Id="rId_hyperlink_1252" Type="http://schemas.openxmlformats.org/officeDocument/2006/relationships/hyperlink" Target="https%3A%2F%2Fwww.webofscience.com%2Fwos%2Fwoscc%2Ffull-record%2FWOS:000438631600002" TargetMode="External"/><Relationship Id="rId_hyperlink_1253" Type="http://schemas.openxmlformats.org/officeDocument/2006/relationships/hyperlink" Target="http://dx.doi.org/10.24224/2227-1295-2021-11-28-49" TargetMode="External"/><Relationship Id="rId_hyperlink_1254" Type="http://schemas.openxmlformats.org/officeDocument/2006/relationships/hyperlink" Target="https%3A%2F%2Fwww.webofscience.com%2Fwos%2Fwoscc%2Ffull-record%2FWOS:000726493300002" TargetMode="External"/><Relationship Id="rId_hyperlink_1255" Type="http://schemas.openxmlformats.org/officeDocument/2006/relationships/hyperlink" Target="http://dx.doi.org/10.37043/JURA.2021.13.1.7" TargetMode="External"/><Relationship Id="rId_hyperlink_1256" Type="http://schemas.openxmlformats.org/officeDocument/2006/relationships/hyperlink" Target="https%3A%2F%2Fwww.webofscience.com%2Fwos%2Fwoscc%2Ffull-record%2FWOS:000625366100007" TargetMode="External"/><Relationship Id="rId_hyperlink_1257" Type="http://schemas.openxmlformats.org/officeDocument/2006/relationships/hyperlink" Target="http://dx.doi.org/10.15507/0236-2910.028.201803.445-459" TargetMode="External"/><Relationship Id="rId_hyperlink_1258" Type="http://schemas.openxmlformats.org/officeDocument/2006/relationships/hyperlink" Target="https%3A%2F%2Fwww.webofscience.com%2Fwos%2Fwoscc%2Ffull-record%2FWOS:000444121400012" TargetMode="External"/><Relationship Id="rId_hyperlink_1259" Type="http://schemas.openxmlformats.org/officeDocument/2006/relationships/hyperlink" Target="http://dx.doi.org/10.18083/LCAppl.2018.1.73" TargetMode="External"/><Relationship Id="rId_hyperlink_1260" Type="http://schemas.openxmlformats.org/officeDocument/2006/relationships/hyperlink" Target="https%3A%2F%2Fwww.webofscience.com%2Fwos%2Fwoscc%2Ffull-record%2FWOS:000428106400009" TargetMode="External"/><Relationship Id="rId_hyperlink_1261" Type="http://schemas.openxmlformats.org/officeDocument/2006/relationships/hyperlink" Target="http://dx.doi.org/10.1134/S1070363212050313" TargetMode="External"/><Relationship Id="rId_hyperlink_1262" Type="http://schemas.openxmlformats.org/officeDocument/2006/relationships/hyperlink" Target="https%3A%2F%2Fwww.webofscience.com%2Fwos%2Fwoscc%2Ffull-record%2FWOS:000305479400031" TargetMode="External"/><Relationship Id="rId_hyperlink_1263" Type="http://schemas.openxmlformats.org/officeDocument/2006/relationships/hyperlink" Target="http://dx.doi.org/10.15688/jvolsu2.2023.1.13" TargetMode="External"/><Relationship Id="rId_hyperlink_1264" Type="http://schemas.openxmlformats.org/officeDocument/2006/relationships/hyperlink" Target="https%3A%2F%2Fwww.webofscience.com%2Fwos%2Fwoscc%2Ffull-record%2FWOS:000961036800002" TargetMode="External"/><Relationship Id="rId_hyperlink_1265" Type="http://schemas.openxmlformats.org/officeDocument/2006/relationships/hyperlink" Target="http://dx.doi.org/10.1111/tan.14644" TargetMode="External"/><Relationship Id="rId_hyperlink_1266" Type="http://schemas.openxmlformats.org/officeDocument/2006/relationships/hyperlink" Target="https%3A%2F%2Fwww.webofscience.com%2Fwos%2Fwoscc%2Ffull-record%2FWOS:000791529900001" TargetMode="External"/><Relationship Id="rId_hyperlink_1267" Type="http://schemas.openxmlformats.org/officeDocument/2006/relationships/hyperlink" Target="http://dx.doi.org/10.30547/vestnik.journ.3.2021.102120" TargetMode="External"/><Relationship Id="rId_hyperlink_1268" Type="http://schemas.openxmlformats.org/officeDocument/2006/relationships/hyperlink" Target="https%3A%2F%2Fwww.webofscience.com%2Fwos%2Fwoscc%2Ffull-record%2FWOS:000670636000005" TargetMode="External"/><Relationship Id="rId_hyperlink_1269" Type="http://schemas.openxmlformats.org/officeDocument/2006/relationships/hyperlink" Target="http://dx.doi.org/10.1134/S0040601521040066" TargetMode="External"/><Relationship Id="rId_hyperlink_1270" Type="http://schemas.openxmlformats.org/officeDocument/2006/relationships/hyperlink" Target="https%3A%2F%2Fwww.webofscience.com%2Fwos%2Fwoscc%2Ffull-record%2FWOS:000755789400007" TargetMode="External"/><Relationship Id="rId_hyperlink_1271" Type="http://schemas.openxmlformats.org/officeDocument/2006/relationships/hyperlink" Target="https%3A%2F%2Fwww.webofscience.com%2Fwos%2Fwoscc%2Ffull-record%2FWOS:000372373900016" TargetMode="External"/><Relationship Id="rId_hyperlink_1272" Type="http://schemas.openxmlformats.org/officeDocument/2006/relationships/hyperlink" Target="http://dx.doi.org/10.1111/tan.14799" TargetMode="External"/><Relationship Id="rId_hyperlink_1273" Type="http://schemas.openxmlformats.org/officeDocument/2006/relationships/hyperlink" Target="https%3A%2F%2Fwww.webofscience.com%2Fwos%2Fwoscc%2Ffull-record%2FWOS:000853294700001" TargetMode="External"/><Relationship Id="rId_hyperlink_1274" Type="http://schemas.openxmlformats.org/officeDocument/2006/relationships/hyperlink" Target="http://dx.doi.org/10.20542/0131-2227-2021-65-2-37-44" TargetMode="External"/><Relationship Id="rId_hyperlink_1275" Type="http://schemas.openxmlformats.org/officeDocument/2006/relationships/hyperlink" Target="https%3A%2F%2Fwww.webofscience.com%2Fwos%2Fwoscc%2Ffull-record%2FWOS:000628793100004" TargetMode="External"/><Relationship Id="rId_hyperlink_1276" Type="http://schemas.openxmlformats.org/officeDocument/2006/relationships/hyperlink" Target="http://dx.doi.org/10.1007/s10527-021-10028-8" TargetMode="External"/><Relationship Id="rId_hyperlink_1277" Type="http://schemas.openxmlformats.org/officeDocument/2006/relationships/hyperlink" Target="https%3A%2F%2Fwww.webofscience.com%2Fwos%2Fwoscc%2Ffull-record%2FWOS:000748264500003" TargetMode="External"/><Relationship Id="rId_hyperlink_1278" Type="http://schemas.openxmlformats.org/officeDocument/2006/relationships/hyperlink" Target="http://dx.doi.org/10.25750/1995-4301-2020-4-055-060" TargetMode="External"/><Relationship Id="rId_hyperlink_1279" Type="http://schemas.openxmlformats.org/officeDocument/2006/relationships/hyperlink" Target="https%3A%2F%2Fwww.webofscience.com%2Fwos%2Fwoscc%2Ffull-record%2FWOS:000597810500008" TargetMode="External"/><Relationship Id="rId_hyperlink_1280" Type="http://schemas.openxmlformats.org/officeDocument/2006/relationships/hyperlink" Target="http://dx.doi.org/10.14529/hsm20s106" TargetMode="External"/><Relationship Id="rId_hyperlink_1281" Type="http://schemas.openxmlformats.org/officeDocument/2006/relationships/hyperlink" Target="https%3A%2F%2Fwww.webofscience.com%2Fwos%2Fwoscc%2Ffull-record%2FWOS:000581820600006" TargetMode="External"/><Relationship Id="rId_hyperlink_1282" Type="http://schemas.openxmlformats.org/officeDocument/2006/relationships/hyperlink" Target="http://dx.doi.org/10.25750/1995-4301-2018-4-024-030" TargetMode="External"/><Relationship Id="rId_hyperlink_1283" Type="http://schemas.openxmlformats.org/officeDocument/2006/relationships/hyperlink" Target="https%3A%2F%2Fwww.webofscience.com%2Fwos%2Fwoscc%2Ffull-record%2FWOS:000468565300003" TargetMode="External"/><Relationship Id="rId_hyperlink_1284" Type="http://schemas.openxmlformats.org/officeDocument/2006/relationships/hyperlink" Target="http://dx.doi.org/10.25750/1995-4301-2022-1-167-174" TargetMode="External"/><Relationship Id="rId_hyperlink_1285" Type="http://schemas.openxmlformats.org/officeDocument/2006/relationships/hyperlink" Target="https%3A%2F%2Fwww.webofscience.com%2Fwos%2Fwoscc%2Ffull-record%2FWOS:000819811100024" TargetMode="External"/><Relationship Id="rId_hyperlink_1286" Type="http://schemas.openxmlformats.org/officeDocument/2006/relationships/hyperlink" Target="https%3A%2F%2Fwww.webofscience.com%2Fwos%2Fwoscc%2Ffull-record%2FWOS:000332042400121" TargetMode="External"/><Relationship Id="rId_hyperlink_1287" Type="http://schemas.openxmlformats.org/officeDocument/2006/relationships/hyperlink" Target="https%3A%2F%2Fwww.webofscience.com%2Fwos%2Fwoscc%2Ffull-record%2FWOS:000332042400065" TargetMode="External"/><Relationship Id="rId_hyperlink_1288" Type="http://schemas.openxmlformats.org/officeDocument/2006/relationships/hyperlink" Target="http://dx.doi.org/10.24874/IJQR16.03-15" TargetMode="External"/><Relationship Id="rId_hyperlink_1289" Type="http://schemas.openxmlformats.org/officeDocument/2006/relationships/hyperlink" Target="https%3A%2F%2Fwww.webofscience.com%2Fwos%2Fwoscc%2Ffull-record%2FWOS:000885425500001" TargetMode="External"/><Relationship Id="rId_hyperlink_1290" Type="http://schemas.openxmlformats.org/officeDocument/2006/relationships/hyperlink" Target="http://dx.doi.org/10.25750/1995-4301-2021-4-050-057" TargetMode="External"/><Relationship Id="rId_hyperlink_1291" Type="http://schemas.openxmlformats.org/officeDocument/2006/relationships/hyperlink" Target="https%3A%2F%2Fwww.webofscience.com%2Fwos%2Fwoscc%2Ffull-record%2FWOS:000755154100007" TargetMode="External"/><Relationship Id="rId_hyperlink_1292" Type="http://schemas.openxmlformats.org/officeDocument/2006/relationships/hyperlink" Target="https%3A%2F%2Fwww.webofscience.com%2Fwos%2Fwoscc%2Ffull-record%2FWOS:000451687200005" TargetMode="External"/><Relationship Id="rId_hyperlink_1293" Type="http://schemas.openxmlformats.org/officeDocument/2006/relationships/hyperlink" Target="http://dx.doi.org/10.25750/1995-4301-2022-2-173-182" TargetMode="External"/><Relationship Id="rId_hyperlink_1294" Type="http://schemas.openxmlformats.org/officeDocument/2006/relationships/hyperlink" Target="https%3A%2F%2Fwww.webofscience.com%2Fwos%2Fwoscc%2Ffull-record%2FWOS:000820802000022" TargetMode="External"/><Relationship Id="rId_hyperlink_1295" Type="http://schemas.openxmlformats.org/officeDocument/2006/relationships/hyperlink" Target="http://dx.doi.org/10.51762/1FK-2022-27-03-12" TargetMode="External"/><Relationship Id="rId_hyperlink_1296" Type="http://schemas.openxmlformats.org/officeDocument/2006/relationships/hyperlink" Target="https%3A%2F%2Fwww.webofscience.com%2Fwos%2Fwoscc%2Ffull-record%2FWOS:000899445600012" TargetMode="External"/><Relationship Id="rId_hyperlink_1297" Type="http://schemas.openxmlformats.org/officeDocument/2006/relationships/hyperlink" Target="http://dx.doi.org/10.25750/1995-4301-2021-1-040-052" TargetMode="External"/><Relationship Id="rId_hyperlink_1298" Type="http://schemas.openxmlformats.org/officeDocument/2006/relationships/hyperlink" Target="https%3A%2F%2Fwww.webofscience.com%2Fwos%2Fwoscc%2Ffull-record%2FWOS:000632219100005" TargetMode="External"/><Relationship Id="rId_hyperlink_1299" Type="http://schemas.openxmlformats.org/officeDocument/2006/relationships/hyperlink" Target="http://dx.doi.org/10.3897/ap.2.e0661" TargetMode="External"/><Relationship Id="rId_hyperlink_1300" Type="http://schemas.openxmlformats.org/officeDocument/2006/relationships/hyperlink" Target="https%3A%2F%2Fwww.webofscience.com%2Fwos%2Fwoscc%2Ffull-record%2FWOS:000671896200051" TargetMode="External"/><Relationship Id="rId_hyperlink_1301" Type="http://schemas.openxmlformats.org/officeDocument/2006/relationships/hyperlink" Target="http://dx.doi.org/10.5281/zenodo.3713430" TargetMode="External"/><Relationship Id="rId_hyperlink_1302" Type="http://schemas.openxmlformats.org/officeDocument/2006/relationships/hyperlink" Target="https%3A%2F%2Fwww.webofscience.com%2Fwos%2Fwoscc%2Ffull-record%2FWOS:000521937900008" TargetMode="External"/><Relationship Id="rId_hyperlink_1303" Type="http://schemas.openxmlformats.org/officeDocument/2006/relationships/hyperlink" Target="http://dx.doi.org/10.3897/ap.1.e0040" TargetMode="External"/><Relationship Id="rId_hyperlink_1304" Type="http://schemas.openxmlformats.org/officeDocument/2006/relationships/hyperlink" Target="https%3A%2F%2Fwww.webofscience.com%2Fwos%2Fwoscc%2Ffull-record%2FWOS:000520005200005" TargetMode="External"/><Relationship Id="rId_hyperlink_1305" Type="http://schemas.openxmlformats.org/officeDocument/2006/relationships/hyperlink" Target="http://dx.doi.org/10.1007/s11041-011-9384-0" TargetMode="External"/><Relationship Id="rId_hyperlink_1306" Type="http://schemas.openxmlformats.org/officeDocument/2006/relationships/hyperlink" Target="https%3A%2F%2Fwww.webofscience.com%2Fwos%2Fwoscc%2Ffull-record%2FWOS:000296795300017" TargetMode="External"/><Relationship Id="rId_hyperlink_1307" Type="http://schemas.openxmlformats.org/officeDocument/2006/relationships/hyperlink" Target="https%3A%2F%2Fwww.webofscience.com%2Fwos%2Fwoscc%2Ffull-record%2FWOS:000254501900003" TargetMode="External"/><Relationship Id="rId_hyperlink_1308" Type="http://schemas.openxmlformats.org/officeDocument/2006/relationships/hyperlink" Target="http://dx.doi.org/10.34069/AI/2020.27.03.29" TargetMode="External"/><Relationship Id="rId_hyperlink_1309" Type="http://schemas.openxmlformats.org/officeDocument/2006/relationships/hyperlink" Target="https%3A%2F%2Fwww.webofscience.com%2Fwos%2Fwoscc%2Ffull-record%2FWOS:000521637500030" TargetMode="External"/><Relationship Id="rId_hyperlink_1310" Type="http://schemas.openxmlformats.org/officeDocument/2006/relationships/hyperlink" Target="http://dx.doi.org/10.1023/A:1019513029761" TargetMode="External"/><Relationship Id="rId_hyperlink_1311" Type="http://schemas.openxmlformats.org/officeDocument/2006/relationships/hyperlink" Target="https%3A%2F%2Fwww.webofscience.com%2Fwos%2Fwoscc%2Ffull-record%2FWOS:000177753100015" TargetMode="External"/><Relationship Id="rId_hyperlink_1312" Type="http://schemas.openxmlformats.org/officeDocument/2006/relationships/hyperlink" Target="http://dx.doi.org/10.18149/MPM.5022022_14" TargetMode="External"/><Relationship Id="rId_hyperlink_1313" Type="http://schemas.openxmlformats.org/officeDocument/2006/relationships/hyperlink" Target="https%3A%2F%2Fwww.webofscience.com%2Fwos%2Fwoscc%2Ffull-record%2FWOS:000915249500014" TargetMode="External"/><Relationship Id="rId_hyperlink_1314" Type="http://schemas.openxmlformats.org/officeDocument/2006/relationships/hyperlink" Target="http://dx.doi.org/10.15244/pjoes/139375" TargetMode="External"/><Relationship Id="rId_hyperlink_1315" Type="http://schemas.openxmlformats.org/officeDocument/2006/relationships/hyperlink" Target="https%3A%2F%2Fwww.webofscience.com%2Fwos%2Fwoscc%2Ffull-record%2FWOS:000799779000042" TargetMode="External"/><Relationship Id="rId_hyperlink_1316" Type="http://schemas.openxmlformats.org/officeDocument/2006/relationships/hyperlink" Target="http://dx.doi.org/10.25750/1995-4301-2020-2-111-116" TargetMode="External"/><Relationship Id="rId_hyperlink_1317" Type="http://schemas.openxmlformats.org/officeDocument/2006/relationships/hyperlink" Target="https%3A%2F%2Fwww.webofscience.com%2Fwos%2Fwoscc%2Ffull-record%2FWOS:000545295600015" TargetMode="External"/><Relationship Id="rId_hyperlink_1318" Type="http://schemas.openxmlformats.org/officeDocument/2006/relationships/hyperlink" Target="http://dx.doi.org/10.1134/S1070427211010265" TargetMode="External"/><Relationship Id="rId_hyperlink_1319" Type="http://schemas.openxmlformats.org/officeDocument/2006/relationships/hyperlink" Target="https%3A%2F%2Fwww.webofscience.com%2Fwos%2Fwoscc%2Ffull-record%2FWOS:000287500700026" TargetMode="External"/><Relationship Id="rId_hyperlink_1320" Type="http://schemas.openxmlformats.org/officeDocument/2006/relationships/hyperlink" Target="http://dx.doi.org/10.22616/ERDev.2020.19.TF157" TargetMode="External"/><Relationship Id="rId_hyperlink_1321" Type="http://schemas.openxmlformats.org/officeDocument/2006/relationships/hyperlink" Target="https%3A%2F%2Fwww.webofscience.com%2Fwos%2Fwoscc%2Ffull-record%2FWOS:000815085500095" TargetMode="External"/><Relationship Id="rId_hyperlink_1322" Type="http://schemas.openxmlformats.org/officeDocument/2006/relationships/hyperlink" Target="http://dx.doi.org/10.1134/S0040601519020071" TargetMode="External"/><Relationship Id="rId_hyperlink_1323" Type="http://schemas.openxmlformats.org/officeDocument/2006/relationships/hyperlink" Target="https%3A%2F%2Fwww.webofscience.com%2Fwos%2Fwoscc%2Ffull-record%2FWOS:000755490600005" TargetMode="External"/><Relationship Id="rId_hyperlink_1324" Type="http://schemas.openxmlformats.org/officeDocument/2006/relationships/hyperlink" Target="http://dx.doi.org/10.25750/1995-4301-2021-4-133-139" TargetMode="External"/><Relationship Id="rId_hyperlink_1325" Type="http://schemas.openxmlformats.org/officeDocument/2006/relationships/hyperlink" Target="https%3A%2F%2Fwww.webofscience.com%2Fwos%2Fwoscc%2Ffull-record%2FWOS:000755154100019" TargetMode="External"/><Relationship Id="rId_hyperlink_1326" Type="http://schemas.openxmlformats.org/officeDocument/2006/relationships/hyperlink" Target="http://dx.doi.org/10.1007/s11041-012-9478-3" TargetMode="External"/><Relationship Id="rId_hyperlink_1327" Type="http://schemas.openxmlformats.org/officeDocument/2006/relationships/hyperlink" Target="https%3A%2F%2Fwww.webofscience.com%2Fwos%2Fwoscc%2Ffull-record%2FWOS:000312342200016" TargetMode="External"/><Relationship Id="rId_hyperlink_1328" Type="http://schemas.openxmlformats.org/officeDocument/2006/relationships/hyperlink" Target="http://dx.doi.org/10.24874/IJQR15.03-16" TargetMode="External"/><Relationship Id="rId_hyperlink_1329" Type="http://schemas.openxmlformats.org/officeDocument/2006/relationships/hyperlink" Target="https%3A%2F%2Fwww.webofscience.com%2Fwos%2Fwoscc%2Ffull-record%2FWOS:000686366800016" TargetMode="External"/><Relationship Id="rId_hyperlink_1330" Type="http://schemas.openxmlformats.org/officeDocument/2006/relationships/hyperlink" Target="http://dx.doi.org/10.25750/1995-4301-2020-3-046-051" TargetMode="External"/><Relationship Id="rId_hyperlink_1331" Type="http://schemas.openxmlformats.org/officeDocument/2006/relationships/hyperlink" Target="https%3A%2F%2Fwww.webofscience.com%2Fwos%2Fwoscc%2Ffull-record%2FWOS:000580337700007" TargetMode="External"/><Relationship Id="rId_hyperlink_1332" Type="http://schemas.openxmlformats.org/officeDocument/2006/relationships/hyperlink" Target="http://dx.doi.org/10.1111/tan.14848" TargetMode="External"/><Relationship Id="rId_hyperlink_1333" Type="http://schemas.openxmlformats.org/officeDocument/2006/relationships/hyperlink" Target="https%3A%2F%2Fwww.webofscience.com%2Fwos%2Fwoscc%2Ffull-record%2FWOS:000869708600001" TargetMode="External"/><Relationship Id="rId_hyperlink_1334" Type="http://schemas.openxmlformats.org/officeDocument/2006/relationships/hyperlink" Target="http://dx.doi.org/10.1023/A:1026068208764" TargetMode="External"/><Relationship Id="rId_hyperlink_1335" Type="http://schemas.openxmlformats.org/officeDocument/2006/relationships/hyperlink" Target="https%3A%2F%2Fwww.webofscience.com%2Fwos%2Fwoscc%2Ffull-record%2FWOS:000187861200004" TargetMode="External"/><Relationship Id="rId_hyperlink_1336" Type="http://schemas.openxmlformats.org/officeDocument/2006/relationships/hyperlink" Target="http://dx.doi.org/10.1007/s10517-012-1905-3" TargetMode="External"/><Relationship Id="rId_hyperlink_1337" Type="http://schemas.openxmlformats.org/officeDocument/2006/relationships/hyperlink" Target="https%3A%2F%2Fwww.webofscience.com%2Fwos%2Fwoscc%2Ffull-record%2FWOS:000312334000002" TargetMode="External"/><Relationship Id="rId_hyperlink_1338" Type="http://schemas.openxmlformats.org/officeDocument/2006/relationships/hyperlink" Target="http://dx.doi.org/10.1007/s11041-007-0041-6" TargetMode="External"/><Relationship Id="rId_hyperlink_1339" Type="http://schemas.openxmlformats.org/officeDocument/2006/relationships/hyperlink" Target="https%3A%2F%2Fwww.webofscience.com%2Fwos%2Fwoscc%2Ffull-record%2FWOS:000251500300004" TargetMode="External"/><Relationship Id="rId_hyperlink_1340" Type="http://schemas.openxmlformats.org/officeDocument/2006/relationships/hyperlink" Target="http://dx.doi.org/10.1007/s10527-019-09848-6" TargetMode="External"/><Relationship Id="rId_hyperlink_1341" Type="http://schemas.openxmlformats.org/officeDocument/2006/relationships/hyperlink" Target="https%3A%2F%2Fwww.webofscience.com%2Fwos%2Fwoscc%2Ffull-record%2FWOS:000748252900016" TargetMode="External"/><Relationship Id="rId_hyperlink_1342" Type="http://schemas.openxmlformats.org/officeDocument/2006/relationships/hyperlink" Target="http://dx.doi.org/10.22038/ijp.2021.57107.4477" TargetMode="External"/><Relationship Id="rId_hyperlink_1343" Type="http://schemas.openxmlformats.org/officeDocument/2006/relationships/hyperlink" Target="https%3A%2F%2Fwww.webofscience.com%2Fwos%2Fwoscc%2Ffull-record%2FWOS:000643937900010" TargetMode="External"/><Relationship Id="rId_hyperlink_1344" Type="http://schemas.openxmlformats.org/officeDocument/2006/relationships/hyperlink" Target="http://dx.doi.org/10.25750/1995-4301-2021-3-126-132" TargetMode="External"/><Relationship Id="rId_hyperlink_1345" Type="http://schemas.openxmlformats.org/officeDocument/2006/relationships/hyperlink" Target="https%3A%2F%2Fwww.webofscience.com%2Fwos%2Fwoscc%2Ffull-record%2FWOS:000700413300017" TargetMode="External"/><Relationship Id="rId_hyperlink_1346" Type="http://schemas.openxmlformats.org/officeDocument/2006/relationships/hyperlink" Target="http://dx.doi.org/10.1007/s11041-020-00598-x" TargetMode="External"/><Relationship Id="rId_hyperlink_1347" Type="http://schemas.openxmlformats.org/officeDocument/2006/relationships/hyperlink" Target="https%3A%2F%2Fwww.webofscience.com%2Fwos%2Fwoscc%2Ffull-record%2FWOS:000591585000003" TargetMode="External"/><Relationship Id="rId_hyperlink_1348" Type="http://schemas.openxmlformats.org/officeDocument/2006/relationships/hyperlink" Target="http://dx.doi.org/10.15507/2658-4123.033.202301.100-113" TargetMode="External"/><Relationship Id="rId_hyperlink_1349" Type="http://schemas.openxmlformats.org/officeDocument/2006/relationships/hyperlink" Target="https%3A%2F%2Fwww.webofscience.com%2Fwos%2Fwoscc%2Ffull-record%2FWOS:000994427200005" TargetMode="External"/><Relationship Id="rId_hyperlink_1350" Type="http://schemas.openxmlformats.org/officeDocument/2006/relationships/hyperlink" Target="http://dx.doi.org/10.1002/eqe.3785" TargetMode="External"/><Relationship Id="rId_hyperlink_1351" Type="http://schemas.openxmlformats.org/officeDocument/2006/relationships/hyperlink" Target="https%3A%2F%2Fwww.webofscience.com%2Fwos%2Fwoscc%2Ffull-record%2FWOS:000892774100001" TargetMode="External"/><Relationship Id="rId_hyperlink_1352" Type="http://schemas.openxmlformats.org/officeDocument/2006/relationships/hyperlink" Target="https%3A%2F%2Fwww.webofscience.com%2Fwos%2Fwoscc%2Ffull-record%2FWOS:000493331800025" TargetMode="External"/><Relationship Id="rId_hyperlink_1353" Type="http://schemas.openxmlformats.org/officeDocument/2006/relationships/hyperlink" Target="http://dx.doi.org/10.14529/hsm190207" TargetMode="External"/><Relationship Id="rId_hyperlink_1354" Type="http://schemas.openxmlformats.org/officeDocument/2006/relationships/hyperlink" Target="https%3A%2F%2Fwww.webofscience.com%2Fwos%2Fwoscc%2Ffull-record%2FWOS:000475456800007" TargetMode="External"/><Relationship Id="rId_hyperlink_1355" Type="http://schemas.openxmlformats.org/officeDocument/2006/relationships/hyperlink" Target="https%3A%2F%2Fwww.webofscience.com%2Fwos%2Fwoscc%2Ffull-record%2FWOS:000515721900080" TargetMode="External"/><Relationship Id="rId_hyperlink_1356" Type="http://schemas.openxmlformats.org/officeDocument/2006/relationships/hyperlink" Target="http://dx.doi.org/10.12973/eurasia.2017.00960a" TargetMode="External"/><Relationship Id="rId_hyperlink_1357" Type="http://schemas.openxmlformats.org/officeDocument/2006/relationships/hyperlink" Target="https%3A%2F%2Fwww.webofscience.com%2Fwos%2Fwoscc%2Ffull-record%2FWOS:000409067500025" TargetMode="External"/><Relationship Id="rId_hyperlink_1358" Type="http://schemas.openxmlformats.org/officeDocument/2006/relationships/hyperlink" Target="http://dx.doi.org/10.54905/disssi/v27i134/e200ms3017" TargetMode="External"/><Relationship Id="rId_hyperlink_1359" Type="http://schemas.openxmlformats.org/officeDocument/2006/relationships/hyperlink" Target="https%3A%2F%2Fwww.webofscience.com%2Fwos%2Fwoscc%2Ffull-record%2FWOS:000994185800011" TargetMode="External"/><Relationship Id="rId_hyperlink_1360" Type="http://schemas.openxmlformats.org/officeDocument/2006/relationships/hyperlink" Target="http://dx.doi.org/10.1051/matecconf/201817001044" TargetMode="External"/><Relationship Id="rId_hyperlink_1361" Type="http://schemas.openxmlformats.org/officeDocument/2006/relationships/hyperlink" Target="https%3A%2F%2Fwww.webofscience.com%2Fwos%2Fwoscc%2Ffull-record%2FWOS:000449660800044" TargetMode="External"/><Relationship Id="rId_hyperlink_1362" Type="http://schemas.openxmlformats.org/officeDocument/2006/relationships/hyperlink" Target="http://dx.doi.org/10.1051/matecconf/201710608084" TargetMode="External"/><Relationship Id="rId_hyperlink_1363" Type="http://schemas.openxmlformats.org/officeDocument/2006/relationships/hyperlink" Target="https%3A%2F%2Fwww.webofscience.com%2Fwos%2Fwoscc%2Ffull-record%2FWOS:000426426600269" TargetMode="External"/><Relationship Id="rId_hyperlink_1364" Type="http://schemas.openxmlformats.org/officeDocument/2006/relationships/hyperlink" Target="http://dx.doi.org/10.31166/VoprosyIstorii202012Statyi70" TargetMode="External"/><Relationship Id="rId_hyperlink_1365" Type="http://schemas.openxmlformats.org/officeDocument/2006/relationships/hyperlink" Target="https%3A%2F%2Fwww.webofscience.com%2Fwos%2Fwoscc%2Ffull-record%2FWOS:000611219500022" TargetMode="External"/><Relationship Id="rId_hyperlink_1366" Type="http://schemas.openxmlformats.org/officeDocument/2006/relationships/hyperlink" Target="http://dx.doi.org/10.18083/LCAppl.2019.2.85" TargetMode="External"/><Relationship Id="rId_hyperlink_1367" Type="http://schemas.openxmlformats.org/officeDocument/2006/relationships/hyperlink" Target="https%3A%2F%2Fwww.webofscience.com%2Fwos%2Fwoscc%2Ffull-record%2FWOS:000472958800010" TargetMode="External"/><Relationship Id="rId_hyperlink_1368" Type="http://schemas.openxmlformats.org/officeDocument/2006/relationships/hyperlink" Target="http://dx.doi.org/10.25750/1995-4301-2019-1-122-128" TargetMode="External"/><Relationship Id="rId_hyperlink_1369" Type="http://schemas.openxmlformats.org/officeDocument/2006/relationships/hyperlink" Target="https%3A%2F%2Fwww.webofscience.com%2Fwos%2Fwoscc%2Ffull-record%2FWOS:000468565900018" TargetMode="External"/><Relationship Id="rId_hyperlink_1370" Type="http://schemas.openxmlformats.org/officeDocument/2006/relationships/hyperlink" Target="http://dx.doi.org/10.15507/2658-4123.029.201902.187-204" TargetMode="External"/><Relationship Id="rId_hyperlink_1371" Type="http://schemas.openxmlformats.org/officeDocument/2006/relationships/hyperlink" Target="https%3A%2F%2Fwww.webofscience.com%2Fwos%2Fwoscc%2Ffull-record%2FWOS:000487855200003" TargetMode="External"/><Relationship Id="rId_hyperlink_1372" Type="http://schemas.openxmlformats.org/officeDocument/2006/relationships/hyperlink" Target="http://dx.doi.org/10.1051/e3sconf/201911002151" TargetMode="External"/><Relationship Id="rId_hyperlink_1373" Type="http://schemas.openxmlformats.org/officeDocument/2006/relationships/hyperlink" Target="https%3A%2F%2Fwww.webofscience.com%2Fwos%2Fwoscc%2Ffull-record%2FWOS:000569050000240" TargetMode="External"/><Relationship Id="rId_hyperlink_1374" Type="http://schemas.openxmlformats.org/officeDocument/2006/relationships/hyperlink" Target="http://dx.doi.org/10.1016/j.matpr.2019.07.068" TargetMode="External"/><Relationship Id="rId_hyperlink_1375" Type="http://schemas.openxmlformats.org/officeDocument/2006/relationships/hyperlink" Target="https%3A%2F%2Fwww.webofscience.com%2Fwos%2Fwoscc%2Ffull-record%2FWOS:000507473500050" TargetMode="External"/><Relationship Id="rId_hyperlink_1376" Type="http://schemas.openxmlformats.org/officeDocument/2006/relationships/hyperlink" Target="http://dx.doi.org/10.1007/s11175-005-0118-8" TargetMode="External"/><Relationship Id="rId_hyperlink_1377" Type="http://schemas.openxmlformats.org/officeDocument/2006/relationships/hyperlink" Target="https%3A%2F%2Fwww.webofscience.com%2Fwos%2Fwoscc%2Ffull-record%2FWOS:000230551900008" TargetMode="External"/><Relationship Id="rId_hyperlink_1378" Type="http://schemas.openxmlformats.org/officeDocument/2006/relationships/hyperlink" Target="http://dx.doi.org/10.1111/tan.14615" TargetMode="External"/><Relationship Id="rId_hyperlink_1379" Type="http://schemas.openxmlformats.org/officeDocument/2006/relationships/hyperlink" Target="https%3A%2F%2Fwww.webofscience.com%2Fwos%2Fwoscc%2Ffull-record%2FWOS:000776605400001" TargetMode="External"/><Relationship Id="rId_hyperlink_1380" Type="http://schemas.openxmlformats.org/officeDocument/2006/relationships/hyperlink" Target="http://dx.doi.org/10.1111/tan.14610" TargetMode="External"/><Relationship Id="rId_hyperlink_1381" Type="http://schemas.openxmlformats.org/officeDocument/2006/relationships/hyperlink" Target="https%3A%2F%2Fwww.webofscience.com%2Fwos%2Fwoscc%2Ffull-record%2FWOS:000780680000001" TargetMode="External"/><Relationship Id="rId_hyperlink_1382" Type="http://schemas.openxmlformats.org/officeDocument/2006/relationships/hyperlink" Target="http://dx.doi.org/10.1016/j.jallcom.2021.159692" TargetMode="External"/><Relationship Id="rId_hyperlink_1383" Type="http://schemas.openxmlformats.org/officeDocument/2006/relationships/hyperlink" Target="https%3A%2F%2Fwww.webofscience.com%2Fwos%2Fwoscc%2Ffull-record%2FWOS:000647674900002" TargetMode="External"/><Relationship Id="rId_hyperlink_1384" Type="http://schemas.openxmlformats.org/officeDocument/2006/relationships/hyperlink" Target="http://dx.doi.org/10.1051/e3sconf/201911002155" TargetMode="External"/><Relationship Id="rId_hyperlink_1385" Type="http://schemas.openxmlformats.org/officeDocument/2006/relationships/hyperlink" Target="https%3A%2F%2Fwww.webofscience.com%2Fwos%2Fwoscc%2Ffull-record%2FWOS:000569050000244" TargetMode="External"/><Relationship Id="rId_hyperlink_1386" Type="http://schemas.openxmlformats.org/officeDocument/2006/relationships/hyperlink" Target="http://dx.doi.org/10.26170/FK19-02-15" TargetMode="External"/><Relationship Id="rId_hyperlink_1387" Type="http://schemas.openxmlformats.org/officeDocument/2006/relationships/hyperlink" Target="https%3A%2F%2Fwww.webofscience.com%2Fwos%2Fwoscc%2Ffull-record%2FWOS:000489097600015" TargetMode="External"/><Relationship Id="rId_hyperlink_1388" Type="http://schemas.openxmlformats.org/officeDocument/2006/relationships/hyperlink" Target="http://dx.doi.org/10.1134/S0036024406110288" TargetMode="External"/><Relationship Id="rId_hyperlink_1389" Type="http://schemas.openxmlformats.org/officeDocument/2006/relationships/hyperlink" Target="https%3A%2F%2Fwww.webofscience.com%2Fwos%2Fwoscc%2Ffull-record%2FWOS:000245667100028" TargetMode="External"/><Relationship Id="rId_hyperlink_1390" Type="http://schemas.openxmlformats.org/officeDocument/2006/relationships/hyperlink" Target="http://dx.doi.org/10.1016/j.matpr.2018.12.154" TargetMode="External"/><Relationship Id="rId_hyperlink_1391" Type="http://schemas.openxmlformats.org/officeDocument/2006/relationships/hyperlink" Target="https%3A%2F%2Fwww.webofscience.com%2Fwos%2Fwoscc%2Ffull-record%2FWOS:000463193400058" TargetMode="External"/><Relationship Id="rId_hyperlink_1392" Type="http://schemas.openxmlformats.org/officeDocument/2006/relationships/hyperlink" Target="http://dx.doi.org/10.1051/e3sconf/201911002150" TargetMode="External"/><Relationship Id="rId_hyperlink_1393" Type="http://schemas.openxmlformats.org/officeDocument/2006/relationships/hyperlink" Target="https%3A%2F%2Fwww.webofscience.com%2Fwos%2Fwoscc%2Ffull-record%2FWOS:000569050000239" TargetMode="External"/><Relationship Id="rId_hyperlink_1394" Type="http://schemas.openxmlformats.org/officeDocument/2006/relationships/hyperlink" Target="http://dx.doi.org/10.1007/s11175-005-0105-0" TargetMode="External"/><Relationship Id="rId_hyperlink_1395" Type="http://schemas.openxmlformats.org/officeDocument/2006/relationships/hyperlink" Target="https%3A%2F%2Fwww.webofscience.com%2Fwos%2Fwoscc%2Ffull-record%2FWOS:000229725000018" TargetMode="External"/><Relationship Id="rId_hyperlink_1396" Type="http://schemas.openxmlformats.org/officeDocument/2006/relationships/hyperlink" Target="http://dx.doi.org/10.1111/tan.14952" TargetMode="External"/><Relationship Id="rId_hyperlink_1397" Type="http://schemas.openxmlformats.org/officeDocument/2006/relationships/hyperlink" Target="https%3A%2F%2Fwww.webofscience.com%2Fwos%2Fwoscc%2Ffull-record%2FWOS:000905834100001" TargetMode="External"/><Relationship Id="rId_hyperlink_1398" Type="http://schemas.openxmlformats.org/officeDocument/2006/relationships/hyperlink" Target="https%3A%2F%2Fwww.webofscience.com%2Fwos%2Fwoscc%2Ffull-record%2FWOS:000592987700002" TargetMode="External"/><Relationship Id="rId_hyperlink_1399" Type="http://schemas.openxmlformats.org/officeDocument/2006/relationships/hyperlink" Target="http://dx.doi.org/10.1051/shsconf/20196900017" TargetMode="External"/><Relationship Id="rId_hyperlink_1400" Type="http://schemas.openxmlformats.org/officeDocument/2006/relationships/hyperlink" Target="https%3A%2F%2Fwww.webofscience.com%2Fwos%2Fwoscc%2Ffull-record%2FWOS:000543686000016" TargetMode="External"/><Relationship Id="rId_hyperlink_1401" Type="http://schemas.openxmlformats.org/officeDocument/2006/relationships/hyperlink" Target="http://dx.doi.org/10.1007/978-3-030-37334-4_22" TargetMode="External"/><Relationship Id="rId_hyperlink_1402" Type="http://schemas.openxmlformats.org/officeDocument/2006/relationships/hyperlink" Target="https%3A%2F%2Fwww.webofscience.com%2Fwos%2Fwoscc%2Ffull-record%2FWOS:000611787800022" TargetMode="External"/><Relationship Id="rId_hyperlink_1403" Type="http://schemas.openxmlformats.org/officeDocument/2006/relationships/hyperlink" Target="http://dx.doi.org/10.1051/matecconf/201822401040" TargetMode="External"/><Relationship Id="rId_hyperlink_1404" Type="http://schemas.openxmlformats.org/officeDocument/2006/relationships/hyperlink" Target="https%3A%2F%2Fwww.webofscience.com%2Fwos%2Fwoscc%2Ffull-record%2FWOS:000476933600040" TargetMode="External"/><Relationship Id="rId_hyperlink_1405" Type="http://schemas.openxmlformats.org/officeDocument/2006/relationships/hyperlink" Target="https%3A%2F%2Fwww.webofscience.com%2Fwos%2Fwoscc%2Ffull-record%2FWOS:000417887400021" TargetMode="External"/><Relationship Id="rId_hyperlink_1406" Type="http://schemas.openxmlformats.org/officeDocument/2006/relationships/hyperlink" Target="http://dx.doi.org/10.1023/B:MSAT.0000019201.56753.34" TargetMode="External"/><Relationship Id="rId_hyperlink_1407" Type="http://schemas.openxmlformats.org/officeDocument/2006/relationships/hyperlink" Target="https%3A%2F%2Fwww.webofscience.com%2Fwos%2Fwoscc%2Ffull-record%2FWOS:000221016500011" TargetMode="External"/><Relationship Id="rId_hyperlink_1408" Type="http://schemas.openxmlformats.org/officeDocument/2006/relationships/hyperlink" Target="http://dx.doi.org/10.51847/2GXBEcgNwL" TargetMode="External"/><Relationship Id="rId_hyperlink_1409" Type="http://schemas.openxmlformats.org/officeDocument/2006/relationships/hyperlink" Target="https%3A%2F%2Fwww.webofscience.com%2Fwos%2Fwoscc%2Ffull-record%2FWOS:000971992100003" TargetMode="External"/><Relationship Id="rId_hyperlink_1410" Type="http://schemas.openxmlformats.org/officeDocument/2006/relationships/hyperlink" Target="http://dx.doi.org/10.1111/tan.14748" TargetMode="External"/><Relationship Id="rId_hyperlink_1411" Type="http://schemas.openxmlformats.org/officeDocument/2006/relationships/hyperlink" Target="https%3A%2F%2Fwww.webofscience.com%2Fwos%2Fwoscc%2Ffull-record%2FWOS:000837478000001" TargetMode="External"/><Relationship Id="rId_hyperlink_1412" Type="http://schemas.openxmlformats.org/officeDocument/2006/relationships/hyperlink" Target="https%3A%2F%2Fwww.webofscience.com%2Fwos%2Fwoscc%2Ffull-record%2FWOS:000382516300009" TargetMode="External"/><Relationship Id="rId_hyperlink_1413" Type="http://schemas.openxmlformats.org/officeDocument/2006/relationships/hyperlink" Target="https%3A%2F%2Fwww.webofscience.com%2Fwos%2Fwoscc%2Ffull-record%2FWOS:000398997004110" TargetMode="External"/><Relationship Id="rId_hyperlink_1414" Type="http://schemas.openxmlformats.org/officeDocument/2006/relationships/hyperlink" Target="http://dx.doi.org/10.1134/S1087659607040116" TargetMode="External"/><Relationship Id="rId_hyperlink_1415" Type="http://schemas.openxmlformats.org/officeDocument/2006/relationships/hyperlink" Target="https%3A%2F%2Fwww.webofscience.com%2Fwos%2Fwoscc%2Ffull-record%2FWOS:000249259800011" TargetMode="External"/><Relationship Id="rId_hyperlink_1416" Type="http://schemas.openxmlformats.org/officeDocument/2006/relationships/hyperlink" Target="http://dx.doi.org/10.21538/0134-4889-2022-28-2-56-65" TargetMode="External"/><Relationship Id="rId_hyperlink_1417" Type="http://schemas.openxmlformats.org/officeDocument/2006/relationships/hyperlink" Target="https%3A%2F%2Fwww.webofscience.com%2Fwos%2Fwoscc%2Ffull-record%2FWOS:000905209900004" TargetMode="External"/><Relationship Id="rId_hyperlink_1418" Type="http://schemas.openxmlformats.org/officeDocument/2006/relationships/hyperlink" Target="http://dx.doi.org/10.53350/pjmhs211562072" TargetMode="External"/><Relationship Id="rId_hyperlink_1419" Type="http://schemas.openxmlformats.org/officeDocument/2006/relationships/hyperlink" Target="https%3A%2F%2Fwww.webofscience.com%2Fwos%2Fwoscc%2Ffull-record%2FWOS:000691814600100" TargetMode="External"/><Relationship Id="rId_hyperlink_1420" Type="http://schemas.openxmlformats.org/officeDocument/2006/relationships/hyperlink" Target="http://dx.doi.org/10.1007/s11175-005-0115-y" TargetMode="External"/><Relationship Id="rId_hyperlink_1421" Type="http://schemas.openxmlformats.org/officeDocument/2006/relationships/hyperlink" Target="https%3A%2F%2Fwww.webofscience.com%2Fwos%2Fwoscc%2Ffull-record%2FWOS:000230551900005" TargetMode="External"/><Relationship Id="rId_hyperlink_1422" Type="http://schemas.openxmlformats.org/officeDocument/2006/relationships/hyperlink" Target="https%3A%2F%2Fwww.webofscience.com%2Fwos%2Fwoscc%2Ffull-record%2FWOS:000089046200011" TargetMode="External"/><Relationship Id="rId_hyperlink_1423" Type="http://schemas.openxmlformats.org/officeDocument/2006/relationships/hyperlink" Target="http://dx.doi.org/10.15507/2658-4123.033.202301.037-051" TargetMode="External"/><Relationship Id="rId_hyperlink_1424" Type="http://schemas.openxmlformats.org/officeDocument/2006/relationships/hyperlink" Target="https%3A%2F%2Fwww.webofscience.com%2Fwos%2Fwoscc%2Ffull-record%2FWOS:000994427200002" TargetMode="External"/><Relationship Id="rId_hyperlink_1425" Type="http://schemas.openxmlformats.org/officeDocument/2006/relationships/hyperlink" Target="http://dx.doi.org/10.1134/S1023193521070107" TargetMode="External"/><Relationship Id="rId_hyperlink_1426" Type="http://schemas.openxmlformats.org/officeDocument/2006/relationships/hyperlink" Target="https%3A%2F%2Fwww.webofscience.com%2Fwos%2Fwoscc%2Ffull-record%2FWOS:000694843300004" TargetMode="External"/><Relationship Id="rId_hyperlink_1427" Type="http://schemas.openxmlformats.org/officeDocument/2006/relationships/hyperlink" Target="http://dx.doi.org/10.21538/0134-4889-2021-27-4-48-60" TargetMode="External"/><Relationship Id="rId_hyperlink_1428" Type="http://schemas.openxmlformats.org/officeDocument/2006/relationships/hyperlink" Target="https%3A%2F%2Fwww.webofscience.com%2Fwos%2Fwoscc%2Ffull-record%2FWOS:000756004700004" TargetMode="External"/><Relationship Id="rId_hyperlink_1429" Type="http://schemas.openxmlformats.org/officeDocument/2006/relationships/hyperlink" Target="http://dx.doi.org/10.1109/ACCESS.2021.3116657" TargetMode="External"/><Relationship Id="rId_hyperlink_1430" Type="http://schemas.openxmlformats.org/officeDocument/2006/relationships/hyperlink" Target="https%3A%2F%2Fwww.webofscience.com%2Fwos%2Fwoscc%2Ffull-record%2FWOS:000704104400001" TargetMode="External"/><Relationship Id="rId_hyperlink_1431" Type="http://schemas.openxmlformats.org/officeDocument/2006/relationships/hyperlink" Target="http://dx.doi.org/10.22616/ERDev.2020.19.TF249" TargetMode="External"/><Relationship Id="rId_hyperlink_1432" Type="http://schemas.openxmlformats.org/officeDocument/2006/relationships/hyperlink" Target="https%3A%2F%2Fwww.webofscience.com%2Fwos%2Fwoscc%2Ffull-record%2FWOS:000815085500148" TargetMode="External"/><Relationship Id="rId_hyperlink_1433" Type="http://schemas.openxmlformats.org/officeDocument/2006/relationships/hyperlink" Target="http://dx.doi.org/10.12973/eurasia.2017.00764a" TargetMode="External"/><Relationship Id="rId_hyperlink_1434" Type="http://schemas.openxmlformats.org/officeDocument/2006/relationships/hyperlink" Target="https%3A%2F%2Fwww.webofscience.com%2Fwos%2Fwoscc%2Ffull-record%2FWOS:000404607800063" TargetMode="External"/><Relationship Id="rId_hyperlink_1435" Type="http://schemas.openxmlformats.org/officeDocument/2006/relationships/hyperlink" Target="http://dx.doi.org/10.1111/tan.14552" TargetMode="External"/><Relationship Id="rId_hyperlink_1436" Type="http://schemas.openxmlformats.org/officeDocument/2006/relationships/hyperlink" Target="https%3A%2F%2Fwww.webofscience.com%2Fwos%2Fwoscc%2Ffull-record%2FWOS:000762015700001" TargetMode="External"/><Relationship Id="rId_hyperlink_1437" Type="http://schemas.openxmlformats.org/officeDocument/2006/relationships/hyperlink" Target="http://dx.doi.org/10.25750/1995-4301-2022-2-070-076" TargetMode="External"/><Relationship Id="rId_hyperlink_1438" Type="http://schemas.openxmlformats.org/officeDocument/2006/relationships/hyperlink" Target="https%3A%2F%2Fwww.webofscience.com%2Fwos%2Fwoscc%2Ffull-record%2FWOS:000820802000009" TargetMode="External"/><Relationship Id="rId_hyperlink_1439" Type="http://schemas.openxmlformats.org/officeDocument/2006/relationships/hyperlink" Target="http://dx.doi.org/10.51847/zTI27OVMot" TargetMode="External"/><Relationship Id="rId_hyperlink_1440" Type="http://schemas.openxmlformats.org/officeDocument/2006/relationships/hyperlink" Target="https%3A%2F%2Fwww.webofscience.com%2Fwos%2Fwoscc%2Ffull-record%2FWOS:000899150500009" TargetMode="External"/><Relationship Id="rId_hyperlink_1441" Type="http://schemas.openxmlformats.org/officeDocument/2006/relationships/hyperlink" Target="http://dx.doi.org/10.1109/ElConRus51938.2021.9396681" TargetMode="External"/><Relationship Id="rId_hyperlink_1442" Type="http://schemas.openxmlformats.org/officeDocument/2006/relationships/hyperlink" Target="https%3A%2F%2Fwww.webofscience.com%2Fwos%2Fwoscc%2Ffull-record%2FWOS:000669709800035" TargetMode="External"/><Relationship Id="rId_hyperlink_1443" Type="http://schemas.openxmlformats.org/officeDocument/2006/relationships/hyperlink" Target="https%3A%2F%2Fwww.webofscience.com%2Fwos%2Fwoscc%2Ffull-record%2FWOS:000701397800051" TargetMode="External"/><Relationship Id="rId_hyperlink_1444" Type="http://schemas.openxmlformats.org/officeDocument/2006/relationships/hyperlink" Target="http://dx.doi.org/10.1007/s11029-016-9608-x" TargetMode="External"/><Relationship Id="rId_hyperlink_1445" Type="http://schemas.openxmlformats.org/officeDocument/2006/relationships/hyperlink" Target="https%3A%2F%2Fwww.webofscience.com%2Fwos%2Fwoscc%2Ffull-record%2FWOS:000389992300001" TargetMode="External"/><Relationship Id="rId_hyperlink_1446" Type="http://schemas.openxmlformats.org/officeDocument/2006/relationships/hyperlink" Target="http://dx.doi.org/10.1134/S0020168510030118" TargetMode="External"/><Relationship Id="rId_hyperlink_1447" Type="http://schemas.openxmlformats.org/officeDocument/2006/relationships/hyperlink" Target="https%3A%2F%2Fwww.webofscience.com%2Fwos%2Fwoscc%2Ffull-record%2FWOS:000275748500011" TargetMode="External"/><Relationship Id="rId_hyperlink_1448" Type="http://schemas.openxmlformats.org/officeDocument/2006/relationships/hyperlink" Target="http://dx.doi.org/10.52468/2542-1514.2021.5(4).55-77" TargetMode="External"/><Relationship Id="rId_hyperlink_1449" Type="http://schemas.openxmlformats.org/officeDocument/2006/relationships/hyperlink" Target="https%3A%2F%2Fwww.webofscience.com%2Fwos%2Fwoscc%2Ffull-record%2FWOS:000744098400005" TargetMode="External"/><Relationship Id="rId_hyperlink_1450" Type="http://schemas.openxmlformats.org/officeDocument/2006/relationships/hyperlink" Target="https%3A%2F%2Fwww.webofscience.com%2Fwos%2Fwoscc%2Ffull-record%2FWOS:000572971200043" TargetMode="External"/><Relationship Id="rId_hyperlink_1451" Type="http://schemas.openxmlformats.org/officeDocument/2006/relationships/hyperlink" Target="https%3A%2F%2Fwww.webofscience.com%2Fwos%2Fwoscc%2Ffull-record%2FWOS:000572971200002" TargetMode="External"/><Relationship Id="rId_hyperlink_1452" Type="http://schemas.openxmlformats.org/officeDocument/2006/relationships/hyperlink" Target="http://dx.doi.org/10.1134/S0031918X2007011X" TargetMode="External"/><Relationship Id="rId_hyperlink_1453" Type="http://schemas.openxmlformats.org/officeDocument/2006/relationships/hyperlink" Target="https%3A%2F%2Fwww.webofscience.com%2Fwos%2Fwoscc%2Ffull-record%2FWOS:000565173800011" TargetMode="External"/><Relationship Id="rId_hyperlink_1454" Type="http://schemas.openxmlformats.org/officeDocument/2006/relationships/hyperlink" Target="http://dx.doi.org/10.25750/1995-4301-2019-4-037-044" TargetMode="External"/><Relationship Id="rId_hyperlink_1455" Type="http://schemas.openxmlformats.org/officeDocument/2006/relationships/hyperlink" Target="https%3A%2F%2Fwww.webofscience.com%2Fwos%2Fwoscc%2Ffull-record%2FWOS:000504049400005" TargetMode="External"/><Relationship Id="rId_hyperlink_1456" Type="http://schemas.openxmlformats.org/officeDocument/2006/relationships/hyperlink" Target="http://dx.doi.org/10.1007/s11029-016-9548-5" TargetMode="External"/><Relationship Id="rId_hyperlink_1457" Type="http://schemas.openxmlformats.org/officeDocument/2006/relationships/hyperlink" Target="https%3A%2F%2Fwww.webofscience.com%2Fwos%2Fwoscc%2Ffull-record%2FWOS:000368729200010" TargetMode="External"/><Relationship Id="rId_hyperlink_1458" Type="http://schemas.openxmlformats.org/officeDocument/2006/relationships/hyperlink" Target="http://dx.doi.org/10.3103/S1067821210040103" TargetMode="External"/><Relationship Id="rId_hyperlink_1459" Type="http://schemas.openxmlformats.org/officeDocument/2006/relationships/hyperlink" Target="https%3A%2F%2Fwww.webofscience.com%2Fwos%2Fwoscc%2Ffull-record%2FWOS:000282068400010" TargetMode="External"/><Relationship Id="rId_hyperlink_1460" Type="http://schemas.openxmlformats.org/officeDocument/2006/relationships/hyperlink" Target="http://dx.doi.org/10.22376/ijlpr.2023.13.1.L104-108" TargetMode="External"/><Relationship Id="rId_hyperlink_1461" Type="http://schemas.openxmlformats.org/officeDocument/2006/relationships/hyperlink" Target="https%3A%2F%2Fwww.webofscience.com%2Fwos%2Fwoscc%2Ffull-record%2FWOS:000912047300001" TargetMode="External"/><Relationship Id="rId_hyperlink_1462" Type="http://schemas.openxmlformats.org/officeDocument/2006/relationships/hyperlink" Target="http://dx.doi.org/10.51847/bvPSNlJliW" TargetMode="External"/><Relationship Id="rId_hyperlink_1463" Type="http://schemas.openxmlformats.org/officeDocument/2006/relationships/hyperlink" Target="https%3A%2F%2Fwww.webofscience.com%2Fwos%2Fwoscc%2Ffull-record%2FWOS:000904502200001" TargetMode="External"/><Relationship Id="rId_hyperlink_1464" Type="http://schemas.openxmlformats.org/officeDocument/2006/relationships/hyperlink" Target="http://dx.doi.org/10.17212/1994-6309-2019-21.3-59-71" TargetMode="External"/><Relationship Id="rId_hyperlink_1465" Type="http://schemas.openxmlformats.org/officeDocument/2006/relationships/hyperlink" Target="https%3A%2F%2Fwww.webofscience.com%2Fwos%2Fwoscc%2Ffull-record%2FWOS:000485750300005" TargetMode="External"/><Relationship Id="rId_hyperlink_1466" Type="http://schemas.openxmlformats.org/officeDocument/2006/relationships/hyperlink" Target="http://dx.doi.org/10.1007/978-3-319-60696-5_2" TargetMode="External"/><Relationship Id="rId_hyperlink_1467" Type="http://schemas.openxmlformats.org/officeDocument/2006/relationships/hyperlink" Target="https%3A%2F%2Fwww.webofscience.com%2Fwos%2Fwoscc%2Ffull-record%2FWOS:000426114200002" TargetMode="External"/><Relationship Id="rId_hyperlink_1468" Type="http://schemas.openxmlformats.org/officeDocument/2006/relationships/hyperlink" Target="https%3A%2F%2Fwww.webofscience.com%2Fwos%2Fwoscc%2Ffull-record%2FWOS:000414282400059" TargetMode="External"/><Relationship Id="rId_hyperlink_1469" Type="http://schemas.openxmlformats.org/officeDocument/2006/relationships/hyperlink" Target="http://dx.doi.org/10.1134/S1064229306130151" TargetMode="External"/><Relationship Id="rId_hyperlink_1470" Type="http://schemas.openxmlformats.org/officeDocument/2006/relationships/hyperlink" Target="https%3A%2F%2Fwww.webofscience.com%2Fwos%2Fwoscc%2Ffull-record%2FWOS:000245221500014" TargetMode="External"/><Relationship Id="rId_hyperlink_1471" Type="http://schemas.openxmlformats.org/officeDocument/2006/relationships/hyperlink" Target="http://dx.doi.org/10.1111/tan.15037" TargetMode="External"/><Relationship Id="rId_hyperlink_1472" Type="http://schemas.openxmlformats.org/officeDocument/2006/relationships/hyperlink" Target="https%3A%2F%2Fwww.webofscience.com%2Fwos%2Fwoscc%2Ffull-record%2FWOS:000955109100001" TargetMode="External"/><Relationship Id="rId_hyperlink_1473" Type="http://schemas.openxmlformats.org/officeDocument/2006/relationships/hyperlink" Target="http://dx.doi.org/10.51847/yDF12GeLiV" TargetMode="External"/><Relationship Id="rId_hyperlink_1474" Type="http://schemas.openxmlformats.org/officeDocument/2006/relationships/hyperlink" Target="https%3A%2F%2Fwww.webofscience.com%2Fwos%2Fwoscc%2Ffull-record%2FWOS:000906730900003" TargetMode="External"/><Relationship Id="rId_hyperlink_1475" Type="http://schemas.openxmlformats.org/officeDocument/2006/relationships/hyperlink" Target="http://dx.doi.org/10.25750/1995-4301-2022-1-115-123" TargetMode="External"/><Relationship Id="rId_hyperlink_1476" Type="http://schemas.openxmlformats.org/officeDocument/2006/relationships/hyperlink" Target="https%3A%2F%2Fwww.webofscience.com%2Fwos%2Fwoscc%2Ffull-record%2FWOS:000819811100016" TargetMode="External"/><Relationship Id="rId_hyperlink_1477" Type="http://schemas.openxmlformats.org/officeDocument/2006/relationships/hyperlink" Target="http://dx.doi.org/10.24874/IJQR15.04-08" TargetMode="External"/><Relationship Id="rId_hyperlink_1478" Type="http://schemas.openxmlformats.org/officeDocument/2006/relationships/hyperlink" Target="https%3A%2F%2Fwww.webofscience.com%2Fwos%2Fwoscc%2Ffull-record%2FWOS:000720953800008" TargetMode="External"/><Relationship Id="rId_hyperlink_1479" Type="http://schemas.openxmlformats.org/officeDocument/2006/relationships/hyperlink" Target="http://dx.doi.org/10.1051/e3sconf/202021013037" TargetMode="External"/><Relationship Id="rId_hyperlink_1480" Type="http://schemas.openxmlformats.org/officeDocument/2006/relationships/hyperlink" Target="https%3A%2F%2Fwww.webofscience.com%2Fwos%2Fwoscc%2Ffull-record%2FWOS:000659867301086" TargetMode="External"/><Relationship Id="rId_hyperlink_1481" Type="http://schemas.openxmlformats.org/officeDocument/2006/relationships/hyperlink" Target="http://dx.doi.org/10.1051/matecconf/201710608088" TargetMode="External"/><Relationship Id="rId_hyperlink_1482" Type="http://schemas.openxmlformats.org/officeDocument/2006/relationships/hyperlink" Target="https%3A%2F%2Fwww.webofscience.com%2Fwos%2Fwoscc%2Ffull-record%2FWOS:000426426600273" TargetMode="External"/><Relationship Id="rId_hyperlink_1483" Type="http://schemas.openxmlformats.org/officeDocument/2006/relationships/hyperlink" Target="http://dx.doi.org/10.1007/s11029-016-9566-3" TargetMode="External"/><Relationship Id="rId_hyperlink_1484" Type="http://schemas.openxmlformats.org/officeDocument/2006/relationships/hyperlink" Target="https%3A%2F%2Fwww.webofscience.com%2Fwos%2Fwoscc%2Ffull-record%2FWOS:000376306600001" TargetMode="External"/><Relationship Id="rId_hyperlink_1485" Type="http://schemas.openxmlformats.org/officeDocument/2006/relationships/hyperlink" Target="http://dx.doi.org/10.1111/tan.14944" TargetMode="External"/><Relationship Id="rId_hyperlink_1486" Type="http://schemas.openxmlformats.org/officeDocument/2006/relationships/hyperlink" Target="https%3A%2F%2Fwww.webofscience.com%2Fwos%2Fwoscc%2Ffull-record%2FWOS:000903700500001" TargetMode="External"/><Relationship Id="rId_hyperlink_1487" Type="http://schemas.openxmlformats.org/officeDocument/2006/relationships/hyperlink" Target="http://dx.doi.org/10.17223/15617793/476/13" TargetMode="External"/><Relationship Id="rId_hyperlink_1488" Type="http://schemas.openxmlformats.org/officeDocument/2006/relationships/hyperlink" Target="https%3A%2F%2Fwww.webofscience.com%2Fwos%2Fwoscc%2Ffull-record%2FWOS:000868947100013" TargetMode="External"/><Relationship Id="rId_hyperlink_1489" Type="http://schemas.openxmlformats.org/officeDocument/2006/relationships/hyperlink" Target="http://dx.doi.org/10.18083/LCAppl.2020.4.93" TargetMode="External"/><Relationship Id="rId_hyperlink_1490" Type="http://schemas.openxmlformats.org/officeDocument/2006/relationships/hyperlink" Target="https%3A%2F%2Fwww.webofscience.com%2Fwos%2Fwoscc%2Ffull-record%2FWOS:000604530500010" TargetMode="External"/><Relationship Id="rId_hyperlink_1491" Type="http://schemas.openxmlformats.org/officeDocument/2006/relationships/hyperlink" Target="http://dx.doi.org/10.25750/1995-4301-2020-2-130-135" TargetMode="External"/><Relationship Id="rId_hyperlink_1492" Type="http://schemas.openxmlformats.org/officeDocument/2006/relationships/hyperlink" Target="https%3A%2F%2Fwww.webofscience.com%2Fwos%2Fwoscc%2Ffull-record%2FWOS:000545295600018" TargetMode="External"/><Relationship Id="rId_hyperlink_1493" Type="http://schemas.openxmlformats.org/officeDocument/2006/relationships/hyperlink" Target="http://dx.doi.org/10.24224/2227-1295-2020-7-266-283" TargetMode="External"/><Relationship Id="rId_hyperlink_1494" Type="http://schemas.openxmlformats.org/officeDocument/2006/relationships/hyperlink" Target="https%3A%2F%2Fwww.webofscience.com%2Fwos%2Fwoscc%2Ffull-record%2FWOS:000568419600017" TargetMode="External"/><Relationship Id="rId_hyperlink_1495" Type="http://schemas.openxmlformats.org/officeDocument/2006/relationships/hyperlink" Target="http://dx.doi.org/10.1007/978-3-030-22063-1_37" TargetMode="External"/><Relationship Id="rId_hyperlink_1496" Type="http://schemas.openxmlformats.org/officeDocument/2006/relationships/hyperlink" Target="https%3A%2F%2Fwww.webofscience.com%2Fwos%2Fwoscc%2Ffull-record%2FWOS:000613005500037" TargetMode="External"/><Relationship Id="rId_hyperlink_1497" Type="http://schemas.openxmlformats.org/officeDocument/2006/relationships/hyperlink" Target="http://dx.doi.org/10.1088/1757-899X/489/1/012030" TargetMode="External"/><Relationship Id="rId_hyperlink_1498" Type="http://schemas.openxmlformats.org/officeDocument/2006/relationships/hyperlink" Target="https%3A%2F%2Fwww.webofscience.com%2Fwos%2Fwoscc%2Ffull-record%2FWOS:000471174700030" TargetMode="External"/><Relationship Id="rId_hyperlink_1499" Type="http://schemas.openxmlformats.org/officeDocument/2006/relationships/hyperlink" Target="http://dx.doi.org/10.15405/epsbs.2018.09.2" TargetMode="External"/><Relationship Id="rId_hyperlink_1500" Type="http://schemas.openxmlformats.org/officeDocument/2006/relationships/hyperlink" Target="https%3A%2F%2Fwww.webofscience.com%2Fwos%2Fwoscc%2Ffull-record%2FWOS:000472144400002" TargetMode="External"/><Relationship Id="rId_hyperlink_1501" Type="http://schemas.openxmlformats.org/officeDocument/2006/relationships/hyperlink" Target="https%3A%2F%2Fwww.webofscience.com%2Fwos%2Fwoscc%2Ffull-record%2FWOS:000455325300065" TargetMode="External"/><Relationship Id="rId_hyperlink_1502" Type="http://schemas.openxmlformats.org/officeDocument/2006/relationships/hyperlink" Target="http://dx.doi.org/10.1007/s11029-015-9500-0" TargetMode="External"/><Relationship Id="rId_hyperlink_1503" Type="http://schemas.openxmlformats.org/officeDocument/2006/relationships/hyperlink" Target="https%3A%2F%2Fwww.webofscience.com%2Fwos%2Fwoscc%2Ffull-record%2FWOS:000360935200003" TargetMode="External"/><Relationship Id="rId_hyperlink_1504" Type="http://schemas.openxmlformats.org/officeDocument/2006/relationships/hyperlink" Target="http://dx.doi.org/10.1134/S1023193509060093" TargetMode="External"/><Relationship Id="rId_hyperlink_1505" Type="http://schemas.openxmlformats.org/officeDocument/2006/relationships/hyperlink" Target="https%3A%2F%2Fwww.webofscience.com%2Fwos%2Fwoscc%2Ffull-record%2FWOS:000267670800009" TargetMode="External"/><Relationship Id="rId_hyperlink_1506" Type="http://schemas.openxmlformats.org/officeDocument/2006/relationships/hyperlink" Target="https%3A%2F%2Fwww.webofscience.com%2Fwos%2Fwoscc%2Ffull-record%2FWOS:000166725200018" TargetMode="External"/><Relationship Id="rId_hyperlink_1507" Type="http://schemas.openxmlformats.org/officeDocument/2006/relationships/hyperlink" Target="http://dx.doi.org/10.1016/j.jpdc.2020.02.006" TargetMode="External"/><Relationship Id="rId_hyperlink_1508" Type="http://schemas.openxmlformats.org/officeDocument/2006/relationships/hyperlink" Target="https%3A%2F%2Fwww.webofscience.com%2Fwos%2Fwoscc%2Ffull-record%2FWOS:000527288900003" TargetMode="External"/><Relationship Id="rId_hyperlink_1509" Type="http://schemas.openxmlformats.org/officeDocument/2006/relationships/hyperlink" Target="http://dx.doi.org/10.18720/MPM.4262019_14" TargetMode="External"/><Relationship Id="rId_hyperlink_1510" Type="http://schemas.openxmlformats.org/officeDocument/2006/relationships/hyperlink" Target="https%3A%2F%2Fwww.webofscience.com%2Fwos%2Fwoscc%2Ffull-record%2FWOS:000504843000014" TargetMode="External"/><Relationship Id="rId_hyperlink_1511" Type="http://schemas.openxmlformats.org/officeDocument/2006/relationships/hyperlink" Target="http://dx.doi.org/10.1016/j.matpr.2019.07.680" TargetMode="External"/><Relationship Id="rId_hyperlink_1512" Type="http://schemas.openxmlformats.org/officeDocument/2006/relationships/hyperlink" Target="https%3A%2F%2Fwww.webofscience.com%2Fwos%2Fwoscc%2Ffull-record%2FWOS:000507473500119" TargetMode="External"/><Relationship Id="rId_hyperlink_1513" Type="http://schemas.openxmlformats.org/officeDocument/2006/relationships/hyperlink" Target="http://dx.doi.org/10.1109/IIAI-AAI.2016.92" TargetMode="External"/><Relationship Id="rId_hyperlink_1514" Type="http://schemas.openxmlformats.org/officeDocument/2006/relationships/hyperlink" Target="https%3A%2F%2Fwww.webofscience.com%2Fwos%2Fwoscc%2Ffull-record%2FWOS:000389501300131" TargetMode="External"/><Relationship Id="rId_hyperlink_1515" Type="http://schemas.openxmlformats.org/officeDocument/2006/relationships/hyperlink" Target="http://dx.doi.org/10.1007/s11175-005-0116-x" TargetMode="External"/><Relationship Id="rId_hyperlink_1516" Type="http://schemas.openxmlformats.org/officeDocument/2006/relationships/hyperlink" Target="https%3A%2F%2Fwww.webofscience.com%2Fwos%2Fwoscc%2Ffull-record%2FWOS:000230551900006" TargetMode="External"/><Relationship Id="rId_hyperlink_1517" Type="http://schemas.openxmlformats.org/officeDocument/2006/relationships/hyperlink" Target="http://dx.doi.org/10.1023/B:JANC.0000040698.44884.ad" TargetMode="External"/><Relationship Id="rId_hyperlink_1518" Type="http://schemas.openxmlformats.org/officeDocument/2006/relationships/hyperlink" Target="https%3A%2F%2Fwww.webofscience.com%2Fwos%2Fwoscc%2Ffull-record%2FWOS:000224141700006" TargetMode="External"/><Relationship Id="rId_hyperlink_1519" Type="http://schemas.openxmlformats.org/officeDocument/2006/relationships/hyperlink" Target="http://dx.doi.org/10.1111/tan.14558" TargetMode="External"/><Relationship Id="rId_hyperlink_1520" Type="http://schemas.openxmlformats.org/officeDocument/2006/relationships/hyperlink" Target="https%3A%2F%2Fwww.webofscience.com%2Fwos%2Fwoscc%2Ffull-record%2FWOS:000749250800001" TargetMode="External"/><Relationship Id="rId_hyperlink_1521" Type="http://schemas.openxmlformats.org/officeDocument/2006/relationships/hyperlink" Target="http://dx.doi.org/10.17223/23062061/23/7" TargetMode="External"/><Relationship Id="rId_hyperlink_1522" Type="http://schemas.openxmlformats.org/officeDocument/2006/relationships/hyperlink" Target="https%3A%2F%2Fwww.webofscience.com%2Fwos%2Fwoscc%2Ffull-record%2FWOS:000574371400007" TargetMode="External"/><Relationship Id="rId_hyperlink_1523" Type="http://schemas.openxmlformats.org/officeDocument/2006/relationships/hyperlink" Target="http://dx.doi.org/10.1051/matecconf/201710608076" TargetMode="External"/><Relationship Id="rId_hyperlink_1524" Type="http://schemas.openxmlformats.org/officeDocument/2006/relationships/hyperlink" Target="https%3A%2F%2Fwww.webofscience.com%2Fwos%2Fwoscc%2Ffull-record%2FWOS:000426426600261" TargetMode="External"/><Relationship Id="rId_hyperlink_1525" Type="http://schemas.openxmlformats.org/officeDocument/2006/relationships/hyperlink" Target="http://dx.doi.org/10.1134/S0020168506050049" TargetMode="External"/><Relationship Id="rId_hyperlink_1526" Type="http://schemas.openxmlformats.org/officeDocument/2006/relationships/hyperlink" Target="https%3A%2F%2Fwww.webofscience.com%2Fwos%2Fwoscc%2Ffull-record%2FWOS:000237676000004" TargetMode="External"/><Relationship Id="rId_hyperlink_1527" Type="http://schemas.openxmlformats.org/officeDocument/2006/relationships/hyperlink" Target="http://dx.doi.org/10.51847/h2jlKTkM26" TargetMode="External"/><Relationship Id="rId_hyperlink_1528" Type="http://schemas.openxmlformats.org/officeDocument/2006/relationships/hyperlink" Target="https%3A%2F%2Fwww.webofscience.com%2Fwos%2Fwoscc%2Ffull-record%2FWOS:000899154600008" TargetMode="External"/><Relationship Id="rId_hyperlink_1529" Type="http://schemas.openxmlformats.org/officeDocument/2006/relationships/hyperlink" Target="http://dx.doi.org/10.37482/0536-1036-2020-3-128-142" TargetMode="External"/><Relationship Id="rId_hyperlink_1530" Type="http://schemas.openxmlformats.org/officeDocument/2006/relationships/hyperlink" Target="https%3A%2F%2Fwww.webofscience.com%2Fwos%2Fwoscc%2Ffull-record%2FWOS:000540068900010" TargetMode="External"/><Relationship Id="rId_hyperlink_1531" Type="http://schemas.openxmlformats.org/officeDocument/2006/relationships/hyperlink" Target="http://dx.doi.org/10.25750/1995-4301-2019-1-023-029" TargetMode="External"/><Relationship Id="rId_hyperlink_1532" Type="http://schemas.openxmlformats.org/officeDocument/2006/relationships/hyperlink" Target="https%3A%2F%2Fwww.webofscience.com%2Fwos%2Fwoscc%2Ffull-record%2FWOS:000468565900003" TargetMode="External"/><Relationship Id="rId_hyperlink_1533" Type="http://schemas.openxmlformats.org/officeDocument/2006/relationships/hyperlink" Target="http://dx.doi.org/10.1088/1757-899X/451/1/012205" TargetMode="External"/><Relationship Id="rId_hyperlink_1534" Type="http://schemas.openxmlformats.org/officeDocument/2006/relationships/hyperlink" Target="https%3A%2F%2Fwww.webofscience.com%2Fwos%2Fwoscc%2Ffull-record%2FWOS:000648426900205" TargetMode="External"/><Relationship Id="rId_hyperlink_1535" Type="http://schemas.openxmlformats.org/officeDocument/2006/relationships/hyperlink" Target="http://dx.doi.org/10.1051/matecconf/201710608083" TargetMode="External"/><Relationship Id="rId_hyperlink_1536" Type="http://schemas.openxmlformats.org/officeDocument/2006/relationships/hyperlink" Target="https%3A%2F%2Fwww.webofscience.com%2Fwos%2Fwoscc%2Ffull-record%2FWOS:000426426600268" TargetMode="External"/><Relationship Id="rId_hyperlink_1537" Type="http://schemas.openxmlformats.org/officeDocument/2006/relationships/hyperlink" Target="http://dx.doi.org/10.1051/matecconf/201710608086" TargetMode="External"/><Relationship Id="rId_hyperlink_1538" Type="http://schemas.openxmlformats.org/officeDocument/2006/relationships/hyperlink" Target="https%3A%2F%2Fwww.webofscience.com%2Fwos%2Fwoscc%2Ffull-record%2FWOS:000426426600271" TargetMode="External"/><Relationship Id="rId_hyperlink_1539" Type="http://schemas.openxmlformats.org/officeDocument/2006/relationships/hyperlink" Target="https%3A%2F%2Fwww.webofscience.com%2Fwos%2Fwoscc%2Ffull-record%2FWOS:000378098500062" TargetMode="External"/><Relationship Id="rId_hyperlink_1540" Type="http://schemas.openxmlformats.org/officeDocument/2006/relationships/hyperlink" Target="http://dx.doi.org/10.1134/S1560090412030050" TargetMode="External"/><Relationship Id="rId_hyperlink_1541" Type="http://schemas.openxmlformats.org/officeDocument/2006/relationships/hyperlink" Target="https%3A%2F%2Fwww.webofscience.com%2Fwos%2Fwoscc%2Ffull-record%2FWOS:000303357200005" TargetMode="External"/><Relationship Id="rId_hyperlink_1542" Type="http://schemas.openxmlformats.org/officeDocument/2006/relationships/hyperlink" Target="http://dx.doi.org/10.1111/tan.14802" TargetMode="External"/><Relationship Id="rId_hyperlink_1543" Type="http://schemas.openxmlformats.org/officeDocument/2006/relationships/hyperlink" Target="https%3A%2F%2Fwww.webofscience.com%2Fwos%2Fwoscc%2Ffull-record%2FWOS:000853301800001" TargetMode="External"/><Relationship Id="rId_hyperlink_1544" Type="http://schemas.openxmlformats.org/officeDocument/2006/relationships/hyperlink" Target="http://dx.doi.org/10.1111/tan.14683" TargetMode="External"/><Relationship Id="rId_hyperlink_1545" Type="http://schemas.openxmlformats.org/officeDocument/2006/relationships/hyperlink" Target="https%3A%2F%2Fwww.webofscience.com%2Fwos%2Fwoscc%2Ffull-record%2FWOS:000807523600001" TargetMode="External"/><Relationship Id="rId_hyperlink_1546" Type="http://schemas.openxmlformats.org/officeDocument/2006/relationships/hyperlink" Target="http://dx.doi.org/10.22038/IJP.2021.56526.4442" TargetMode="External"/><Relationship Id="rId_hyperlink_1547" Type="http://schemas.openxmlformats.org/officeDocument/2006/relationships/hyperlink" Target="https%3A%2F%2Fwww.webofscience.com%2Fwos%2Fwoscc%2Ffull-record%2FWOS:000641158200005" TargetMode="External"/><Relationship Id="rId_hyperlink_1548" Type="http://schemas.openxmlformats.org/officeDocument/2006/relationships/hyperlink" Target="http://dx.doi.org/10.17059/ekon.reg.2021-4-22" TargetMode="External"/><Relationship Id="rId_hyperlink_1549" Type="http://schemas.openxmlformats.org/officeDocument/2006/relationships/hyperlink" Target="https%3A%2F%2Fwww.webofscience.com%2Fwos%2Fwoscc%2Ffull-record%2FWOS:000753139500022" TargetMode="External"/><Relationship Id="rId_hyperlink_1550" Type="http://schemas.openxmlformats.org/officeDocument/2006/relationships/hyperlink" Target="http://dx.doi.org/10.1088/1757-899X/940/1/012053" TargetMode="External"/><Relationship Id="rId_hyperlink_1551" Type="http://schemas.openxmlformats.org/officeDocument/2006/relationships/hyperlink" Target="https%3A%2F%2Fwww.webofscience.com%2Fwos%2Fwoscc%2Ffull-record%2FWOS:000632620800053" TargetMode="External"/><Relationship Id="rId_hyperlink_1552" Type="http://schemas.openxmlformats.org/officeDocument/2006/relationships/hyperlink" Target="http://dx.doi.org/10.1007/978-3-319-13186-3_21" TargetMode="External"/><Relationship Id="rId_hyperlink_1553" Type="http://schemas.openxmlformats.org/officeDocument/2006/relationships/hyperlink" Target="https%3A%2F%2Fwww.webofscience.com%2Fwos%2Fwoscc%2Ffull-record%2FWOS:000354705300021" TargetMode="External"/><Relationship Id="rId_hyperlink_1554" Type="http://schemas.openxmlformats.org/officeDocument/2006/relationships/hyperlink" Target="http://dx.doi.org/10.3103/S1066369X2302007X" TargetMode="External"/><Relationship Id="rId_hyperlink_1555" Type="http://schemas.openxmlformats.org/officeDocument/2006/relationships/hyperlink" Target="https%3A%2F%2Fwww.webofscience.com%2Fwos%2Fwoscc%2Ffull-record%2FWOS:000998928200002" TargetMode="External"/><Relationship Id="rId_hyperlink_1556" Type="http://schemas.openxmlformats.org/officeDocument/2006/relationships/hyperlink" Target="http://dx.doi.org/10.1111/tan.14838" TargetMode="External"/><Relationship Id="rId_hyperlink_1557" Type="http://schemas.openxmlformats.org/officeDocument/2006/relationships/hyperlink" Target="https%3A%2F%2Fwww.webofscience.com%2Fwos%2Fwoscc%2Ffull-record%2FWOS:000865644000001" TargetMode="External"/><Relationship Id="rId_hyperlink_1558" Type="http://schemas.openxmlformats.org/officeDocument/2006/relationships/hyperlink" Target="http://dx.doi.org/10.1134/S1023193521090056" TargetMode="External"/><Relationship Id="rId_hyperlink_1559" Type="http://schemas.openxmlformats.org/officeDocument/2006/relationships/hyperlink" Target="https%3A%2F%2Fwww.webofscience.com%2Fwos%2Fwoscc%2Ffull-record%2FWOS:000702661000003" TargetMode="External"/><Relationship Id="rId_hyperlink_1560" Type="http://schemas.openxmlformats.org/officeDocument/2006/relationships/hyperlink" Target="http://dx.doi.org/10.25750/1995-4301-2021-2-115-121" TargetMode="External"/><Relationship Id="rId_hyperlink_1561" Type="http://schemas.openxmlformats.org/officeDocument/2006/relationships/hyperlink" Target="https%3A%2F%2Fwww.webofscience.com%2Fwos%2Fwoscc%2Ffull-record%2FWOS:000667025400016" TargetMode="External"/><Relationship Id="rId_hyperlink_1562" Type="http://schemas.openxmlformats.org/officeDocument/2006/relationships/hyperlink" Target="http://dx.doi.org/10.25750/1995-4301-2019-2-131-136" TargetMode="External"/><Relationship Id="rId_hyperlink_1563" Type="http://schemas.openxmlformats.org/officeDocument/2006/relationships/hyperlink" Target="https%3A%2F%2Fwww.webofscience.com%2Fwos%2Fwoscc%2Ffull-record%2FWOS:000477826000016" TargetMode="External"/><Relationship Id="rId_hyperlink_1564" Type="http://schemas.openxmlformats.org/officeDocument/2006/relationships/hyperlink" Target="https%3A%2F%2Fwww.webofscience.com%2Fwos%2Fwoscc%2Ffull-record%2FWOS:000679066800117" TargetMode="External"/><Relationship Id="rId_hyperlink_1565" Type="http://schemas.openxmlformats.org/officeDocument/2006/relationships/hyperlink" Target="http://dx.doi.org/10.12973/eurasia.2017.00931a" TargetMode="External"/><Relationship Id="rId_hyperlink_1566" Type="http://schemas.openxmlformats.org/officeDocument/2006/relationships/hyperlink" Target="https%3A%2F%2Fwww.webofscience.com%2Fwos%2Fwoscc%2Ffull-record%2FWOS:000409067500002" TargetMode="External"/><Relationship Id="rId_hyperlink_1567" Type="http://schemas.openxmlformats.org/officeDocument/2006/relationships/hyperlink" Target="http://dx.doi.org/10.1007/s11029-015-9531-6" TargetMode="External"/><Relationship Id="rId_hyperlink_1568" Type="http://schemas.openxmlformats.org/officeDocument/2006/relationships/hyperlink" Target="https%3A%2F%2Fwww.webofscience.com%2Fwos%2Fwoscc%2Ffull-record%2FWOS:000365271200007" TargetMode="External"/><Relationship Id="rId_hyperlink_1569" Type="http://schemas.openxmlformats.org/officeDocument/2006/relationships/hyperlink" Target="http://dx.doi.org/10.1109/ISKE.2015.28" TargetMode="External"/><Relationship Id="rId_hyperlink_1570" Type="http://schemas.openxmlformats.org/officeDocument/2006/relationships/hyperlink" Target="https%3A%2F%2Fwww.webofscience.com%2Fwos%2Fwoscc%2Ffull-record%2FWOS:000380396100006" TargetMode="External"/><Relationship Id="rId_hyperlink_1571" Type="http://schemas.openxmlformats.org/officeDocument/2006/relationships/hyperlink" Target="http://dx.doi.org/10.1007/s10720-005-0067-z" TargetMode="External"/><Relationship Id="rId_hyperlink_1572" Type="http://schemas.openxmlformats.org/officeDocument/2006/relationships/hyperlink" Target="https%3A%2F%2Fwww.webofscience.com%2Fwos%2Fwoscc%2Ffull-record%2FWOS:000230552700013" TargetMode="External"/><Relationship Id="rId_hyperlink_1573" Type="http://schemas.openxmlformats.org/officeDocument/2006/relationships/hyperlink" Target="http://dx.doi.org/10.1007/s11175-005-0102-3" TargetMode="External"/><Relationship Id="rId_hyperlink_1574" Type="http://schemas.openxmlformats.org/officeDocument/2006/relationships/hyperlink" Target="https%3A%2F%2Fwww.webofscience.com%2Fwos%2Fwoscc%2Ffull-record%2FWOS:000229725000015" TargetMode="External"/><Relationship Id="rId_hyperlink_1575" Type="http://schemas.openxmlformats.org/officeDocument/2006/relationships/hyperlink" Target="http://dx.doi.org/10.13187/ejced.2023.1.173" TargetMode="External"/><Relationship Id="rId_hyperlink_1576" Type="http://schemas.openxmlformats.org/officeDocument/2006/relationships/hyperlink" Target="https%3A%2F%2Fwww.webofscience.com%2Fwos%2Fwoscc%2Ffull-record%2FWOS:000961369300014" TargetMode="External"/><Relationship Id="rId_hyperlink_1577" Type="http://schemas.openxmlformats.org/officeDocument/2006/relationships/hyperlink" Target="http://dx.doi.org/10.25750/1995-4301-2020-4-035-042" TargetMode="External"/><Relationship Id="rId_hyperlink_1578" Type="http://schemas.openxmlformats.org/officeDocument/2006/relationships/hyperlink" Target="https%3A%2F%2Fwww.webofscience.com%2Fwos%2Fwoscc%2Ffull-record%2FWOS:000597810500005" TargetMode="External"/><Relationship Id="rId_hyperlink_1579" Type="http://schemas.openxmlformats.org/officeDocument/2006/relationships/hyperlink" Target="https%3A%2F%2Fwww.webofscience.com%2Fwos%2Fwoscc%2Ffull-record%2FWOS:000416099600006" TargetMode="External"/><Relationship Id="rId_hyperlink_1580" Type="http://schemas.openxmlformats.org/officeDocument/2006/relationships/hyperlink" Target="http://dx.doi.org/10.1016/j.proeng.2017.10.488" TargetMode="External"/><Relationship Id="rId_hyperlink_1581" Type="http://schemas.openxmlformats.org/officeDocument/2006/relationships/hyperlink" Target="https%3A%2F%2Fwww.webofscience.com%2Fwos%2Fwoscc%2Ffull-record%2FWOS:000425674300061" TargetMode="External"/><Relationship Id="rId_hyperlink_1582" Type="http://schemas.openxmlformats.org/officeDocument/2006/relationships/hyperlink" Target="https%3A%2F%2Fwww.webofscience.com%2Fwos%2Fwoscc%2Ffull-record%2FWOS:000357702500014" TargetMode="External"/><Relationship Id="rId_hyperlink_1583" Type="http://schemas.openxmlformats.org/officeDocument/2006/relationships/hyperlink" Target="http://dx.doi.org/10.17223/19996195/53/14" TargetMode="External"/><Relationship Id="rId_hyperlink_1584" Type="http://schemas.openxmlformats.org/officeDocument/2006/relationships/hyperlink" Target="https%3A%2F%2Fwww.webofscience.com%2Fwos%2Fwoscc%2Ffull-record%2FWOS:000654299500014" TargetMode="External"/><Relationship Id="rId_hyperlink_1585" Type="http://schemas.openxmlformats.org/officeDocument/2006/relationships/hyperlink" Target="http://dx.doi.org/10.1134/S102319351708002X" TargetMode="External"/><Relationship Id="rId_hyperlink_1586" Type="http://schemas.openxmlformats.org/officeDocument/2006/relationships/hyperlink" Target="https%3A%2F%2Fwww.webofscience.com%2Fwos%2Fwoscc%2Ffull-record%2FWOS:000409010200001" TargetMode="External"/><Relationship Id="rId_hyperlink_1587" Type="http://schemas.openxmlformats.org/officeDocument/2006/relationships/hyperlink" Target="http://dx.doi.org/10.1051/matecconf/201710608079" TargetMode="External"/><Relationship Id="rId_hyperlink_1588" Type="http://schemas.openxmlformats.org/officeDocument/2006/relationships/hyperlink" Target="https%3A%2F%2Fwww.webofscience.com%2Fwos%2Fwoscc%2Ffull-record%2FWOS:000426426600264" TargetMode="External"/><Relationship Id="rId_hyperlink_1589" Type="http://schemas.openxmlformats.org/officeDocument/2006/relationships/hyperlink" Target="http://dx.doi.org/10.1007/s11045-016-0394-3" TargetMode="External"/><Relationship Id="rId_hyperlink_1590" Type="http://schemas.openxmlformats.org/officeDocument/2006/relationships/hyperlink" Target="https%3A%2F%2Fwww.webofscience.com%2Fwos%2Fwoscc%2Ffull-record%2FWOS:000374691700006" TargetMode="External"/><Relationship Id="rId_hyperlink_1591" Type="http://schemas.openxmlformats.org/officeDocument/2006/relationships/hyperlink" Target="https%3A%2F%2Fwww.webofscience.com%2Fwos%2Fwoscc%2Ffull-record%2FWOS:000380404000079" TargetMode="External"/><Relationship Id="rId_hyperlink_1592" Type="http://schemas.openxmlformats.org/officeDocument/2006/relationships/hyperlink" Target="http://dx.doi.org/10.1134/S1023193513080132" TargetMode="External"/><Relationship Id="rId_hyperlink_1593" Type="http://schemas.openxmlformats.org/officeDocument/2006/relationships/hyperlink" Target="https%3A%2F%2Fwww.webofscience.com%2Fwos%2Fwoscc%2Ffull-record%2FWOS:000323258500008" TargetMode="External"/><Relationship Id="rId_hyperlink_1594" Type="http://schemas.openxmlformats.org/officeDocument/2006/relationships/hyperlink" Target="http://dx.doi.org/10.1111/tan.15042" TargetMode="External"/><Relationship Id="rId_hyperlink_1595" Type="http://schemas.openxmlformats.org/officeDocument/2006/relationships/hyperlink" Target="https%3A%2F%2Fwww.webofscience.com%2Fwos%2Fwoscc%2Ffull-record%2FWOS:000955626700001" TargetMode="External"/><Relationship Id="rId_hyperlink_1596" Type="http://schemas.openxmlformats.org/officeDocument/2006/relationships/hyperlink" Target="http://dx.doi.org/10.1134/S0001434622030014" TargetMode="External"/><Relationship Id="rId_hyperlink_1597" Type="http://schemas.openxmlformats.org/officeDocument/2006/relationships/hyperlink" Target="https%3A%2F%2Fwww.webofscience.com%2Fwos%2Fwoscc%2Ffull-record%2FWOS:000787851100001" TargetMode="External"/><Relationship Id="rId_hyperlink_1598" Type="http://schemas.openxmlformats.org/officeDocument/2006/relationships/hyperlink" Target="http://dx.doi.org/10.14529/mmp210206" TargetMode="External"/><Relationship Id="rId_hyperlink_1599" Type="http://schemas.openxmlformats.org/officeDocument/2006/relationships/hyperlink" Target="https%3A%2F%2Fwww.webofscience.com%2Fwos%2Fwoscc%2Ffull-record%2FWOS:000657624800006" TargetMode="External"/><Relationship Id="rId_hyperlink_1600" Type="http://schemas.openxmlformats.org/officeDocument/2006/relationships/hyperlink" Target="https%3A%2F%2Fwww.webofscience.com%2Fwos%2Fwoscc%2Ffull-record%2FWOS:000572971200050" TargetMode="External"/><Relationship Id="rId_hyperlink_1601" Type="http://schemas.openxmlformats.org/officeDocument/2006/relationships/hyperlink" Target="http://dx.doi.org/10.1016/j.matpr.2018.12.138" TargetMode="External"/><Relationship Id="rId_hyperlink_1602" Type="http://schemas.openxmlformats.org/officeDocument/2006/relationships/hyperlink" Target="https%3A%2F%2Fwww.webofscience.com%2Fwos%2Fwoscc%2Ffull-record%2FWOS:000463193400042" TargetMode="External"/><Relationship Id="rId_hyperlink_1603" Type="http://schemas.openxmlformats.org/officeDocument/2006/relationships/hyperlink" Target="http://dx.doi.org/10.3897/ap.1.e0448" TargetMode="External"/><Relationship Id="rId_hyperlink_1604" Type="http://schemas.openxmlformats.org/officeDocument/2006/relationships/hyperlink" Target="https%3A%2F%2Fwww.webofscience.com%2Fwos%2Fwoscc%2Ffull-record%2FWOS:000520005200048" TargetMode="External"/><Relationship Id="rId_hyperlink_1605" Type="http://schemas.openxmlformats.org/officeDocument/2006/relationships/hyperlink" Target="http://dx.doi.org/10.17223/19986645/54/4" TargetMode="External"/><Relationship Id="rId_hyperlink_1606" Type="http://schemas.openxmlformats.org/officeDocument/2006/relationships/hyperlink" Target="https%3A%2F%2Fwww.webofscience.com%2Fwos%2Fwoscc%2Ffull-record%2FWOS:000448064100004" TargetMode="External"/><Relationship Id="rId_hyperlink_1607" Type="http://schemas.openxmlformats.org/officeDocument/2006/relationships/hyperlink" Target="http://dx.doi.org/10.1088/1742-6596/1015/3/032068" TargetMode="External"/><Relationship Id="rId_hyperlink_1608" Type="http://schemas.openxmlformats.org/officeDocument/2006/relationships/hyperlink" Target="https%3A%2F%2Fwww.webofscience.com%2Fwos%2Fwoscc%2Ffull-record%2FWOS:000446952000087" TargetMode="External"/><Relationship Id="rId_hyperlink_1609" Type="http://schemas.openxmlformats.org/officeDocument/2006/relationships/hyperlink" Target="http://dx.doi.org/10.1051/matecconf/201710608082" TargetMode="External"/><Relationship Id="rId_hyperlink_1610" Type="http://schemas.openxmlformats.org/officeDocument/2006/relationships/hyperlink" Target="https%3A%2F%2Fwww.webofscience.com%2Fwos%2Fwoscc%2Ffull-record%2FWOS:000426426600267" TargetMode="External"/><Relationship Id="rId_hyperlink_1611" Type="http://schemas.openxmlformats.org/officeDocument/2006/relationships/hyperlink" Target="https%3A%2F%2Fwww.webofscience.com%2Fwos%2Fwoscc%2Ffull-record%2FWOS:000380571600028" TargetMode="External"/><Relationship Id="rId_hyperlink_1612" Type="http://schemas.openxmlformats.org/officeDocument/2006/relationships/hyperlink" Target="http://dx.doi.org/10.20542/0131-2227-2020-64-8-91-100" TargetMode="External"/><Relationship Id="rId_hyperlink_1613" Type="http://schemas.openxmlformats.org/officeDocument/2006/relationships/hyperlink" Target="https%3A%2F%2Fwww.webofscience.com%2Fwos%2Fwoscc%2Ffull-record%2FWOS:000569062500010" TargetMode="External"/><Relationship Id="rId_hyperlink_1614" Type="http://schemas.openxmlformats.org/officeDocument/2006/relationships/hyperlink" Target="http://dx.doi.org/10.22055/RALS.2020.16291" TargetMode="External"/><Relationship Id="rId_hyperlink_1615" Type="http://schemas.openxmlformats.org/officeDocument/2006/relationships/hyperlink" Target="https%3A%2F%2Fwww.webofscience.com%2Fwos%2Fwoscc%2Ffull-record%2FWOS:000611609000013" TargetMode="External"/><Relationship Id="rId_hyperlink_1616" Type="http://schemas.openxmlformats.org/officeDocument/2006/relationships/hyperlink" Target="http://dx.doi.org/10.17150/2500-4255.2019.13(3).489-497" TargetMode="External"/><Relationship Id="rId_hyperlink_1617" Type="http://schemas.openxmlformats.org/officeDocument/2006/relationships/hyperlink" Target="https%3A%2F%2Fwww.webofscience.com%2Fwos%2Fwoscc%2Ffull-record%2FWOS:000474306700012" TargetMode="External"/><Relationship Id="rId_hyperlink_1618" Type="http://schemas.openxmlformats.org/officeDocument/2006/relationships/hyperlink" Target="http://dx.doi.org/10.1088/1757-899X/537/2/022064" TargetMode="External"/><Relationship Id="rId_hyperlink_1619" Type="http://schemas.openxmlformats.org/officeDocument/2006/relationships/hyperlink" Target="https%3A%2F%2Fwww.webofscience.com%2Fwos%2Fwoscc%2Ffull-record%2FWOS:000561105300065" TargetMode="External"/><Relationship Id="rId_hyperlink_1620" Type="http://schemas.openxmlformats.org/officeDocument/2006/relationships/hyperlink" Target="http://dx.doi.org/10.1051/matecconf/201822402008" TargetMode="External"/><Relationship Id="rId_hyperlink_1621" Type="http://schemas.openxmlformats.org/officeDocument/2006/relationships/hyperlink" Target="https%3A%2F%2Fwww.webofscience.com%2Fwos%2Fwoscc%2Ffull-record%2FWOS:000476933600146" TargetMode="External"/><Relationship Id="rId_hyperlink_1622" Type="http://schemas.openxmlformats.org/officeDocument/2006/relationships/hyperlink" Target="http://dx.doi.org/10.12973/eurasia.2017.00934a" TargetMode="External"/><Relationship Id="rId_hyperlink_1623" Type="http://schemas.openxmlformats.org/officeDocument/2006/relationships/hyperlink" Target="https%3A%2F%2Fwww.webofscience.com%2Fwos%2Fwoscc%2Ffull-record%2FWOS:000409067500005" TargetMode="External"/><Relationship Id="rId_hyperlink_1624" Type="http://schemas.openxmlformats.org/officeDocument/2006/relationships/hyperlink" Target="https%3A%2F%2Fwww.webofscience.com%2Fwos%2Fwoscc%2Ffull-record%2FWOS:000759318000002" TargetMode="External"/><Relationship Id="rId_hyperlink_1625" Type="http://schemas.openxmlformats.org/officeDocument/2006/relationships/hyperlink" Target="http://dx.doi.org/10.1007/s11029-016-9596-x" TargetMode="External"/><Relationship Id="rId_hyperlink_1626" Type="http://schemas.openxmlformats.org/officeDocument/2006/relationships/hyperlink" Target="https%3A%2F%2Fwww.webofscience.com%2Fwos%2Fwoscc%2Ffull-record%2FWOS:000384347800001" TargetMode="External"/><Relationship Id="rId_hyperlink_1627" Type="http://schemas.openxmlformats.org/officeDocument/2006/relationships/hyperlink" Target="http://dx.doi.org/10.1016/j.cap.2007.04.013" TargetMode="External"/><Relationship Id="rId_hyperlink_1628" Type="http://schemas.openxmlformats.org/officeDocument/2006/relationships/hyperlink" Target="https%3A%2F%2Fwww.webofscience.com%2Fwos%2Fwoscc%2Ffull-record%2FWOS:000251159400020" TargetMode="External"/><Relationship Id="rId_hyperlink_1629" Type="http://schemas.openxmlformats.org/officeDocument/2006/relationships/hyperlink" Target="http://dx.doi.org/10.21538/0134-4889-2020-26-3-235-248" TargetMode="External"/><Relationship Id="rId_hyperlink_1630" Type="http://schemas.openxmlformats.org/officeDocument/2006/relationships/hyperlink" Target="https%3A%2F%2Fwww.webofscience.com%2Fwos%2Fwoscc%2Ffull-record%2FWOS:000592231900020" TargetMode="External"/><Relationship Id="rId_hyperlink_1631" Type="http://schemas.openxmlformats.org/officeDocument/2006/relationships/hyperlink" Target="http://dx.doi.org/10.1051/matecconf/201710608089" TargetMode="External"/><Relationship Id="rId_hyperlink_1632" Type="http://schemas.openxmlformats.org/officeDocument/2006/relationships/hyperlink" Target="https%3A%2F%2Fwww.webofscience.com%2Fwos%2Fwoscc%2Ffull-record%2FWOS:000426426600274" TargetMode="External"/><Relationship Id="rId_hyperlink_1633" Type="http://schemas.openxmlformats.org/officeDocument/2006/relationships/hyperlink" Target="http://dx.doi.org/10.1134/S1995425513050028" TargetMode="External"/><Relationship Id="rId_hyperlink_1634" Type="http://schemas.openxmlformats.org/officeDocument/2006/relationships/hyperlink" Target="https%3A%2F%2Fwww.webofscience.com%2Fwos%2Fwoscc%2Ffull-record%2FWOS:000325009100015" TargetMode="External"/><Relationship Id="rId_hyperlink_1635" Type="http://schemas.openxmlformats.org/officeDocument/2006/relationships/hyperlink" Target="http://dx.doi.org/10.1007/s11175-005-0117-9" TargetMode="External"/><Relationship Id="rId_hyperlink_1636" Type="http://schemas.openxmlformats.org/officeDocument/2006/relationships/hyperlink" Target="https%3A%2F%2Fwww.webofscience.com%2Fwos%2Fwoscc%2Ffull-record%2FWOS:000230551900007" TargetMode="External"/><Relationship Id="rId_hyperlink_1637" Type="http://schemas.openxmlformats.org/officeDocument/2006/relationships/hyperlink" Target="https%3A%2F%2Fwww.webofscience.com%2Fwos%2Fwoscc%2Ffull-record%2FWOS:000077638900005" TargetMode="External"/><Relationship Id="rId_hyperlink_1638" Type="http://schemas.openxmlformats.org/officeDocument/2006/relationships/hyperlink" Target="http://dx.doi.org/10.1111/tan.14969" TargetMode="External"/><Relationship Id="rId_hyperlink_1639" Type="http://schemas.openxmlformats.org/officeDocument/2006/relationships/hyperlink" Target="https%3A%2F%2Fwww.webofscience.com%2Fwos%2Fwoscc%2Ffull-record%2FWOS:000919397900001" TargetMode="External"/><Relationship Id="rId_hyperlink_1640" Type="http://schemas.openxmlformats.org/officeDocument/2006/relationships/hyperlink" Target="http://dx.doi.org/10.17770/sie2020vol1.5079" TargetMode="External"/><Relationship Id="rId_hyperlink_1641" Type="http://schemas.openxmlformats.org/officeDocument/2006/relationships/hyperlink" Target="https%3A%2F%2Fwww.webofscience.com%2Fwos%2Fwoscc%2Ffull-record%2FWOS:000835616400005" TargetMode="External"/><Relationship Id="rId_hyperlink_1642" Type="http://schemas.openxmlformats.org/officeDocument/2006/relationships/hyperlink" Target="http://dx.doi.org/10.17223/19996195/51/8" TargetMode="External"/><Relationship Id="rId_hyperlink_1643" Type="http://schemas.openxmlformats.org/officeDocument/2006/relationships/hyperlink" Target="https%3A%2F%2Fwww.webofscience.com%2Fwos%2Fwoscc%2Ffull-record%2FWOS:000581055000008" TargetMode="External"/><Relationship Id="rId_hyperlink_1644" Type="http://schemas.openxmlformats.org/officeDocument/2006/relationships/hyperlink" Target="http://dx.doi.org/10.1007/978-3-030-36592-9_2" TargetMode="External"/><Relationship Id="rId_hyperlink_1645" Type="http://schemas.openxmlformats.org/officeDocument/2006/relationships/hyperlink" Target="https%3A%2F%2Fwww.webofscience.com%2Fwos%2Fwoscc%2Ffull-record%2FWOS:000651202100002" TargetMode="External"/><Relationship Id="rId_hyperlink_1646" Type="http://schemas.openxmlformats.org/officeDocument/2006/relationships/hyperlink" Target="http://dx.doi.org/10.1134/S1023193507040179" TargetMode="External"/><Relationship Id="rId_hyperlink_1647" Type="http://schemas.openxmlformats.org/officeDocument/2006/relationships/hyperlink" Target="https%3A%2F%2Fwww.webofscience.com%2Fwos%2Fwoscc%2Ffull-record%2FWOS:000246338500017" TargetMode="External"/><Relationship Id="rId_hyperlink_1648" Type="http://schemas.openxmlformats.org/officeDocument/2006/relationships/hyperlink" Target="http://dx.doi.org/10.1007/s10720-005-0066-0" TargetMode="External"/><Relationship Id="rId_hyperlink_1649" Type="http://schemas.openxmlformats.org/officeDocument/2006/relationships/hyperlink" Target="https%3A%2F%2Fwww.webofscience.com%2Fwos%2Fwoscc%2Ffull-record%2FWOS:000230552700012" TargetMode="External"/><Relationship Id="rId_hyperlink_1650" Type="http://schemas.openxmlformats.org/officeDocument/2006/relationships/hyperlink" Target="http://dx.doi.org/10.1111/tan.15034" TargetMode="External"/><Relationship Id="rId_hyperlink_1651" Type="http://schemas.openxmlformats.org/officeDocument/2006/relationships/hyperlink" Target="https%3A%2F%2Fwww.webofscience.com%2Fwos%2Fwoscc%2Ffull-record%2FWOS:000956066600001" TargetMode="External"/><Relationship Id="rId_hyperlink_1652" Type="http://schemas.openxmlformats.org/officeDocument/2006/relationships/hyperlink" Target="https%3A%2F%2Fwww.webofscience.com%2Fwos%2Fwoscc%2Ffull-record%2FWOS:000583783100022" TargetMode="External"/><Relationship Id="rId_hyperlink_1653" Type="http://schemas.openxmlformats.org/officeDocument/2006/relationships/hyperlink" Target="http://dx.doi.org/10.37358/mp.20.1.5309" TargetMode="External"/><Relationship Id="rId_hyperlink_1654" Type="http://schemas.openxmlformats.org/officeDocument/2006/relationships/hyperlink" Target="https%3A%2F%2Fwww.webofscience.com%2Fwos%2Fwoscc%2Ffull-record%2FWOS:000528195000005" TargetMode="External"/><Relationship Id="rId_hyperlink_1655" Type="http://schemas.openxmlformats.org/officeDocument/2006/relationships/hyperlink" Target="http://dx.doi.org/10.15507/2658-4123.030.202001.043-059" TargetMode="External"/><Relationship Id="rId_hyperlink_1656" Type="http://schemas.openxmlformats.org/officeDocument/2006/relationships/hyperlink" Target="https%3A%2F%2Fwww.webofscience.com%2Fwos%2Fwoscc%2Ffull-record%2FWOS:000520879000003" TargetMode="External"/><Relationship Id="rId_hyperlink_1657" Type="http://schemas.openxmlformats.org/officeDocument/2006/relationships/hyperlink" Target="http://dx.doi.org/10.1088/1742-6596/1210/1/012150" TargetMode="External"/><Relationship Id="rId_hyperlink_1658" Type="http://schemas.openxmlformats.org/officeDocument/2006/relationships/hyperlink" Target="https%3A%2F%2Fwww.webofscience.com%2Fwos%2Fwoscc%2Ffull-record%2FWOS:000481604500150" TargetMode="External"/><Relationship Id="rId_hyperlink_1659" Type="http://schemas.openxmlformats.org/officeDocument/2006/relationships/hyperlink" Target="http://dx.doi.org/10.31166/VoprosyIstorii201911Statyi01" TargetMode="External"/><Relationship Id="rId_hyperlink_1660" Type="http://schemas.openxmlformats.org/officeDocument/2006/relationships/hyperlink" Target="https%3A%2F%2Fwww.webofscience.com%2Fwos%2Fwoscc%2Ffull-record%2FWOS:000504079400001" TargetMode="External"/><Relationship Id="rId_hyperlink_1661" Type="http://schemas.openxmlformats.org/officeDocument/2006/relationships/hyperlink" Target="https%3A%2F%2Fwww.webofscience.com%2Fwos%2Fwoscc%2Ffull-record%2FWOS:000309341303039" TargetMode="External"/><Relationship Id="rId_hyperlink_1662" Type="http://schemas.openxmlformats.org/officeDocument/2006/relationships/hyperlink" Target="http://dx.doi.org/10.54905/disssi/v27i134/e191ms2989" TargetMode="External"/><Relationship Id="rId_hyperlink_1663" Type="http://schemas.openxmlformats.org/officeDocument/2006/relationships/hyperlink" Target="https%3A%2F%2Fwww.webofscience.com%2Fwos%2Fwoscc%2Ffull-record%2FWOS:000994185800021" TargetMode="External"/><Relationship Id="rId_hyperlink_1664" Type="http://schemas.openxmlformats.org/officeDocument/2006/relationships/hyperlink" Target="http://dx.doi.org/10.1111/tan.14946" TargetMode="External"/><Relationship Id="rId_hyperlink_1665" Type="http://schemas.openxmlformats.org/officeDocument/2006/relationships/hyperlink" Target="https%3A%2F%2Fwww.webofscience.com%2Fwos%2Fwoscc%2Ffull-record%2FWOS:000904767800001" TargetMode="External"/><Relationship Id="rId_hyperlink_1666" Type="http://schemas.openxmlformats.org/officeDocument/2006/relationships/hyperlink" Target="http://dx.doi.org/10.22055/RALS.2019.15172" TargetMode="External"/><Relationship Id="rId_hyperlink_1667" Type="http://schemas.openxmlformats.org/officeDocument/2006/relationships/hyperlink" Target="https%3A%2F%2Fwww.webofscience.com%2Fwos%2Fwoscc%2Ffull-record%2FWOS:000520842700066" TargetMode="External"/><Relationship Id="rId_hyperlink_1668" Type="http://schemas.openxmlformats.org/officeDocument/2006/relationships/hyperlink" Target="http://dx.doi.org/10.12973/eurasia.2017.00933a" TargetMode="External"/><Relationship Id="rId_hyperlink_1669" Type="http://schemas.openxmlformats.org/officeDocument/2006/relationships/hyperlink" Target="https%3A%2F%2Fwww.webofscience.com%2Fwos%2Fwoscc%2Ffull-record%2FWOS:000409067500004" TargetMode="External"/><Relationship Id="rId_hyperlink_1670" Type="http://schemas.openxmlformats.org/officeDocument/2006/relationships/hyperlink" Target="http://dx.doi.org/10.12973/eurasia.2017.01248a" TargetMode="External"/><Relationship Id="rId_hyperlink_1671" Type="http://schemas.openxmlformats.org/officeDocument/2006/relationships/hyperlink" Target="https%3A%2F%2Fwww.webofscience.com%2Fwos%2Fwoscc%2Ffull-record%2FWOS:000404604700062" TargetMode="External"/><Relationship Id="rId_hyperlink_1672" Type="http://schemas.openxmlformats.org/officeDocument/2006/relationships/hyperlink" Target="http://dx.doi.org/10.15405/epsbs.2017.08.02.4" TargetMode="External"/><Relationship Id="rId_hyperlink_1673" Type="http://schemas.openxmlformats.org/officeDocument/2006/relationships/hyperlink" Target="https%3A%2F%2Fwww.webofscience.com%2Fwos%2Fwoscc%2Ffull-record%2FWOS:000432421300004" TargetMode="External"/><Relationship Id="rId_hyperlink_1674" Type="http://schemas.openxmlformats.org/officeDocument/2006/relationships/hyperlink" Target="http://dx.doi.org/10.1088/1757-899X/262/1/012024" TargetMode="External"/><Relationship Id="rId_hyperlink_1675" Type="http://schemas.openxmlformats.org/officeDocument/2006/relationships/hyperlink" Target="https%3A%2F%2Fwww.webofscience.com%2Fwos%2Fwoscc%2Ffull-record%2FWOS:000423728200024" TargetMode="External"/><Relationship Id="rId_hyperlink_1676" Type="http://schemas.openxmlformats.org/officeDocument/2006/relationships/hyperlink" Target="http://dx.doi.org/10.1051/matecconf/201710608078" TargetMode="External"/><Relationship Id="rId_hyperlink_1677" Type="http://schemas.openxmlformats.org/officeDocument/2006/relationships/hyperlink" Target="https%3A%2F%2Fwww.webofscience.com%2Fwos%2Fwoscc%2Ffull-record%2FWOS:000426426600263" TargetMode="External"/><Relationship Id="rId_hyperlink_1678" Type="http://schemas.openxmlformats.org/officeDocument/2006/relationships/hyperlink" Target="https%3A%2F%2Fwww.webofscience.com%2Fwos%2Fwoscc%2Ffull-record%2FWOS:000378098500079" TargetMode="External"/><Relationship Id="rId_hyperlink_1679" Type="http://schemas.openxmlformats.org/officeDocument/2006/relationships/hyperlink" Target="http://dx.doi.org/10.1134/S1023193519080111" TargetMode="External"/><Relationship Id="rId_hyperlink_1680" Type="http://schemas.openxmlformats.org/officeDocument/2006/relationships/hyperlink" Target="https%3A%2F%2Fwww.webofscience.com%2Fwos%2Fwoscc%2Ffull-record%2FWOS:000487550800008" TargetMode="External"/><Relationship Id="rId_hyperlink_1681" Type="http://schemas.openxmlformats.org/officeDocument/2006/relationships/hyperlink" Target="http://dx.doi.org/10.12973/eurasia.2017.00989a" TargetMode="External"/><Relationship Id="rId_hyperlink_1682" Type="http://schemas.openxmlformats.org/officeDocument/2006/relationships/hyperlink" Target="https%3A%2F%2Fwww.webofscience.com%2Fwos%2Fwoscc%2Ffull-record%2FWOS:000409067500057" TargetMode="External"/><Relationship Id="rId_hyperlink_1683" Type="http://schemas.openxmlformats.org/officeDocument/2006/relationships/hyperlink" Target="http://dx.doi.org/10.3103/S0025654417020108" TargetMode="External"/><Relationship Id="rId_hyperlink_1684" Type="http://schemas.openxmlformats.org/officeDocument/2006/relationships/hyperlink" Target="https%3A%2F%2Fwww.webofscience.com%2Fwos%2Fwoscc%2Ffull-record%2FWOS:000405488900010" TargetMode="External"/><Relationship Id="rId_hyperlink_1685" Type="http://schemas.openxmlformats.org/officeDocument/2006/relationships/hyperlink" Target="http://dx.doi.org/10.1051/matecconf/201712901023" TargetMode="External"/><Relationship Id="rId_hyperlink_1686" Type="http://schemas.openxmlformats.org/officeDocument/2006/relationships/hyperlink" Target="https%3A%2F%2Fwww.webofscience.com%2Fwos%2Fwoscc%2Ffull-record%2FWOS:000426431000023" TargetMode="External"/><Relationship Id="rId_hyperlink_1687" Type="http://schemas.openxmlformats.org/officeDocument/2006/relationships/hyperlink" Target="http://dx.doi.org/10.1016/j.proeng.2015.06.029" TargetMode="External"/><Relationship Id="rId_hyperlink_1688" Type="http://schemas.openxmlformats.org/officeDocument/2006/relationships/hyperlink" Target="https%3A%2F%2Fwww.webofscience.com%2Fwos%2Fwoscc%2Ffull-record%2FWOS:000381100700028" TargetMode="External"/><Relationship Id="rId_hyperlink_1689" Type="http://schemas.openxmlformats.org/officeDocument/2006/relationships/hyperlink" Target="http://dx.doi.org/10.1134/S1023193513080107" TargetMode="External"/><Relationship Id="rId_hyperlink_1690" Type="http://schemas.openxmlformats.org/officeDocument/2006/relationships/hyperlink" Target="https%3A%2F%2Fwww.webofscience.com%2Fwos%2Fwoscc%2Ffull-record%2FWOS:000323258500007" TargetMode="External"/><Relationship Id="rId_hyperlink_1691" Type="http://schemas.openxmlformats.org/officeDocument/2006/relationships/hyperlink" Target="http://dx.doi.org/10.1007/s10517-012-1640-9" TargetMode="External"/><Relationship Id="rId_hyperlink_1692" Type="http://schemas.openxmlformats.org/officeDocument/2006/relationships/hyperlink" Target="https%3A%2F%2Fwww.webofscience.com%2Fwos%2Fwoscc%2Ffull-record%2FWOS:000305517000014" TargetMode="External"/><Relationship Id="rId_hyperlink_1693" Type="http://schemas.openxmlformats.org/officeDocument/2006/relationships/hyperlink" Target="http://dx.doi.org/10.1111/tan.15032" TargetMode="External"/><Relationship Id="rId_hyperlink_1694" Type="http://schemas.openxmlformats.org/officeDocument/2006/relationships/hyperlink" Target="https%3A%2F%2Fwww.webofscience.com%2Fwos%2Fwoscc%2Ffull-record%2FWOS:000955728700001" TargetMode="External"/><Relationship Id="rId_hyperlink_1695" Type="http://schemas.openxmlformats.org/officeDocument/2006/relationships/hyperlink" Target="http://dx.doi.org/10.14529/hsm220106" TargetMode="External"/><Relationship Id="rId_hyperlink_1696" Type="http://schemas.openxmlformats.org/officeDocument/2006/relationships/hyperlink" Target="https%3A%2F%2Fwww.webofscience.com%2Fwos%2Fwoscc%2Ffull-record%2FWOS:000795506200006" TargetMode="External"/><Relationship Id="rId_hyperlink_1697" Type="http://schemas.openxmlformats.org/officeDocument/2006/relationships/hyperlink" Target="https%3A%2F%2Fwww.webofscience.com%2Fwos%2Fwoscc%2Ffull-record%2FWOS:000469999300036" TargetMode="External"/><Relationship Id="rId_hyperlink_1698" Type="http://schemas.openxmlformats.org/officeDocument/2006/relationships/hyperlink" Target="http://dx.doi.org/10.3390/v11070624" TargetMode="External"/><Relationship Id="rId_hyperlink_1699" Type="http://schemas.openxmlformats.org/officeDocument/2006/relationships/hyperlink" Target="https%3A%2F%2Fwww.webofscience.com%2Fwos%2Fwoscc%2Ffull-record%2FWOS:000478667800002" TargetMode="External"/><Relationship Id="rId_hyperlink_1700" Type="http://schemas.openxmlformats.org/officeDocument/2006/relationships/hyperlink" Target="http://dx.doi.org/10.6060/ivkkt.20196211.5979" TargetMode="External"/><Relationship Id="rId_hyperlink_1701" Type="http://schemas.openxmlformats.org/officeDocument/2006/relationships/hyperlink" Target="https%3A%2F%2Fwww.webofscience.com%2Fwos%2Fwoscc%2Ffull-record%2FWOS:000497988300011" TargetMode="External"/><Relationship Id="rId_hyperlink_1702" Type="http://schemas.openxmlformats.org/officeDocument/2006/relationships/hyperlink" Target="https%3A%2F%2Fwww.webofscience.com%2Fwos%2Fwoscc%2Ffull-record%2FWOS:A1997WP64600032" TargetMode="External"/><Relationship Id="rId_hyperlink_1703" Type="http://schemas.openxmlformats.org/officeDocument/2006/relationships/hyperlink" Target="http://dx.doi.org/10.1088/1757-899X/971/2/022047" TargetMode="External"/><Relationship Id="rId_hyperlink_1704" Type="http://schemas.openxmlformats.org/officeDocument/2006/relationships/hyperlink" Target="https%3A%2F%2Fwww.webofscience.com%2Fwos%2Fwoscc%2Ffull-record%2FWOS:000646359100047" TargetMode="External"/><Relationship Id="rId_hyperlink_1705" Type="http://schemas.openxmlformats.org/officeDocument/2006/relationships/hyperlink" Target="http://dx.doi.org/10.3390/polym13071101" TargetMode="External"/><Relationship Id="rId_hyperlink_1706" Type="http://schemas.openxmlformats.org/officeDocument/2006/relationships/hyperlink" Target="https%3A%2F%2Fwww.webofscience.com%2Fwos%2Fwoscc%2Ffull-record%2FWOS:000638769200001" TargetMode="External"/><Relationship Id="rId_hyperlink_1707" Type="http://schemas.openxmlformats.org/officeDocument/2006/relationships/hyperlink" Target="http://dx.doi.org/10.3897/ap.1.e1014" TargetMode="External"/><Relationship Id="rId_hyperlink_1708" Type="http://schemas.openxmlformats.org/officeDocument/2006/relationships/hyperlink" Target="https%3A%2F%2Fwww.webofscience.com%2Fwos%2Fwoscc%2Ffull-record%2FWOS:000520005200105" TargetMode="External"/><Relationship Id="rId_hyperlink_1709" Type="http://schemas.openxmlformats.org/officeDocument/2006/relationships/hyperlink" Target="https%3A%2F%2Fwww.webofscience.com%2Fwos%2Fwoscc%2Ffull-record%2FWOS:000395727400036" TargetMode="External"/><Relationship Id="rId_hyperlink_1710" Type="http://schemas.openxmlformats.org/officeDocument/2006/relationships/hyperlink" Target="http://dx.doi.org/10.15405/epsbs.2020.12.03.36" TargetMode="External"/><Relationship Id="rId_hyperlink_1711" Type="http://schemas.openxmlformats.org/officeDocument/2006/relationships/hyperlink" Target="https%3A%2F%2Fwww.webofscience.com%2Fwos%2Fwoscc%2Ffull-record%2FWOS:000758194100036" TargetMode="External"/><Relationship Id="rId_hyperlink_1712" Type="http://schemas.openxmlformats.org/officeDocument/2006/relationships/hyperlink" Target="http://dx.doi.org/10.1111/tan.14967" TargetMode="External"/><Relationship Id="rId_hyperlink_1713" Type="http://schemas.openxmlformats.org/officeDocument/2006/relationships/hyperlink" Target="https%3A%2F%2Fwww.webofscience.com%2Fwos%2Fwoscc%2Ffull-record%2FWOS:000913829400001" TargetMode="External"/><Relationship Id="rId_hyperlink_1714" Type="http://schemas.openxmlformats.org/officeDocument/2006/relationships/hyperlink" Target="https%3A%2F%2Fwww.webofscience.com%2Fwos%2Fwoscc%2Ffull-record%2FWOS:A1996WM80200035" TargetMode="External"/><Relationship Id="rId_hyperlink_1715" Type="http://schemas.openxmlformats.org/officeDocument/2006/relationships/hyperlink" Target="http://dx.doi.org/10.15826/izv2.2020.22.2.038" TargetMode="External"/><Relationship Id="rId_hyperlink_1716" Type="http://schemas.openxmlformats.org/officeDocument/2006/relationships/hyperlink" Target="https%3A%2F%2Fwww.webofscience.com%2Fwos%2Fwoscc%2Ffull-record%2FWOS:000545469200019" TargetMode="External"/><Relationship Id="rId_hyperlink_1717" Type="http://schemas.openxmlformats.org/officeDocument/2006/relationships/hyperlink" Target="http://dx.doi.org/10.3389/fenrg.2022.943447" TargetMode="External"/><Relationship Id="rId_hyperlink_1718" Type="http://schemas.openxmlformats.org/officeDocument/2006/relationships/hyperlink" Target="https%3A%2F%2Fwww.webofscience.com%2Fwos%2Fwoscc%2Ffull-record%2FWOS:000843654400001" TargetMode="External"/><Relationship Id="rId_hyperlink_1719" Type="http://schemas.openxmlformats.org/officeDocument/2006/relationships/hyperlink" Target="http://dx.doi.org/10.4103/jehp.jehp_413_21" TargetMode="External"/><Relationship Id="rId_hyperlink_1720" Type="http://schemas.openxmlformats.org/officeDocument/2006/relationships/hyperlink" Target="https%3A%2F%2Fwww.webofscience.com%2Fwos%2Fwoscc%2Ffull-record%2FWOS:000766948600023" TargetMode="External"/><Relationship Id="rId_hyperlink_1721" Type="http://schemas.openxmlformats.org/officeDocument/2006/relationships/hyperlink" Target="https%3A%2F%2Fwww.webofscience.com%2Fwos%2Fwoscc%2Ffull-record%2FWOS:000390059500167" TargetMode="External"/><Relationship Id="rId_hyperlink_1722" Type="http://schemas.openxmlformats.org/officeDocument/2006/relationships/hyperlink" Target="http://dx.doi.org/10.1134/S1070427215020044" TargetMode="External"/><Relationship Id="rId_hyperlink_1723" Type="http://schemas.openxmlformats.org/officeDocument/2006/relationships/hyperlink" Target="https%3A%2F%2Fwww.webofscience.com%2Fwos%2Fwoscc%2Ffull-record%2FWOS:000355184300004" TargetMode="External"/><Relationship Id="rId_hyperlink_1724" Type="http://schemas.openxmlformats.org/officeDocument/2006/relationships/hyperlink" Target="http://dx.doi.org/10.1111/ijag.16578" TargetMode="External"/><Relationship Id="rId_hyperlink_1725" Type="http://schemas.openxmlformats.org/officeDocument/2006/relationships/hyperlink" Target="https%3A%2F%2Fwww.webofscience.com%2Fwos%2Fwoscc%2Ffull-record%2FWOS:000780783500001" TargetMode="External"/><Relationship Id="rId_hyperlink_1726" Type="http://schemas.openxmlformats.org/officeDocument/2006/relationships/hyperlink" Target="http://dx.doi.org/10.15405/epsbs.2021.07.02.43" TargetMode="External"/><Relationship Id="rId_hyperlink_1727" Type="http://schemas.openxmlformats.org/officeDocument/2006/relationships/hyperlink" Target="https%3A%2F%2Fwww.webofscience.com%2Fwos%2Fwoscc%2Ffull-record%2FWOS:000771919100043" TargetMode="External"/><Relationship Id="rId_hyperlink_1728" Type="http://schemas.openxmlformats.org/officeDocument/2006/relationships/hyperlink" Target="http://dx.doi.org/10.1134/S1068162012070230" TargetMode="External"/><Relationship Id="rId_hyperlink_1729" Type="http://schemas.openxmlformats.org/officeDocument/2006/relationships/hyperlink" Target="https%3A%2F%2Fwww.webofscience.com%2Fwos%2Fwoscc%2Ffull-record%2FWOS:000312062700003" TargetMode="External"/><Relationship Id="rId_hyperlink_1730" Type="http://schemas.openxmlformats.org/officeDocument/2006/relationships/hyperlink" Target="http://dx.doi.org/10.1111/tan.14639" TargetMode="External"/><Relationship Id="rId_hyperlink_1731" Type="http://schemas.openxmlformats.org/officeDocument/2006/relationships/hyperlink" Target="https%3A%2F%2Fwww.webofscience.com%2Fwos%2Fwoscc%2Ffull-record%2FWOS:000785894900001" TargetMode="External"/><Relationship Id="rId_hyperlink_1732" Type="http://schemas.openxmlformats.org/officeDocument/2006/relationships/hyperlink" Target="http://dx.doi.org/10.13187/ejced.2021.2.358" TargetMode="External"/><Relationship Id="rId_hyperlink_1733" Type="http://schemas.openxmlformats.org/officeDocument/2006/relationships/hyperlink" Target="https%3A%2F%2Fwww.webofscience.com%2Fwos%2Fwoscc%2Ffull-record%2FWOS:000669658200007" TargetMode="External"/><Relationship Id="rId_hyperlink_1734" Type="http://schemas.openxmlformats.org/officeDocument/2006/relationships/hyperlink" Target="http://dx.doi.org/10.1134/S1070427221030083" TargetMode="External"/><Relationship Id="rId_hyperlink_1735" Type="http://schemas.openxmlformats.org/officeDocument/2006/relationships/hyperlink" Target="https%3A%2F%2Fwww.webofscience.com%2Fwos%2Fwoscc%2Ffull-record%2FWOS:000653905200008" TargetMode="External"/><Relationship Id="rId_hyperlink_1736" Type="http://schemas.openxmlformats.org/officeDocument/2006/relationships/hyperlink" Target="http://dx.doi.org/10.1088/1757-899X/971/3/032059" TargetMode="External"/><Relationship Id="rId_hyperlink_1737" Type="http://schemas.openxmlformats.org/officeDocument/2006/relationships/hyperlink" Target="https%3A%2F%2Fwww.webofscience.com%2Fwos%2Fwoscc%2Ffull-record%2FWOS:000646359100160" TargetMode="External"/><Relationship Id="rId_hyperlink_1738" Type="http://schemas.openxmlformats.org/officeDocument/2006/relationships/hyperlink" Target="http://dx.doi.org/10.1111/tan.14968" TargetMode="External"/><Relationship Id="rId_hyperlink_1739" Type="http://schemas.openxmlformats.org/officeDocument/2006/relationships/hyperlink" Target="https%3A%2F%2Fwww.webofscience.com%2Fwos%2Fwoscc%2Ffull-record%2FWOS:000914027400001" TargetMode="External"/><Relationship Id="rId_hyperlink_1740" Type="http://schemas.openxmlformats.org/officeDocument/2006/relationships/hyperlink" Target="http://dx.doi.org/10.25750/1995-4301-2020-1-136-143" TargetMode="External"/><Relationship Id="rId_hyperlink_1741" Type="http://schemas.openxmlformats.org/officeDocument/2006/relationships/hyperlink" Target="https%3A%2F%2Fwww.webofscience.com%2Fwos%2Fwoscc%2Ffull-record%2FWOS:000522789400020" TargetMode="External"/><Relationship Id="rId_hyperlink_1742" Type="http://schemas.openxmlformats.org/officeDocument/2006/relationships/hyperlink" Target="http://dx.doi.org/10.37816/2073-9567-2023-67-277-292" TargetMode="External"/><Relationship Id="rId_hyperlink_1743" Type="http://schemas.openxmlformats.org/officeDocument/2006/relationships/hyperlink" Target="https%3A%2F%2Fwww.webofscience.com%2Fwos%2Fwoscc%2Ffull-record%2FWOS:000996372300018" TargetMode="External"/><Relationship Id="rId_hyperlink_1744" Type="http://schemas.openxmlformats.org/officeDocument/2006/relationships/hyperlink" Target="http://dx.doi.org/10.25750/1995-4301-2022-3-166-174" TargetMode="External"/><Relationship Id="rId_hyperlink_1745" Type="http://schemas.openxmlformats.org/officeDocument/2006/relationships/hyperlink" Target="https%3A%2F%2Fwww.webofscience.com%2Fwos%2Fwoscc%2Ffull-record%2FWOS:000885393200021" TargetMode="External"/><Relationship Id="rId_hyperlink_1746" Type="http://schemas.openxmlformats.org/officeDocument/2006/relationships/hyperlink" Target="http://dx.doi.org/10.22038/IJP.2021.58495.4571" TargetMode="External"/><Relationship Id="rId_hyperlink_1747" Type="http://schemas.openxmlformats.org/officeDocument/2006/relationships/hyperlink" Target="https%3A%2F%2Fwww.webofscience.com%2Fwos%2Fwoscc%2Ffull-record%2FWOS:000733418900013" TargetMode="External"/><Relationship Id="rId_hyperlink_1748" Type="http://schemas.openxmlformats.org/officeDocument/2006/relationships/hyperlink" Target="http://dx.doi.org/10.13187/ejced.2019.1.187" TargetMode="External"/><Relationship Id="rId_hyperlink_1749" Type="http://schemas.openxmlformats.org/officeDocument/2006/relationships/hyperlink" Target="https%3A%2F%2Fwww.webofscience.com%2Fwos%2Fwoscc%2Ffull-record%2FWOS:000462498700014" TargetMode="External"/><Relationship Id="rId_hyperlink_1750" Type="http://schemas.openxmlformats.org/officeDocument/2006/relationships/hyperlink" Target="http://dx.doi.org/10.31166/VoprosyIstorii202206Statyi23" TargetMode="External"/><Relationship Id="rId_hyperlink_1751" Type="http://schemas.openxmlformats.org/officeDocument/2006/relationships/hyperlink" Target="https%3A%2F%2Fwww.webofscience.com%2Fwos%2Fwoscc%2Ffull-record%2FWOS:000814316500021" TargetMode="External"/><Relationship Id="rId_hyperlink_1752" Type="http://schemas.openxmlformats.org/officeDocument/2006/relationships/hyperlink" Target="http://dx.doi.org/10.15211/soveurope62019161171" TargetMode="External"/><Relationship Id="rId_hyperlink_1753" Type="http://schemas.openxmlformats.org/officeDocument/2006/relationships/hyperlink" Target="https%3A%2F%2Fwww.webofscience.com%2Fwos%2Fwoscc%2Ffull-record%2FWOS:000553160200016" TargetMode="External"/><Relationship Id="rId_hyperlink_1754" Type="http://schemas.openxmlformats.org/officeDocument/2006/relationships/hyperlink" Target="http://dx.doi.org/10.3390/gels9010045" TargetMode="External"/><Relationship Id="rId_hyperlink_1755" Type="http://schemas.openxmlformats.org/officeDocument/2006/relationships/hyperlink" Target="https%3A%2F%2Fwww.webofscience.com%2Fwos%2Fwoscc%2Ffull-record%2FWOS:000917468800001" TargetMode="External"/><Relationship Id="rId_hyperlink_1756" Type="http://schemas.openxmlformats.org/officeDocument/2006/relationships/hyperlink" Target="http://dx.doi.org/10.25750/1995-4301-2020-4-022-029" TargetMode="External"/><Relationship Id="rId_hyperlink_1757" Type="http://schemas.openxmlformats.org/officeDocument/2006/relationships/hyperlink" Target="https%3A%2F%2Fwww.webofscience.com%2Fwos%2Fwoscc%2Ffull-record%2FWOS:000597810500003" TargetMode="External"/><Relationship Id="rId_hyperlink_1758" Type="http://schemas.openxmlformats.org/officeDocument/2006/relationships/hyperlink" Target="http://dx.doi.org/10.24874/IJQR14.02-08" TargetMode="External"/><Relationship Id="rId_hyperlink_1759" Type="http://schemas.openxmlformats.org/officeDocument/2006/relationships/hyperlink" Target="https%3A%2F%2Fwww.webofscience.com%2Fwos%2Fwoscc%2Ffull-record%2FWOS:000531047700008" TargetMode="External"/><Relationship Id="rId_hyperlink_1760" Type="http://schemas.openxmlformats.org/officeDocument/2006/relationships/hyperlink" Target="http://dx.doi.org/10.13187/ejced.2023.1.188" TargetMode="External"/><Relationship Id="rId_hyperlink_1761" Type="http://schemas.openxmlformats.org/officeDocument/2006/relationships/hyperlink" Target="https%3A%2F%2Fwww.webofscience.com%2Fwos%2Fwoscc%2Ffull-record%2FWOS:000961369300015" TargetMode="External"/><Relationship Id="rId_hyperlink_1762" Type="http://schemas.openxmlformats.org/officeDocument/2006/relationships/hyperlink" Target="http://dx.doi.org/10.13187/ejced.2022.4.1147" TargetMode="External"/><Relationship Id="rId_hyperlink_1763" Type="http://schemas.openxmlformats.org/officeDocument/2006/relationships/hyperlink" Target="https%3A%2F%2Fwww.webofscience.com%2Fwos%2Fwoscc%2Ffull-record%2FWOS:000914876300009" TargetMode="External"/><Relationship Id="rId_hyperlink_1764" Type="http://schemas.openxmlformats.org/officeDocument/2006/relationships/hyperlink" Target="http://dx.doi.org/10.13187/ejced.2021.4.987" TargetMode="External"/><Relationship Id="rId_hyperlink_1765" Type="http://schemas.openxmlformats.org/officeDocument/2006/relationships/hyperlink" Target="https%3A%2F%2Fwww.webofscience.com%2Fwos%2Fwoscc%2Ffull-record%2FWOS:000739150200013" TargetMode="External"/><Relationship Id="rId_hyperlink_1766" Type="http://schemas.openxmlformats.org/officeDocument/2006/relationships/hyperlink" Target="http://dx.doi.org/10.1134/S1070427210100290" TargetMode="External"/><Relationship Id="rId_hyperlink_1767" Type="http://schemas.openxmlformats.org/officeDocument/2006/relationships/hyperlink" Target="https%3A%2F%2Fwww.webofscience.com%2Fwos%2Fwoscc%2Ffull-record%2FWOS:000284652000029" TargetMode="External"/><Relationship Id="rId_hyperlink_1768" Type="http://schemas.openxmlformats.org/officeDocument/2006/relationships/hyperlink" Target="http://dx.doi.org/10.29051/el.v7iesp.2.15150" TargetMode="External"/><Relationship Id="rId_hyperlink_1769" Type="http://schemas.openxmlformats.org/officeDocument/2006/relationships/hyperlink" Target="https%3A%2F%2Fwww.webofscience.com%2Fwos%2Fwoscc%2Ffull-record%2FWOS:000659373500022" TargetMode="External"/><Relationship Id="rId_hyperlink_1770" Type="http://schemas.openxmlformats.org/officeDocument/2006/relationships/hyperlink" Target="https%3A%2F%2Fwww.webofscience.com%2Fwos%2Fwoscc%2Ffull-record%2FWOS:000254496200012" TargetMode="External"/><Relationship Id="rId_hyperlink_1771" Type="http://schemas.openxmlformats.org/officeDocument/2006/relationships/hyperlink" Target="http://dx.doi.org/10.1111/tan.15007" TargetMode="External"/><Relationship Id="rId_hyperlink_1772" Type="http://schemas.openxmlformats.org/officeDocument/2006/relationships/hyperlink" Target="https%3A%2F%2Fwww.webofscience.com%2Fwos%2Fwoscc%2Ffull-record%2FWOS:000943276600001" TargetMode="External"/><Relationship Id="rId_hyperlink_1773" Type="http://schemas.openxmlformats.org/officeDocument/2006/relationships/hyperlink" Target="http://dx.doi.org/10.25750/1995-4301-2022-4-232-239" TargetMode="External"/><Relationship Id="rId_hyperlink_1774" Type="http://schemas.openxmlformats.org/officeDocument/2006/relationships/hyperlink" Target="https%3A%2F%2Fwww.webofscience.com%2Fwos%2Fwoscc%2Ffull-record%2FWOS:000929704700031" TargetMode="External"/><Relationship Id="rId_hyperlink_1775" Type="http://schemas.openxmlformats.org/officeDocument/2006/relationships/hyperlink" Target="http://dx.doi.org/10.31166/VoprosyIstorii201911Statyi11" TargetMode="External"/><Relationship Id="rId_hyperlink_1776" Type="http://schemas.openxmlformats.org/officeDocument/2006/relationships/hyperlink" Target="https%3A%2F%2Fwww.webofscience.com%2Fwos%2Fwoscc%2Ffull-record%2FWOS:000504079400009" TargetMode="External"/><Relationship Id="rId_hyperlink_1777" Type="http://schemas.openxmlformats.org/officeDocument/2006/relationships/hyperlink" Target="http://dx.doi.org/10.17223/15617793/430/29" TargetMode="External"/><Relationship Id="rId_hyperlink_1778" Type="http://schemas.openxmlformats.org/officeDocument/2006/relationships/hyperlink" Target="https%3A%2F%2Fwww.webofscience.com%2Fwos%2Fwoscc%2Ffull-record%2FWOS:000438858600029" TargetMode="External"/><Relationship Id="rId_hyperlink_1779" Type="http://schemas.openxmlformats.org/officeDocument/2006/relationships/hyperlink" Target="http://dx.doi.org/10.1111/tan.14559" TargetMode="External"/><Relationship Id="rId_hyperlink_1780" Type="http://schemas.openxmlformats.org/officeDocument/2006/relationships/hyperlink" Target="https%3A%2F%2Fwww.webofscience.com%2Fwos%2Fwoscc%2Ffull-record%2FWOS:000749651400001" TargetMode="External"/><Relationship Id="rId_hyperlink_1781" Type="http://schemas.openxmlformats.org/officeDocument/2006/relationships/hyperlink" Target="http://dx.doi.org/10.25750/1995-4301-2022-4-088-095" TargetMode="External"/><Relationship Id="rId_hyperlink_1782" Type="http://schemas.openxmlformats.org/officeDocument/2006/relationships/hyperlink" Target="https%3A%2F%2Fwww.webofscience.com%2Fwos%2Fwoscc%2Ffull-record%2FWOS:000929704700012" TargetMode="External"/><Relationship Id="rId_hyperlink_1783" Type="http://schemas.openxmlformats.org/officeDocument/2006/relationships/hyperlink" Target="http://dx.doi.org/10.13187/ejced.2021.2.462" TargetMode="External"/><Relationship Id="rId_hyperlink_1784" Type="http://schemas.openxmlformats.org/officeDocument/2006/relationships/hyperlink" Target="https%3A%2F%2Fwww.webofscience.com%2Fwos%2Fwoscc%2Ffull-record%2FWOS:000669658200014" TargetMode="External"/><Relationship Id="rId_hyperlink_1785" Type="http://schemas.openxmlformats.org/officeDocument/2006/relationships/hyperlink" Target="http://dx.doi.org/10.15789/2220-7619-2019-3-4-437-448" TargetMode="External"/><Relationship Id="rId_hyperlink_1786" Type="http://schemas.openxmlformats.org/officeDocument/2006/relationships/hyperlink" Target="https%3A%2F%2Fwww.webofscience.com%2Fwos%2Fwoscc%2Ffull-record%2FWOS:000497425100002" TargetMode="External"/><Relationship Id="rId_hyperlink_1787" Type="http://schemas.openxmlformats.org/officeDocument/2006/relationships/hyperlink" Target="http://dx.doi.org/10.25178/nit.2019.1.6" TargetMode="External"/><Relationship Id="rId_hyperlink_1788" Type="http://schemas.openxmlformats.org/officeDocument/2006/relationships/hyperlink" Target="https%3A%2F%2Fwww.webofscience.com%2Fwos%2Fwoscc%2Ffull-record%2FWOS:000993913200006" TargetMode="External"/><Relationship Id="rId_hyperlink_1789" Type="http://schemas.openxmlformats.org/officeDocument/2006/relationships/hyperlink" Target="http://dx.doi.org/10.17150/2308-6203.2019.8(2).438-446" TargetMode="External"/><Relationship Id="rId_hyperlink_1790" Type="http://schemas.openxmlformats.org/officeDocument/2006/relationships/hyperlink" Target="https%3A%2F%2Fwww.webofscience.com%2Fwos%2Fwoscc%2Ffull-record%2FWOS:000468390900016" TargetMode="External"/><Relationship Id="rId_hyperlink_1791" Type="http://schemas.openxmlformats.org/officeDocument/2006/relationships/hyperlink" Target="http://dx.doi.org/10.1111/tan.14965" TargetMode="External"/><Relationship Id="rId_hyperlink_1792" Type="http://schemas.openxmlformats.org/officeDocument/2006/relationships/hyperlink" Target="https%3A%2F%2Fwww.webofscience.com%2Fwos%2Fwoscc%2Ffull-record%2FWOS:000911908900001" TargetMode="External"/><Relationship Id="rId_hyperlink_1793" Type="http://schemas.openxmlformats.org/officeDocument/2006/relationships/hyperlink" Target="http://dx.doi.org/10.1111/tan.14962" TargetMode="External"/><Relationship Id="rId_hyperlink_1794" Type="http://schemas.openxmlformats.org/officeDocument/2006/relationships/hyperlink" Target="https%3A%2F%2Fwww.webofscience.com%2Fwos%2Fwoscc%2Ffull-record%2FWOS:000908076200001" TargetMode="External"/><Relationship Id="rId_hyperlink_1795" Type="http://schemas.openxmlformats.org/officeDocument/2006/relationships/hyperlink" Target="https%3A%2F%2Fwww.webofscience.com%2Fwos%2Fwoscc%2Ffull-record%2FWOS:000755154100036" TargetMode="External"/><Relationship Id="rId_hyperlink_1796" Type="http://schemas.openxmlformats.org/officeDocument/2006/relationships/hyperlink" Target="http://dx.doi.org/10.1134/S1995425515050121" TargetMode="External"/><Relationship Id="rId_hyperlink_1797" Type="http://schemas.openxmlformats.org/officeDocument/2006/relationships/hyperlink" Target="https%3A%2F%2Fwww.webofscience.com%2Fwos%2Fwoscc%2Ffull-record%2FWOS:000363241200001" TargetMode="External"/><Relationship Id="rId_hyperlink_1798" Type="http://schemas.openxmlformats.org/officeDocument/2006/relationships/hyperlink" Target="http://dx.doi.org/10.22038/ijp.2021.57347.4500" TargetMode="External"/><Relationship Id="rId_hyperlink_1799" Type="http://schemas.openxmlformats.org/officeDocument/2006/relationships/hyperlink" Target="https%3A%2F%2Fwww.webofscience.com%2Fwos%2Fwoscc%2Ffull-record%2FWOS:000652648300023" TargetMode="External"/><Relationship Id="rId_hyperlink_1800" Type="http://schemas.openxmlformats.org/officeDocument/2006/relationships/hyperlink" Target="https%3A%2F%2Fwww.webofscience.com%2Fwos%2Fwoscc%2Ffull-record%2FWOS:000072655200032" TargetMode="External"/><Relationship Id="rId_hyperlink_1801" Type="http://schemas.openxmlformats.org/officeDocument/2006/relationships/hyperlink" Target="http://dx.doi.org/10.24874/IJQR16.03-19" TargetMode="External"/><Relationship Id="rId_hyperlink_1802" Type="http://schemas.openxmlformats.org/officeDocument/2006/relationships/hyperlink" Target="https%3A%2F%2Fwww.webofscience.com%2Fwos%2Fwoscc%2Ffull-record%2FWOS:000891388900001" TargetMode="External"/><Relationship Id="rId_hyperlink_1803" Type="http://schemas.openxmlformats.org/officeDocument/2006/relationships/hyperlink" Target="http://dx.doi.org/10.3390/sym13101869" TargetMode="External"/><Relationship Id="rId_hyperlink_1804" Type="http://schemas.openxmlformats.org/officeDocument/2006/relationships/hyperlink" Target="https%3A%2F%2Fwww.webofscience.com%2Fwos%2Fwoscc%2Ffull-record%2FWOS:000717100900001" TargetMode="External"/><Relationship Id="rId_hyperlink_1805" Type="http://schemas.openxmlformats.org/officeDocument/2006/relationships/hyperlink" Target="http://dx.doi.org/10.13187/ejced.2020.3.603" TargetMode="External"/><Relationship Id="rId_hyperlink_1806" Type="http://schemas.openxmlformats.org/officeDocument/2006/relationships/hyperlink" Target="https%3A%2F%2Fwww.webofscience.com%2Fwos%2Fwoscc%2Ffull-record%2FWOS:000567722400011" TargetMode="External"/><Relationship Id="rId_hyperlink_1807" Type="http://schemas.openxmlformats.org/officeDocument/2006/relationships/hyperlink" Target="http://dx.doi.org/10.33048/semi.2019.16.105" TargetMode="External"/><Relationship Id="rId_hyperlink_1808" Type="http://schemas.openxmlformats.org/officeDocument/2006/relationships/hyperlink" Target="https%3A%2F%2Fwww.webofscience.com%2Fwos%2Fwoscc%2Ffull-record%2FWOS:000492154000001" TargetMode="External"/><Relationship Id="rId_hyperlink_1809" Type="http://schemas.openxmlformats.org/officeDocument/2006/relationships/hyperlink" Target="http://dx.doi.org/10.1111/tan.14960" TargetMode="External"/><Relationship Id="rId_hyperlink_1810" Type="http://schemas.openxmlformats.org/officeDocument/2006/relationships/hyperlink" Target="https%3A%2F%2Fwww.webofscience.com%2Fwos%2Fwoscc%2Ffull-record%2FWOS:000908688000001" TargetMode="External"/><Relationship Id="rId_hyperlink_1811" Type="http://schemas.openxmlformats.org/officeDocument/2006/relationships/hyperlink" Target="http://dx.doi.org/10.51847/1A2QGmzKEo" TargetMode="External"/><Relationship Id="rId_hyperlink_1812" Type="http://schemas.openxmlformats.org/officeDocument/2006/relationships/hyperlink" Target="https%3A%2F%2Fwww.webofscience.com%2Fwos%2Fwoscc%2Ffull-record%2FWOS:000685660400001" TargetMode="External"/><Relationship Id="rId_hyperlink_1813" Type="http://schemas.openxmlformats.org/officeDocument/2006/relationships/hyperlink" Target="http://dx.doi.org/10.1088/1757-899X/971/3/032060" TargetMode="External"/><Relationship Id="rId_hyperlink_1814" Type="http://schemas.openxmlformats.org/officeDocument/2006/relationships/hyperlink" Target="https%3A%2F%2Fwww.webofscience.com%2Fwos%2Fwoscc%2Ffull-record%2FWOS:000646359100161" TargetMode="External"/><Relationship Id="rId_hyperlink_1815" Type="http://schemas.openxmlformats.org/officeDocument/2006/relationships/hyperlink" Target="http://dx.doi.org/10.1111/tan.14617" TargetMode="External"/><Relationship Id="rId_hyperlink_1816" Type="http://schemas.openxmlformats.org/officeDocument/2006/relationships/hyperlink" Target="https%3A%2F%2Fwww.webofscience.com%2Fwos%2Fwoscc%2Ffull-record%2FWOS:000777103700001" TargetMode="External"/><Relationship Id="rId_hyperlink_1817" Type="http://schemas.openxmlformats.org/officeDocument/2006/relationships/hyperlink" Target="http://dx.doi.org/10.1007/s10800-022-01667-0" TargetMode="External"/><Relationship Id="rId_hyperlink_1818" Type="http://schemas.openxmlformats.org/officeDocument/2006/relationships/hyperlink" Target="https%3A%2F%2Fwww.webofscience.com%2Fwos%2Fwoscc%2Ffull-record%2FWOS:000740198900003" TargetMode="External"/><Relationship Id="rId_hyperlink_1819" Type="http://schemas.openxmlformats.org/officeDocument/2006/relationships/hyperlink" Target="http://dx.doi.org/10.31166/VoprosyIstorii202111Statyi33" TargetMode="External"/><Relationship Id="rId_hyperlink_1820" Type="http://schemas.openxmlformats.org/officeDocument/2006/relationships/hyperlink" Target="https%3A%2F%2Fwww.webofscience.com%2Fwos%2Fwoscc%2Ffull-record%2FWOS:000729818300025" TargetMode="External"/><Relationship Id="rId_hyperlink_1821" Type="http://schemas.openxmlformats.org/officeDocument/2006/relationships/hyperlink" Target="http://dx.doi.org/10.24874/IJQR15.02-06" TargetMode="External"/><Relationship Id="rId_hyperlink_1822" Type="http://schemas.openxmlformats.org/officeDocument/2006/relationships/hyperlink" Target="https%3A%2F%2Fwww.webofscience.com%2Fwos%2Fwoscc%2Ffull-record%2FWOS:000655011600006" TargetMode="External"/><Relationship Id="rId_hyperlink_1823" Type="http://schemas.openxmlformats.org/officeDocument/2006/relationships/hyperlink" Target="http://dx.doi.org/10.1007/978-3-030-34983-7_19" TargetMode="External"/><Relationship Id="rId_hyperlink_1824" Type="http://schemas.openxmlformats.org/officeDocument/2006/relationships/hyperlink" Target="https%3A%2F%2Fwww.webofscience.com%2Fwos%2Fwoscc%2Ffull-record%2FWOS:000613140000019" TargetMode="External"/><Relationship Id="rId_hyperlink_1825" Type="http://schemas.openxmlformats.org/officeDocument/2006/relationships/hyperlink" Target="http://dx.doi.org/10.1051/e3sconf/202021016021" TargetMode="External"/><Relationship Id="rId_hyperlink_1826" Type="http://schemas.openxmlformats.org/officeDocument/2006/relationships/hyperlink" Target="https%3A%2F%2Fwww.webofscience.com%2Fwos%2Fwoscc%2Ffull-record%2FWOS:000659867302022" TargetMode="External"/><Relationship Id="rId_hyperlink_1827" Type="http://schemas.openxmlformats.org/officeDocument/2006/relationships/hyperlink" Target="http://dx.doi.org/10.1149/2.0561910jes" TargetMode="External"/><Relationship Id="rId_hyperlink_1828" Type="http://schemas.openxmlformats.org/officeDocument/2006/relationships/hyperlink" Target="https%3A%2F%2Fwww.webofscience.com%2Fwos%2Fwoscc%2Ffull-record%2FWOS:000470231700001" TargetMode="External"/><Relationship Id="rId_hyperlink_1829" Type="http://schemas.openxmlformats.org/officeDocument/2006/relationships/hyperlink" Target="http://dx.doi.org/10.3103/S106782121105004X" TargetMode="External"/><Relationship Id="rId_hyperlink_1830" Type="http://schemas.openxmlformats.org/officeDocument/2006/relationships/hyperlink" Target="https%3A%2F%2Fwww.webofscience.com%2Fwos%2Fwoscc%2Ffull-record%2FWOS:000296792700008" TargetMode="External"/><Relationship Id="rId_hyperlink_1831" Type="http://schemas.openxmlformats.org/officeDocument/2006/relationships/hyperlink" Target="http://dx.doi.org/10.1051/e3sconf/202021010007" TargetMode="External"/><Relationship Id="rId_hyperlink_1832" Type="http://schemas.openxmlformats.org/officeDocument/2006/relationships/hyperlink" Target="https%3A%2F%2Fwww.webofscience.com%2Fwos%2Fwoscc%2Ffull-record%2FWOS:000659867301032" TargetMode="External"/><Relationship Id="rId_hyperlink_1833" Type="http://schemas.openxmlformats.org/officeDocument/2006/relationships/hyperlink" Target="http://dx.doi.org/10.1088/1755-1315/90/1/012125" TargetMode="External"/><Relationship Id="rId_hyperlink_1834" Type="http://schemas.openxmlformats.org/officeDocument/2006/relationships/hyperlink" Target="https%3A%2F%2Fwww.webofscience.com%2Fwos%2Fwoscc%2Ffull-record%2FWOS:000419816700125" TargetMode="External"/><Relationship Id="rId_hyperlink_1835" Type="http://schemas.openxmlformats.org/officeDocument/2006/relationships/hyperlink" Target="http://dx.doi.org/10.25750/1995-4301-2022-3-110-117" TargetMode="External"/><Relationship Id="rId_hyperlink_1836" Type="http://schemas.openxmlformats.org/officeDocument/2006/relationships/hyperlink" Target="https%3A%2F%2Fwww.webofscience.com%2Fwos%2Fwoscc%2Ffull-record%2FWOS:000885393200014" TargetMode="External"/><Relationship Id="rId_hyperlink_1837" Type="http://schemas.openxmlformats.org/officeDocument/2006/relationships/hyperlink" Target="http://dx.doi.org/10.53350/pjmhs211592651" TargetMode="External"/><Relationship Id="rId_hyperlink_1838" Type="http://schemas.openxmlformats.org/officeDocument/2006/relationships/hyperlink" Target="https%3A%2F%2Fwww.webofscience.com%2Fwos%2Fwoscc%2Ffull-record%2FWOS:000729254000003" TargetMode="External"/><Relationship Id="rId_hyperlink_1839" Type="http://schemas.openxmlformats.org/officeDocument/2006/relationships/hyperlink" Target="http://dx.doi.org/10.13187/ejced.2021.3.726" TargetMode="External"/><Relationship Id="rId_hyperlink_1840" Type="http://schemas.openxmlformats.org/officeDocument/2006/relationships/hyperlink" Target="https%3A%2F%2Fwww.webofscience.com%2Fwos%2Fwoscc%2Ffull-record%2FWOS:000705970600015" TargetMode="External"/><Relationship Id="rId_hyperlink_1841" Type="http://schemas.openxmlformats.org/officeDocument/2006/relationships/hyperlink" Target="http://dx.doi.org/10.1051/e3sconf/202021017027" TargetMode="External"/><Relationship Id="rId_hyperlink_1842" Type="http://schemas.openxmlformats.org/officeDocument/2006/relationships/hyperlink" Target="https%3A%2F%2Fwww.webofscience.com%2Fwos%2Fwoscc%2Ffull-record%2FWOS:000659867302065" TargetMode="External"/><Relationship Id="rId_hyperlink_1843" Type="http://schemas.openxmlformats.org/officeDocument/2006/relationships/hyperlink" Target="http://dx.doi.org/10.1007/s11029-019-09824-x" TargetMode="External"/><Relationship Id="rId_hyperlink_1844" Type="http://schemas.openxmlformats.org/officeDocument/2006/relationships/hyperlink" Target="https%3A%2F%2Fwww.webofscience.com%2Fwos%2Fwoscc%2Ffull-record%2FWOS:000489505400001" TargetMode="External"/><Relationship Id="rId_hyperlink_1845" Type="http://schemas.openxmlformats.org/officeDocument/2006/relationships/hyperlink" Target="http://dx.doi.org/10.1007/s11356-018-3375-2" TargetMode="External"/><Relationship Id="rId_hyperlink_1846" Type="http://schemas.openxmlformats.org/officeDocument/2006/relationships/hyperlink" Target="https%3A%2F%2Fwww.webofscience.com%2Fwos%2Fwoscc%2Ffull-record%2FWOS:000451954700078" TargetMode="External"/><Relationship Id="rId_hyperlink_1847" Type="http://schemas.openxmlformats.org/officeDocument/2006/relationships/hyperlink" Target="http://dx.doi.org/10.1016/j.ijbiomac.2018.02.053" TargetMode="External"/><Relationship Id="rId_hyperlink_1848" Type="http://schemas.openxmlformats.org/officeDocument/2006/relationships/hyperlink" Target="https%3A%2F%2Fwww.webofscience.com%2Fwos%2Fwoscc%2Ffull-record%2FWOS:000430522400106" TargetMode="External"/><Relationship Id="rId_hyperlink_1849" Type="http://schemas.openxmlformats.org/officeDocument/2006/relationships/hyperlink" Target="https%3A%2F%2Fwww.webofscience.com%2Fwos%2Fwoscc%2Ffull-record%2FWOS:000572957200008" TargetMode="External"/><Relationship Id="rId_hyperlink_1850" Type="http://schemas.openxmlformats.org/officeDocument/2006/relationships/hyperlink" Target="http://dx.doi.org/10.18721/JPM.11110" TargetMode="External"/><Relationship Id="rId_hyperlink_1851" Type="http://schemas.openxmlformats.org/officeDocument/2006/relationships/hyperlink" Target="https%3A%2F%2Fwww.webofscience.com%2Fwos%2Fwoscc%2Ffull-record%2FWOS:000457081500010" TargetMode="External"/><Relationship Id="rId_hyperlink_1852" Type="http://schemas.openxmlformats.org/officeDocument/2006/relationships/hyperlink" Target="http://dx.doi.org/10.1007/s10517-016-3246-0" TargetMode="External"/><Relationship Id="rId_hyperlink_1853" Type="http://schemas.openxmlformats.org/officeDocument/2006/relationships/hyperlink" Target="https%3A%2F%2Fwww.webofscience.com%2Fwos%2Fwoscc%2Ffull-record%2FWOS:000373646500022" TargetMode="External"/><Relationship Id="rId_hyperlink_1854" Type="http://schemas.openxmlformats.org/officeDocument/2006/relationships/hyperlink" Target="http://dx.doi.org/10.25750/1995-4301-2022-4-014-021" TargetMode="External"/><Relationship Id="rId_hyperlink_1855" Type="http://schemas.openxmlformats.org/officeDocument/2006/relationships/hyperlink" Target="https%3A%2F%2Fwww.webofscience.com%2Fwos%2Fwoscc%2Ffull-record%2FWOS:000929704700002" TargetMode="External"/><Relationship Id="rId_hyperlink_1856" Type="http://schemas.openxmlformats.org/officeDocument/2006/relationships/hyperlink" Target="http://dx.doi.org/10.25750/1995-4301-2022-1-182-190" TargetMode="External"/><Relationship Id="rId_hyperlink_1857" Type="http://schemas.openxmlformats.org/officeDocument/2006/relationships/hyperlink" Target="https%3A%2F%2Fwww.webofscience.com%2Fwos%2Fwoscc%2Ffull-record%2FWOS:000819811100026" TargetMode="External"/><Relationship Id="rId_hyperlink_1858" Type="http://schemas.openxmlformats.org/officeDocument/2006/relationships/hyperlink" Target="http://dx.doi.org/10.1007/s11029-020-09869-3" TargetMode="External"/><Relationship Id="rId_hyperlink_1859" Type="http://schemas.openxmlformats.org/officeDocument/2006/relationships/hyperlink" Target="https%3A%2F%2Fwww.webofscience.com%2Fwos%2Fwoscc%2Ffull-record%2FWOS:000535381800001" TargetMode="External"/><Relationship Id="rId_hyperlink_1860" Type="http://schemas.openxmlformats.org/officeDocument/2006/relationships/hyperlink" Target="http://dx.doi.org/10.1134/S1070428022080139" TargetMode="External"/><Relationship Id="rId_hyperlink_1861" Type="http://schemas.openxmlformats.org/officeDocument/2006/relationships/hyperlink" Target="https%3A%2F%2Fwww.webofscience.com%2Fwos%2Fwoscc%2Ffull-record%2FWOS:000864642400013" TargetMode="External"/><Relationship Id="rId_hyperlink_1862" Type="http://schemas.openxmlformats.org/officeDocument/2006/relationships/hyperlink" Target="http://dx.doi.org/10.1007/s00249-022-01592-2" TargetMode="External"/><Relationship Id="rId_hyperlink_1863" Type="http://schemas.openxmlformats.org/officeDocument/2006/relationships/hyperlink" Target="https%3A%2F%2Fwww.webofscience.com%2Fwos%2Fwoscc%2Ffull-record%2FWOS:000766407600001" TargetMode="External"/><Relationship Id="rId_hyperlink_1864" Type="http://schemas.openxmlformats.org/officeDocument/2006/relationships/hyperlink" Target="http://dx.doi.org/10.1007/s13632-020-00702-w" TargetMode="External"/><Relationship Id="rId_hyperlink_1865" Type="http://schemas.openxmlformats.org/officeDocument/2006/relationships/hyperlink" Target="https%3A%2F%2Fwww.webofscience.com%2Fwos%2Fwoscc%2Ffull-record%2FWOS:000598989600001" TargetMode="External"/><Relationship Id="rId_hyperlink_1866" Type="http://schemas.openxmlformats.org/officeDocument/2006/relationships/hyperlink" Target="http://dx.doi.org/10.1051/e3sconf/202021010008" TargetMode="External"/><Relationship Id="rId_hyperlink_1867" Type="http://schemas.openxmlformats.org/officeDocument/2006/relationships/hyperlink" Target="https%3A%2F%2Fwww.webofscience.com%2Fwos%2Fwoscc%2Ffull-record%2FWOS:000659867301033" TargetMode="External"/><Relationship Id="rId_hyperlink_1868" Type="http://schemas.openxmlformats.org/officeDocument/2006/relationships/hyperlink" Target="http://dx.doi.org/10.18083/LCAppl.2020.1.85" TargetMode="External"/><Relationship Id="rId_hyperlink_1869" Type="http://schemas.openxmlformats.org/officeDocument/2006/relationships/hyperlink" Target="https%3A%2F%2Fwww.webofscience.com%2Fwos%2Fwoscc%2Ffull-record%2FWOS:000522216800010" TargetMode="External"/><Relationship Id="rId_hyperlink_1870" Type="http://schemas.openxmlformats.org/officeDocument/2006/relationships/hyperlink" Target="http://dx.doi.org/10.1088/1742-6596/1158/3/032044" TargetMode="External"/><Relationship Id="rId_hyperlink_1871" Type="http://schemas.openxmlformats.org/officeDocument/2006/relationships/hyperlink" Target="https%3A%2F%2Fwww.webofscience.com%2Fwos%2Fwoscc%2Ffull-record%2FWOS:000560244900092" TargetMode="External"/><Relationship Id="rId_hyperlink_1872" Type="http://schemas.openxmlformats.org/officeDocument/2006/relationships/hyperlink" Target="http://dx.doi.org/10.1088/1755-1315/90/1/012218" TargetMode="External"/><Relationship Id="rId_hyperlink_1873" Type="http://schemas.openxmlformats.org/officeDocument/2006/relationships/hyperlink" Target="https%3A%2F%2Fwww.webofscience.com%2Fwos%2Fwoscc%2Ffull-record%2FWOS:000419816700218" TargetMode="External"/><Relationship Id="rId_hyperlink_1874" Type="http://schemas.openxmlformats.org/officeDocument/2006/relationships/hyperlink" Target="http://dx.doi.org/10.1088/1755-1315/90/1/012208" TargetMode="External"/><Relationship Id="rId_hyperlink_1875" Type="http://schemas.openxmlformats.org/officeDocument/2006/relationships/hyperlink" Target="https%3A%2F%2Fwww.webofscience.com%2Fwos%2Fwoscc%2Ffull-record%2FWOS:000419816700208" TargetMode="External"/><Relationship Id="rId_hyperlink_1876" Type="http://schemas.openxmlformats.org/officeDocument/2006/relationships/hyperlink" Target="http://dx.doi.org/10.1515/POLYENG.2011.058" TargetMode="External"/><Relationship Id="rId_hyperlink_1877" Type="http://schemas.openxmlformats.org/officeDocument/2006/relationships/hyperlink" Target="https%3A%2F%2Fwww.webofscience.com%2Fwos%2Fwoscc%2Ffull-record%2FWOS:000294413400033" TargetMode="External"/><Relationship Id="rId_hyperlink_1878" Type="http://schemas.openxmlformats.org/officeDocument/2006/relationships/hyperlink" Target="http://dx.doi.org/10.25750/1995-4301-2021-3-111-117" TargetMode="External"/><Relationship Id="rId_hyperlink_1879" Type="http://schemas.openxmlformats.org/officeDocument/2006/relationships/hyperlink" Target="https%3A%2F%2Fwww.webofscience.com%2Fwos%2Fwoscc%2Ffull-record%2FWOS:000700413300015" TargetMode="External"/><Relationship Id="rId_hyperlink_1880" Type="http://schemas.openxmlformats.org/officeDocument/2006/relationships/hyperlink" Target="https%3A%2F%2Fwww.webofscience.com%2Fwos%2Fwoscc%2Ffull-record%2FWOS:000572957200013" TargetMode="External"/><Relationship Id="rId_hyperlink_1881" Type="http://schemas.openxmlformats.org/officeDocument/2006/relationships/hyperlink" Target="http://dx.doi.org/10.25750/1995-4301-2020-1-042-046" TargetMode="External"/><Relationship Id="rId_hyperlink_1882" Type="http://schemas.openxmlformats.org/officeDocument/2006/relationships/hyperlink" Target="https%3A%2F%2Fwww.webofscience.com%2Fwos%2Fwoscc%2Ffull-record%2FWOS:000522789400006" TargetMode="External"/><Relationship Id="rId_hyperlink_1883" Type="http://schemas.openxmlformats.org/officeDocument/2006/relationships/hyperlink" Target="http://dx.doi.org/10.1051/matecconf/201710608077" TargetMode="External"/><Relationship Id="rId_hyperlink_1884" Type="http://schemas.openxmlformats.org/officeDocument/2006/relationships/hyperlink" Target="https%3A%2F%2Fwww.webofscience.com%2Fwos%2Fwoscc%2Ffull-record%2FWOS:000426426600262" TargetMode="External"/><Relationship Id="rId_hyperlink_1885" Type="http://schemas.openxmlformats.org/officeDocument/2006/relationships/hyperlink" Target="http://dx.doi.org/10.1051/e3sconf/202021013036" TargetMode="External"/><Relationship Id="rId_hyperlink_1886" Type="http://schemas.openxmlformats.org/officeDocument/2006/relationships/hyperlink" Target="https%3A%2F%2Fwww.webofscience.com%2Fwos%2Fwoscc%2Ffull-record%2FWOS:000659867301085" TargetMode="External"/><Relationship Id="rId_hyperlink_1887" Type="http://schemas.openxmlformats.org/officeDocument/2006/relationships/hyperlink" Target="http://dx.doi.org/10.12973/eurasia.2017.00727a" TargetMode="External"/><Relationship Id="rId_hyperlink_1888" Type="http://schemas.openxmlformats.org/officeDocument/2006/relationships/hyperlink" Target="https%3A%2F%2Fwww.webofscience.com%2Fwos%2Fwoscc%2Ffull-record%2FWOS:000404607800009" TargetMode="External"/><Relationship Id="rId_hyperlink_1889" Type="http://schemas.openxmlformats.org/officeDocument/2006/relationships/hyperlink" Target="http://dx.doi.org/10.1134/S0021894416040179" TargetMode="External"/><Relationship Id="rId_hyperlink_1890" Type="http://schemas.openxmlformats.org/officeDocument/2006/relationships/hyperlink" Target="https%3A%2F%2Fwww.webofscience.com%2Fwos%2Fwoscc%2Ffull-record%2FWOS:000386562700017" TargetMode="External"/><Relationship Id="rId_hyperlink_1891" Type="http://schemas.openxmlformats.org/officeDocument/2006/relationships/hyperlink" Target="http://dx.doi.org/10.1134/S1064229319100132" TargetMode="External"/><Relationship Id="rId_hyperlink_1892" Type="http://schemas.openxmlformats.org/officeDocument/2006/relationships/hyperlink" Target="https%3A%2F%2Fwww.webofscience.com%2Fwos%2Fwoscc%2Ffull-record%2FWOS:000491515600009" TargetMode="External"/><Relationship Id="rId_hyperlink_1893" Type="http://schemas.openxmlformats.org/officeDocument/2006/relationships/hyperlink" Target="https%3A%2F%2Fwww.webofscience.com%2Fwos%2Fwoscc%2Ffull-record%2FWOS:000486972406174" TargetMode="External"/><Relationship Id="rId_hyperlink_1894" Type="http://schemas.openxmlformats.org/officeDocument/2006/relationships/hyperlink" Target="http://dx.doi.org/10.15298/rusjtheriol.16.2.05" TargetMode="External"/><Relationship Id="rId_hyperlink_1895" Type="http://schemas.openxmlformats.org/officeDocument/2006/relationships/hyperlink" Target="https%3A%2F%2Fwww.webofscience.com%2Fwos%2Fwoscc%2Ffull-record%2FWOS:000418853400005" TargetMode="External"/><Relationship Id="rId_hyperlink_1896" Type="http://schemas.openxmlformats.org/officeDocument/2006/relationships/hyperlink" Target="http://dx.doi.org/10.1088/1755-1315/90/1/012122" TargetMode="External"/><Relationship Id="rId_hyperlink_1897" Type="http://schemas.openxmlformats.org/officeDocument/2006/relationships/hyperlink" Target="https%3A%2F%2Fwww.webofscience.com%2Fwos%2Fwoscc%2Ffull-record%2FWOS:000419816700122" TargetMode="External"/><Relationship Id="rId_hyperlink_1898" Type="http://schemas.openxmlformats.org/officeDocument/2006/relationships/hyperlink" Target="http://dx.doi.org/10.1134/S1062359020100179" TargetMode="External"/><Relationship Id="rId_hyperlink_1899" Type="http://schemas.openxmlformats.org/officeDocument/2006/relationships/hyperlink" Target="https%3A%2F%2Fwww.webofscience.com%2Fwos%2Fwoscc%2Ffull-record%2FWOS:000608058700021" TargetMode="External"/><Relationship Id="rId_hyperlink_1900" Type="http://schemas.openxmlformats.org/officeDocument/2006/relationships/hyperlink" Target="http://dx.doi.org/10.1080/13640461.2020.1822632" TargetMode="External"/><Relationship Id="rId_hyperlink_1901" Type="http://schemas.openxmlformats.org/officeDocument/2006/relationships/hyperlink" Target="https%3A%2F%2Fwww.webofscience.com%2Fwos%2Fwoscc%2Ffull-record%2FWOS:000569199100001" TargetMode="External"/><Relationship Id="rId_hyperlink_1902" Type="http://schemas.openxmlformats.org/officeDocument/2006/relationships/hyperlink" Target="http://dx.doi.org/10.25750/1995-4301-2020-1-089-096" TargetMode="External"/><Relationship Id="rId_hyperlink_1903" Type="http://schemas.openxmlformats.org/officeDocument/2006/relationships/hyperlink" Target="https%3A%2F%2Fwww.webofscience.com%2Fwos%2Fwoscc%2Ffull-record%2FWOS:000522789400013" TargetMode="External"/><Relationship Id="rId_hyperlink_1904" Type="http://schemas.openxmlformats.org/officeDocument/2006/relationships/hyperlink" Target="http://dx.doi.org/10.25750/1995-4301-2019-3-034-040" TargetMode="External"/><Relationship Id="rId_hyperlink_1905" Type="http://schemas.openxmlformats.org/officeDocument/2006/relationships/hyperlink" Target="https%3A%2F%2Fwww.webofscience.com%2Fwos%2Fwoscc%2Ffull-record%2FWOS:000490704900005" TargetMode="External"/><Relationship Id="rId_hyperlink_1906" Type="http://schemas.openxmlformats.org/officeDocument/2006/relationships/hyperlink" Target="http://dx.doi.org/10.1134/S0005117913020069" TargetMode="External"/><Relationship Id="rId_hyperlink_1907" Type="http://schemas.openxmlformats.org/officeDocument/2006/relationships/hyperlink" Target="https%3A%2F%2Fwww.webofscience.com%2Fwos%2Fwoscc%2Ffull-record%2FWOS:000315199600006" TargetMode="External"/><Relationship Id="rId_hyperlink_1908" Type="http://schemas.openxmlformats.org/officeDocument/2006/relationships/hyperlink" Target="https%3A%2F%2Fwww.webofscience.com%2Fwos%2Fwoscc%2Ffull-record%2FWOS:000717948200021" TargetMode="External"/><Relationship Id="rId_hyperlink_1909" Type="http://schemas.openxmlformats.org/officeDocument/2006/relationships/hyperlink" Target="http://dx.doi.org/10.1134/S0021894418030173" TargetMode="External"/><Relationship Id="rId_hyperlink_1910" Type="http://schemas.openxmlformats.org/officeDocument/2006/relationships/hyperlink" Target="https%3A%2F%2Fwww.webofscience.com%2Fwos%2Fwoscc%2Ffull-record%2FWOS:000437448600017" TargetMode="External"/><Relationship Id="rId_hyperlink_1911" Type="http://schemas.openxmlformats.org/officeDocument/2006/relationships/hyperlink" Target="http://dx.doi.org/10.1051/matecconf/201710608075" TargetMode="External"/><Relationship Id="rId_hyperlink_1912" Type="http://schemas.openxmlformats.org/officeDocument/2006/relationships/hyperlink" Target="https%3A%2F%2Fwww.webofscience.com%2Fwos%2Fwoscc%2Ffull-record%2FWOS:000426426600260" TargetMode="External"/><Relationship Id="rId_hyperlink_1913" Type="http://schemas.openxmlformats.org/officeDocument/2006/relationships/hyperlink" Target="http://dx.doi.org/10.15789/2220-7619-IAO-2007" TargetMode="External"/><Relationship Id="rId_hyperlink_1914" Type="http://schemas.openxmlformats.org/officeDocument/2006/relationships/hyperlink" Target="https%3A%2F%2Fwww.webofscience.com%2Fwos%2Fwoscc%2Ffull-record%2FWOS:000921018100018" TargetMode="External"/><Relationship Id="rId_hyperlink_1915" Type="http://schemas.openxmlformats.org/officeDocument/2006/relationships/hyperlink" Target="http://dx.doi.org/10.1007/s11029-017-9673-9" TargetMode="External"/><Relationship Id="rId_hyperlink_1916" Type="http://schemas.openxmlformats.org/officeDocument/2006/relationships/hyperlink" Target="https%3A%2F%2Fwww.webofscience.com%2Fwos%2Fwoscc%2Ffull-record%2FWOS:000410474000001" TargetMode="External"/><Relationship Id="rId_hyperlink_1917" Type="http://schemas.openxmlformats.org/officeDocument/2006/relationships/hyperlink" Target="http://dx.doi.org/10.1007/s11696-022-02234-9" TargetMode="External"/><Relationship Id="rId_hyperlink_1918" Type="http://schemas.openxmlformats.org/officeDocument/2006/relationships/hyperlink" Target="https%3A%2F%2Fwww.webofscience.com%2Fwos%2Fwoscc%2Ffull-record%2FWOS:000790677400002" TargetMode="External"/><Relationship Id="rId_hyperlink_1919" Type="http://schemas.openxmlformats.org/officeDocument/2006/relationships/hyperlink" Target="http://dx.doi.org/10.25750/1995-4301-2020-2-117-122" TargetMode="External"/><Relationship Id="rId_hyperlink_1920" Type="http://schemas.openxmlformats.org/officeDocument/2006/relationships/hyperlink" Target="https%3A%2F%2Fwww.webofscience.com%2Fwos%2Fwoscc%2Ffull-record%2FWOS:000545295600016" TargetMode="External"/><Relationship Id="rId_hyperlink_1921" Type="http://schemas.openxmlformats.org/officeDocument/2006/relationships/hyperlink" Target="http://dx.doi.org/10.1002/jbm.a.36721" TargetMode="External"/><Relationship Id="rId_hyperlink_1922" Type="http://schemas.openxmlformats.org/officeDocument/2006/relationships/hyperlink" Target="https%3A%2F%2Fwww.webofscience.com%2Fwos%2Fwoscc%2Ffull-record%2FWOS:000475476600021" TargetMode="External"/><Relationship Id="rId_hyperlink_1923" Type="http://schemas.openxmlformats.org/officeDocument/2006/relationships/hyperlink" Target="http://dx.doi.org/10.1007/978-3-319-72613-7_11" TargetMode="External"/><Relationship Id="rId_hyperlink_1924" Type="http://schemas.openxmlformats.org/officeDocument/2006/relationships/hyperlink" Target="https%3A%2F%2Fwww.webofscience.com%2Fwos%2Fwoscc%2Ffull-record%2FWOS:000554931000012" TargetMode="External"/><Relationship Id="rId_hyperlink_1925" Type="http://schemas.openxmlformats.org/officeDocument/2006/relationships/hyperlink" Target="http://dx.doi.org/10.1016/j.carbpol.2013.12.071" TargetMode="External"/><Relationship Id="rId_hyperlink_1926" Type="http://schemas.openxmlformats.org/officeDocument/2006/relationships/hyperlink" Target="https%3A%2F%2Fwww.webofscience.com%2Fwos%2Fwoscc%2Ffull-record%2FWOS:000332812600072" TargetMode="External"/><Relationship Id="rId_hyperlink_1927" Type="http://schemas.openxmlformats.org/officeDocument/2006/relationships/hyperlink" Target="http://dx.doi.org/10.25750/1995-4301-2022-1-084-090" TargetMode="External"/><Relationship Id="rId_hyperlink_1928" Type="http://schemas.openxmlformats.org/officeDocument/2006/relationships/hyperlink" Target="https%3A%2F%2Fwww.webofscience.com%2Fwos%2Fwoscc%2Ffull-record%2FWOS:000819811100011" TargetMode="External"/><Relationship Id="rId_hyperlink_1929" Type="http://schemas.openxmlformats.org/officeDocument/2006/relationships/hyperlink" Target="http://dx.doi.org/10.17223/15617793/462/31" TargetMode="External"/><Relationship Id="rId_hyperlink_1930" Type="http://schemas.openxmlformats.org/officeDocument/2006/relationships/hyperlink" Target="https%3A%2F%2Fwww.webofscience.com%2Fwos%2Fwoscc%2Ffull-record%2FWOS:000637601600031" TargetMode="External"/><Relationship Id="rId_hyperlink_1931" Type="http://schemas.openxmlformats.org/officeDocument/2006/relationships/hyperlink" Target="http://dx.doi.org/10.25750/1995-4301-2018-2-101/2-107/1" TargetMode="External"/><Relationship Id="rId_hyperlink_1932" Type="http://schemas.openxmlformats.org/officeDocument/2006/relationships/hyperlink" Target="https%3A%2F%2Fwww.webofscience.com%2Fwos%2Fwoscc%2Ffull-record%2FWOS:000468564500013" TargetMode="External"/><Relationship Id="rId_hyperlink_1933" Type="http://schemas.openxmlformats.org/officeDocument/2006/relationships/hyperlink" Target="http://dx.doi.org/10.1007/s10965-022-03042-1" TargetMode="External"/><Relationship Id="rId_hyperlink_1934" Type="http://schemas.openxmlformats.org/officeDocument/2006/relationships/hyperlink" Target="https%3A%2F%2Fwww.webofscience.com%2Fwos%2Fwoscc%2Ffull-record%2FWOS:000792653100004" TargetMode="External"/><Relationship Id="rId_hyperlink_1935" Type="http://schemas.openxmlformats.org/officeDocument/2006/relationships/hyperlink" Target="https%3A%2F%2Fwww.webofscience.com%2Fwos%2Fwoscc%2Ffull-record%2FWOS:000461883000041" TargetMode="External"/><Relationship Id="rId_hyperlink_1936" Type="http://schemas.openxmlformats.org/officeDocument/2006/relationships/hyperlink" Target="http://dx.doi.org/10.1134/S0021894417030178" TargetMode="External"/><Relationship Id="rId_hyperlink_1937" Type="http://schemas.openxmlformats.org/officeDocument/2006/relationships/hyperlink" Target="https%3A%2F%2Fwww.webofscience.com%2Fwos%2Fwoscc%2Ffull-record%2FWOS:000406338900017" TargetMode="External"/><Relationship Id="rId_hyperlink_1938" Type="http://schemas.openxmlformats.org/officeDocument/2006/relationships/hyperlink" Target="http://dx.doi.org/10.13187/ejced.2021.3.638" TargetMode="External"/><Relationship Id="rId_hyperlink_1939" Type="http://schemas.openxmlformats.org/officeDocument/2006/relationships/hyperlink" Target="https%3A%2F%2Fwww.webofscience.com%2Fwos%2Fwoscc%2Ffull-record%2FWOS:000705970600008" TargetMode="External"/><Relationship Id="rId_hyperlink_1940" Type="http://schemas.openxmlformats.org/officeDocument/2006/relationships/hyperlink" Target="http://dx.doi.org/10.1063/5.0003363" TargetMode="External"/><Relationship Id="rId_hyperlink_1941" Type="http://schemas.openxmlformats.org/officeDocument/2006/relationships/hyperlink" Target="https%3A%2F%2Fwww.webofscience.com%2Fwos%2Fwoscc%2Ffull-record%2FWOS:000558065900007" TargetMode="External"/><Relationship Id="rId_hyperlink_1942" Type="http://schemas.openxmlformats.org/officeDocument/2006/relationships/hyperlink" Target="http://dx.doi.org/10.1016/j.ijbiomac.2018.11.081" TargetMode="External"/><Relationship Id="rId_hyperlink_1943" Type="http://schemas.openxmlformats.org/officeDocument/2006/relationships/hyperlink" Target="https%3A%2F%2Fwww.webofscience.com%2Fwos%2Fwoscc%2Ffull-record%2FWOS:000456760100035" TargetMode="External"/><Relationship Id="rId_hyperlink_1944" Type="http://schemas.openxmlformats.org/officeDocument/2006/relationships/hyperlink" Target="https%3A%2F%2Fwww.webofscience.com%2Fwos%2Fwoscc%2Ffull-record%2FWOS:000390059500166" TargetMode="External"/><Relationship Id="rId_hyperlink_1945" Type="http://schemas.openxmlformats.org/officeDocument/2006/relationships/hyperlink" Target="http://dx.doi.org/10.25750/1995-4301-2022-3-082-089" TargetMode="External"/><Relationship Id="rId_hyperlink_1946" Type="http://schemas.openxmlformats.org/officeDocument/2006/relationships/hyperlink" Target="https%3A%2F%2Fwww.webofscience.com%2Fwos%2Fwoscc%2Ffull-record%2FWOS:000885393200010" TargetMode="External"/><Relationship Id="rId_hyperlink_1947" Type="http://schemas.openxmlformats.org/officeDocument/2006/relationships/hyperlink" Target="http://dx.doi.org/10.25750/1995-4301-2021-2-081-088" TargetMode="External"/><Relationship Id="rId_hyperlink_1948" Type="http://schemas.openxmlformats.org/officeDocument/2006/relationships/hyperlink" Target="https%3A%2F%2Fwww.webofscience.com%2Fwos%2Fwoscc%2Ffull-record%2FWOS:000667025400012" TargetMode="External"/><Relationship Id="rId_hyperlink_1949" Type="http://schemas.openxmlformats.org/officeDocument/2006/relationships/hyperlink" Target="http://dx.doi.org/10.25750/1995-4301-2021-3-060-065" TargetMode="External"/><Relationship Id="rId_hyperlink_1950" Type="http://schemas.openxmlformats.org/officeDocument/2006/relationships/hyperlink" Target="https%3A%2F%2Fwww.webofscience.com%2Fwos%2Fwoscc%2Ffull-record%2FWOS:000700413300008" TargetMode="External"/><Relationship Id="rId_hyperlink_1951" Type="http://schemas.openxmlformats.org/officeDocument/2006/relationships/hyperlink" Target="http://dx.doi.org/10.25750/1995-4301-2020-3-176-181" TargetMode="External"/><Relationship Id="rId_hyperlink_1952" Type="http://schemas.openxmlformats.org/officeDocument/2006/relationships/hyperlink" Target="https%3A%2F%2Fwww.webofscience.com%2Fwos%2Fwoscc%2Ffull-record%2FWOS:000580337700026" TargetMode="External"/><Relationship Id="rId_hyperlink_1953" Type="http://schemas.openxmlformats.org/officeDocument/2006/relationships/hyperlink" Target="http://dx.doi.org/10.25750/1995-4301-2019-4-015-023" TargetMode="External"/><Relationship Id="rId_hyperlink_1954" Type="http://schemas.openxmlformats.org/officeDocument/2006/relationships/hyperlink" Target="https%3A%2F%2Fwww.webofscience.com%2Fwos%2Fwoscc%2Ffull-record%2FWOS:000504049400002" TargetMode="External"/><Relationship Id="rId_hyperlink_1955" Type="http://schemas.openxmlformats.org/officeDocument/2006/relationships/hyperlink" Target="http://dx.doi.org/10.1007/978-3-319-60696-5_62" TargetMode="External"/><Relationship Id="rId_hyperlink_1956" Type="http://schemas.openxmlformats.org/officeDocument/2006/relationships/hyperlink" Target="https%3A%2F%2Fwww.webofscience.com%2Fwos%2Fwoscc%2Ffull-record%2FWOS:000426114200062" TargetMode="External"/><Relationship Id="rId_hyperlink_1957" Type="http://schemas.openxmlformats.org/officeDocument/2006/relationships/hyperlink" Target="http://dx.doi.org/10.1088/1755-1315/90/1/012126" TargetMode="External"/><Relationship Id="rId_hyperlink_1958" Type="http://schemas.openxmlformats.org/officeDocument/2006/relationships/hyperlink" Target="https%3A%2F%2Fwww.webofscience.com%2Fwos%2Fwoscc%2Ffull-record%2FWOS:000419816700126" TargetMode="External"/><Relationship Id="rId_hyperlink_1959" Type="http://schemas.openxmlformats.org/officeDocument/2006/relationships/hyperlink" Target="http://dx.doi.org/10.13187/ejced.2022.2.432" TargetMode="External"/><Relationship Id="rId_hyperlink_1960" Type="http://schemas.openxmlformats.org/officeDocument/2006/relationships/hyperlink" Target="https%3A%2F%2Fwww.webofscience.com%2Fwos%2Fwoscc%2Ffull-record%2FWOS:000823569900009" TargetMode="External"/><Relationship Id="rId_hyperlink_1961" Type="http://schemas.openxmlformats.org/officeDocument/2006/relationships/hyperlink" Target="http://dx.doi.org/10.51847/iCBtjlcQyD" TargetMode="External"/><Relationship Id="rId_hyperlink_1962" Type="http://schemas.openxmlformats.org/officeDocument/2006/relationships/hyperlink" Target="https%3A%2F%2Fwww.webofscience.com%2Fwos%2Fwoscc%2Ffull-record%2FWOS:000741374100001" TargetMode="External"/><Relationship Id="rId_hyperlink_1963" Type="http://schemas.openxmlformats.org/officeDocument/2006/relationships/hyperlink" Target="http://dx.doi.org/10.25750/1995-4301-2021-1-079-084" TargetMode="External"/><Relationship Id="rId_hyperlink_1964" Type="http://schemas.openxmlformats.org/officeDocument/2006/relationships/hyperlink" Target="https%3A%2F%2Fwww.webofscience.com%2Fwos%2Fwoscc%2Ffull-record%2FWOS:000632219100010" TargetMode="External"/><Relationship Id="rId_hyperlink_1965" Type="http://schemas.openxmlformats.org/officeDocument/2006/relationships/hyperlink" Target="http://dx.doi.org/10.25750/1995-4301-2021-1-022-029" TargetMode="External"/><Relationship Id="rId_hyperlink_1966" Type="http://schemas.openxmlformats.org/officeDocument/2006/relationships/hyperlink" Target="https%3A%2F%2Fwww.webofscience.com%2Fwos%2Fwoscc%2Ffull-record%2FWOS:000632219100003" TargetMode="External"/><Relationship Id="rId_hyperlink_1967" Type="http://schemas.openxmlformats.org/officeDocument/2006/relationships/hyperlink" Target="http://dx.doi.org/10.1016/j.ijbiomac.2020.07.189" TargetMode="External"/><Relationship Id="rId_hyperlink_1968" Type="http://schemas.openxmlformats.org/officeDocument/2006/relationships/hyperlink" Target="https%3A%2F%2Fwww.webofscience.com%2Fwos%2Fwoscc%2Ffull-record%2FWOS:000588093700082" TargetMode="External"/><Relationship Id="rId_hyperlink_1969" Type="http://schemas.openxmlformats.org/officeDocument/2006/relationships/hyperlink" Target="http://dx.doi.org/10.25750/1995-4301-2020-1-151-159" TargetMode="External"/><Relationship Id="rId_hyperlink_1970" Type="http://schemas.openxmlformats.org/officeDocument/2006/relationships/hyperlink" Target="https%3A%2F%2Fwww.webofscience.com%2Fwos%2Fwoscc%2Ffull-record%2FWOS:000522789400022" TargetMode="External"/><Relationship Id="rId_hyperlink_1971" Type="http://schemas.openxmlformats.org/officeDocument/2006/relationships/hyperlink" Target="http://dx.doi.org/10.1016/j.heliyon.2019.e01202" TargetMode="External"/><Relationship Id="rId_hyperlink_1972" Type="http://schemas.openxmlformats.org/officeDocument/2006/relationships/hyperlink" Target="https%3A%2F%2Fwww.webofscience.com%2Fwos%2Fwoscc%2Ffull-record%2FWOS:000460082200025" TargetMode="External"/><Relationship Id="rId_hyperlink_1973" Type="http://schemas.openxmlformats.org/officeDocument/2006/relationships/hyperlink" Target="http://dx.doi.org/10.25750/1995-4301-2021-3-038-043" TargetMode="External"/><Relationship Id="rId_hyperlink_1974" Type="http://schemas.openxmlformats.org/officeDocument/2006/relationships/hyperlink" Target="https%3A%2F%2Fwww.webofscience.com%2Fwos%2Fwoscc%2Ffull-record%2FWOS:000700413300005" TargetMode="External"/><Relationship Id="rId_hyperlink_1975" Type="http://schemas.openxmlformats.org/officeDocument/2006/relationships/hyperlink" Target="http://dx.doi.org/10.1007/s12033-019-00202-5" TargetMode="External"/><Relationship Id="rId_hyperlink_1976" Type="http://schemas.openxmlformats.org/officeDocument/2006/relationships/hyperlink" Target="https%3A%2F%2Fwww.webofscience.com%2Fwos%2Fwoscc%2Ffull-record%2FWOS:000485895800002" TargetMode="External"/><Relationship Id="rId_hyperlink_1977" Type="http://schemas.openxmlformats.org/officeDocument/2006/relationships/hyperlink" Target="https%3A%2F%2Fwww.webofscience.com%2Fwos%2Fwoscc%2Ffull-record%2FWOS:000437674102123" TargetMode="External"/><Relationship Id="rId_hyperlink_1978" Type="http://schemas.openxmlformats.org/officeDocument/2006/relationships/hyperlink" Target="http://dx.doi.org/10.3390/cryst12030419" TargetMode="External"/><Relationship Id="rId_hyperlink_1979" Type="http://schemas.openxmlformats.org/officeDocument/2006/relationships/hyperlink" Target="https%3A%2F%2Fwww.webofscience.com%2Fwos%2Fwoscc%2Ffull-record%2FWOS:000777005100001" TargetMode="External"/><Relationship Id="rId_hyperlink_1980" Type="http://schemas.openxmlformats.org/officeDocument/2006/relationships/hyperlink" Target="http://dx.doi.org/10.53350/pjmhs2115123458" TargetMode="External"/><Relationship Id="rId_hyperlink_1981" Type="http://schemas.openxmlformats.org/officeDocument/2006/relationships/hyperlink" Target="https%3A%2F%2Fwww.webofscience.com%2Fwos%2Fwoscc%2Ffull-record%2FWOS:000766496400112" TargetMode="External"/><Relationship Id="rId_hyperlink_1982" Type="http://schemas.openxmlformats.org/officeDocument/2006/relationships/hyperlink" Target="http://dx.doi.org/10.1016/j.ijbiomac.2020.08.024" TargetMode="External"/><Relationship Id="rId_hyperlink_1983" Type="http://schemas.openxmlformats.org/officeDocument/2006/relationships/hyperlink" Target="https%3A%2F%2Fwww.webofscience.com%2Fwos%2Fwoscc%2Ffull-record%2FWOS:000588093700211" TargetMode="External"/><Relationship Id="rId_hyperlink_1984" Type="http://schemas.openxmlformats.org/officeDocument/2006/relationships/hyperlink" Target="http://dx.doi.org/10.3103/S1066369X20060079" TargetMode="External"/><Relationship Id="rId_hyperlink_1985" Type="http://schemas.openxmlformats.org/officeDocument/2006/relationships/hyperlink" Target="https%3A%2F%2Fwww.webofscience.com%2Fwos%2Fwoscc%2Ffull-record%2FWOS:000556993500007" TargetMode="External"/><Relationship Id="rId_hyperlink_1986" Type="http://schemas.openxmlformats.org/officeDocument/2006/relationships/hyperlink" Target="http://dx.doi.org/10.3390/plants8060172" TargetMode="External"/><Relationship Id="rId_hyperlink_1987" Type="http://schemas.openxmlformats.org/officeDocument/2006/relationships/hyperlink" Target="https%3A%2F%2Fwww.webofscience.com%2Fwos%2Fwoscc%2Ffull-record%2FWOS:000475326400033" TargetMode="External"/><Relationship Id="rId_hyperlink_1988" Type="http://schemas.openxmlformats.org/officeDocument/2006/relationships/hyperlink" Target="http://dx.doi.org/10.1016/j.carbpol.2018.10.053" TargetMode="External"/><Relationship Id="rId_hyperlink_1989" Type="http://schemas.openxmlformats.org/officeDocument/2006/relationships/hyperlink" Target="https%3A%2F%2Fwww.webofscience.com%2Fwos%2Fwoscc%2Ffull-record%2FWOS:000450093200052" TargetMode="External"/><Relationship Id="rId_hyperlink_1990" Type="http://schemas.openxmlformats.org/officeDocument/2006/relationships/hyperlink" Target="http://dx.doi.org/10.3390/risks9120212" TargetMode="External"/><Relationship Id="rId_hyperlink_1991" Type="http://schemas.openxmlformats.org/officeDocument/2006/relationships/hyperlink" Target="https%3A%2F%2Fwww.webofscience.com%2Fwos%2Fwoscc%2Ffull-record%2FWOS:000738338000001" TargetMode="External"/><Relationship Id="rId_hyperlink_1992" Type="http://schemas.openxmlformats.org/officeDocument/2006/relationships/hyperlink" Target="http://dx.doi.org/10.25750/1995-4301-2021-4-174-180" TargetMode="External"/><Relationship Id="rId_hyperlink_1993" Type="http://schemas.openxmlformats.org/officeDocument/2006/relationships/hyperlink" Target="https%3A%2F%2Fwww.webofscience.com%2Fwos%2Fwoscc%2Ffull-record%2FWOS:000755154100025" TargetMode="External"/><Relationship Id="rId_hyperlink_1994" Type="http://schemas.openxmlformats.org/officeDocument/2006/relationships/hyperlink" Target="http://dx.doi.org/10.1134/S0021894420040148" TargetMode="External"/><Relationship Id="rId_hyperlink_1995" Type="http://schemas.openxmlformats.org/officeDocument/2006/relationships/hyperlink" Target="https%3A%2F%2Fwww.webofscience.com%2Fwos%2Fwoscc%2Ffull-record%2FWOS:000574746500014" TargetMode="External"/><Relationship Id="rId_hyperlink_1996" Type="http://schemas.openxmlformats.org/officeDocument/2006/relationships/hyperlink" Target="http://dx.doi.org/10.25750/1995-4301-2020-1-160-166" TargetMode="External"/><Relationship Id="rId_hyperlink_1997" Type="http://schemas.openxmlformats.org/officeDocument/2006/relationships/hyperlink" Target="https%3A%2F%2Fwww.webofscience.com%2Fwos%2Fwoscc%2Ffull-record%2FWOS:000522789400023" TargetMode="External"/><Relationship Id="rId_hyperlink_1998" Type="http://schemas.openxmlformats.org/officeDocument/2006/relationships/hyperlink" Target="http://dx.doi.org/10.15405/epsbs.2019.12.15" TargetMode="External"/><Relationship Id="rId_hyperlink_1999" Type="http://schemas.openxmlformats.org/officeDocument/2006/relationships/hyperlink" Target="https%3A%2F%2Fwww.webofscience.com%2Fwos%2Fwoscc%2Ffull-record%2FWOS:000758186600015" TargetMode="External"/><Relationship Id="rId_hyperlink_2000" Type="http://schemas.openxmlformats.org/officeDocument/2006/relationships/hyperlink" Target="http://dx.doi.org/10.1134/S0021894423020153" TargetMode="External"/><Relationship Id="rId_hyperlink_2001" Type="http://schemas.openxmlformats.org/officeDocument/2006/relationships/hyperlink" Target="https%3A%2F%2Fwww.webofscience.com%2Fwos%2Fwoscc%2Ffull-record%2FWOS:001000528300015" TargetMode="External"/><Relationship Id="rId_hyperlink_2002" Type="http://schemas.openxmlformats.org/officeDocument/2006/relationships/hyperlink" Target="http://dx.doi.org/10.17223/15617793/442/30" TargetMode="External"/><Relationship Id="rId_hyperlink_2003" Type="http://schemas.openxmlformats.org/officeDocument/2006/relationships/hyperlink" Target="https%3A%2F%2Fwww.webofscience.com%2Fwos%2Fwoscc%2Ffull-record%2FWOS:000475492100030" TargetMode="External"/><Relationship Id="rId_hyperlink_2004" Type="http://schemas.openxmlformats.org/officeDocument/2006/relationships/hyperlink" Target="http://dx.doi.org/10.1051/e3sconf/201911002152" TargetMode="External"/><Relationship Id="rId_hyperlink_2005" Type="http://schemas.openxmlformats.org/officeDocument/2006/relationships/hyperlink" Target="https%3A%2F%2Fwww.webofscience.com%2Fwos%2Fwoscc%2Ffull-record%2FWOS:000569050000241" TargetMode="External"/><Relationship Id="rId_hyperlink_2006" Type="http://schemas.openxmlformats.org/officeDocument/2006/relationships/hyperlink" Target="http://dx.doi.org/10.1007/s10517-018-4180-0" TargetMode="External"/><Relationship Id="rId_hyperlink_2007" Type="http://schemas.openxmlformats.org/officeDocument/2006/relationships/hyperlink" Target="https%3A%2F%2Fwww.webofscience.com%2Fwos%2Fwoscc%2Ffull-record%2FWOS:000439334000027" TargetMode="External"/><Relationship Id="rId_hyperlink_2008" Type="http://schemas.openxmlformats.org/officeDocument/2006/relationships/hyperlink" Target="http://dx.doi.org/10.1051/matecconf/201817001046" TargetMode="External"/><Relationship Id="rId_hyperlink_2009" Type="http://schemas.openxmlformats.org/officeDocument/2006/relationships/hyperlink" Target="https%3A%2F%2Fwww.webofscience.com%2Fwos%2Fwoscc%2Ffull-record%2FWOS:000449660800046" TargetMode="External"/><Relationship Id="rId_hyperlink_2010" Type="http://schemas.openxmlformats.org/officeDocument/2006/relationships/hyperlink" Target="http://dx.doi.org/10.22616/ERDev.2020.19.TF334" TargetMode="External"/><Relationship Id="rId_hyperlink_2011" Type="http://schemas.openxmlformats.org/officeDocument/2006/relationships/hyperlink" Target="https%3A%2F%2Fwww.webofscience.com%2Fwos%2Fwoscc%2Ffull-record%2FWOS:000815085500192" TargetMode="External"/><Relationship Id="rId_hyperlink_2012" Type="http://schemas.openxmlformats.org/officeDocument/2006/relationships/hyperlink" Target="http://dx.doi.org/10.1016/j.ijbiomac.2018.07.078" TargetMode="External"/><Relationship Id="rId_hyperlink_2013" Type="http://schemas.openxmlformats.org/officeDocument/2006/relationships/hyperlink" Target="https%3A%2F%2Fwww.webofscience.com%2Fwos%2Fwoscc%2Ffull-record%2FWOS:000449892800095" TargetMode="External"/><Relationship Id="rId_hyperlink_2014" Type="http://schemas.openxmlformats.org/officeDocument/2006/relationships/hyperlink" Target="http://dx.doi.org/10.15405/epsbs.2017.08.2" TargetMode="External"/><Relationship Id="rId_hyperlink_2015" Type="http://schemas.openxmlformats.org/officeDocument/2006/relationships/hyperlink" Target="https%3A%2F%2Fwww.webofscience.com%2Fwos%2Fwoscc%2Ffull-record%2FWOS:000416073800002" TargetMode="External"/><Relationship Id="rId_hyperlink_2016" Type="http://schemas.openxmlformats.org/officeDocument/2006/relationships/hyperlink" Target="http://dx.doi.org/10.1007/978-981-16-8806-5_2" TargetMode="External"/><Relationship Id="rId_hyperlink_2017" Type="http://schemas.openxmlformats.org/officeDocument/2006/relationships/hyperlink" Target="https%3A%2F%2Fwww.webofscience.com%2Fwos%2Fwoscc%2Ffull-record%2FWOS:000789412600002" TargetMode="External"/><Relationship Id="rId_hyperlink_2018" Type="http://schemas.openxmlformats.org/officeDocument/2006/relationships/hyperlink" Target="http://dx.doi.org/10.1051/bioconf/20201700118" TargetMode="External"/><Relationship Id="rId_hyperlink_2019" Type="http://schemas.openxmlformats.org/officeDocument/2006/relationships/hyperlink" Target="https%3A%2F%2Fwww.webofscience.com%2Fwos%2Fwoscc%2Ffull-record%2FWOS:000570248200117" TargetMode="External"/><Relationship Id="rId_hyperlink_2020" Type="http://schemas.openxmlformats.org/officeDocument/2006/relationships/hyperlink" Target="http://dx.doi.org/10.22616/ERDev2017.16.N269" TargetMode="External"/><Relationship Id="rId_hyperlink_2021" Type="http://schemas.openxmlformats.org/officeDocument/2006/relationships/hyperlink" Target="https%3A%2F%2Fwww.webofscience.com%2Fwos%2Fwoscc%2Ffull-record%2FWOS:000416378300189" TargetMode="External"/><Relationship Id="rId_hyperlink_2022" Type="http://schemas.openxmlformats.org/officeDocument/2006/relationships/hyperlink" Target="http://dx.doi.org/10.1134/S1068162012070242" TargetMode="External"/><Relationship Id="rId_hyperlink_2023" Type="http://schemas.openxmlformats.org/officeDocument/2006/relationships/hyperlink" Target="https%3A%2F%2Fwww.webofscience.com%2Fwos%2Fwoscc%2Ffull-record%2FWOS:000312062700004" TargetMode="External"/><Relationship Id="rId_hyperlink_2024" Type="http://schemas.openxmlformats.org/officeDocument/2006/relationships/hyperlink" Target="http://dx.doi.org/10.13187/ejced.2021.4.943" TargetMode="External"/><Relationship Id="rId_hyperlink_2025" Type="http://schemas.openxmlformats.org/officeDocument/2006/relationships/hyperlink" Target="https%3A%2F%2Fwww.webofscience.com%2Fwos%2Fwoscc%2Ffull-record%2FWOS:000739150200009" TargetMode="External"/><Relationship Id="rId_hyperlink_2026" Type="http://schemas.openxmlformats.org/officeDocument/2006/relationships/hyperlink" Target="http://dx.doi.org/10.25750/1995-4301-2021-2-107-114" TargetMode="External"/><Relationship Id="rId_hyperlink_2027" Type="http://schemas.openxmlformats.org/officeDocument/2006/relationships/hyperlink" Target="https%3A%2F%2Fwww.webofscience.com%2Fwos%2Fwoscc%2Ffull-record%2FWOS:000667025400015" TargetMode="External"/><Relationship Id="rId_hyperlink_2028" Type="http://schemas.openxmlformats.org/officeDocument/2006/relationships/hyperlink" Target="http://dx.doi.org/10.25750/1995-4301-2020-3-036-040" TargetMode="External"/><Relationship Id="rId_hyperlink_2029" Type="http://schemas.openxmlformats.org/officeDocument/2006/relationships/hyperlink" Target="https%3A%2F%2Fwww.webofscience.com%2Fwos%2Fwoscc%2Ffull-record%2FWOS:000580337700005" TargetMode="External"/><Relationship Id="rId_hyperlink_2030" Type="http://schemas.openxmlformats.org/officeDocument/2006/relationships/hyperlink" Target="http://dx.doi.org/10.1016/j.ijbiomac.2019.07.122" TargetMode="External"/><Relationship Id="rId_hyperlink_2031" Type="http://schemas.openxmlformats.org/officeDocument/2006/relationships/hyperlink" Target="https%3A%2F%2Fwww.webofscience.com%2Fwos%2Fwoscc%2Ffull-record%2FWOS:000487569000066" TargetMode="External"/><Relationship Id="rId_hyperlink_2032" Type="http://schemas.openxmlformats.org/officeDocument/2006/relationships/hyperlink" Target="http://dx.doi.org/10.1016/j.carbpol.2019.03.087" TargetMode="External"/><Relationship Id="rId_hyperlink_2033" Type="http://schemas.openxmlformats.org/officeDocument/2006/relationships/hyperlink" Target="https%3A%2F%2Fwww.webofscience.com%2Fwos%2Fwoscc%2Ffull-record%2FWOS:000466353300025" TargetMode="External"/><Relationship Id="rId_hyperlink_2034" Type="http://schemas.openxmlformats.org/officeDocument/2006/relationships/hyperlink" Target="http://dx.doi.org/10.25750/1995-4301-2019-2-039-043" TargetMode="External"/><Relationship Id="rId_hyperlink_2035" Type="http://schemas.openxmlformats.org/officeDocument/2006/relationships/hyperlink" Target="https%3A%2F%2Fwww.webofscience.com%2Fwos%2Fwoscc%2Ffull-record%2FWOS:000477826000004" TargetMode="External"/><Relationship Id="rId_hyperlink_2036" Type="http://schemas.openxmlformats.org/officeDocument/2006/relationships/hyperlink" Target="http://dx.doi.org/10.25750/1995-4301-2018-2-035-037" TargetMode="External"/><Relationship Id="rId_hyperlink_2037" Type="http://schemas.openxmlformats.org/officeDocument/2006/relationships/hyperlink" Target="https%3A%2F%2Fwww.webofscience.com%2Fwos%2Fwoscc%2Ffull-record%2FWOS:000468564500004" TargetMode="External"/><Relationship Id="rId_hyperlink_2038" Type="http://schemas.openxmlformats.org/officeDocument/2006/relationships/hyperlink" Target="http://dx.doi.org/10.1002/jbm.a.36116" TargetMode="External"/><Relationship Id="rId_hyperlink_2039" Type="http://schemas.openxmlformats.org/officeDocument/2006/relationships/hyperlink" Target="https%3A%2F%2Fwww.webofscience.com%2Fwos%2Fwoscc%2Ffull-record%2FWOS:000406308500018" TargetMode="External"/><Relationship Id="rId_hyperlink_2040" Type="http://schemas.openxmlformats.org/officeDocument/2006/relationships/hyperlink" Target="http://dx.doi.org/10.12973/eurasia.2017.00719a" TargetMode="External"/><Relationship Id="rId_hyperlink_2041" Type="http://schemas.openxmlformats.org/officeDocument/2006/relationships/hyperlink" Target="https%3A%2F%2Fwww.webofscience.com%2Fwos%2Fwoscc%2Ffull-record%2FWOS:000404607800001" TargetMode="External"/><Relationship Id="rId_hyperlink_2042" Type="http://schemas.openxmlformats.org/officeDocument/2006/relationships/hyperlink" Target="http://dx.doi.org/10.1134/S1068162014020162" TargetMode="External"/><Relationship Id="rId_hyperlink_2043" Type="http://schemas.openxmlformats.org/officeDocument/2006/relationships/hyperlink" Target="https%3A%2F%2Fwww.webofscience.com%2Fwos%2Fwoscc%2Ffull-record%2FWOS:000336053700010" TargetMode="External"/><Relationship Id="rId_hyperlink_2044" Type="http://schemas.openxmlformats.org/officeDocument/2006/relationships/hyperlink" Target="http://dx.doi.org/10.1134/S0026261710060263" TargetMode="External"/><Relationship Id="rId_hyperlink_2045" Type="http://schemas.openxmlformats.org/officeDocument/2006/relationships/hyperlink" Target="https%3A%2F%2Fwww.webofscience.com%2Fwos%2Fwoscc%2Ffull-record%2FWOS:000285067700025" TargetMode="External"/><Relationship Id="rId_hyperlink_2046" Type="http://schemas.openxmlformats.org/officeDocument/2006/relationships/hyperlink" Target="http://dx.doi.org/10.1016/j.mtcomm.2022.104986" TargetMode="External"/><Relationship Id="rId_hyperlink_2047" Type="http://schemas.openxmlformats.org/officeDocument/2006/relationships/hyperlink" Target="https%3A%2F%2Fwww.webofscience.com%2Fwos%2Fwoscc%2Ffull-record%2FWOS:000892588700003" TargetMode="External"/><Relationship Id="rId_hyperlink_2048" Type="http://schemas.openxmlformats.org/officeDocument/2006/relationships/hyperlink" Target="http://dx.doi.org/10.1134/S1068162021040099" TargetMode="External"/><Relationship Id="rId_hyperlink_2049" Type="http://schemas.openxmlformats.org/officeDocument/2006/relationships/hyperlink" Target="https%3A%2F%2Fwww.webofscience.com%2Fwos%2Fwoscc%2Ffull-record%2FWOS:000709344500012" TargetMode="External"/><Relationship Id="rId_hyperlink_2050" Type="http://schemas.openxmlformats.org/officeDocument/2006/relationships/hyperlink" Target="http://dx.doi.org/10.25750/1995-4301-2021-4-218-223" TargetMode="External"/><Relationship Id="rId_hyperlink_2051" Type="http://schemas.openxmlformats.org/officeDocument/2006/relationships/hyperlink" Target="https%3A%2F%2Fwww.webofscience.com%2Fwos%2Fwoscc%2Ffull-record%2FWOS:000755154100031" TargetMode="External"/><Relationship Id="rId_hyperlink_2052" Type="http://schemas.openxmlformats.org/officeDocument/2006/relationships/hyperlink" Target="http://dx.doi.org/10.1016/j.ijbiomac.2020.04.055" TargetMode="External"/><Relationship Id="rId_hyperlink_2053" Type="http://schemas.openxmlformats.org/officeDocument/2006/relationships/hyperlink" Target="https%3A%2F%2Fwww.webofscience.com%2Fwos%2Fwoscc%2Ffull-record%2FWOS:000538104200086" TargetMode="External"/><Relationship Id="rId_hyperlink_2054" Type="http://schemas.openxmlformats.org/officeDocument/2006/relationships/hyperlink" Target="http://dx.doi.org/10.1016/j.scitotenv.2020.137920" TargetMode="External"/><Relationship Id="rId_hyperlink_2055" Type="http://schemas.openxmlformats.org/officeDocument/2006/relationships/hyperlink" Target="https%3A%2F%2Fwww.webofscience.com%2Fwos%2Fwoscc%2Ffull-record%2FWOS:000535465200014" TargetMode="External"/><Relationship Id="rId_hyperlink_2056" Type="http://schemas.openxmlformats.org/officeDocument/2006/relationships/hyperlink" Target="http://dx.doi.org/10.25750/1995-4301-2019-2-044-052" TargetMode="External"/><Relationship Id="rId_hyperlink_2057" Type="http://schemas.openxmlformats.org/officeDocument/2006/relationships/hyperlink" Target="https%3A%2F%2Fwww.webofscience.com%2Fwos%2Fwoscc%2Ffull-record%2FWOS:000477826000005" TargetMode="External"/><Relationship Id="rId_hyperlink_2058" Type="http://schemas.openxmlformats.org/officeDocument/2006/relationships/hyperlink" Target="http://dx.doi.org/10.24874/IJQR13.04-12" TargetMode="External"/><Relationship Id="rId_hyperlink_2059" Type="http://schemas.openxmlformats.org/officeDocument/2006/relationships/hyperlink" Target="https%3A%2F%2Fwww.webofscience.com%2Fwos%2Fwoscc%2Ffull-record%2FWOS:000498886400012" TargetMode="External"/><Relationship Id="rId_hyperlink_2060" Type="http://schemas.openxmlformats.org/officeDocument/2006/relationships/hyperlink" Target="http://dx.doi.org/10.25750/1995-4301-2019-1-102-110" TargetMode="External"/><Relationship Id="rId_hyperlink_2061" Type="http://schemas.openxmlformats.org/officeDocument/2006/relationships/hyperlink" Target="https%3A%2F%2Fwww.webofscience.com%2Fwos%2Fwoscc%2Ffull-record%2FWOS:000468565900015" TargetMode="External"/><Relationship Id="rId_hyperlink_2062" Type="http://schemas.openxmlformats.org/officeDocument/2006/relationships/hyperlink" Target="http://dx.doi.org/10.12973/eurasia.2017.00743a" TargetMode="External"/><Relationship Id="rId_hyperlink_2063" Type="http://schemas.openxmlformats.org/officeDocument/2006/relationships/hyperlink" Target="https%3A%2F%2Fwww.webofscience.com%2Fwos%2Fwoscc%2Ffull-record%2FWOS:000404607800043" TargetMode="External"/><Relationship Id="rId_hyperlink_2064" Type="http://schemas.openxmlformats.org/officeDocument/2006/relationships/hyperlink" Target="http://dx.doi.org/10.5750/1995-4301-2022-2-209-215" TargetMode="External"/><Relationship Id="rId_hyperlink_2065" Type="http://schemas.openxmlformats.org/officeDocument/2006/relationships/hyperlink" Target="https%3A%2F%2Fwww.webofscience.com%2Fwos%2Fwoscc%2Ffull-record%2FWOS:000820802000026" TargetMode="External"/><Relationship Id="rId_hyperlink_2066" Type="http://schemas.openxmlformats.org/officeDocument/2006/relationships/hyperlink" Target="http://dx.doi.org/10.1016/j.indcrop.2021.114382" TargetMode="External"/><Relationship Id="rId_hyperlink_2067" Type="http://schemas.openxmlformats.org/officeDocument/2006/relationships/hyperlink" Target="https%3A%2F%2Fwww.webofscience.com%2Fwos%2Fwoscc%2Ffull-record%2FWOS:000736977300004" TargetMode="External"/><Relationship Id="rId_hyperlink_2068" Type="http://schemas.openxmlformats.org/officeDocument/2006/relationships/hyperlink" Target="http://dx.doi.org/10.1109/ElConRus51938.2021.9396276" TargetMode="External"/><Relationship Id="rId_hyperlink_2069" Type="http://schemas.openxmlformats.org/officeDocument/2006/relationships/hyperlink" Target="https%3A%2F%2Fwww.webofscience.com%2Fwos%2Fwoscc%2Ffull-record%2FWOS:000669709801069" TargetMode="External"/><Relationship Id="rId_hyperlink_2070" Type="http://schemas.openxmlformats.org/officeDocument/2006/relationships/hyperlink" Target="http://dx.doi.org/10.51847/oCGvk8tmjd" TargetMode="External"/><Relationship Id="rId_hyperlink_2071" Type="http://schemas.openxmlformats.org/officeDocument/2006/relationships/hyperlink" Target="https%3A%2F%2Fwww.webofscience.com%2Fwos%2Fwoscc%2Ffull-record%2FWOS:000741358800004" TargetMode="External"/><Relationship Id="rId_hyperlink_2072" Type="http://schemas.openxmlformats.org/officeDocument/2006/relationships/hyperlink" Target="http://dx.doi.org/10.1016/j.matchar.2020.110537" TargetMode="External"/><Relationship Id="rId_hyperlink_2073" Type="http://schemas.openxmlformats.org/officeDocument/2006/relationships/hyperlink" Target="https%3A%2F%2Fwww.webofscience.com%2Fwos%2Fwoscc%2Ffull-record%2FWOS:000571812800004" TargetMode="External"/><Relationship Id="rId_hyperlink_2074" Type="http://schemas.openxmlformats.org/officeDocument/2006/relationships/hyperlink" Target="https%3A%2F%2Fwww.webofscience.com%2Fwos%2Fwoscc%2Ffull-record%2FWOS:000583783100003" TargetMode="External"/><Relationship Id="rId_hyperlink_2075" Type="http://schemas.openxmlformats.org/officeDocument/2006/relationships/hyperlink" Target="http://dx.doi.org/10.25750/1995-4301-2020-3-041-045" TargetMode="External"/><Relationship Id="rId_hyperlink_2076" Type="http://schemas.openxmlformats.org/officeDocument/2006/relationships/hyperlink" Target="https%3A%2F%2Fwww.webofscience.com%2Fwos%2Fwoscc%2Ffull-record%2FWOS:000580337700006" TargetMode="External"/><Relationship Id="rId_hyperlink_2077" Type="http://schemas.openxmlformats.org/officeDocument/2006/relationships/hyperlink" Target="http://dx.doi.org/10.21638/spbu14.2018.404" TargetMode="External"/><Relationship Id="rId_hyperlink_2078" Type="http://schemas.openxmlformats.org/officeDocument/2006/relationships/hyperlink" Target="https%3A%2F%2Fwww.webofscience.com%2Fwos%2Fwoscc%2Ffull-record%2FWOS:000457701400004" TargetMode="External"/><Relationship Id="rId_hyperlink_2079" Type="http://schemas.openxmlformats.org/officeDocument/2006/relationships/hyperlink" Target="http://dx.doi.org/10.13187/ejced.2022.3.817" TargetMode="External"/><Relationship Id="rId_hyperlink_2080" Type="http://schemas.openxmlformats.org/officeDocument/2006/relationships/hyperlink" Target="https%3A%2F%2Fwww.webofscience.com%2Fwos%2Fwoscc%2Ffull-record%2FWOS:000862890700012" TargetMode="External"/><Relationship Id="rId_hyperlink_2081" Type="http://schemas.openxmlformats.org/officeDocument/2006/relationships/hyperlink" Target="http://dx.doi.org/10.25750/1995-4301-2021-1-104-111" TargetMode="External"/><Relationship Id="rId_hyperlink_2082" Type="http://schemas.openxmlformats.org/officeDocument/2006/relationships/hyperlink" Target="https%3A%2F%2Fwww.webofscience.com%2Fwos%2Fwoscc%2Ffull-record%2FWOS:000632219100014" TargetMode="External"/><Relationship Id="rId_hyperlink_2083" Type="http://schemas.openxmlformats.org/officeDocument/2006/relationships/hyperlink" Target="https%3A%2F%2Fwww.webofscience.com%2Fwos%2Fwoscc%2Ffull-record%2FWOS:000583783100035" TargetMode="External"/><Relationship Id="rId_hyperlink_2084" Type="http://schemas.openxmlformats.org/officeDocument/2006/relationships/hyperlink" Target="http://dx.doi.org/10.15211/soveurope5201898109" TargetMode="External"/><Relationship Id="rId_hyperlink_2085" Type="http://schemas.openxmlformats.org/officeDocument/2006/relationships/hyperlink" Target="https%3A%2F%2Fwww.webofscience.com%2Fwos%2Fwoscc%2Ffull-record%2FWOS:000454872800010" TargetMode="External"/><Relationship Id="rId_hyperlink_2086" Type="http://schemas.openxmlformats.org/officeDocument/2006/relationships/hyperlink" Target="http://dx.doi.org/10.12973/eurasia.2017.01217a" TargetMode="External"/><Relationship Id="rId_hyperlink_2087" Type="http://schemas.openxmlformats.org/officeDocument/2006/relationships/hyperlink" Target="https%3A%2F%2Fwww.webofscience.com%2Fwos%2Fwoscc%2Ffull-record%2FWOS:000404604700031" TargetMode="External"/><Relationship Id="rId_hyperlink_2088" Type="http://schemas.openxmlformats.org/officeDocument/2006/relationships/hyperlink" Target="http://dx.doi.org/10.1051/matecconf/201710608074" TargetMode="External"/><Relationship Id="rId_hyperlink_2089" Type="http://schemas.openxmlformats.org/officeDocument/2006/relationships/hyperlink" Target="https%3A%2F%2Fwww.webofscience.com%2Fwos%2Fwoscc%2Ffull-record%2FWOS:000426426600259" TargetMode="External"/><Relationship Id="rId_hyperlink_2090" Type="http://schemas.openxmlformats.org/officeDocument/2006/relationships/hyperlink" Target="http://dx.doi.org/10.3103/S0891416815020032" TargetMode="External"/><Relationship Id="rId_hyperlink_2091" Type="http://schemas.openxmlformats.org/officeDocument/2006/relationships/hyperlink" Target="https%3A%2F%2Fwww.webofscience.com%2Fwos%2Fwoscc%2Ffull-record%2FWOS:000358668400006" TargetMode="External"/><Relationship Id="rId_hyperlink_2092" Type="http://schemas.openxmlformats.org/officeDocument/2006/relationships/hyperlink" Target="http://dx.doi.org/10.1134/S1070428023010074" TargetMode="External"/><Relationship Id="rId_hyperlink_2093" Type="http://schemas.openxmlformats.org/officeDocument/2006/relationships/hyperlink" Target="https%3A%2F%2Fwww.webofscience.com%2Fwos%2Fwoscc%2Ffull-record%2FWOS:000959623400007" TargetMode="External"/><Relationship Id="rId_hyperlink_2094" Type="http://schemas.openxmlformats.org/officeDocument/2006/relationships/hyperlink" Target="http://dx.doi.org/10.1016/j.ssi.2021.115850" TargetMode="External"/><Relationship Id="rId_hyperlink_2095" Type="http://schemas.openxmlformats.org/officeDocument/2006/relationships/hyperlink" Target="https%3A%2F%2Fwww.webofscience.com%2Fwos%2Fwoscc%2Ffull-record%2FWOS:000791263100008" TargetMode="External"/><Relationship Id="rId_hyperlink_2096" Type="http://schemas.openxmlformats.org/officeDocument/2006/relationships/hyperlink" Target="http://dx.doi.org/10.25750/1995-4301-2022-2-035-041" TargetMode="External"/><Relationship Id="rId_hyperlink_2097" Type="http://schemas.openxmlformats.org/officeDocument/2006/relationships/hyperlink" Target="https%3A%2F%2Fwww.webofscience.com%2Fwos%2Fwoscc%2Ffull-record%2FWOS:000820802000004" TargetMode="External"/><Relationship Id="rId_hyperlink_2098" Type="http://schemas.openxmlformats.org/officeDocument/2006/relationships/hyperlink" Target="http://dx.doi.org/10.1016/j.mtla.2020.100981" TargetMode="External"/><Relationship Id="rId_hyperlink_2099" Type="http://schemas.openxmlformats.org/officeDocument/2006/relationships/hyperlink" Target="https%3A%2F%2Fwww.webofscience.com%2Fwos%2Fwoscc%2Ffull-record%2FWOS:000636280500015" TargetMode="External"/><Relationship Id="rId_hyperlink_2100" Type="http://schemas.openxmlformats.org/officeDocument/2006/relationships/hyperlink" Target="https%3A%2F%2Fwww.webofscience.com%2Fwos%2Fwoscc%2Ffull-record%2FWOS:000380532400067" TargetMode="External"/><Relationship Id="rId_hyperlink_2101" Type="http://schemas.openxmlformats.org/officeDocument/2006/relationships/hyperlink" Target="http://dx.doi.org/10.1134/S1067413613030144" TargetMode="External"/><Relationship Id="rId_hyperlink_2102" Type="http://schemas.openxmlformats.org/officeDocument/2006/relationships/hyperlink" Target="https%3A%2F%2Fwww.webofscience.com%2Fwos%2Fwoscc%2Ffull-record%2FWOS:000321871500002" TargetMode="External"/><Relationship Id="rId_hyperlink_2103" Type="http://schemas.openxmlformats.org/officeDocument/2006/relationships/hyperlink" Target="http://dx.doi.org/10.25750/1995-4301-2022-1-198-204" TargetMode="External"/><Relationship Id="rId_hyperlink_2104" Type="http://schemas.openxmlformats.org/officeDocument/2006/relationships/hyperlink" Target="https%3A%2F%2Fwww.webofscience.com%2Fwos%2Fwoscc%2Ffull-record%2FWOS:000819811100028" TargetMode="External"/><Relationship Id="rId_hyperlink_2105" Type="http://schemas.openxmlformats.org/officeDocument/2006/relationships/hyperlink" Target="http://dx.doi.org/10.25750/1995-4301-2021-2-013-021" TargetMode="External"/><Relationship Id="rId_hyperlink_2106" Type="http://schemas.openxmlformats.org/officeDocument/2006/relationships/hyperlink" Target="https%3A%2F%2Fwww.webofscience.com%2Fwos%2Fwoscc%2Ffull-record%2FWOS:000667025400002" TargetMode="External"/><Relationship Id="rId_hyperlink_2107" Type="http://schemas.openxmlformats.org/officeDocument/2006/relationships/hyperlink" Target="http://dx.doi.org/10.1109/ElConRus51938.2021.9396694" TargetMode="External"/><Relationship Id="rId_hyperlink_2108" Type="http://schemas.openxmlformats.org/officeDocument/2006/relationships/hyperlink" Target="https%3A%2F%2Fwww.webofscience.com%2Fwos%2Fwoscc%2Ffull-record%2FWOS:000669709801068" TargetMode="External"/><Relationship Id="rId_hyperlink_2109" Type="http://schemas.openxmlformats.org/officeDocument/2006/relationships/hyperlink" Target="http://dx.doi.org/10.25750/1995-4301-2021-2-022-030" TargetMode="External"/><Relationship Id="rId_hyperlink_2110" Type="http://schemas.openxmlformats.org/officeDocument/2006/relationships/hyperlink" Target="https%3A%2F%2Fwww.webofscience.com%2Fwos%2Fwoscc%2Ffull-record%2FWOS:000667025400003" TargetMode="External"/><Relationship Id="rId_hyperlink_2111" Type="http://schemas.openxmlformats.org/officeDocument/2006/relationships/hyperlink" Target="http://dx.doi.org/10.51847/bzkZmBKa9f" TargetMode="External"/><Relationship Id="rId_hyperlink_2112" Type="http://schemas.openxmlformats.org/officeDocument/2006/relationships/hyperlink" Target="https%3A%2F%2Fwww.webofscience.com%2Fwos%2Fwoscc%2Ffull-record%2FWOS:000741358800008" TargetMode="External"/><Relationship Id="rId_hyperlink_2113" Type="http://schemas.openxmlformats.org/officeDocument/2006/relationships/hyperlink" Target="http://dx.doi.org/10.25750/1995-4301-2020-2-044-050" TargetMode="External"/><Relationship Id="rId_hyperlink_2114" Type="http://schemas.openxmlformats.org/officeDocument/2006/relationships/hyperlink" Target="https%3A%2F%2Fwww.webofscience.com%2Fwos%2Fwoscc%2Ffull-record%2FWOS:000545295600005" TargetMode="External"/><Relationship Id="rId_hyperlink_2115" Type="http://schemas.openxmlformats.org/officeDocument/2006/relationships/hyperlink" Target="http://dx.doi.org/10.3103/S1052618819020110" TargetMode="External"/><Relationship Id="rId_hyperlink_2116" Type="http://schemas.openxmlformats.org/officeDocument/2006/relationships/hyperlink" Target="https%3A%2F%2Fwww.webofscience.com%2Fwos%2Fwoscc%2Ffull-record%2FWOS:000470169700004" TargetMode="External"/><Relationship Id="rId_hyperlink_2117" Type="http://schemas.openxmlformats.org/officeDocument/2006/relationships/hyperlink" Target="http://dx.doi.org/10.1002/etc.3956" TargetMode="External"/><Relationship Id="rId_hyperlink_2118" Type="http://schemas.openxmlformats.org/officeDocument/2006/relationships/hyperlink" Target="https%3A%2F%2Fwww.webofscience.com%2Fwos%2Fwoscc%2Ffull-record%2FWOS:000423425700008" TargetMode="External"/><Relationship Id="rId_hyperlink_2119" Type="http://schemas.openxmlformats.org/officeDocument/2006/relationships/hyperlink" Target="http://dx.doi.org/10.25750/1995-4301-2022-2-006-014" TargetMode="External"/><Relationship Id="rId_hyperlink_2120" Type="http://schemas.openxmlformats.org/officeDocument/2006/relationships/hyperlink" Target="https%3A%2F%2Fwww.webofscience.com%2Fwos%2Fwoscc%2Ffull-record%2FWOS:000820802000001" TargetMode="External"/><Relationship Id="rId_hyperlink_2121" Type="http://schemas.openxmlformats.org/officeDocument/2006/relationships/hyperlink" Target="http://dx.doi.org/10.3390/polym14235283" TargetMode="External"/><Relationship Id="rId_hyperlink_2122" Type="http://schemas.openxmlformats.org/officeDocument/2006/relationships/hyperlink" Target="https%3A%2F%2Fwww.webofscience.com%2Fwos%2Fwoscc%2Ffull-record%2FWOS:000896480200001" TargetMode="External"/><Relationship Id="rId_hyperlink_2123" Type="http://schemas.openxmlformats.org/officeDocument/2006/relationships/hyperlink" Target="http://dx.doi.org/10.22616/ERDev.2021.20.TF043" TargetMode="External"/><Relationship Id="rId_hyperlink_2124" Type="http://schemas.openxmlformats.org/officeDocument/2006/relationships/hyperlink" Target="https%3A%2F%2Fwww.webofscience.com%2Fwos%2Fwoscc%2Ffull-record%2FWOS:000817951600028" TargetMode="External"/><Relationship Id="rId_hyperlink_2125" Type="http://schemas.openxmlformats.org/officeDocument/2006/relationships/hyperlink" Target="http://dx.doi.org/10.1007/978-3-030-28163-2_15" TargetMode="External"/><Relationship Id="rId_hyperlink_2126" Type="http://schemas.openxmlformats.org/officeDocument/2006/relationships/hyperlink" Target="https%3A%2F%2Fwww.webofscience.com%2Fwos%2Fwoscc%2Ffull-record%2FWOS:000558285700015" TargetMode="External"/><Relationship Id="rId_hyperlink_2127" Type="http://schemas.openxmlformats.org/officeDocument/2006/relationships/hyperlink" Target="http://dx.doi.org/10.25750/1995-4301-2018-2-087-093" TargetMode="External"/><Relationship Id="rId_hyperlink_2128" Type="http://schemas.openxmlformats.org/officeDocument/2006/relationships/hyperlink" Target="https%3A%2F%2Fwww.webofscience.com%2Fwos%2Fwoscc%2Ffull-record%2FWOS:000468564500011" TargetMode="External"/><Relationship Id="rId_hyperlink_2129" Type="http://schemas.openxmlformats.org/officeDocument/2006/relationships/hyperlink" Target="https%3A%2F%2Fwww.webofscience.com%2Fwos%2Fwoscc%2Ffull-record%2FWOS:000349557200073" TargetMode="External"/><Relationship Id="rId_hyperlink_2130" Type="http://schemas.openxmlformats.org/officeDocument/2006/relationships/hyperlink" Target="http://dx.doi.org/10.1134/S0003683822040081" TargetMode="External"/><Relationship Id="rId_hyperlink_2131" Type="http://schemas.openxmlformats.org/officeDocument/2006/relationships/hyperlink" Target="https%3A%2F%2Fwww.webofscience.com%2Fwos%2Fwoscc%2Ffull-record%2FWOS:000824879100006" TargetMode="External"/><Relationship Id="rId_hyperlink_2132" Type="http://schemas.openxmlformats.org/officeDocument/2006/relationships/hyperlink" Target="https%3A%2F%2Fwww.webofscience.com%2Fwos%2Fwoscc%2Ffull-record%2FWOS:000934358700002" TargetMode="External"/><Relationship Id="rId_hyperlink_2133" Type="http://schemas.openxmlformats.org/officeDocument/2006/relationships/hyperlink" Target="http://dx.doi.org/10.25750/1995-4301-2022-4-006-013" TargetMode="External"/><Relationship Id="rId_hyperlink_2134" Type="http://schemas.openxmlformats.org/officeDocument/2006/relationships/hyperlink" Target="https%3A%2F%2Fwww.webofscience.com%2Fwos%2Fwoscc%2Ffull-record%2FWOS:000929704700001" TargetMode="External"/><Relationship Id="rId_hyperlink_2135" Type="http://schemas.openxmlformats.org/officeDocument/2006/relationships/hyperlink" Target="http://dx.doi.org/10.29333/iji.2019.12346a" TargetMode="External"/><Relationship Id="rId_hyperlink_2136" Type="http://schemas.openxmlformats.org/officeDocument/2006/relationships/hyperlink" Target="https%3A%2F%2Fwww.webofscience.com%2Fwos%2Fwoscc%2Ffull-record%2FWOS:000473529000047" TargetMode="External"/><Relationship Id="rId_hyperlink_2137" Type="http://schemas.openxmlformats.org/officeDocument/2006/relationships/hyperlink" Target="http://dx.doi.org/10.25750/1995-4301-2019-2-053-060" TargetMode="External"/><Relationship Id="rId_hyperlink_2138" Type="http://schemas.openxmlformats.org/officeDocument/2006/relationships/hyperlink" Target="https%3A%2F%2Fwww.webofscience.com%2Fwos%2Fwoscc%2Ffull-record%2FWOS:000477826000006" TargetMode="External"/><Relationship Id="rId_hyperlink_2139" Type="http://schemas.openxmlformats.org/officeDocument/2006/relationships/hyperlink" Target="http://dx.doi.org/10.1080/09205063.2016.1268461" TargetMode="External"/><Relationship Id="rId_hyperlink_2140" Type="http://schemas.openxmlformats.org/officeDocument/2006/relationships/hyperlink" Target="https%3A%2F%2Fwww.webofscience.com%2Fwos%2Fwoscc%2Ffull-record%2FWOS:000391090000006" TargetMode="External"/><Relationship Id="rId_hyperlink_2141" Type="http://schemas.openxmlformats.org/officeDocument/2006/relationships/hyperlink" Target="http://dx.doi.org/10.1134/S1064229318050113" TargetMode="External"/><Relationship Id="rId_hyperlink_2142" Type="http://schemas.openxmlformats.org/officeDocument/2006/relationships/hyperlink" Target="https%3A%2F%2Fwww.webofscience.com%2Fwos%2Fwoscc%2Ffull-record%2FWOS:000441009400011" TargetMode="External"/><Relationship Id="rId_hyperlink_2143" Type="http://schemas.openxmlformats.org/officeDocument/2006/relationships/hyperlink" Target="http://dx.doi.org/10.25750/1995-4301-2022-2-084-092" TargetMode="External"/><Relationship Id="rId_hyperlink_2144" Type="http://schemas.openxmlformats.org/officeDocument/2006/relationships/hyperlink" Target="https%3A%2F%2Fwww.webofscience.com%2Fwos%2Fwoscc%2Ffull-record%2FWOS:000820802000011" TargetMode="External"/><Relationship Id="rId_hyperlink_2145" Type="http://schemas.openxmlformats.org/officeDocument/2006/relationships/hyperlink" Target="http://dx.doi.org/10.25750/1995-4301-2019-3-028-033" TargetMode="External"/><Relationship Id="rId_hyperlink_2146" Type="http://schemas.openxmlformats.org/officeDocument/2006/relationships/hyperlink" Target="https%3A%2F%2Fwww.webofscience.com%2Fwos%2Fwoscc%2Ffull-record%2FWOS:000490704900004" TargetMode="External"/><Relationship Id="rId_hyperlink_2147" Type="http://schemas.openxmlformats.org/officeDocument/2006/relationships/hyperlink" Target="http://dx.doi.org/10.1134/S106422931611003X" TargetMode="External"/><Relationship Id="rId_hyperlink_2148" Type="http://schemas.openxmlformats.org/officeDocument/2006/relationships/hyperlink" Target="https%3A%2F%2Fwww.webofscience.com%2Fwos%2Fwoscc%2Ffull-record%2FWOS:000395058300010" TargetMode="External"/><Relationship Id="rId_hyperlink_2149" Type="http://schemas.openxmlformats.org/officeDocument/2006/relationships/hyperlink" Target="http://dx.doi.org/10.1088/1755-1315/90/1/012138" TargetMode="External"/><Relationship Id="rId_hyperlink_2150" Type="http://schemas.openxmlformats.org/officeDocument/2006/relationships/hyperlink" Target="https%3A%2F%2Fwww.webofscience.com%2Fwos%2Fwoscc%2Ffull-record%2FWOS:000419816700138" TargetMode="External"/><Relationship Id="rId_hyperlink_2151" Type="http://schemas.openxmlformats.org/officeDocument/2006/relationships/hyperlink" Target="http://dx.doi.org/10.25750/1995-4301-2021-3-044-051" TargetMode="External"/><Relationship Id="rId_hyperlink_2152" Type="http://schemas.openxmlformats.org/officeDocument/2006/relationships/hyperlink" Target="https%3A%2F%2Fwww.webofscience.com%2Fwos%2Fwoscc%2Ffull-record%2FWOS:000700413300006" TargetMode="External"/><Relationship Id="rId_hyperlink_2153" Type="http://schemas.openxmlformats.org/officeDocument/2006/relationships/hyperlink" Target="http://dx.doi.org/10.1051/matecconf/201710608087" TargetMode="External"/><Relationship Id="rId_hyperlink_2154" Type="http://schemas.openxmlformats.org/officeDocument/2006/relationships/hyperlink" Target="https%3A%2F%2Fwww.webofscience.com%2Fwos%2Fwoscc%2Ffull-record%2FWOS:000426426600272" TargetMode="External"/><Relationship Id="rId_hyperlink_2155" Type="http://schemas.openxmlformats.org/officeDocument/2006/relationships/hyperlink" Target="http://dx.doi.org/10.25750/1995-4301-2021-4-230-236" TargetMode="External"/><Relationship Id="rId_hyperlink_2156" Type="http://schemas.openxmlformats.org/officeDocument/2006/relationships/hyperlink" Target="https%3A%2F%2Fwww.webofscience.com%2Fwos%2Fwoscc%2Ffull-record%2FWOS:000755154100033" TargetMode="External"/><Relationship Id="rId_hyperlink_2157" Type="http://schemas.openxmlformats.org/officeDocument/2006/relationships/hyperlink" Target="http://dx.doi.org/10.25750/1995-4301-2019-4-142-149" TargetMode="External"/><Relationship Id="rId_hyperlink_2158" Type="http://schemas.openxmlformats.org/officeDocument/2006/relationships/hyperlink" Target="https%3A%2F%2Fwww.webofscience.com%2Fwos%2Fwoscc%2Ffull-record%2FWOS:000504049400020" TargetMode="External"/><Relationship Id="rId_hyperlink_2159" Type="http://schemas.openxmlformats.org/officeDocument/2006/relationships/hyperlink" Target="http://dx.doi.org/10.25750/1995-4301-2019-4-103-109" TargetMode="External"/><Relationship Id="rId_hyperlink_2160" Type="http://schemas.openxmlformats.org/officeDocument/2006/relationships/hyperlink" Target="https%3A%2F%2Fwww.webofscience.com%2Fwos%2Fwoscc%2Ffull-record%2FWOS:000504049400014" TargetMode="External"/><Relationship Id="rId_hyperlink_2161" Type="http://schemas.openxmlformats.org/officeDocument/2006/relationships/hyperlink" Target="http://dx.doi.org/10.1088/1757-899X/98/1/012038" TargetMode="External"/><Relationship Id="rId_hyperlink_2162" Type="http://schemas.openxmlformats.org/officeDocument/2006/relationships/hyperlink" Target="https%3A%2F%2Fwww.webofscience.com%2Fwos%2Fwoscc%2Ffull-record%2FWOS:000365043400037" TargetMode="External"/><Relationship Id="rId_hyperlink_2163" Type="http://schemas.openxmlformats.org/officeDocument/2006/relationships/hyperlink" Target="http://dx.doi.org/10.1016/j.jasrep.2017.01.005" TargetMode="External"/><Relationship Id="rId_hyperlink_2164" Type="http://schemas.openxmlformats.org/officeDocument/2006/relationships/hyperlink" Target="https%3A%2F%2Fwww.webofscience.com%2Fwos%2Fwoscc%2Ffull-record%2FWOS:000415616300003" TargetMode="External"/><Relationship Id="rId_hyperlink_2165" Type="http://schemas.openxmlformats.org/officeDocument/2006/relationships/hyperlink" Target="http://dx.doi.org/10.25750/1995-4301-2020-4-237-241" TargetMode="External"/><Relationship Id="rId_hyperlink_2166" Type="http://schemas.openxmlformats.org/officeDocument/2006/relationships/hyperlink" Target="https%3A%2F%2Fwww.webofscience.com%2Fwos%2Fwoscc%2Ffull-record%2FWOS:000597810500036" TargetMode="External"/><Relationship Id="rId_hyperlink_2167" Type="http://schemas.openxmlformats.org/officeDocument/2006/relationships/hyperlink" Target="http://dx.doi.org/10.25750/1995-4301-2020-2-014-025" TargetMode="External"/><Relationship Id="rId_hyperlink_2168" Type="http://schemas.openxmlformats.org/officeDocument/2006/relationships/hyperlink" Target="https%3A%2F%2Fwww.webofscience.com%2Fwos%2Fwoscc%2Ffull-record%2FWOS:000545295600002" TargetMode="External"/><Relationship Id="rId_hyperlink_2169" Type="http://schemas.openxmlformats.org/officeDocument/2006/relationships/hyperlink" Target="http://dx.doi.org/10.25750/1995-4301-2021-2-122-127" TargetMode="External"/><Relationship Id="rId_hyperlink_2170" Type="http://schemas.openxmlformats.org/officeDocument/2006/relationships/hyperlink" Target="https%3A%2F%2Fwww.webofscience.com%2Fwos%2Fwoscc%2Ffull-record%2FWOS:000667025400017" TargetMode="External"/><Relationship Id="rId_hyperlink_2171" Type="http://schemas.openxmlformats.org/officeDocument/2006/relationships/hyperlink" Target="http://dx.doi.org/10.25750/1995-4301-2021-4-193-202" TargetMode="External"/><Relationship Id="rId_hyperlink_2172" Type="http://schemas.openxmlformats.org/officeDocument/2006/relationships/hyperlink" Target="https%3A%2F%2Fwww.webofscience.com%2Fwos%2Fwoscc%2Ffull-record%2FWOS:000755154100028" TargetMode="External"/><Relationship Id="rId_hyperlink_2173" Type="http://schemas.openxmlformats.org/officeDocument/2006/relationships/hyperlink" Target="http://dx.doi.org/10.18720/MPM.4432020_14" TargetMode="External"/><Relationship Id="rId_hyperlink_2174" Type="http://schemas.openxmlformats.org/officeDocument/2006/relationships/hyperlink" Target="https%3A%2F%2Fwww.webofscience.com%2Fwos%2Fwoscc%2Ffull-record%2FWOS:000586664900014" TargetMode="External"/><Relationship Id="rId_hyperlink_2175" Type="http://schemas.openxmlformats.org/officeDocument/2006/relationships/hyperlink" Target="http://dx.doi.org/10.25750/1995-4301-2020-3-217-223" TargetMode="External"/><Relationship Id="rId_hyperlink_2176" Type="http://schemas.openxmlformats.org/officeDocument/2006/relationships/hyperlink" Target="https%3A%2F%2Fwww.webofscience.com%2Fwos%2Fwoscc%2Ffull-record%2FWOS:000580337700032" TargetMode="External"/><Relationship Id="rId_hyperlink_2177" Type="http://schemas.openxmlformats.org/officeDocument/2006/relationships/hyperlink" Target="http://dx.doi.org/10.25750/1995-4301-2021-3-021-030" TargetMode="External"/><Relationship Id="rId_hyperlink_2178" Type="http://schemas.openxmlformats.org/officeDocument/2006/relationships/hyperlink" Target="https%3A%2F%2Fwww.webofscience.com%2Fwos%2Fwoscc%2Ffull-record%2FWOS:000700413300003" TargetMode="External"/><Relationship Id="rId_hyperlink_2179" Type="http://schemas.openxmlformats.org/officeDocument/2006/relationships/hyperlink" Target="https%3A%2F%2Fwww.webofscience.com%2Fwos%2Fwoscc%2Ffull-record%2FWOS:000468564100002" TargetMode="External"/><Relationship Id="rId_hyperlink_2180" Type="http://schemas.openxmlformats.org/officeDocument/2006/relationships/hyperlink" Target="http://dx.doi.org/10.25750/1995-4301-2018-4-046-052" TargetMode="External"/><Relationship Id="rId_hyperlink_2181" Type="http://schemas.openxmlformats.org/officeDocument/2006/relationships/hyperlink" Target="https%3A%2F%2Fwww.webofscience.com%2Fwos%2Fwoscc%2Ffull-record%2FWOS:000468565300006" TargetMode="External"/><Relationship Id="rId_hyperlink_2182" Type="http://schemas.openxmlformats.org/officeDocument/2006/relationships/hyperlink" Target="https%3A%2F%2Fwww.webofscience.com%2Fwos%2Fwoscc%2Ffull-record%2FWOS:000468564100009" TargetMode="External"/><Relationship Id="rId_hyperlink_2183" Type="http://schemas.openxmlformats.org/officeDocument/2006/relationships/hyperlink" Target="http://dx.doi.org/10.25750/1995-4301-2022-2-026-034" TargetMode="External"/><Relationship Id="rId_hyperlink_2184" Type="http://schemas.openxmlformats.org/officeDocument/2006/relationships/hyperlink" Target="https%3A%2F%2Fwww.webofscience.com%2Fwos%2Fwoscc%2Ffull-record%2FWOS:000820802000003" TargetMode="External"/><Relationship Id="rId_hyperlink_2185" Type="http://schemas.openxmlformats.org/officeDocument/2006/relationships/hyperlink" Target="http://dx.doi.org/10.1051/e3sconf/202021012005" TargetMode="External"/><Relationship Id="rId_hyperlink_2186" Type="http://schemas.openxmlformats.org/officeDocument/2006/relationships/hyperlink" Target="https%3A%2F%2Fwww.webofscience.com%2Fwos%2Fwoscc%2Ffull-record%2FWOS:000659867301048" TargetMode="External"/><Relationship Id="rId_hyperlink_2187" Type="http://schemas.openxmlformats.org/officeDocument/2006/relationships/hyperlink" Target="http://dx.doi.org/10.25750/1995-4301-2022-3-014-025" TargetMode="External"/><Relationship Id="rId_hyperlink_2188" Type="http://schemas.openxmlformats.org/officeDocument/2006/relationships/hyperlink" Target="https%3A%2F%2Fwww.webofscience.com%2Fwos%2Fwoscc%2Ffull-record%2FWOS:000885393200002" TargetMode="External"/><Relationship Id="rId_hyperlink_2189" Type="http://schemas.openxmlformats.org/officeDocument/2006/relationships/hyperlink" Target="http://dx.doi.org/10.25750/1995-4301-2021-1-139-146" TargetMode="External"/><Relationship Id="rId_hyperlink_2190" Type="http://schemas.openxmlformats.org/officeDocument/2006/relationships/hyperlink" Target="https%3A%2F%2Fwww.webofscience.com%2Fwos%2Fwoscc%2Ffull-record%2FWOS:000632219100019" TargetMode="External"/><Relationship Id="rId_hyperlink_2191" Type="http://schemas.openxmlformats.org/officeDocument/2006/relationships/hyperlink" Target="http://dx.doi.org/10.1051/e3sconf/201911001077" TargetMode="External"/><Relationship Id="rId_hyperlink_2192" Type="http://schemas.openxmlformats.org/officeDocument/2006/relationships/hyperlink" Target="https%3A%2F%2Fwww.webofscience.com%2Fwos%2Fwoscc%2Ffull-record%2FWOS:000569050000077" TargetMode="External"/><Relationship Id="rId_hyperlink_2193" Type="http://schemas.openxmlformats.org/officeDocument/2006/relationships/hyperlink" Target="http://dx.doi.org/10.1134/S1064229313100062" TargetMode="External"/><Relationship Id="rId_hyperlink_2194" Type="http://schemas.openxmlformats.org/officeDocument/2006/relationships/hyperlink" Target="https%3A%2F%2Fwww.webofscience.com%2Fwos%2Fwoscc%2Ffull-record%2FWOS:000331650800006" TargetMode="External"/><Relationship Id="rId_hyperlink_2195" Type="http://schemas.openxmlformats.org/officeDocument/2006/relationships/hyperlink" Target="http://dx.doi.org/10.31166/VoprosyIstorii202112Statyi117" TargetMode="External"/><Relationship Id="rId_hyperlink_2196" Type="http://schemas.openxmlformats.org/officeDocument/2006/relationships/hyperlink" Target="https%3A%2F%2Fwww.webofscience.com%2Fwos%2Fwoscc%2Ffull-record%2FWOS:000757089800024" TargetMode="External"/><Relationship Id="rId_hyperlink_2197" Type="http://schemas.openxmlformats.org/officeDocument/2006/relationships/hyperlink" Target="http://dx.doi.org/10.25750/1995-4301-2020-4-162-168" TargetMode="External"/><Relationship Id="rId_hyperlink_2198" Type="http://schemas.openxmlformats.org/officeDocument/2006/relationships/hyperlink" Target="https%3A%2F%2Fwww.webofscience.com%2Fwos%2Fwoscc%2Ffull-record%2FWOS:000597810500025" TargetMode="External"/><Relationship Id="rId_hyperlink_2199" Type="http://schemas.openxmlformats.org/officeDocument/2006/relationships/hyperlink" Target="http://dx.doi.org/10.1134/S1068162019060165" TargetMode="External"/><Relationship Id="rId_hyperlink_2200" Type="http://schemas.openxmlformats.org/officeDocument/2006/relationships/hyperlink" Target="https%3A%2F%2Fwww.webofscience.com%2Fwos%2Fwoscc%2Ffull-record%2FWOS:000520225900008" TargetMode="External"/><Relationship Id="rId_hyperlink_2201" Type="http://schemas.openxmlformats.org/officeDocument/2006/relationships/hyperlink" Target="http://dx.doi.org/10.25750/1995-4301-2018-4-061-067" TargetMode="External"/><Relationship Id="rId_hyperlink_2202" Type="http://schemas.openxmlformats.org/officeDocument/2006/relationships/hyperlink" Target="https%3A%2F%2Fwww.webofscience.com%2Fwos%2Fwoscc%2Ffull-record%2FWOS:000468565300008" TargetMode="External"/><Relationship Id="rId_hyperlink_2203" Type="http://schemas.openxmlformats.org/officeDocument/2006/relationships/hyperlink" Target="http://dx.doi.org/10.1134/S0003683821040049" TargetMode="External"/><Relationship Id="rId_hyperlink_2204" Type="http://schemas.openxmlformats.org/officeDocument/2006/relationships/hyperlink" Target="https%3A%2F%2Fwww.webofscience.com%2Fwos%2Fwoscc%2Ffull-record%2FWOS:000678055500003" TargetMode="External"/><Relationship Id="rId_hyperlink_2205" Type="http://schemas.openxmlformats.org/officeDocument/2006/relationships/hyperlink" Target="http://dx.doi.org/10.25750/1995-4301-2021-3-219-227" TargetMode="External"/><Relationship Id="rId_hyperlink_2206" Type="http://schemas.openxmlformats.org/officeDocument/2006/relationships/hyperlink" Target="https%3A%2F%2Fwww.webofscience.com%2Fwos%2Fwoscc%2Ffull-record%2FWOS:000700413300031" TargetMode="External"/><Relationship Id="rId_hyperlink_2207" Type="http://schemas.openxmlformats.org/officeDocument/2006/relationships/hyperlink" Target="http://dx.doi.org/10.1134/S1064229317110114" TargetMode="External"/><Relationship Id="rId_hyperlink_2208" Type="http://schemas.openxmlformats.org/officeDocument/2006/relationships/hyperlink" Target="https%3A%2F%2Fwww.webofscience.com%2Fwos%2Fwoscc%2Ffull-record%2FWOS:000414360100007" TargetMode="External"/><Relationship Id="rId_hyperlink_2209" Type="http://schemas.openxmlformats.org/officeDocument/2006/relationships/hyperlink" Target="http://dx.doi.org/10.25750/1995-4301-2022-2-077-083" TargetMode="External"/><Relationship Id="rId_hyperlink_2210" Type="http://schemas.openxmlformats.org/officeDocument/2006/relationships/hyperlink" Target="https%3A%2F%2Fwww.webofscience.com%2Fwos%2Fwoscc%2Ffull-record%2FWOS:000820802000010" TargetMode="External"/><Relationship Id="rId_hyperlink_2211" Type="http://schemas.openxmlformats.org/officeDocument/2006/relationships/hyperlink" Target="http://dx.doi.org/10.25750/1995-4301-2019-4-061-068" TargetMode="External"/><Relationship Id="rId_hyperlink_2212" Type="http://schemas.openxmlformats.org/officeDocument/2006/relationships/hyperlink" Target="https%3A%2F%2Fwww.webofscience.com%2Fwos%2Fwoscc%2Ffull-record%2FWOS:000504049400008" TargetMode="External"/><Relationship Id="rId_hyperlink_2213" Type="http://schemas.openxmlformats.org/officeDocument/2006/relationships/hyperlink" Target="http://dx.doi.org/10.1134/S0003683814020070" TargetMode="External"/><Relationship Id="rId_hyperlink_2214" Type="http://schemas.openxmlformats.org/officeDocument/2006/relationships/hyperlink" Target="https%3A%2F%2Fwww.webofscience.com%2Fwos%2Fwoscc%2Ffull-record%2FWOS:000332737500013" TargetMode="External"/><Relationship Id="rId_hyperlink_2215" Type="http://schemas.openxmlformats.org/officeDocument/2006/relationships/hyperlink" Target="http://dx.doi.org/10.31407/ijees12.240" TargetMode="External"/><Relationship Id="rId_hyperlink_2216" Type="http://schemas.openxmlformats.org/officeDocument/2006/relationships/hyperlink" Target="https%3A%2F%2Fwww.webofscience.com%2Fwos%2Fwoscc%2Ffull-record%2FWOS:000798578400040" TargetMode="External"/><Relationship Id="rId_hyperlink_2217" Type="http://schemas.openxmlformats.org/officeDocument/2006/relationships/hyperlink" Target="http://dx.doi.org/10.12973/eurasia.2017.00698a" TargetMode="External"/><Relationship Id="rId_hyperlink_2218" Type="http://schemas.openxmlformats.org/officeDocument/2006/relationships/hyperlink" Target="https%3A%2F%2Fwww.webofscience.com%2Fwos%2Fwoscc%2Ffull-record%2FWOS:000404604700015" TargetMode="External"/><Relationship Id="rId_hyperlink_2219" Type="http://schemas.openxmlformats.org/officeDocument/2006/relationships/hyperlink" Target="http://dx.doi.org/10.25750/1995-4301-2021-2-183-188" TargetMode="External"/><Relationship Id="rId_hyperlink_2220" Type="http://schemas.openxmlformats.org/officeDocument/2006/relationships/hyperlink" Target="https%3A%2F%2Fwww.webofscience.com%2Fwos%2Fwoscc%2Ffull-record%2FWOS:000667025400026" TargetMode="External"/><Relationship Id="rId_hyperlink_2221" Type="http://schemas.openxmlformats.org/officeDocument/2006/relationships/hyperlink" Target="http://dx.doi.org/10.25750/1995-4301-2021-3-052-059" TargetMode="External"/><Relationship Id="rId_hyperlink_2222" Type="http://schemas.openxmlformats.org/officeDocument/2006/relationships/hyperlink" Target="https%3A%2F%2Fwww.webofscience.com%2Fwos%2Fwoscc%2Ffull-record%2FWOS:000700413300007" TargetMode="External"/><Relationship Id="rId_hyperlink_2223" Type="http://schemas.openxmlformats.org/officeDocument/2006/relationships/hyperlink" Target="http://dx.doi.org/10.1051/matecconf/201710608085" TargetMode="External"/><Relationship Id="rId_hyperlink_2224" Type="http://schemas.openxmlformats.org/officeDocument/2006/relationships/hyperlink" Target="https%3A%2F%2Fwww.webofscience.com%2Fwos%2Fwoscc%2Ffull-record%2FWOS:000426426600270" TargetMode="External"/><Relationship Id="rId_hyperlink_2225" Type="http://schemas.openxmlformats.org/officeDocument/2006/relationships/hyperlink" Target="http://dx.doi.org/10.1134/S106422931305013X" TargetMode="External"/><Relationship Id="rId_hyperlink_2226" Type="http://schemas.openxmlformats.org/officeDocument/2006/relationships/hyperlink" Target="https%3A%2F%2Fwww.webofscience.com%2Fwos%2Fwoscc%2Ffull-record%2FWOS:000319159900011" TargetMode="External"/><Relationship Id="rId_hyperlink_2227" Type="http://schemas.openxmlformats.org/officeDocument/2006/relationships/hyperlink" Target="http://dx.doi.org/10.3389/fenrg.2022.908489" TargetMode="External"/><Relationship Id="rId_hyperlink_2228" Type="http://schemas.openxmlformats.org/officeDocument/2006/relationships/hyperlink" Target="https%3A%2F%2Fwww.webofscience.com%2Fwos%2Fwoscc%2Ffull-record%2FWOS:000811266700001" TargetMode="External"/><Relationship Id="rId_hyperlink_2229" Type="http://schemas.openxmlformats.org/officeDocument/2006/relationships/hyperlink" Target="http://dx.doi.org/10.1134/S1995082918020086" TargetMode="External"/><Relationship Id="rId_hyperlink_2230" Type="http://schemas.openxmlformats.org/officeDocument/2006/relationships/hyperlink" Target="https%3A%2F%2Fwww.webofscience.com%2Fwos%2Fwoscc%2Ffull-record%2FWOS:000434910800001" TargetMode="External"/><Relationship Id="rId_hyperlink_2231" Type="http://schemas.openxmlformats.org/officeDocument/2006/relationships/hyperlink" Target="http://dx.doi.org/10.1007/s10600-017-2133-x" TargetMode="External"/><Relationship Id="rId_hyperlink_2232" Type="http://schemas.openxmlformats.org/officeDocument/2006/relationships/hyperlink" Target="https%3A%2F%2Fwww.webofscience.com%2Fwos%2Fwoscc%2Ffull-record%2FWOS:000412513600003" TargetMode="External"/><Relationship Id="rId_hyperlink_2233" Type="http://schemas.openxmlformats.org/officeDocument/2006/relationships/hyperlink" Target="http://dx.doi.org/10.1016/j.foodhyd.2016.10.042" TargetMode="External"/><Relationship Id="rId_hyperlink_2234" Type="http://schemas.openxmlformats.org/officeDocument/2006/relationships/hyperlink" Target="https%3A%2F%2Fwww.webofscience.com%2Fwos%2Fwoscc%2Ffull-record%2FWOS:000392771400009" TargetMode="External"/><Relationship Id="rId_hyperlink_2235" Type="http://schemas.openxmlformats.org/officeDocument/2006/relationships/hyperlink" Target="http://dx.doi.org/10.22616/ERDev2017.16.N061" TargetMode="External"/><Relationship Id="rId_hyperlink_2236" Type="http://schemas.openxmlformats.org/officeDocument/2006/relationships/hyperlink" Target="https%3A%2F%2Fwww.webofscience.com%2Fwos%2Fwoscc%2Ffull-record%2FWOS:000416378300045" TargetMode="External"/><Relationship Id="rId_hyperlink_2237" Type="http://schemas.openxmlformats.org/officeDocument/2006/relationships/hyperlink" Target="http://dx.doi.org/10.12911/22998993/146330" TargetMode="External"/><Relationship Id="rId_hyperlink_2238" Type="http://schemas.openxmlformats.org/officeDocument/2006/relationships/hyperlink" Target="https%3A%2F%2Fwww.webofscience.com%2Fwos%2Fwoscc%2Ffull-record%2FWOS:000778019200006" TargetMode="External"/><Relationship Id="rId_hyperlink_2239" Type="http://schemas.openxmlformats.org/officeDocument/2006/relationships/hyperlink" Target="http://dx.doi.org/10.5281/zenodo.3262155" TargetMode="External"/><Relationship Id="rId_hyperlink_2240" Type="http://schemas.openxmlformats.org/officeDocument/2006/relationships/hyperlink" Target="https%3A%2F%2Fwww.webofscience.com%2Fwos%2Fwoscc%2Ffull-record%2FWOS:000475623100021" TargetMode="External"/><Relationship Id="rId_hyperlink_2241" Type="http://schemas.openxmlformats.org/officeDocument/2006/relationships/hyperlink" Target="http://dx.doi.org/10.1007/978-3-319-45462-7_9" TargetMode="External"/><Relationship Id="rId_hyperlink_2242" Type="http://schemas.openxmlformats.org/officeDocument/2006/relationships/hyperlink" Target="https%3A%2F%2Fwww.webofscience.com%2Fwos%2Fwoscc%2Ffull-record%2FWOS:000406973000009" TargetMode="External"/><Relationship Id="rId_hyperlink_2243" Type="http://schemas.openxmlformats.org/officeDocument/2006/relationships/hyperlink" Target="http://dx.doi.org/10.1007/s10517-023-05681-w" TargetMode="External"/><Relationship Id="rId_hyperlink_2244" Type="http://schemas.openxmlformats.org/officeDocument/2006/relationships/hyperlink" Target="https%3A%2F%2Fwww.webofscience.com%2Fwos%2Fwoscc%2Ffull-record%2FWOS:000907792500002" TargetMode="External"/><Relationship Id="rId_hyperlink_2245" Type="http://schemas.openxmlformats.org/officeDocument/2006/relationships/hyperlink" Target="http://dx.doi.org/10.3390/ma14040962" TargetMode="External"/><Relationship Id="rId_hyperlink_2246" Type="http://schemas.openxmlformats.org/officeDocument/2006/relationships/hyperlink" Target="https%3A%2F%2Fwww.webofscience.com%2Fwos%2Fwoscc%2Ffull-record%2FWOS:000624114300001" TargetMode="External"/><Relationship Id="rId_hyperlink_2247" Type="http://schemas.openxmlformats.org/officeDocument/2006/relationships/hyperlink" Target="http://dx.doi.org/10.1016/j.carbpol.2016.09.048" TargetMode="External"/><Relationship Id="rId_hyperlink_2248" Type="http://schemas.openxmlformats.org/officeDocument/2006/relationships/hyperlink" Target="https%3A%2F%2Fwww.webofscience.com%2Fwos%2Fwoscc%2Ffull-record%2FWOS:000391896800002" TargetMode="External"/><Relationship Id="rId_hyperlink_2249" Type="http://schemas.openxmlformats.org/officeDocument/2006/relationships/hyperlink" Target="http://dx.doi.org/10.1134/S1064229311020116" TargetMode="External"/><Relationship Id="rId_hyperlink_2250" Type="http://schemas.openxmlformats.org/officeDocument/2006/relationships/hyperlink" Target="https%3A%2F%2Fwww.webofscience.com%2Fwos%2Fwoscc%2Ffull-record%2FWOS:000288681100008" TargetMode="External"/><Relationship Id="rId_hyperlink_2251" Type="http://schemas.openxmlformats.org/officeDocument/2006/relationships/hyperlink" Target="https%3A%2F%2Fwww.webofscience.com%2Fwos%2Fwoscc%2Ffull-record%2FWOS:001006884500003" TargetMode="External"/><Relationship Id="rId_hyperlink_2252" Type="http://schemas.openxmlformats.org/officeDocument/2006/relationships/hyperlink" Target="http://dx.doi.org/10.25750/1995-4301-2022-3-219-225" TargetMode="External"/><Relationship Id="rId_hyperlink_2253" Type="http://schemas.openxmlformats.org/officeDocument/2006/relationships/hyperlink" Target="https%3A%2F%2Fwww.webofscience.com%2Fwos%2Fwoscc%2Ffull-record%2FWOS:000885393200028" TargetMode="External"/><Relationship Id="rId_hyperlink_2254" Type="http://schemas.openxmlformats.org/officeDocument/2006/relationships/hyperlink" Target="http://dx.doi.org/10.31166/VoprosyIstorii202008Statyi17" TargetMode="External"/><Relationship Id="rId_hyperlink_2255" Type="http://schemas.openxmlformats.org/officeDocument/2006/relationships/hyperlink" Target="https%3A%2F%2Fwww.webofscience.com%2Fwos%2Fwoscc%2Ffull-record%2FWOS:000657723600002" TargetMode="External"/><Relationship Id="rId_hyperlink_2256" Type="http://schemas.openxmlformats.org/officeDocument/2006/relationships/hyperlink" Target="http://dx.doi.org/10.1002/jbm.a.35936" TargetMode="External"/><Relationship Id="rId_hyperlink_2257" Type="http://schemas.openxmlformats.org/officeDocument/2006/relationships/hyperlink" Target="https%3A%2F%2Fwww.webofscience.com%2Fwos%2Fwoscc%2Ffull-record%2FWOS:000392506300020" TargetMode="External"/><Relationship Id="rId_hyperlink_2258" Type="http://schemas.openxmlformats.org/officeDocument/2006/relationships/hyperlink" Target="http://dx.doi.org/10.1134/S1995425515010138" TargetMode="External"/><Relationship Id="rId_hyperlink_2259" Type="http://schemas.openxmlformats.org/officeDocument/2006/relationships/hyperlink" Target="https%3A%2F%2Fwww.webofscience.com%2Fwos%2Fwoscc%2Ffull-record%2FWOS:000349913100015" TargetMode="External"/><Relationship Id="rId_hyperlink_2260" Type="http://schemas.openxmlformats.org/officeDocument/2006/relationships/hyperlink" Target="http://dx.doi.org/10.1134/S1062359022100387" TargetMode="External"/><Relationship Id="rId_hyperlink_2261" Type="http://schemas.openxmlformats.org/officeDocument/2006/relationships/hyperlink" Target="https%3A%2F%2Fwww.webofscience.com%2Fwos%2Fwoscc%2Ffull-record%2FWOS:000937072100037" TargetMode="External"/><Relationship Id="rId_hyperlink_2262" Type="http://schemas.openxmlformats.org/officeDocument/2006/relationships/hyperlink" Target="http://dx.doi.org/10.17223/15617793/467/18" TargetMode="External"/><Relationship Id="rId_hyperlink_2263" Type="http://schemas.openxmlformats.org/officeDocument/2006/relationships/hyperlink" Target="https%3A%2F%2Fwww.webofscience.com%2Fwos%2Fwoscc%2Ffull-record%2FWOS:000708456300018" TargetMode="External"/><Relationship Id="rId_hyperlink_2264" Type="http://schemas.openxmlformats.org/officeDocument/2006/relationships/hyperlink" Target="http://dx.doi.org/10.1007/s10008-021-04942-w" TargetMode="External"/><Relationship Id="rId_hyperlink_2265" Type="http://schemas.openxmlformats.org/officeDocument/2006/relationships/hyperlink" Target="https%3A%2F%2Fwww.webofscience.com%2Fwos%2Fwoscc%2Ffull-record%2FWOS:000640149200002" TargetMode="External"/><Relationship Id="rId_hyperlink_2266" Type="http://schemas.openxmlformats.org/officeDocument/2006/relationships/hyperlink" Target="http://dx.doi.org/10.25750/1995-4301-2019-3-134-141" TargetMode="External"/><Relationship Id="rId_hyperlink_2267" Type="http://schemas.openxmlformats.org/officeDocument/2006/relationships/hyperlink" Target="https%3A%2F%2Fwww.webofscience.com%2Fwos%2Fwoscc%2Ffull-record%2FWOS:000490704900019" TargetMode="External"/><Relationship Id="rId_hyperlink_2268" Type="http://schemas.openxmlformats.org/officeDocument/2006/relationships/hyperlink" Target="http://dx.doi.org/10.25750/1995-4301-2018-3-086-092" TargetMode="External"/><Relationship Id="rId_hyperlink_2269" Type="http://schemas.openxmlformats.org/officeDocument/2006/relationships/hyperlink" Target="https%3A%2F%2Fwww.webofscience.com%2Fwos%2Fwoscc%2Ffull-record%2FWOS:000468564900012" TargetMode="External"/><Relationship Id="rId_hyperlink_2270" Type="http://schemas.openxmlformats.org/officeDocument/2006/relationships/hyperlink" Target="http://dx.doi.org/10.1134/S0026261706020184" TargetMode="External"/><Relationship Id="rId_hyperlink_2271" Type="http://schemas.openxmlformats.org/officeDocument/2006/relationships/hyperlink" Target="https%3A%2F%2Fwww.webofscience.com%2Fwos%2Fwoscc%2Ffull-record%2FWOS:000236688100018" TargetMode="External"/><Relationship Id="rId_hyperlink_2272" Type="http://schemas.openxmlformats.org/officeDocument/2006/relationships/hyperlink" Target="http://dx.doi.org/10.3390/risks10110206" TargetMode="External"/><Relationship Id="rId_hyperlink_2273" Type="http://schemas.openxmlformats.org/officeDocument/2006/relationships/hyperlink" Target="https%3A%2F%2Fwww.webofscience.com%2Fwos%2Fwoscc%2Ffull-record%2FWOS:000881404100001" TargetMode="External"/><Relationship Id="rId_hyperlink_2274" Type="http://schemas.openxmlformats.org/officeDocument/2006/relationships/hyperlink" Target="http://dx.doi.org/10.1007/s10853-021-06645-z" TargetMode="External"/><Relationship Id="rId_hyperlink_2275" Type="http://schemas.openxmlformats.org/officeDocument/2006/relationships/hyperlink" Target="https%3A%2F%2Fwww.webofscience.com%2Fwos%2Fwoscc%2Ffull-record%2FWOS:000737865000017" TargetMode="External"/><Relationship Id="rId_hyperlink_2276" Type="http://schemas.openxmlformats.org/officeDocument/2006/relationships/hyperlink" Target="http://dx.doi.org/10.18149/MPM.4712021_11" TargetMode="External"/><Relationship Id="rId_hyperlink_2277" Type="http://schemas.openxmlformats.org/officeDocument/2006/relationships/hyperlink" Target="https%3A%2F%2Fwww.webofscience.com%2Fwos%2Fwoscc%2Ffull-record%2FWOS:000731323500002" TargetMode="External"/><Relationship Id="rId_hyperlink_2278" Type="http://schemas.openxmlformats.org/officeDocument/2006/relationships/hyperlink" Target="http://dx.doi.org/10.25750/1995-4301-2020-4-129-135" TargetMode="External"/><Relationship Id="rId_hyperlink_2279" Type="http://schemas.openxmlformats.org/officeDocument/2006/relationships/hyperlink" Target="https%3A%2F%2Fwww.webofscience.com%2Fwos%2Fwoscc%2Ffull-record%2FWOS:000597810500020" TargetMode="External"/><Relationship Id="rId_hyperlink_2280" Type="http://schemas.openxmlformats.org/officeDocument/2006/relationships/hyperlink" Target="http://dx.doi.org/10.25750/1995-4301-2020-3-119-125" TargetMode="External"/><Relationship Id="rId_hyperlink_2281" Type="http://schemas.openxmlformats.org/officeDocument/2006/relationships/hyperlink" Target="https%3A%2F%2Fwww.webofscience.com%2Fwos%2Fwoscc%2Ffull-record%2FWOS:000580337700018" TargetMode="External"/><Relationship Id="rId_hyperlink_2282" Type="http://schemas.openxmlformats.org/officeDocument/2006/relationships/hyperlink" Target="http://dx.doi.org/10.1088/1755-1315/90/012139" TargetMode="External"/><Relationship Id="rId_hyperlink_2283" Type="http://schemas.openxmlformats.org/officeDocument/2006/relationships/hyperlink" Target="https%3A%2F%2Fwww.webofscience.com%2Fwos%2Fwoscc%2Ffull-record%2FWOS:000419816700139" TargetMode="External"/><Relationship Id="rId_hyperlink_2284" Type="http://schemas.openxmlformats.org/officeDocument/2006/relationships/hyperlink" Target="http://dx.doi.org/10.3389/fenvs.2022.1091149" TargetMode="External"/><Relationship Id="rId_hyperlink_2285" Type="http://schemas.openxmlformats.org/officeDocument/2006/relationships/hyperlink" Target="https%3A%2F%2Fwww.webofscience.com%2Fwos%2Fwoscc%2Ffull-record%2FWOS:000898146000001" TargetMode="External"/><Relationship Id="rId_hyperlink_2286" Type="http://schemas.openxmlformats.org/officeDocument/2006/relationships/hyperlink" Target="http://dx.doi.org/10.18470/1992-1098-2021-1-53-60" TargetMode="External"/><Relationship Id="rId_hyperlink_2287" Type="http://schemas.openxmlformats.org/officeDocument/2006/relationships/hyperlink" Target="https%3A%2F%2Fwww.webofscience.com%2Fwos%2Fwoscc%2Ffull-record%2FWOS:000640618100006" TargetMode="External"/><Relationship Id="rId_hyperlink_2288" Type="http://schemas.openxmlformats.org/officeDocument/2006/relationships/hyperlink" Target="http://dx.doi.org/10.25750/1995-4301-2019-2-108-112" TargetMode="External"/><Relationship Id="rId_hyperlink_2289" Type="http://schemas.openxmlformats.org/officeDocument/2006/relationships/hyperlink" Target="https%3A%2F%2Fwww.webofscience.com%2Fwos%2Fwoscc%2Ffull-record%2FWOS:000477826000013" TargetMode="External"/><Relationship Id="rId_hyperlink_2290" Type="http://schemas.openxmlformats.org/officeDocument/2006/relationships/hyperlink" Target="http://dx.doi.org/10.1134/S0036029518130153" TargetMode="External"/><Relationship Id="rId_hyperlink_2291" Type="http://schemas.openxmlformats.org/officeDocument/2006/relationships/hyperlink" Target="https%3A%2F%2Fwww.webofscience.com%2Fwos%2Fwoscc%2Ffull-record%2FWOS:000460563800016" TargetMode="External"/><Relationship Id="rId_hyperlink_2292" Type="http://schemas.openxmlformats.org/officeDocument/2006/relationships/hyperlink" Target="http://dx.doi.org/10.17223/15617793/476/31" TargetMode="External"/><Relationship Id="rId_hyperlink_2293" Type="http://schemas.openxmlformats.org/officeDocument/2006/relationships/hyperlink" Target="https%3A%2F%2Fwww.webofscience.com%2Fwos%2Fwoscc%2Ffull-record%2FWOS:000868947100031" TargetMode="External"/><Relationship Id="rId_hyperlink_2294" Type="http://schemas.openxmlformats.org/officeDocument/2006/relationships/hyperlink" Target="http://dx.doi.org/10.25750/1995-4301-2022-3-199-205" TargetMode="External"/><Relationship Id="rId_hyperlink_2295" Type="http://schemas.openxmlformats.org/officeDocument/2006/relationships/hyperlink" Target="https%3A%2F%2Fwww.webofscience.com%2Fwos%2Fwoscc%2Ffull-record%2FWOS:000885393200025" TargetMode="External"/><Relationship Id="rId_hyperlink_2296" Type="http://schemas.openxmlformats.org/officeDocument/2006/relationships/hyperlink" Target="http://dx.doi.org/10.13187/ejced.2022.1.241" TargetMode="External"/><Relationship Id="rId_hyperlink_2297" Type="http://schemas.openxmlformats.org/officeDocument/2006/relationships/hyperlink" Target="https%3A%2F%2Fwww.webofscience.com%2Fwos%2Fwoscc%2Ffull-record%2FWOS:000835713500001" TargetMode="External"/><Relationship Id="rId_hyperlink_2298" Type="http://schemas.openxmlformats.org/officeDocument/2006/relationships/hyperlink" Target="http://dx.doi.org/10.1099/ijsem.0.000994" TargetMode="External"/><Relationship Id="rId_hyperlink_2299" Type="http://schemas.openxmlformats.org/officeDocument/2006/relationships/hyperlink" Target="https%3A%2F%2Fwww.webofscience.com%2Fwos%2Fwoscc%2Ffull-record%2FWOS:000375837100026" TargetMode="External"/><Relationship Id="rId_hyperlink_2300" Type="http://schemas.openxmlformats.org/officeDocument/2006/relationships/hyperlink" Target="http://dx.doi.org/10.25750/1995-4301-2018-4-093-098" TargetMode="External"/><Relationship Id="rId_hyperlink_2301" Type="http://schemas.openxmlformats.org/officeDocument/2006/relationships/hyperlink" Target="https%3A%2F%2Fwww.webofscience.com%2Fwos%2Fwoscc%2Ffull-record%2FWOS:000468565300012" TargetMode="External"/><Relationship Id="rId_hyperlink_2302" Type="http://schemas.openxmlformats.org/officeDocument/2006/relationships/hyperlink" Target="http://dx.doi.org/10.25750/1995-4301-2022-4-159-165" TargetMode="External"/><Relationship Id="rId_hyperlink_2303" Type="http://schemas.openxmlformats.org/officeDocument/2006/relationships/hyperlink" Target="https%3A%2F%2Fwww.webofscience.com%2Fwos%2Fwoscc%2Ffull-record%2FWOS:000929704700022" TargetMode="External"/><Relationship Id="rId_hyperlink_2304" Type="http://schemas.openxmlformats.org/officeDocument/2006/relationships/hyperlink" Target="http://dx.doi.org/10.25750/1995-4301-2019-3-057-065" TargetMode="External"/><Relationship Id="rId_hyperlink_2305" Type="http://schemas.openxmlformats.org/officeDocument/2006/relationships/hyperlink" Target="https%3A%2F%2Fwww.webofscience.com%2Fwos%2Fwoscc%2Ffull-record%2FWOS:000490704900008" TargetMode="External"/><Relationship Id="rId_hyperlink_2306" Type="http://schemas.openxmlformats.org/officeDocument/2006/relationships/hyperlink" Target="http://dx.doi.org/10.1134/S1064229313020026" TargetMode="External"/><Relationship Id="rId_hyperlink_2307" Type="http://schemas.openxmlformats.org/officeDocument/2006/relationships/hyperlink" Target="https%3A%2F%2Fwww.webofscience.com%2Fwos%2Fwoscc%2Ffull-record%2FWOS:000316826200008" TargetMode="External"/><Relationship Id="rId_hyperlink_2308" Type="http://schemas.openxmlformats.org/officeDocument/2006/relationships/hyperlink" Target="http://dx.doi.org/10.1007/s11029-014-9408-0" TargetMode="External"/><Relationship Id="rId_hyperlink_2309" Type="http://schemas.openxmlformats.org/officeDocument/2006/relationships/hyperlink" Target="https%3A%2F%2Fwww.webofscience.com%2Fwos%2Fwoscc%2Ffull-record%2FWOS:000336390500009" TargetMode="External"/><Relationship Id="rId_hyperlink_2310" Type="http://schemas.openxmlformats.org/officeDocument/2006/relationships/hyperlink" Target="http://dx.doi.org/10.3389/feduc.2022.1016919" TargetMode="External"/><Relationship Id="rId_hyperlink_2311" Type="http://schemas.openxmlformats.org/officeDocument/2006/relationships/hyperlink" Target="https%3A%2F%2Fwww.webofscience.com%2Fwos%2Fwoscc%2Ffull-record%2FWOS:000890601600001" TargetMode="External"/><Relationship Id="rId_hyperlink_2312" Type="http://schemas.openxmlformats.org/officeDocument/2006/relationships/hyperlink" Target="http://dx.doi.org/10.25750/1995-4301-2021-1-006-015" TargetMode="External"/><Relationship Id="rId_hyperlink_2313" Type="http://schemas.openxmlformats.org/officeDocument/2006/relationships/hyperlink" Target="https%3A%2F%2Fwww.webofscience.com%2Fwos%2Fwoscc%2Ffull-record%2FWOS:000632219100001" TargetMode="External"/><Relationship Id="rId_hyperlink_2314" Type="http://schemas.openxmlformats.org/officeDocument/2006/relationships/hyperlink" Target="http://dx.doi.org/10.25750/1995-4301-2018-3-078-085" TargetMode="External"/><Relationship Id="rId_hyperlink_2315" Type="http://schemas.openxmlformats.org/officeDocument/2006/relationships/hyperlink" Target="https%3A%2F%2Fwww.webofscience.com%2Fwos%2Fwoscc%2Ffull-record%2FWOS:000468564900011" TargetMode="External"/><Relationship Id="rId_hyperlink_2316" Type="http://schemas.openxmlformats.org/officeDocument/2006/relationships/hyperlink" Target="http://dx.doi.org/10.13187/ejced.2022.2.526" TargetMode="External"/><Relationship Id="rId_hyperlink_2317" Type="http://schemas.openxmlformats.org/officeDocument/2006/relationships/hyperlink" Target="https%3A%2F%2Fwww.webofscience.com%2Fwos%2Fwoscc%2Ffull-record%2FWOS:000823569900017" TargetMode="External"/><Relationship Id="rId_hyperlink_2318" Type="http://schemas.openxmlformats.org/officeDocument/2006/relationships/hyperlink" Target="http://dx.doi.org/10.1007/s10008-016-3405-2" TargetMode="External"/><Relationship Id="rId_hyperlink_2319" Type="http://schemas.openxmlformats.org/officeDocument/2006/relationships/hyperlink" Target="https%3A%2F%2Fwww.webofscience.com%2Fwos%2Fwoscc%2Ffull-record%2FWOS:000394379600007" TargetMode="External"/><Relationship Id="rId_hyperlink_2320" Type="http://schemas.openxmlformats.org/officeDocument/2006/relationships/hyperlink" Target="http://dx.doi.org/10.1016/j.jbiomech.2019.109504" TargetMode="External"/><Relationship Id="rId_hyperlink_2321" Type="http://schemas.openxmlformats.org/officeDocument/2006/relationships/hyperlink" Target="https%3A%2F%2Fwww.webofscience.com%2Fwos%2Fwoscc%2Ffull-record%2FWOS:000513294600016" TargetMode="External"/><Relationship Id="rId_hyperlink_2322" Type="http://schemas.openxmlformats.org/officeDocument/2006/relationships/hyperlink" Target="http://dx.doi.org/10.14529/hsm20s114" TargetMode="External"/><Relationship Id="rId_hyperlink_2323" Type="http://schemas.openxmlformats.org/officeDocument/2006/relationships/hyperlink" Target="https%3A%2F%2Fwww.webofscience.com%2Fwos%2Fwoscc%2Ffull-record%2FWOS:000581820600014" TargetMode="External"/><Relationship Id="rId_hyperlink_2324" Type="http://schemas.openxmlformats.org/officeDocument/2006/relationships/hyperlink" Target="http://dx.doi.org/10.1149/2.0071712jss" TargetMode="External"/><Relationship Id="rId_hyperlink_2325" Type="http://schemas.openxmlformats.org/officeDocument/2006/relationships/hyperlink" Target="https%3A%2F%2Fwww.webofscience.com%2Fwos%2Fwoscc%2Ffull-record%2FWOS:000419175500012" TargetMode="External"/><Relationship Id="rId_hyperlink_2326" Type="http://schemas.openxmlformats.org/officeDocument/2006/relationships/hyperlink" Target="http://dx.doi.org/10.1134/S1995425515060189" TargetMode="External"/><Relationship Id="rId_hyperlink_2327" Type="http://schemas.openxmlformats.org/officeDocument/2006/relationships/hyperlink" Target="https%3A%2F%2Fwww.webofscience.com%2Fwos%2Fwoscc%2Ffull-record%2FWOS:000366640300016" TargetMode="External"/><Relationship Id="rId_hyperlink_2328" Type="http://schemas.openxmlformats.org/officeDocument/2006/relationships/hyperlink" Target="https%3A%2F%2Fwww.webofscience.com%2Fwos%2Fwoscc%2Ffull-record%2FWOS:000934358700003" TargetMode="External"/><Relationship Id="rId_hyperlink_2329" Type="http://schemas.openxmlformats.org/officeDocument/2006/relationships/hyperlink" Target="http://dx.doi.org/10.13187/ejced.2022.3.898" TargetMode="External"/><Relationship Id="rId_hyperlink_2330" Type="http://schemas.openxmlformats.org/officeDocument/2006/relationships/hyperlink" Target="https%3A%2F%2Fwww.webofscience.com%2Fwos%2Fwoscc%2Ffull-record%2FWOS:000862890700018" TargetMode="External"/><Relationship Id="rId_hyperlink_2331" Type="http://schemas.openxmlformats.org/officeDocument/2006/relationships/hyperlink" Target="http://dx.doi.org/10.25750/1995-4301-2022-4-196-203" TargetMode="External"/><Relationship Id="rId_hyperlink_2332" Type="http://schemas.openxmlformats.org/officeDocument/2006/relationships/hyperlink" Target="https%3A%2F%2Fwww.webofscience.com%2Fwos%2Fwoscc%2Ffull-record%2FWOS:000929704700027" TargetMode="External"/><Relationship Id="rId_hyperlink_2333" Type="http://schemas.openxmlformats.org/officeDocument/2006/relationships/hyperlink" Target="http://dx.doi.org/10.1134/S1062359022010137" TargetMode="External"/><Relationship Id="rId_hyperlink_2334" Type="http://schemas.openxmlformats.org/officeDocument/2006/relationships/hyperlink" Target="https%3A%2F%2Fwww.webofscience.com%2Fwos%2Fwoscc%2Ffull-record%2FWOS:000901195000017" TargetMode="External"/><Relationship Id="rId_hyperlink_2335" Type="http://schemas.openxmlformats.org/officeDocument/2006/relationships/hyperlink" Target="http://dx.doi.org/10.22633/rpge.v25iesp.2.15282" TargetMode="External"/><Relationship Id="rId_hyperlink_2336" Type="http://schemas.openxmlformats.org/officeDocument/2006/relationships/hyperlink" Target="https%3A%2F%2Fwww.webofscience.com%2Fwos%2Fwoscc%2Ffull-record%2FWOS:000687825100023" TargetMode="External"/><Relationship Id="rId_hyperlink_2337" Type="http://schemas.openxmlformats.org/officeDocument/2006/relationships/hyperlink" Target="http://dx.doi.org/10.25750/1995-4301-2020-2-166-171" TargetMode="External"/><Relationship Id="rId_hyperlink_2338" Type="http://schemas.openxmlformats.org/officeDocument/2006/relationships/hyperlink" Target="https%3A%2F%2Fwww.webofscience.com%2Fwos%2Fwoscc%2Ffull-record%2FWOS:000545295600023" TargetMode="External"/><Relationship Id="rId_hyperlink_2339" Type="http://schemas.openxmlformats.org/officeDocument/2006/relationships/hyperlink" Target="http://dx.doi.org/10.3390/biomedicines6010005" TargetMode="External"/><Relationship Id="rId_hyperlink_2340" Type="http://schemas.openxmlformats.org/officeDocument/2006/relationships/hyperlink" Target="https%3A%2F%2Fwww.webofscience.com%2Fwos%2Fwoscc%2Ffull-record%2FWOS:000428505300005" TargetMode="External"/><Relationship Id="rId_hyperlink_2341" Type="http://schemas.openxmlformats.org/officeDocument/2006/relationships/hyperlink" Target="http://dx.doi.org/10.17150/2500-4255.2018.12(4).515-524" TargetMode="External"/><Relationship Id="rId_hyperlink_2342" Type="http://schemas.openxmlformats.org/officeDocument/2006/relationships/hyperlink" Target="https%3A%2F%2Fwww.webofscience.com%2Fwos%2Fwoscc%2Ffull-record%2FWOS:000444615800007" TargetMode="External"/><Relationship Id="rId_hyperlink_2343" Type="http://schemas.openxmlformats.org/officeDocument/2006/relationships/hyperlink" Target="http://dx.doi.org/10.13187/ejced.2022.4" TargetMode="External"/><Relationship Id="rId_hyperlink_2344" Type="http://schemas.openxmlformats.org/officeDocument/2006/relationships/hyperlink" Target="https%3A%2F%2Fwww.webofscience.com%2Fwos%2Fwoscc%2Ffull-record%2FWOS:000914876300015" TargetMode="External"/><Relationship Id="rId_hyperlink_2345" Type="http://schemas.openxmlformats.org/officeDocument/2006/relationships/hyperlink" Target="http://dx.doi.org/10.25750/1995-4301-2020-1-130-135" TargetMode="External"/><Relationship Id="rId_hyperlink_2346" Type="http://schemas.openxmlformats.org/officeDocument/2006/relationships/hyperlink" Target="https%3A%2F%2Fwww.webofscience.com%2Fwos%2Fwoscc%2Ffull-record%2FWOS:000522789400019" TargetMode="External"/><Relationship Id="rId_hyperlink_2347" Type="http://schemas.openxmlformats.org/officeDocument/2006/relationships/hyperlink" Target="http://dx.doi.org/10.1163/15685403-00003976" TargetMode="External"/><Relationship Id="rId_hyperlink_2348" Type="http://schemas.openxmlformats.org/officeDocument/2006/relationships/hyperlink" Target="https%3A%2F%2Fwww.webofscience.com%2Fwos%2Fwoscc%2Ffull-record%2FWOS:000540781400006" TargetMode="External"/><Relationship Id="rId_hyperlink_2349" Type="http://schemas.openxmlformats.org/officeDocument/2006/relationships/hyperlink" Target="http://dx.doi.org/10.25750/1995-4301-2020-4-143-148" TargetMode="External"/><Relationship Id="rId_hyperlink_2350" Type="http://schemas.openxmlformats.org/officeDocument/2006/relationships/hyperlink" Target="https%3A%2F%2Fwww.webofscience.com%2Fwos%2Fwoscc%2Ffull-record%2FWOS:000597810500022" TargetMode="External"/><Relationship Id="rId_hyperlink_2351" Type="http://schemas.openxmlformats.org/officeDocument/2006/relationships/hyperlink" Target="http://dx.doi.org/10.25750/1995-4301-2022-1-102-108" TargetMode="External"/><Relationship Id="rId_hyperlink_2352" Type="http://schemas.openxmlformats.org/officeDocument/2006/relationships/hyperlink" Target="https%3A%2F%2Fwww.webofscience.com%2Fwos%2Fwoscc%2Ffull-record%2FWOS:000819811100014" TargetMode="External"/><Relationship Id="rId_hyperlink_2353" Type="http://schemas.openxmlformats.org/officeDocument/2006/relationships/hyperlink" Target="http://dx.doi.org/10.5750/1995-4301-2022-2-228-233" TargetMode="External"/><Relationship Id="rId_hyperlink_2354" Type="http://schemas.openxmlformats.org/officeDocument/2006/relationships/hyperlink" Target="https%3A%2F%2Fwww.webofscience.com%2Fwos%2Fwoscc%2Ffull-record%2FWOS:000820802000029" TargetMode="External"/><Relationship Id="rId_hyperlink_2355" Type="http://schemas.openxmlformats.org/officeDocument/2006/relationships/hyperlink" Target="http://dx.doi.org/10.25750/1995-4301-2019-2-014-031" TargetMode="External"/><Relationship Id="rId_hyperlink_2356" Type="http://schemas.openxmlformats.org/officeDocument/2006/relationships/hyperlink" Target="https%3A%2F%2Fwww.webofscience.com%2Fwos%2Fwoscc%2Ffull-record%2FWOS:000477826000002" TargetMode="External"/><Relationship Id="rId_hyperlink_2357" Type="http://schemas.openxmlformats.org/officeDocument/2006/relationships/hyperlink" Target="http://dx.doi.org/10.1109/WAINA.2017.116" TargetMode="External"/><Relationship Id="rId_hyperlink_2358" Type="http://schemas.openxmlformats.org/officeDocument/2006/relationships/hyperlink" Target="https%3A%2F%2Fwww.webofscience.com%2Fwos%2Fwoscc%2Ffull-record%2FWOS:000403401900016" TargetMode="External"/><Relationship Id="rId_hyperlink_2359" Type="http://schemas.openxmlformats.org/officeDocument/2006/relationships/hyperlink" Target="http://dx.doi.org/10.25750/1995-4301-2020-4-176-184" TargetMode="External"/><Relationship Id="rId_hyperlink_2360" Type="http://schemas.openxmlformats.org/officeDocument/2006/relationships/hyperlink" Target="https%3A%2F%2Fwww.webofscience.com%2Fwos%2Fwoscc%2Ffull-record%2FWOS:000597810500027" TargetMode="External"/><Relationship Id="rId_hyperlink_2361" Type="http://schemas.openxmlformats.org/officeDocument/2006/relationships/hyperlink" Target="http://dx.doi.org/10.1134/S1064229318030031" TargetMode="External"/><Relationship Id="rId_hyperlink_2362" Type="http://schemas.openxmlformats.org/officeDocument/2006/relationships/hyperlink" Target="https%3A%2F%2Fwww.webofscience.com%2Fwos%2Fwoscc%2Ffull-record%2FWOS:000433121200008" TargetMode="External"/><Relationship Id="rId_hyperlink_2363" Type="http://schemas.openxmlformats.org/officeDocument/2006/relationships/hyperlink" Target="http://dx.doi.org/10.1134/S1995425515060050" TargetMode="External"/><Relationship Id="rId_hyperlink_2364" Type="http://schemas.openxmlformats.org/officeDocument/2006/relationships/hyperlink" Target="https%3A%2F%2Fwww.webofscience.com%2Fwos%2Fwoscc%2Ffull-record%2FWOS:000366640300004" TargetMode="External"/><Relationship Id="rId_hyperlink_2365" Type="http://schemas.openxmlformats.org/officeDocument/2006/relationships/hyperlink" Target="http://dx.doi.org/10.1021/acs.chemmater.2c01159" TargetMode="External"/><Relationship Id="rId_hyperlink_2366" Type="http://schemas.openxmlformats.org/officeDocument/2006/relationships/hyperlink" Target="https%3A%2F%2Fwww.webofscience.com%2Fwos%2Fwoscc%2Ffull-record%2FWOS:000805874800051" TargetMode="External"/><Relationship Id="rId_hyperlink_2367" Type="http://schemas.openxmlformats.org/officeDocument/2006/relationships/hyperlink" Target="http://dx.doi.org/10.25750/1995-4301-2018-3-012-018" TargetMode="External"/><Relationship Id="rId_hyperlink_2368" Type="http://schemas.openxmlformats.org/officeDocument/2006/relationships/hyperlink" Target="https%3A%2F%2Fwww.webofscience.com%2Fwos%2Fwoscc%2Ffull-record%2FWOS:000468564900002" TargetMode="External"/><Relationship Id="rId_hyperlink_2369" Type="http://schemas.openxmlformats.org/officeDocument/2006/relationships/hyperlink" Target="http://dx.doi.org/10.3103/S1066369X18060087" TargetMode="External"/><Relationship Id="rId_hyperlink_2370" Type="http://schemas.openxmlformats.org/officeDocument/2006/relationships/hyperlink" Target="https%3A%2F%2Fwww.webofscience.com%2Fwos%2Fwoscc%2Ffull-record%2FWOS:000433579100008" TargetMode="External"/><Relationship Id="rId_hyperlink_2371" Type="http://schemas.openxmlformats.org/officeDocument/2006/relationships/hyperlink" Target="http://dx.doi.org/10.25750/1995-4301-2018-4-114-118" TargetMode="External"/><Relationship Id="rId_hyperlink_2372" Type="http://schemas.openxmlformats.org/officeDocument/2006/relationships/hyperlink" Target="https%3A%2F%2Fwww.webofscience.com%2Fwos%2Fwoscc%2Ffull-record%2FWOS:000468565300015" TargetMode="External"/><Relationship Id="rId_hyperlink_2373" Type="http://schemas.openxmlformats.org/officeDocument/2006/relationships/hyperlink" Target="http://dx.doi.org/10.1134/S0003683817020077" TargetMode="External"/><Relationship Id="rId_hyperlink_2374" Type="http://schemas.openxmlformats.org/officeDocument/2006/relationships/hyperlink" Target="https%3A%2F%2Fwww.webofscience.com%2Fwos%2Fwoscc%2Ffull-record%2FWOS:000396266800017" TargetMode="External"/><Relationship Id="rId_hyperlink_2375" Type="http://schemas.openxmlformats.org/officeDocument/2006/relationships/hyperlink" Target="http://dx.doi.org/10.3389/fenrg.2022.1025441" TargetMode="External"/><Relationship Id="rId_hyperlink_2376" Type="http://schemas.openxmlformats.org/officeDocument/2006/relationships/hyperlink" Target="https%3A%2F%2Fwww.webofscience.com%2Fwos%2Fwoscc%2Ffull-record%2FWOS:000894516000001" TargetMode="External"/><Relationship Id="rId_hyperlink_2377" Type="http://schemas.openxmlformats.org/officeDocument/2006/relationships/hyperlink" Target="http://dx.doi.org/10.20511/pyr2021.v9nSPE1.1223" TargetMode="External"/><Relationship Id="rId_hyperlink_2378" Type="http://schemas.openxmlformats.org/officeDocument/2006/relationships/hyperlink" Target="https%3A%2F%2Fwww.webofscience.com%2Fwos%2Fwoscc%2Ffull-record%2FWOS:000697163700002" TargetMode="External"/><Relationship Id="rId_hyperlink_2379" Type="http://schemas.openxmlformats.org/officeDocument/2006/relationships/hyperlink" Target="http://dx.doi.org/10.25750/1995-4301-2019-1-111-115" TargetMode="External"/><Relationship Id="rId_hyperlink_2380" Type="http://schemas.openxmlformats.org/officeDocument/2006/relationships/hyperlink" Target="https%3A%2F%2Fwww.webofscience.com%2Fwos%2Fwoscc%2Ffull-record%2FWOS:000468565900016" TargetMode="External"/><Relationship Id="rId_hyperlink_2381" Type="http://schemas.openxmlformats.org/officeDocument/2006/relationships/hyperlink" Target="http://dx.doi.org/10.25750/1995-4301-2020-3-161-167" TargetMode="External"/><Relationship Id="rId_hyperlink_2382" Type="http://schemas.openxmlformats.org/officeDocument/2006/relationships/hyperlink" Target="https%3A%2F%2Fwww.webofscience.com%2Fwos%2Fwoscc%2Ffull-record%2FWOS:000580337700024" TargetMode="External"/><Relationship Id="rId_hyperlink_2383" Type="http://schemas.openxmlformats.org/officeDocument/2006/relationships/hyperlink" Target="https%3A%2F%2Fwww.webofscience.com%2Fwos%2Fwoscc%2Ffull-record%2FWOS:000640077600013" TargetMode="External"/><Relationship Id="rId_hyperlink_2384" Type="http://schemas.openxmlformats.org/officeDocument/2006/relationships/hyperlink" Target="http://dx.doi.org/10.1080/09553002.2018.1492167" TargetMode="External"/><Relationship Id="rId_hyperlink_2385" Type="http://schemas.openxmlformats.org/officeDocument/2006/relationships/hyperlink" Target="https%3A%2F%2Fwww.webofscience.com%2Fwos%2Fwoscc%2Ffull-record%2FWOS:000451552200005" TargetMode="External"/><Relationship Id="rId_hyperlink_2386" Type="http://schemas.openxmlformats.org/officeDocument/2006/relationships/hyperlink" Target="http://dx.doi.org/10.1016/j.carbpol.2020.116166" TargetMode="External"/><Relationship Id="rId_hyperlink_2387" Type="http://schemas.openxmlformats.org/officeDocument/2006/relationships/hyperlink" Target="https%3A%2F%2Fwww.webofscience.com%2Fwos%2Fwoscc%2Ffull-record%2FWOS:000526413700004" TargetMode="External"/><Relationship Id="rId_hyperlink_2388" Type="http://schemas.openxmlformats.org/officeDocument/2006/relationships/hyperlink" Target="http://dx.doi.org/10.15561/18189172.2019.0404" TargetMode="External"/><Relationship Id="rId_hyperlink_2389" Type="http://schemas.openxmlformats.org/officeDocument/2006/relationships/hyperlink" Target="https%3A%2F%2Fwww.webofscience.com%2Fwos%2Fwoscc%2Ffull-record%2FWOS:000482200500004" TargetMode="External"/><Relationship Id="rId_hyperlink_2390" Type="http://schemas.openxmlformats.org/officeDocument/2006/relationships/hyperlink" Target="http://dx.doi.org/10.3390/polym10080817" TargetMode="External"/><Relationship Id="rId_hyperlink_2391" Type="http://schemas.openxmlformats.org/officeDocument/2006/relationships/hyperlink" Target="https%3A%2F%2Fwww.webofscience.com%2Fwos%2Fwoscc%2Ffull-record%2FWOS:000445410200010" TargetMode="External"/><Relationship Id="rId_hyperlink_2392" Type="http://schemas.openxmlformats.org/officeDocument/2006/relationships/hyperlink" Target="http://dx.doi.org/10.1177/0883911516637374" TargetMode="External"/><Relationship Id="rId_hyperlink_2393" Type="http://schemas.openxmlformats.org/officeDocument/2006/relationships/hyperlink" Target="https%3A%2F%2Fwww.webofscience.com%2Fwos%2Fwoscc%2Ffull-record%2FWOS:000382858400004" TargetMode="External"/><Relationship Id="rId_hyperlink_2394" Type="http://schemas.openxmlformats.org/officeDocument/2006/relationships/hyperlink" Target="http://dx.doi.org/10.1080/00914037.2015.1129955" TargetMode="External"/><Relationship Id="rId_hyperlink_2395" Type="http://schemas.openxmlformats.org/officeDocument/2006/relationships/hyperlink" Target="https%3A%2F%2Fwww.webofscience.com%2Fwos%2Fwoscc%2Ffull-record%2FWOS:000373128600001" TargetMode="External"/><Relationship Id="rId_hyperlink_2396" Type="http://schemas.openxmlformats.org/officeDocument/2006/relationships/hyperlink" Target="http://dx.doi.org/10.1134/S1990747818020058" TargetMode="External"/><Relationship Id="rId_hyperlink_2397" Type="http://schemas.openxmlformats.org/officeDocument/2006/relationships/hyperlink" Target="https%3A%2F%2Fwww.webofscience.com%2Fwos%2Fwoscc%2Ffull-record%2FWOS:000454748800001" TargetMode="External"/><Relationship Id="rId_hyperlink_2398" Type="http://schemas.openxmlformats.org/officeDocument/2006/relationships/hyperlink" Target="http://dx.doi.org/10.1007/978-3-030-24289-3_20" TargetMode="External"/><Relationship Id="rId_hyperlink_2399" Type="http://schemas.openxmlformats.org/officeDocument/2006/relationships/hyperlink" Target="https%3A%2F%2Fwww.webofscience.com%2Fwos%2Fwoscc%2Ffull-record%2FWOS:000661318700020" TargetMode="External"/><Relationship Id="rId_hyperlink_2400" Type="http://schemas.openxmlformats.org/officeDocument/2006/relationships/hyperlink" Target="http://dx.doi.org/10.5220/0007839606480655" TargetMode="External"/><Relationship Id="rId_hyperlink_2401" Type="http://schemas.openxmlformats.org/officeDocument/2006/relationships/hyperlink" Target="https%3A%2F%2Fwww.webofscience.com%2Fwos%2Fwoscc%2Ffull-record%2FWOS:000571063100076" TargetMode="External"/><Relationship Id="rId_hyperlink_2402" Type="http://schemas.openxmlformats.org/officeDocument/2006/relationships/hyperlink" Target="http://dx.doi.org/10.25750/1995-4301-2018-2-005-015" TargetMode="External"/><Relationship Id="rId_hyperlink_2403" Type="http://schemas.openxmlformats.org/officeDocument/2006/relationships/hyperlink" Target="https%3A%2F%2Fwww.webofscience.com%2Fwos%2Fwoscc%2Ffull-record%2FWOS:000468564500001" TargetMode="External"/><Relationship Id="rId_hyperlink_2404" Type="http://schemas.openxmlformats.org/officeDocument/2006/relationships/hyperlink" Target="http://dx.doi.org/10.3390/membranes12111084" TargetMode="External"/><Relationship Id="rId_hyperlink_2405" Type="http://schemas.openxmlformats.org/officeDocument/2006/relationships/hyperlink" Target="https%3A%2F%2Fwww.webofscience.com%2Fwos%2Fwoscc%2Ffull-record%2FWOS:000884345100001" TargetMode="External"/><Relationship Id="rId_hyperlink_2406" Type="http://schemas.openxmlformats.org/officeDocument/2006/relationships/hyperlink" Target="http://dx.doi.org/10.25750/1995-4301-2020-4-216-222" TargetMode="External"/><Relationship Id="rId_hyperlink_2407" Type="http://schemas.openxmlformats.org/officeDocument/2006/relationships/hyperlink" Target="https%3A%2F%2Fwww.webofscience.com%2Fwos%2Fwoscc%2Ffull-record%2FWOS:000597810500033" TargetMode="External"/><Relationship Id="rId_hyperlink_2408" Type="http://schemas.openxmlformats.org/officeDocument/2006/relationships/hyperlink" Target="http://dx.doi.org/10.1016/j.ceramint.2021.11.151" TargetMode="External"/><Relationship Id="rId_hyperlink_2409" Type="http://schemas.openxmlformats.org/officeDocument/2006/relationships/hyperlink" Target="https%3A%2F%2Fwww.webofscience.com%2Fwos%2Fwoscc%2Ffull-record%2FWOS:000752874700003" TargetMode="External"/><Relationship Id="rId_hyperlink_2410" Type="http://schemas.openxmlformats.org/officeDocument/2006/relationships/hyperlink" Target="https%3A%2F%2Fwww.webofscience.com%2Fwos%2Fwoscc%2Ffull-record%2FWOS:000539097400020" TargetMode="External"/><Relationship Id="rId_hyperlink_2411" Type="http://schemas.openxmlformats.org/officeDocument/2006/relationships/hyperlink" Target="http://dx.doi.org/10.25750/1995-4301-2019-2-113-120" TargetMode="External"/><Relationship Id="rId_hyperlink_2412" Type="http://schemas.openxmlformats.org/officeDocument/2006/relationships/hyperlink" Target="https%3A%2F%2Fwww.webofscience.com%2Fwos%2Fwoscc%2Ffull-record%2FWOS:000477826000014" TargetMode="External"/><Relationship Id="rId_hyperlink_2413" Type="http://schemas.openxmlformats.org/officeDocument/2006/relationships/hyperlink" Target="http://dx.doi.org/10.25750/1995-4301-2019-3-101-108" TargetMode="External"/><Relationship Id="rId_hyperlink_2414" Type="http://schemas.openxmlformats.org/officeDocument/2006/relationships/hyperlink" Target="https%3A%2F%2Fwww.webofscience.com%2Fwos%2Fwoscc%2Ffull-record%2FWOS:000490704900014" TargetMode="External"/><Relationship Id="rId_hyperlink_2415" Type="http://schemas.openxmlformats.org/officeDocument/2006/relationships/hyperlink" Target="http://dx.doi.org/10.25750/1995-4301-2019-3-072-079" TargetMode="External"/><Relationship Id="rId_hyperlink_2416" Type="http://schemas.openxmlformats.org/officeDocument/2006/relationships/hyperlink" Target="https%3A%2F%2Fwww.webofscience.com%2Fwos%2Fwoscc%2Ffull-record%2FWOS:000490704900010" TargetMode="External"/><Relationship Id="rId_hyperlink_2417" Type="http://schemas.openxmlformats.org/officeDocument/2006/relationships/hyperlink" Target="http://dx.doi.org/10.25750/1995-4301-2018-2-117-124" TargetMode="External"/><Relationship Id="rId_hyperlink_2418" Type="http://schemas.openxmlformats.org/officeDocument/2006/relationships/hyperlink" Target="https%3A%2F%2Fwww.webofscience.com%2Fwos%2Fwoscc%2Ffull-record%2FWOS:000468564500016" TargetMode="External"/><Relationship Id="rId_hyperlink_2419" Type="http://schemas.openxmlformats.org/officeDocument/2006/relationships/hyperlink" Target="http://dx.doi.org/10.7868/S0233475518020032" TargetMode="External"/><Relationship Id="rId_hyperlink_2420" Type="http://schemas.openxmlformats.org/officeDocument/2006/relationships/hyperlink" Target="https%3A%2F%2Fwww.webofscience.com%2Fwos%2Fwoscc%2Ffull-record%2FWOS:000434479000003" TargetMode="External"/><Relationship Id="rId_hyperlink_2421" Type="http://schemas.openxmlformats.org/officeDocument/2006/relationships/hyperlink" Target="http://dx.doi.org/10.31407/ijees12.345" TargetMode="External"/><Relationship Id="rId_hyperlink_2422" Type="http://schemas.openxmlformats.org/officeDocument/2006/relationships/hyperlink" Target="https%3A%2F%2Fwww.webofscience.com%2Fwos%2Fwoscc%2Ffull-record%2FWOS:000828158500045" TargetMode="External"/><Relationship Id="rId_hyperlink_2423" Type="http://schemas.openxmlformats.org/officeDocument/2006/relationships/hyperlink" Target="http://dx.doi.org/10.17223/15617793/441/31" TargetMode="External"/><Relationship Id="rId_hyperlink_2424" Type="http://schemas.openxmlformats.org/officeDocument/2006/relationships/hyperlink" Target="https%3A%2F%2Fwww.webofscience.com%2Fwos%2Fwoscc%2Ffull-record%2FWOS:000468214400031" TargetMode="External"/><Relationship Id="rId_hyperlink_2425" Type="http://schemas.openxmlformats.org/officeDocument/2006/relationships/hyperlink" Target="http://dx.doi.org/10.25750/1995-4301-2021-2-215-221" TargetMode="External"/><Relationship Id="rId_hyperlink_2426" Type="http://schemas.openxmlformats.org/officeDocument/2006/relationships/hyperlink" Target="https%3A%2F%2Fwww.webofscience.com%2Fwos%2Fwoscc%2Ffull-record%2FWOS:000667025400031" TargetMode="External"/><Relationship Id="rId_hyperlink_2427" Type="http://schemas.openxmlformats.org/officeDocument/2006/relationships/hyperlink" Target="http://dx.doi.org/10.1371/journal.pone.0137517" TargetMode="External"/><Relationship Id="rId_hyperlink_2428" Type="http://schemas.openxmlformats.org/officeDocument/2006/relationships/hyperlink" Target="https%3A%2F%2Fwww.webofscience.com%2Fwos%2Fwoscc%2Ffull-record%2FWOS:000360965800053" TargetMode="External"/><Relationship Id="rId_hyperlink_2429" Type="http://schemas.openxmlformats.org/officeDocument/2006/relationships/hyperlink" Target="http://dx.doi.org/10.29333/ejmste/83561" TargetMode="External"/><Relationship Id="rId_hyperlink_2430" Type="http://schemas.openxmlformats.org/officeDocument/2006/relationships/hyperlink" Target="https%3A%2F%2Fwww.webofscience.com%2Fwos%2Fwoscc%2Ffull-record%2FWOS:000429004200016" TargetMode="External"/><Relationship Id="rId_hyperlink_2431" Type="http://schemas.openxmlformats.org/officeDocument/2006/relationships/hyperlink" Target="http://dx.doi.org/10.1007/978-3-030-01514-5_10" TargetMode="External"/><Relationship Id="rId_hyperlink_2432" Type="http://schemas.openxmlformats.org/officeDocument/2006/relationships/hyperlink" Target="https%3A%2F%2Fwww.webofscience.com%2Fwos%2Fwoscc%2Ffull-record%2FWOS:000475508000011" TargetMode="External"/><Relationship Id="rId_hyperlink_2433" Type="http://schemas.openxmlformats.org/officeDocument/2006/relationships/hyperlink" Target="http://dx.doi.org/10.3991/ijet.v15i13.14663" TargetMode="External"/><Relationship Id="rId_hyperlink_2434" Type="http://schemas.openxmlformats.org/officeDocument/2006/relationships/hyperlink" Target="https%3A%2F%2Fwww.webofscience.com%2Fwos%2Fwoscc%2Ffull-record%2FWOS:000549475600007" TargetMode="External"/><Relationship Id="rId_hyperlink_2435" Type="http://schemas.openxmlformats.org/officeDocument/2006/relationships/hyperlink" Target="http://dx.doi.org/10.1080/07420528.2019.1683858" TargetMode="External"/><Relationship Id="rId_hyperlink_2436" Type="http://schemas.openxmlformats.org/officeDocument/2006/relationships/hyperlink" Target="https%3A%2F%2Fwww.webofscience.com%2Fwos%2Fwoscc%2Ffull-record%2FWOS:000493027100001" TargetMode="External"/><Relationship Id="rId_hyperlink_2437" Type="http://schemas.openxmlformats.org/officeDocument/2006/relationships/hyperlink" Target="http://dx.doi.org/10.30935/ojcmt/12877" TargetMode="External"/><Relationship Id="rId_hyperlink_2438" Type="http://schemas.openxmlformats.org/officeDocument/2006/relationships/hyperlink" Target="https%3A%2F%2Fwww.webofscience.com%2Fwos%2Fwoscc%2Ffull-record%2FWOS:000925822400002" TargetMode="External"/><Relationship Id="rId_hyperlink_2439" Type="http://schemas.openxmlformats.org/officeDocument/2006/relationships/hyperlink" Target="http://dx.doi.org/10.7868/S0233475515030032" TargetMode="External"/><Relationship Id="rId_hyperlink_2440" Type="http://schemas.openxmlformats.org/officeDocument/2006/relationships/hyperlink" Target="https%3A%2F%2Fwww.webofscience.com%2Fwos%2Fwoscc%2Ffull-record%2FWOS:000360029300006" TargetMode="External"/><Relationship Id="rId_hyperlink_2441" Type="http://schemas.openxmlformats.org/officeDocument/2006/relationships/hyperlink" Target="http://dx.doi.org/10.15407/jnpae2018.01.043" TargetMode="External"/><Relationship Id="rId_hyperlink_2442" Type="http://schemas.openxmlformats.org/officeDocument/2006/relationships/hyperlink" Target="https%3A%2F%2Fwww.webofscience.com%2Fwos%2Fwoscc%2Ffull-record%2FWOS:000461273700005" TargetMode="External"/><Relationship Id="rId_hyperlink_2443" Type="http://schemas.openxmlformats.org/officeDocument/2006/relationships/hyperlink" Target="http://dx.doi.org/10.17223/15617793/431/30" TargetMode="External"/><Relationship Id="rId_hyperlink_2444" Type="http://schemas.openxmlformats.org/officeDocument/2006/relationships/hyperlink" Target="https%3A%2F%2Fwww.webofscience.com%2Fwos%2Fwoscc%2Ffull-record%2FWOS:000441014600030" TargetMode="External"/><Relationship Id="rId_hyperlink_2445" Type="http://schemas.openxmlformats.org/officeDocument/2006/relationships/hyperlink" Target="http://dx.doi.org/10.1016/j.mrfmmm.2015.09.004" TargetMode="External"/><Relationship Id="rId_hyperlink_2446" Type="http://schemas.openxmlformats.org/officeDocument/2006/relationships/hyperlink" Target="https%3A%2F%2Fwww.webofscience.com%2Fwos%2Fwoscc%2Ffull-record%2FWOS:000364160200006" TargetMode="External"/><Relationship Id="rId_hyperlink_2447" Type="http://schemas.openxmlformats.org/officeDocument/2006/relationships/hyperlink" Target="http://dx.doi.org/10.1108/IJEM-10-2017-0296" TargetMode="External"/><Relationship Id="rId_hyperlink_2448" Type="http://schemas.openxmlformats.org/officeDocument/2006/relationships/hyperlink" Target="https%3A%2F%2Fwww.webofscience.com%2Fwos%2Fwoscc%2Ffull-record%2FWOS:000442506100007" TargetMode="External"/><Relationship Id="rId_hyperlink_2449" Type="http://schemas.openxmlformats.org/officeDocument/2006/relationships/hyperlink" Target="https%3A%2F%2Fwww.webofscience.com%2Fwos%2Fwoscc%2Ffull-record%2FWOS:000629197300019" TargetMode="External"/><Relationship Id="rId_hyperlink_2450" Type="http://schemas.openxmlformats.org/officeDocument/2006/relationships/hyperlink" Target="http://dx.doi.org/10.1057/s41599-022-01151-2" TargetMode="External"/><Relationship Id="rId_hyperlink_2451" Type="http://schemas.openxmlformats.org/officeDocument/2006/relationships/hyperlink" Target="https%3A%2F%2Fwww.webofscience.com%2Fwos%2Fwoscc%2Ffull-record%2FWOS:000784659800003" TargetMode="External"/><Relationship Id="rId_hyperlink_2452" Type="http://schemas.openxmlformats.org/officeDocument/2006/relationships/hyperlink" Target="http://dx.doi.org/10.1007/s40519-021-01259-5" TargetMode="External"/><Relationship Id="rId_hyperlink_2453" Type="http://schemas.openxmlformats.org/officeDocument/2006/relationships/hyperlink" Target="https%3A%2F%2Fwww.webofscience.com%2Fwos%2Fwoscc%2Ffull-record%2FWOS:000757328000001" TargetMode="External"/><Relationship Id="rId_hyperlink_2454" Type="http://schemas.openxmlformats.org/officeDocument/2006/relationships/hyperlink" Target="https%3A%2F%2Fwww.webofscience.com%2Fwos%2Fwoscc%2Ffull-record%2FWOS:000653732600016" TargetMode="External"/><Relationship Id="rId_hyperlink_2455" Type="http://schemas.openxmlformats.org/officeDocument/2006/relationships/hyperlink" Target="http://dx.doi.org/10.12973/ejmste/80613" TargetMode="External"/><Relationship Id="rId_hyperlink_2456" Type="http://schemas.openxmlformats.org/officeDocument/2006/relationships/hyperlink" Target="https%3A%2F%2Fwww.webofscience.com%2Fwos%2Fwoscc%2Ffull-record%2FWOS:000423586100043" TargetMode="External"/><Relationship Id="rId_hyperlink_2457" Type="http://schemas.openxmlformats.org/officeDocument/2006/relationships/hyperlink" Target="http://dx.doi.org/10.1002/masy.201800130" TargetMode="External"/><Relationship Id="rId_hyperlink_2458" Type="http://schemas.openxmlformats.org/officeDocument/2006/relationships/hyperlink" Target="https%3A%2F%2Fwww.webofscience.com%2Fwos%2Fwoscc%2Ffull-record%2FWOS:000447303600019" TargetMode="External"/><Relationship Id="rId_hyperlink_2459" Type="http://schemas.openxmlformats.org/officeDocument/2006/relationships/hyperlink" Target="http://dx.doi.org/10.20511/pyr2020.v8nSPE2.643" TargetMode="External"/><Relationship Id="rId_hyperlink_2460" Type="http://schemas.openxmlformats.org/officeDocument/2006/relationships/hyperlink" Target="https%3A%2F%2Fwww.webofscience.com%2Fwos%2Fwoscc%2Ffull-record%2FWOS:000559769600002" TargetMode="External"/><Relationship Id="rId_hyperlink_2461" Type="http://schemas.openxmlformats.org/officeDocument/2006/relationships/hyperlink" Target="http://dx.doi.org/10.1080/09291016.2022.2041289" TargetMode="External"/><Relationship Id="rId_hyperlink_2462" Type="http://schemas.openxmlformats.org/officeDocument/2006/relationships/hyperlink" Target="https%3A%2F%2Fwww.webofscience.com%2Fwos%2Fwoscc%2Ffull-record%2FWOS:000755399600001" TargetMode="External"/><Relationship Id="rId_hyperlink_2463" Type="http://schemas.openxmlformats.org/officeDocument/2006/relationships/hyperlink" Target="http://dx.doi.org/10.1080/1536383X.2021.1960315" TargetMode="External"/><Relationship Id="rId_hyperlink_2464" Type="http://schemas.openxmlformats.org/officeDocument/2006/relationships/hyperlink" Target="https%3A%2F%2Fwww.webofscience.com%2Fwos%2Fwoscc%2Ffull-record%2FWOS:000684132500001" TargetMode="External"/><Relationship Id="rId_hyperlink_2465" Type="http://schemas.openxmlformats.org/officeDocument/2006/relationships/hyperlink" Target="http://dx.doi.org/10.3390/app122412681" TargetMode="External"/><Relationship Id="rId_hyperlink_2466" Type="http://schemas.openxmlformats.org/officeDocument/2006/relationships/hyperlink" Target="https%3A%2F%2Fwww.webofscience.com%2Fwos%2Fwoscc%2Ffull-record%2FWOS:000902084800001" TargetMode="External"/><Relationship Id="rId_hyperlink_2467" Type="http://schemas.openxmlformats.org/officeDocument/2006/relationships/hyperlink" Target="http://dx.doi.org/10.1007/978-3-319-45462-7_7" TargetMode="External"/><Relationship Id="rId_hyperlink_2468" Type="http://schemas.openxmlformats.org/officeDocument/2006/relationships/hyperlink" Target="https%3A%2F%2Fwww.webofscience.com%2Fwos%2Fwoscc%2Ffull-record%2FWOS:000406973000007" TargetMode="External"/><Relationship Id="rId_hyperlink_2469" Type="http://schemas.openxmlformats.org/officeDocument/2006/relationships/hyperlink" Target="http://dx.doi.org/10.30935/ojcmt/13018" TargetMode="External"/><Relationship Id="rId_hyperlink_2470" Type="http://schemas.openxmlformats.org/officeDocument/2006/relationships/hyperlink" Target="https%3A%2F%2Fwww.webofscience.com%2Fwos%2Fwoscc%2Ffull-record%2FWOS:000944253000003" TargetMode="External"/><Relationship Id="rId_hyperlink_2471" Type="http://schemas.openxmlformats.org/officeDocument/2006/relationships/hyperlink" Target="http://dx.doi.org/10.3390/jrfm14010038" TargetMode="External"/><Relationship Id="rId_hyperlink_2472" Type="http://schemas.openxmlformats.org/officeDocument/2006/relationships/hyperlink" Target="https%3A%2F%2Fwww.webofscience.com%2Fwos%2Fwoscc%2Ffull-record%2FWOS:000610339500001" TargetMode="External"/><Relationship Id="rId_hyperlink_2473" Type="http://schemas.openxmlformats.org/officeDocument/2006/relationships/hyperlink" Target="http://dx.doi.org/10.3390/biom10121694" TargetMode="External"/><Relationship Id="rId_hyperlink_2474" Type="http://schemas.openxmlformats.org/officeDocument/2006/relationships/hyperlink" Target="https%3A%2F%2Fwww.webofscience.com%2Fwos%2Fwoscc%2Ffull-record%2FWOS:000601745400001" TargetMode="External"/><Relationship Id="rId_hyperlink_2475" Type="http://schemas.openxmlformats.org/officeDocument/2006/relationships/hyperlink" Target="http://dx.doi.org/10.15376/biores.18.3.4492-4509" TargetMode="External"/><Relationship Id="rId_hyperlink_2476" Type="http://schemas.openxmlformats.org/officeDocument/2006/relationships/hyperlink" Target="https%3A%2F%2Fwww.webofscience.com%2Fwos%2Fwoscc%2Ffull-record%2FWOS:000992191400015" TargetMode="External"/><Relationship Id="rId_hyperlink_2477" Type="http://schemas.openxmlformats.org/officeDocument/2006/relationships/hyperlink" Target="https%3A%2F%2Fwww.webofscience.com%2Fwos%2Fwoscc%2Ffull-record%2FWOS:000461678300026" TargetMode="External"/><Relationship Id="rId_hyperlink_2478" Type="http://schemas.openxmlformats.org/officeDocument/2006/relationships/hyperlink" Target="http://dx.doi.org/10.20511/pyr2021.v9nSPE3.1133" TargetMode="External"/><Relationship Id="rId_hyperlink_2479" Type="http://schemas.openxmlformats.org/officeDocument/2006/relationships/hyperlink" Target="https%3A%2F%2Fwww.webofscience.com%2Fwos%2Fwoscc%2Ffull-record%2FWOS:000631706900069" TargetMode="External"/><Relationship Id="rId_hyperlink_2480" Type="http://schemas.openxmlformats.org/officeDocument/2006/relationships/hyperlink" Target="http://dx.doi.org/10.31857/S020595920000838-7" TargetMode="External"/><Relationship Id="rId_hyperlink_2481" Type="http://schemas.openxmlformats.org/officeDocument/2006/relationships/hyperlink" Target="https%3A%2F%2Fwww.webofscience.com%2Fwos%2Fwoscc%2Ffull-record%2FWOS:000453484800009" TargetMode="External"/><Relationship Id="rId_hyperlink_2482" Type="http://schemas.openxmlformats.org/officeDocument/2006/relationships/hyperlink" Target="http://dx.doi.org/10.1002/erv.2731" TargetMode="External"/><Relationship Id="rId_hyperlink_2483" Type="http://schemas.openxmlformats.org/officeDocument/2006/relationships/hyperlink" Target="https%3A%2F%2Fwww.webofscience.com%2Fwos%2Fwoscc%2Ffull-record%2FWOS:000541677300010" TargetMode="External"/><Relationship Id="rId_hyperlink_2484" Type="http://schemas.openxmlformats.org/officeDocument/2006/relationships/hyperlink" Target="http://dx.doi.org/10.1002/erv.2728" TargetMode="External"/><Relationship Id="rId_hyperlink_2485" Type="http://schemas.openxmlformats.org/officeDocument/2006/relationships/hyperlink" Target="https%3A%2F%2Fwww.webofscience.com%2Fwos%2Fwoscc%2Ffull-record%2FWOS:000529065200009" TargetMode="External"/><Relationship Id="rId_hyperlink_2486" Type="http://schemas.openxmlformats.org/officeDocument/2006/relationships/hyperlink" Target="http://dx.doi.org/10.1108/978-1-78973-881-020191012" TargetMode="External"/><Relationship Id="rId_hyperlink_2487" Type="http://schemas.openxmlformats.org/officeDocument/2006/relationships/hyperlink" Target="https%3A%2F%2Fwww.webofscience.com%2Fwos%2Fwoscc%2Ffull-record%2FWOS:000487529300011" TargetMode="External"/><Relationship Id="rId_hyperlink_2488" Type="http://schemas.openxmlformats.org/officeDocument/2006/relationships/hyperlink" Target="http://dx.doi.org/10.1007/s40519-020-01064-6" TargetMode="External"/><Relationship Id="rId_hyperlink_2489" Type="http://schemas.openxmlformats.org/officeDocument/2006/relationships/hyperlink" Target="https%3A%2F%2Fwww.webofscience.com%2Fwos%2Fwoscc%2Ffull-record%2FWOS:000604484700009" TargetMode="External"/><Relationship Id="rId_hyperlink_2490" Type="http://schemas.openxmlformats.org/officeDocument/2006/relationships/hyperlink" Target="http://dx.doi.org/10.3103/S1068366621030132" TargetMode="External"/><Relationship Id="rId_hyperlink_2491" Type="http://schemas.openxmlformats.org/officeDocument/2006/relationships/hyperlink" Target="https%3A%2F%2Fwww.webofscience.com%2Fwos%2Fwoscc%2Ffull-record%2FWOS:000712575600013" TargetMode="External"/><Relationship Id="rId_hyperlink_2492" Type="http://schemas.openxmlformats.org/officeDocument/2006/relationships/hyperlink" Target="https%3A%2F%2Fwww.webofscience.com%2Fwos%2Fwoscc%2Ffull-record%2FWOS:000432679600026" TargetMode="External"/><Relationship Id="rId_hyperlink_2493" Type="http://schemas.openxmlformats.org/officeDocument/2006/relationships/hyperlink" Target="http://dx.doi.org/10.3390/molecules27154812" TargetMode="External"/><Relationship Id="rId_hyperlink_2494" Type="http://schemas.openxmlformats.org/officeDocument/2006/relationships/hyperlink" Target="https%3A%2F%2Fwww.webofscience.com%2Fwos%2Fwoscc%2Ffull-record%2FWOS:000839796000001" TargetMode="External"/><Relationship Id="rId_hyperlink_2495" Type="http://schemas.openxmlformats.org/officeDocument/2006/relationships/hyperlink" Target="http://dx.doi.org/10.1134/S1995078018020040" TargetMode="External"/><Relationship Id="rId_hyperlink_2496" Type="http://schemas.openxmlformats.org/officeDocument/2006/relationships/hyperlink" Target="https%3A%2F%2Fwww.webofscience.com%2Fwos%2Fwoscc%2Ffull-record%2FWOS:000446030400015" TargetMode="External"/><Relationship Id="rId_hyperlink_2497" Type="http://schemas.openxmlformats.org/officeDocument/2006/relationships/hyperlink" Target="http://dx.doi.org/10.1016/j.ceramint.2022.08.115" TargetMode="External"/><Relationship Id="rId_hyperlink_2498" Type="http://schemas.openxmlformats.org/officeDocument/2006/relationships/hyperlink" Target="https%3A%2F%2Fwww.webofscience.com%2Fwos%2Fwoscc%2Ffull-record%2FWOS:000894019500001" TargetMode="External"/><Relationship Id="rId_hyperlink_2499" Type="http://schemas.openxmlformats.org/officeDocument/2006/relationships/hyperlink" Target="http://dx.doi.org/10.15376/biores.17.2.3025-3041" TargetMode="External"/><Relationship Id="rId_hyperlink_2500" Type="http://schemas.openxmlformats.org/officeDocument/2006/relationships/hyperlink" Target="https%3A%2F%2Fwww.webofscience.com%2Fwos%2Fwoscc%2Ffull-record%2FWOS:000795947000024" TargetMode="External"/><Relationship Id="rId_hyperlink_2501" Type="http://schemas.openxmlformats.org/officeDocument/2006/relationships/hyperlink" Target="https%3A%2F%2Fwww.webofscience.com%2Fwos%2Fwoscc%2Ffull-record%2FWOS:000443674500040" TargetMode="External"/><Relationship Id="rId_hyperlink_2502" Type="http://schemas.openxmlformats.org/officeDocument/2006/relationships/hyperlink" Target="http://dx.doi.org/10.12973/eurasia.2017.01003a" TargetMode="External"/><Relationship Id="rId_hyperlink_2503" Type="http://schemas.openxmlformats.org/officeDocument/2006/relationships/hyperlink" Target="https%3A%2F%2Fwww.webofscience.com%2Fwos%2Fwoscc%2Ffull-record%2FWOS:000409067500069" TargetMode="External"/><Relationship Id="rId_hyperlink_2504" Type="http://schemas.openxmlformats.org/officeDocument/2006/relationships/hyperlink" Target="http://dx.doi.org/10.1017/S1368980021002160" TargetMode="External"/><Relationship Id="rId_hyperlink_2505" Type="http://schemas.openxmlformats.org/officeDocument/2006/relationships/hyperlink" Target="https%3A%2F%2Fwww.webofscience.com%2Fwos%2Fwoscc%2Ffull-record%2FWOS:000721004700008" TargetMode="External"/><Relationship Id="rId_hyperlink_2506" Type="http://schemas.openxmlformats.org/officeDocument/2006/relationships/hyperlink" Target="https%3A%2F%2Fwww.webofscience.com%2Fwos%2Fwoscc%2Ffull-record%2FWOS:000449115800022" TargetMode="External"/><Relationship Id="rId_hyperlink_2507" Type="http://schemas.openxmlformats.org/officeDocument/2006/relationships/hyperlink" Target="http://dx.doi.org/10.3103/S1068366619060217" TargetMode="External"/><Relationship Id="rId_hyperlink_2508" Type="http://schemas.openxmlformats.org/officeDocument/2006/relationships/hyperlink" Target="https%3A%2F%2Fwww.webofscience.com%2Fwos%2Fwoscc%2Ffull-record%2FWOS:000511537300012" TargetMode="External"/><Relationship Id="rId_hyperlink_2509" Type="http://schemas.openxmlformats.org/officeDocument/2006/relationships/hyperlink" Target="https%3A%2F%2Fwww.webofscience.com%2Fwos%2Fwoscc%2Ffull-record%2FWOS:000461678300017" TargetMode="External"/><Relationship Id="rId_hyperlink_2510" Type="http://schemas.openxmlformats.org/officeDocument/2006/relationships/hyperlink" Target="https%3A%2F%2Fwww.webofscience.com%2Fwos%2Fwoscc%2Ffull-record%2FWOS:000451687800003" TargetMode="External"/><Relationship Id="rId_hyperlink_2511" Type="http://schemas.openxmlformats.org/officeDocument/2006/relationships/hyperlink" Target="https%3A%2F%2Fwww.webofscience.com%2Fwos%2Fwoscc%2Ffull-record%2FWOS:000451688200116" TargetMode="External"/><Relationship Id="rId_hyperlink_2512" Type="http://schemas.openxmlformats.org/officeDocument/2006/relationships/hyperlink" Target="http://dx.doi.org/10.1149/1945-7111/ab9a2a" TargetMode="External"/><Relationship Id="rId_hyperlink_2513" Type="http://schemas.openxmlformats.org/officeDocument/2006/relationships/hyperlink" Target="https%3A%2F%2Fwww.webofscience.com%2Fwos%2Fwoscc%2Ffull-record%2FWOS:000613254900001" TargetMode="External"/><Relationship Id="rId_hyperlink_2514" Type="http://schemas.openxmlformats.org/officeDocument/2006/relationships/hyperlink" Target="http://dx.doi.org/10.3897/BDJ.9.e77615" TargetMode="External"/><Relationship Id="rId_hyperlink_2515" Type="http://schemas.openxmlformats.org/officeDocument/2006/relationships/hyperlink" Target="https%3A%2F%2Fwww.webofscience.com%2Fwos%2Fwoscc%2Ffull-record%2FWOS:000723025300003" TargetMode="External"/><Relationship Id="rId_hyperlink_2516" Type="http://schemas.openxmlformats.org/officeDocument/2006/relationships/hyperlink" Target="http://dx.doi.org/10.1371/journal.pone.0282345" TargetMode="External"/><Relationship Id="rId_hyperlink_2517" Type="http://schemas.openxmlformats.org/officeDocument/2006/relationships/hyperlink" Target="https%3A%2F%2Fwww.webofscience.com%2Fwos%2Fwoscc%2Ffull-record%2FWOS:000995666700001" TargetMode="External"/><Relationship Id="rId_hyperlink_2518" Type="http://schemas.openxmlformats.org/officeDocument/2006/relationships/hyperlink" Target="http://dx.doi.org/10.1038/s42003-023-04727-z" TargetMode="External"/><Relationship Id="rId_hyperlink_2519" Type="http://schemas.openxmlformats.org/officeDocument/2006/relationships/hyperlink" Target="https%3A%2F%2Fwww.webofscience.com%2Fwos%2Fwoscc%2Ffull-record%2FWOS:000962868600002" TargetMode="External"/><Relationship Id="rId_hyperlink_2520" Type="http://schemas.openxmlformats.org/officeDocument/2006/relationships/hyperlink" Target="http://dx.doi.org/10.1038/s41467-022-32447-1" TargetMode="External"/><Relationship Id="rId_hyperlink_2521" Type="http://schemas.openxmlformats.org/officeDocument/2006/relationships/hyperlink" Target="https%3A%2F%2Fwww.webofscience.com%2Fwos%2Fwoscc%2Ffull-record%2FWOS:00084011480000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BW1410"/>
  <sheetViews>
    <sheetView tabSelected="1" workbookViewId="0" showGridLines="true" showRowColHeaders="1">
      <selection activeCell="A1" sqref="A1:BW1"/>
    </sheetView>
  </sheetViews>
  <sheetFormatPr customHeight="true" defaultRowHeight="12.75" outlineLevelRow="0" outlineLevelCol="0"/>
  <sheetData>
    <row r="1" spans="1:75" customHeight="1" ht="12.7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row>
    <row r="2" spans="1:75" customHeight="1" ht="12.75">
      <c r="A2" t="s">
        <v>72</v>
      </c>
      <c r="B2" t="s">
        <v>73</v>
      </c>
      <c r="C2"/>
      <c r="D2"/>
      <c r="E2"/>
      <c r="F2" t="s">
        <v>74</v>
      </c>
      <c r="G2"/>
      <c r="H2"/>
      <c r="I2" t="s">
        <v>75</v>
      </c>
      <c r="J2" t="s">
        <v>76</v>
      </c>
      <c r="K2"/>
      <c r="L2"/>
      <c r="M2"/>
      <c r="N2"/>
      <c r="O2"/>
      <c r="P2"/>
      <c r="Q2"/>
      <c r="R2"/>
      <c r="S2"/>
      <c r="T2"/>
      <c r="U2"/>
      <c r="V2"/>
      <c r="W2"/>
      <c r="X2"/>
      <c r="Y2"/>
      <c r="Z2"/>
      <c r="AA2"/>
      <c r="AB2"/>
      <c r="AC2"/>
      <c r="AD2"/>
      <c r="AE2"/>
      <c r="AF2"/>
      <c r="AG2"/>
      <c r="AH2"/>
      <c r="AI2"/>
      <c r="AJ2"/>
      <c r="AK2"/>
      <c r="AL2"/>
      <c r="AM2"/>
      <c r="AN2"/>
      <c r="AO2" t="s">
        <v>77</v>
      </c>
      <c r="AP2"/>
      <c r="AQ2"/>
      <c r="AR2"/>
      <c r="AS2"/>
      <c r="AT2" t="s">
        <v>78</v>
      </c>
      <c r="AU2">
        <v>2011</v>
      </c>
      <c r="AV2"/>
      <c r="AW2">
        <v>3</v>
      </c>
      <c r="AX2"/>
      <c r="AY2"/>
      <c r="AZ2"/>
      <c r="BA2"/>
      <c r="BB2">
        <v>102</v>
      </c>
      <c r="BC2">
        <v>111</v>
      </c>
      <c r="BD2"/>
      <c r="BE2"/>
      <c r="BF2"/>
      <c r="BG2"/>
      <c r="BH2"/>
      <c r="BI2"/>
      <c r="BJ2"/>
      <c r="BK2"/>
      <c r="BL2"/>
      <c r="BM2"/>
      <c r="BN2"/>
      <c r="BO2"/>
      <c r="BP2"/>
      <c r="BQ2"/>
      <c r="BR2"/>
      <c r="BS2" t="s">
        <v>79</v>
      </c>
      <c r="BT2" t="str">
        <f>HYPERLINK("https%3A%2F%2Fwww.webofscience.com%2Fwos%2Fwoscc%2Ffull-record%2FWOS:000292365000009","View Full Record in Web of Science")</f>
        <v>View Full Record in Web of Science</v>
      </c>
    </row>
    <row r="3" spans="1:75" customHeight="1" ht="12.75">
      <c r="A3" t="s">
        <v>72</v>
      </c>
      <c r="B3" t="s">
        <v>80</v>
      </c>
      <c r="C3"/>
      <c r="D3"/>
      <c r="E3"/>
      <c r="F3" t="s">
        <v>81</v>
      </c>
      <c r="G3"/>
      <c r="H3"/>
      <c r="I3" t="s">
        <v>82</v>
      </c>
      <c r="J3" t="s">
        <v>83</v>
      </c>
      <c r="K3"/>
      <c r="L3"/>
      <c r="M3"/>
      <c r="N3"/>
      <c r="O3"/>
      <c r="P3"/>
      <c r="Q3"/>
      <c r="R3"/>
      <c r="S3"/>
      <c r="T3"/>
      <c r="U3"/>
      <c r="V3"/>
      <c r="W3"/>
      <c r="X3"/>
      <c r="Y3"/>
      <c r="Z3"/>
      <c r="AA3" t="s">
        <v>84</v>
      </c>
      <c r="AB3" t="s">
        <v>85</v>
      </c>
      <c r="AC3"/>
      <c r="AD3"/>
      <c r="AE3"/>
      <c r="AF3"/>
      <c r="AG3"/>
      <c r="AH3"/>
      <c r="AI3"/>
      <c r="AJ3"/>
      <c r="AK3"/>
      <c r="AL3"/>
      <c r="AM3"/>
      <c r="AN3"/>
      <c r="AO3" t="s">
        <v>86</v>
      </c>
      <c r="AP3" t="s">
        <v>87</v>
      </c>
      <c r="AQ3"/>
      <c r="AR3"/>
      <c r="AS3"/>
      <c r="AT3" t="s">
        <v>88</v>
      </c>
      <c r="AU3">
        <v>2022</v>
      </c>
      <c r="AV3">
        <v>61</v>
      </c>
      <c r="AW3"/>
      <c r="AX3"/>
      <c r="AY3"/>
      <c r="AZ3"/>
      <c r="BA3"/>
      <c r="BB3"/>
      <c r="BC3"/>
      <c r="BD3">
        <v>101609</v>
      </c>
      <c r="BE3" t="s">
        <v>89</v>
      </c>
      <c r="BF3" t="str">
        <f>HYPERLINK("http://dx.doi.org/10.1016/j.jocs.2022.101609","http://dx.doi.org/10.1016/j.jocs.2022.101609")</f>
        <v>http://dx.doi.org/10.1016/j.jocs.2022.101609</v>
      </c>
      <c r="BG3"/>
      <c r="BH3" t="s">
        <v>90</v>
      </c>
      <c r="BI3"/>
      <c r="BJ3"/>
      <c r="BK3"/>
      <c r="BL3"/>
      <c r="BM3"/>
      <c r="BN3"/>
      <c r="BO3"/>
      <c r="BP3"/>
      <c r="BQ3"/>
      <c r="BR3"/>
      <c r="BS3" t="s">
        <v>91</v>
      </c>
      <c r="BT3" t="str">
        <f>HYPERLINK("https%3A%2F%2Fwww.webofscience.com%2Fwos%2Fwoscc%2Ffull-record%2FWOS:000782587900010","View Full Record in Web of Science")</f>
        <v>View Full Record in Web of Science</v>
      </c>
    </row>
    <row r="4" spans="1:75" customHeight="1" ht="12.75">
      <c r="A4" t="s">
        <v>72</v>
      </c>
      <c r="B4" t="s">
        <v>92</v>
      </c>
      <c r="C4"/>
      <c r="D4"/>
      <c r="E4"/>
      <c r="F4" t="s">
        <v>93</v>
      </c>
      <c r="G4"/>
      <c r="H4"/>
      <c r="I4" t="s">
        <v>94</v>
      </c>
      <c r="J4" t="s">
        <v>95</v>
      </c>
      <c r="K4"/>
      <c r="L4"/>
      <c r="M4"/>
      <c r="N4"/>
      <c r="O4"/>
      <c r="P4"/>
      <c r="Q4"/>
      <c r="R4"/>
      <c r="S4"/>
      <c r="T4"/>
      <c r="U4"/>
      <c r="V4"/>
      <c r="W4"/>
      <c r="X4"/>
      <c r="Y4"/>
      <c r="Z4"/>
      <c r="AA4" t="s">
        <v>96</v>
      </c>
      <c r="AB4" t="s">
        <v>97</v>
      </c>
      <c r="AC4"/>
      <c r="AD4"/>
      <c r="AE4"/>
      <c r="AF4"/>
      <c r="AG4"/>
      <c r="AH4"/>
      <c r="AI4"/>
      <c r="AJ4"/>
      <c r="AK4"/>
      <c r="AL4"/>
      <c r="AM4"/>
      <c r="AN4"/>
      <c r="AO4" t="s">
        <v>98</v>
      </c>
      <c r="AP4" t="s">
        <v>99</v>
      </c>
      <c r="AQ4"/>
      <c r="AR4"/>
      <c r="AS4"/>
      <c r="AT4"/>
      <c r="AU4">
        <v>2022</v>
      </c>
      <c r="AV4"/>
      <c r="AW4">
        <v>1</v>
      </c>
      <c r="AX4"/>
      <c r="AY4"/>
      <c r="AZ4"/>
      <c r="BA4"/>
      <c r="BB4">
        <v>235</v>
      </c>
      <c r="BC4">
        <v>242</v>
      </c>
      <c r="BD4"/>
      <c r="BE4" t="s">
        <v>100</v>
      </c>
      <c r="BF4" t="str">
        <f>HYPERLINK("http://dx.doi.org/10.25750/1995-4301-2022-1-235-242","http://dx.doi.org/10.25750/1995-4301-2022-1-235-242")</f>
        <v>http://dx.doi.org/10.25750/1995-4301-2022-1-235-242</v>
      </c>
      <c r="BG4"/>
      <c r="BH4"/>
      <c r="BI4"/>
      <c r="BJ4"/>
      <c r="BK4"/>
      <c r="BL4"/>
      <c r="BM4"/>
      <c r="BN4"/>
      <c r="BO4"/>
      <c r="BP4"/>
      <c r="BQ4"/>
      <c r="BR4"/>
      <c r="BS4" t="s">
        <v>101</v>
      </c>
      <c r="BT4" t="str">
        <f>HYPERLINK("https%3A%2F%2Fwww.webofscience.com%2Fwos%2Fwoscc%2Ffull-record%2FWOS:000819811100033","View Full Record in Web of Science")</f>
        <v>View Full Record in Web of Science</v>
      </c>
    </row>
    <row r="5" spans="1:75" customHeight="1" ht="12.75">
      <c r="A5" t="s">
        <v>72</v>
      </c>
      <c r="B5" t="s">
        <v>102</v>
      </c>
      <c r="C5"/>
      <c r="D5"/>
      <c r="E5"/>
      <c r="F5" t="s">
        <v>103</v>
      </c>
      <c r="G5"/>
      <c r="H5"/>
      <c r="I5" t="s">
        <v>104</v>
      </c>
      <c r="J5" t="s">
        <v>105</v>
      </c>
      <c r="K5"/>
      <c r="L5"/>
      <c r="M5"/>
      <c r="N5"/>
      <c r="O5"/>
      <c r="P5"/>
      <c r="Q5"/>
      <c r="R5"/>
      <c r="S5"/>
      <c r="T5"/>
      <c r="U5"/>
      <c r="V5"/>
      <c r="W5"/>
      <c r="X5"/>
      <c r="Y5"/>
      <c r="Z5"/>
      <c r="AA5"/>
      <c r="AB5"/>
      <c r="AC5"/>
      <c r="AD5"/>
      <c r="AE5"/>
      <c r="AF5"/>
      <c r="AG5"/>
      <c r="AH5"/>
      <c r="AI5"/>
      <c r="AJ5"/>
      <c r="AK5"/>
      <c r="AL5"/>
      <c r="AM5"/>
      <c r="AN5"/>
      <c r="AO5" t="s">
        <v>106</v>
      </c>
      <c r="AP5"/>
      <c r="AQ5"/>
      <c r="AR5"/>
      <c r="AS5"/>
      <c r="AT5"/>
      <c r="AU5">
        <v>2022</v>
      </c>
      <c r="AV5"/>
      <c r="AW5">
        <v>2</v>
      </c>
      <c r="AX5"/>
      <c r="AY5"/>
      <c r="AZ5"/>
      <c r="BA5"/>
      <c r="BB5">
        <v>384</v>
      </c>
      <c r="BC5" t="s">
        <v>107</v>
      </c>
      <c r="BD5"/>
      <c r="BE5" t="s">
        <v>108</v>
      </c>
      <c r="BF5" t="str">
        <f>HYPERLINK("http://dx.doi.org/10.28995/2073-0101-2022-2-384-395","http://dx.doi.org/10.28995/2073-0101-2022-2-384-395")</f>
        <v>http://dx.doi.org/10.28995/2073-0101-2022-2-384-395</v>
      </c>
      <c r="BG5"/>
      <c r="BH5"/>
      <c r="BI5"/>
      <c r="BJ5"/>
      <c r="BK5"/>
      <c r="BL5"/>
      <c r="BM5"/>
      <c r="BN5"/>
      <c r="BO5"/>
      <c r="BP5"/>
      <c r="BQ5"/>
      <c r="BR5"/>
      <c r="BS5" t="s">
        <v>109</v>
      </c>
      <c r="BT5" t="str">
        <f>HYPERLINK("https%3A%2F%2Fwww.webofscience.com%2Fwos%2Fwoscc%2Ffull-record%2FWOS:000868958500005","View Full Record in Web of Science")</f>
        <v>View Full Record in Web of Science</v>
      </c>
    </row>
    <row r="6" spans="1:75" customHeight="1" ht="12.75">
      <c r="A6" t="s">
        <v>72</v>
      </c>
      <c r="B6" t="s">
        <v>110</v>
      </c>
      <c r="C6"/>
      <c r="D6"/>
      <c r="E6"/>
      <c r="F6" t="s">
        <v>111</v>
      </c>
      <c r="G6"/>
      <c r="H6"/>
      <c r="I6" t="s">
        <v>112</v>
      </c>
      <c r="J6" t="s">
        <v>113</v>
      </c>
      <c r="K6"/>
      <c r="L6"/>
      <c r="M6"/>
      <c r="N6"/>
      <c r="O6"/>
      <c r="P6"/>
      <c r="Q6"/>
      <c r="R6"/>
      <c r="S6"/>
      <c r="T6"/>
      <c r="U6"/>
      <c r="V6"/>
      <c r="W6"/>
      <c r="X6"/>
      <c r="Y6"/>
      <c r="Z6"/>
      <c r="AA6" t="s">
        <v>114</v>
      </c>
      <c r="AB6" t="s">
        <v>115</v>
      </c>
      <c r="AC6"/>
      <c r="AD6"/>
      <c r="AE6"/>
      <c r="AF6"/>
      <c r="AG6"/>
      <c r="AH6"/>
      <c r="AI6"/>
      <c r="AJ6"/>
      <c r="AK6"/>
      <c r="AL6"/>
      <c r="AM6"/>
      <c r="AN6"/>
      <c r="AO6" t="s">
        <v>116</v>
      </c>
      <c r="AP6" t="s">
        <v>117</v>
      </c>
      <c r="AQ6"/>
      <c r="AR6"/>
      <c r="AS6"/>
      <c r="AT6"/>
      <c r="AU6">
        <v>2022</v>
      </c>
      <c r="AV6">
        <v>27</v>
      </c>
      <c r="AW6">
        <v>2</v>
      </c>
      <c r="AX6"/>
      <c r="AY6"/>
      <c r="AZ6"/>
      <c r="BA6"/>
      <c r="BB6">
        <v>67</v>
      </c>
      <c r="BC6">
        <v>80</v>
      </c>
      <c r="BD6"/>
      <c r="BE6" t="s">
        <v>118</v>
      </c>
      <c r="BF6" t="str">
        <f>HYPERLINK("http://dx.doi.org/10.15688/jvolsu4.2022.2.6","http://dx.doi.org/10.15688/jvolsu4.2022.2.6")</f>
        <v>http://dx.doi.org/10.15688/jvolsu4.2022.2.6</v>
      </c>
      <c r="BG6"/>
      <c r="BH6"/>
      <c r="BI6"/>
      <c r="BJ6"/>
      <c r="BK6"/>
      <c r="BL6"/>
      <c r="BM6"/>
      <c r="BN6"/>
      <c r="BO6"/>
      <c r="BP6"/>
      <c r="BQ6"/>
      <c r="BR6"/>
      <c r="BS6" t="s">
        <v>119</v>
      </c>
      <c r="BT6" t="str">
        <f>HYPERLINK("https%3A%2F%2Fwww.webofscience.com%2Fwos%2Fwoscc%2Ffull-record%2FWOS:000787124400007","View Full Record in Web of Science")</f>
        <v>View Full Record in Web of Science</v>
      </c>
    </row>
    <row r="7" spans="1:75" customHeight="1" ht="12.75">
      <c r="A7" t="s">
        <v>72</v>
      </c>
      <c r="B7" t="s">
        <v>120</v>
      </c>
      <c r="C7"/>
      <c r="D7"/>
      <c r="E7"/>
      <c r="F7" t="s">
        <v>121</v>
      </c>
      <c r="G7"/>
      <c r="H7"/>
      <c r="I7" t="s">
        <v>122</v>
      </c>
      <c r="J7" t="s">
        <v>123</v>
      </c>
      <c r="K7"/>
      <c r="L7"/>
      <c r="M7"/>
      <c r="N7"/>
      <c r="O7"/>
      <c r="P7"/>
      <c r="Q7"/>
      <c r="R7"/>
      <c r="S7"/>
      <c r="T7"/>
      <c r="U7"/>
      <c r="V7"/>
      <c r="W7"/>
      <c r="X7"/>
      <c r="Y7"/>
      <c r="Z7"/>
      <c r="AA7"/>
      <c r="AB7"/>
      <c r="AC7"/>
      <c r="AD7"/>
      <c r="AE7"/>
      <c r="AF7"/>
      <c r="AG7"/>
      <c r="AH7"/>
      <c r="AI7"/>
      <c r="AJ7"/>
      <c r="AK7"/>
      <c r="AL7"/>
      <c r="AM7"/>
      <c r="AN7"/>
      <c r="AO7" t="s">
        <v>124</v>
      </c>
      <c r="AP7"/>
      <c r="AQ7"/>
      <c r="AR7"/>
      <c r="AS7"/>
      <c r="AT7" t="s">
        <v>125</v>
      </c>
      <c r="AU7">
        <v>2021</v>
      </c>
      <c r="AV7">
        <v>22</v>
      </c>
      <c r="AW7">
        <v>7</v>
      </c>
      <c r="AX7"/>
      <c r="AY7"/>
      <c r="AZ7"/>
      <c r="BA7"/>
      <c r="BB7">
        <v>113</v>
      </c>
      <c r="BC7">
        <v>122</v>
      </c>
      <c r="BD7"/>
      <c r="BE7" t="s">
        <v>126</v>
      </c>
      <c r="BF7" t="str">
        <f>HYPERLINK("http://dx.doi.org/10.12911/22998993/139066","http://dx.doi.org/10.12911/22998993/139066")</f>
        <v>http://dx.doi.org/10.12911/22998993/139066</v>
      </c>
      <c r="BG7"/>
      <c r="BH7"/>
      <c r="BI7"/>
      <c r="BJ7"/>
      <c r="BK7"/>
      <c r="BL7"/>
      <c r="BM7"/>
      <c r="BN7"/>
      <c r="BO7"/>
      <c r="BP7"/>
      <c r="BQ7"/>
      <c r="BR7"/>
      <c r="BS7" t="s">
        <v>127</v>
      </c>
      <c r="BT7" t="str">
        <f>HYPERLINK("https%3A%2F%2Fwww.webofscience.com%2Fwos%2Fwoscc%2Ffull-record%2FWOS:000672663900013","View Full Record in Web of Science")</f>
        <v>View Full Record in Web of Science</v>
      </c>
    </row>
    <row r="8" spans="1:75" customHeight="1" ht="12.75">
      <c r="A8" t="s">
        <v>72</v>
      </c>
      <c r="B8" t="s">
        <v>128</v>
      </c>
      <c r="C8"/>
      <c r="D8"/>
      <c r="E8"/>
      <c r="F8" t="s">
        <v>129</v>
      </c>
      <c r="G8"/>
      <c r="H8"/>
      <c r="I8" t="s">
        <v>130</v>
      </c>
      <c r="J8" t="s">
        <v>131</v>
      </c>
      <c r="K8"/>
      <c r="L8"/>
      <c r="M8"/>
      <c r="N8"/>
      <c r="O8"/>
      <c r="P8"/>
      <c r="Q8"/>
      <c r="R8"/>
      <c r="S8"/>
      <c r="T8"/>
      <c r="U8"/>
      <c r="V8"/>
      <c r="W8"/>
      <c r="X8"/>
      <c r="Y8"/>
      <c r="Z8"/>
      <c r="AA8" t="s">
        <v>132</v>
      </c>
      <c r="AB8" t="s">
        <v>133</v>
      </c>
      <c r="AC8"/>
      <c r="AD8"/>
      <c r="AE8"/>
      <c r="AF8"/>
      <c r="AG8"/>
      <c r="AH8"/>
      <c r="AI8"/>
      <c r="AJ8"/>
      <c r="AK8"/>
      <c r="AL8"/>
      <c r="AM8"/>
      <c r="AN8"/>
      <c r="AO8" t="s">
        <v>134</v>
      </c>
      <c r="AP8" t="s">
        <v>135</v>
      </c>
      <c r="AQ8"/>
      <c r="AR8"/>
      <c r="AS8"/>
      <c r="AT8"/>
      <c r="AU8">
        <v>2020</v>
      </c>
      <c r="AV8">
        <v>20</v>
      </c>
      <c r="AW8"/>
      <c r="AX8"/>
      <c r="AY8">
        <v>2</v>
      </c>
      <c r="AZ8"/>
      <c r="BA8"/>
      <c r="BB8">
        <v>49</v>
      </c>
      <c r="BC8">
        <v>54</v>
      </c>
      <c r="BD8"/>
      <c r="BE8" t="s">
        <v>136</v>
      </c>
      <c r="BF8" t="str">
        <f>HYPERLINK("http://dx.doi.org/10.14529/hsm20s208","http://dx.doi.org/10.14529/hsm20s208")</f>
        <v>http://dx.doi.org/10.14529/hsm20s208</v>
      </c>
      <c r="BG8"/>
      <c r="BH8"/>
      <c r="BI8"/>
      <c r="BJ8"/>
      <c r="BK8"/>
      <c r="BL8"/>
      <c r="BM8"/>
      <c r="BN8"/>
      <c r="BO8"/>
      <c r="BP8"/>
      <c r="BQ8"/>
      <c r="BR8"/>
      <c r="BS8" t="s">
        <v>137</v>
      </c>
      <c r="BT8" t="str">
        <f>HYPERLINK("https%3A%2F%2Fwww.webofscience.com%2Fwos%2Fwoscc%2Ffull-record%2FWOS:000635166900008","View Full Record in Web of Science")</f>
        <v>View Full Record in Web of Science</v>
      </c>
    </row>
    <row r="9" spans="1:75" customHeight="1" ht="12.75">
      <c r="A9" t="s">
        <v>72</v>
      </c>
      <c r="B9" t="s">
        <v>138</v>
      </c>
      <c r="C9"/>
      <c r="D9"/>
      <c r="E9"/>
      <c r="F9" t="s">
        <v>139</v>
      </c>
      <c r="G9"/>
      <c r="H9"/>
      <c r="I9" t="s">
        <v>140</v>
      </c>
      <c r="J9" t="s">
        <v>141</v>
      </c>
      <c r="K9"/>
      <c r="L9"/>
      <c r="M9"/>
      <c r="N9"/>
      <c r="O9"/>
      <c r="P9"/>
      <c r="Q9"/>
      <c r="R9"/>
      <c r="S9"/>
      <c r="T9"/>
      <c r="U9"/>
      <c r="V9"/>
      <c r="W9"/>
      <c r="X9"/>
      <c r="Y9"/>
      <c r="Z9"/>
      <c r="AA9" t="s">
        <v>142</v>
      </c>
      <c r="AB9" t="s">
        <v>143</v>
      </c>
      <c r="AC9"/>
      <c r="AD9"/>
      <c r="AE9"/>
      <c r="AF9"/>
      <c r="AG9"/>
      <c r="AH9"/>
      <c r="AI9"/>
      <c r="AJ9"/>
      <c r="AK9"/>
      <c r="AL9"/>
      <c r="AM9"/>
      <c r="AN9"/>
      <c r="AO9" t="s">
        <v>144</v>
      </c>
      <c r="AP9"/>
      <c r="AQ9"/>
      <c r="AR9"/>
      <c r="AS9"/>
      <c r="AT9"/>
      <c r="AU9">
        <v>2020</v>
      </c>
      <c r="AV9"/>
      <c r="AW9">
        <v>4</v>
      </c>
      <c r="AX9"/>
      <c r="AY9"/>
      <c r="AZ9"/>
      <c r="BA9"/>
      <c r="BB9">
        <v>23</v>
      </c>
      <c r="BC9">
        <v>34</v>
      </c>
      <c r="BD9"/>
      <c r="BE9" t="s">
        <v>145</v>
      </c>
      <c r="BF9" t="str">
        <f>HYPERLINK("http://dx.doi.org/10.5281/zenodo.4316637","http://dx.doi.org/10.5281/zenodo.4316637")</f>
        <v>http://dx.doi.org/10.5281/zenodo.4316637</v>
      </c>
      <c r="BG9"/>
      <c r="BH9"/>
      <c r="BI9"/>
      <c r="BJ9"/>
      <c r="BK9"/>
      <c r="BL9"/>
      <c r="BM9"/>
      <c r="BN9"/>
      <c r="BO9"/>
      <c r="BP9"/>
      <c r="BQ9"/>
      <c r="BR9"/>
      <c r="BS9" t="s">
        <v>146</v>
      </c>
      <c r="BT9" t="str">
        <f>HYPERLINK("https%3A%2F%2Fwww.webofscience.com%2Fwos%2Fwoscc%2Ffull-record%2FWOS:000599902400003","View Full Record in Web of Science")</f>
        <v>View Full Record in Web of Science</v>
      </c>
    </row>
    <row r="10" spans="1:75" customHeight="1" ht="12.75">
      <c r="A10" t="s">
        <v>147</v>
      </c>
      <c r="B10" t="s">
        <v>148</v>
      </c>
      <c r="C10"/>
      <c r="D10" t="s">
        <v>149</v>
      </c>
      <c r="E10"/>
      <c r="F10" t="s">
        <v>150</v>
      </c>
      <c r="G10"/>
      <c r="H10"/>
      <c r="I10" t="s">
        <v>151</v>
      </c>
      <c r="J10" t="s">
        <v>152</v>
      </c>
      <c r="K10" t="s">
        <v>153</v>
      </c>
      <c r="L10"/>
      <c r="M10"/>
      <c r="N10"/>
      <c r="O10" t="s">
        <v>154</v>
      </c>
      <c r="P10" t="s">
        <v>155</v>
      </c>
      <c r="Q10" t="s">
        <v>156</v>
      </c>
      <c r="R10" t="s">
        <v>157</v>
      </c>
      <c r="S10"/>
      <c r="T10"/>
      <c r="U10"/>
      <c r="V10"/>
      <c r="W10"/>
      <c r="X10"/>
      <c r="Y10"/>
      <c r="Z10"/>
      <c r="AA10"/>
      <c r="AB10"/>
      <c r="AC10"/>
      <c r="AD10"/>
      <c r="AE10"/>
      <c r="AF10"/>
      <c r="AG10"/>
      <c r="AH10"/>
      <c r="AI10"/>
      <c r="AJ10"/>
      <c r="AK10"/>
      <c r="AL10"/>
      <c r="AM10"/>
      <c r="AN10"/>
      <c r="AO10" t="s">
        <v>158</v>
      </c>
      <c r="AP10" t="s">
        <v>159</v>
      </c>
      <c r="AQ10" t="s">
        <v>160</v>
      </c>
      <c r="AR10"/>
      <c r="AS10"/>
      <c r="AT10"/>
      <c r="AU10">
        <v>2020</v>
      </c>
      <c r="AV10">
        <v>641</v>
      </c>
      <c r="AW10"/>
      <c r="AX10"/>
      <c r="AY10"/>
      <c r="AZ10"/>
      <c r="BA10"/>
      <c r="BB10">
        <v>434</v>
      </c>
      <c r="BC10">
        <v>443</v>
      </c>
      <c r="BD10"/>
      <c r="BE10" t="s">
        <v>161</v>
      </c>
      <c r="BF10" t="str">
        <f>HYPERLINK("http://dx.doi.org/10.1007/978-3-030-39225-3_47","http://dx.doi.org/10.1007/978-3-030-39225-3_47")</f>
        <v>http://dx.doi.org/10.1007/978-3-030-39225-3_47</v>
      </c>
      <c r="BG10"/>
      <c r="BH10"/>
      <c r="BI10"/>
      <c r="BJ10"/>
      <c r="BK10"/>
      <c r="BL10"/>
      <c r="BM10"/>
      <c r="BN10"/>
      <c r="BO10"/>
      <c r="BP10"/>
      <c r="BQ10"/>
      <c r="BR10"/>
      <c r="BS10" t="s">
        <v>162</v>
      </c>
      <c r="BT10" t="str">
        <f>HYPERLINK("https%3A%2F%2Fwww.webofscience.com%2Fwos%2Fwoscc%2Ffull-record%2FWOS:000675525300047","View Full Record in Web of Science")</f>
        <v>View Full Record in Web of Science</v>
      </c>
    </row>
    <row r="11" spans="1:75" customHeight="1" ht="12.75">
      <c r="A11" t="s">
        <v>72</v>
      </c>
      <c r="B11" t="s">
        <v>163</v>
      </c>
      <c r="C11"/>
      <c r="D11"/>
      <c r="E11"/>
      <c r="F11" t="s">
        <v>164</v>
      </c>
      <c r="G11"/>
      <c r="H11"/>
      <c r="I11" t="s">
        <v>165</v>
      </c>
      <c r="J11" t="s">
        <v>166</v>
      </c>
      <c r="K11"/>
      <c r="L11"/>
      <c r="M11"/>
      <c r="N11"/>
      <c r="O11"/>
      <c r="P11"/>
      <c r="Q11"/>
      <c r="R11"/>
      <c r="S11"/>
      <c r="T11"/>
      <c r="U11"/>
      <c r="V11"/>
      <c r="W11"/>
      <c r="X11"/>
      <c r="Y11"/>
      <c r="Z11"/>
      <c r="AA11" t="s">
        <v>167</v>
      </c>
      <c r="AB11" t="s">
        <v>168</v>
      </c>
      <c r="AC11"/>
      <c r="AD11"/>
      <c r="AE11"/>
      <c r="AF11"/>
      <c r="AG11"/>
      <c r="AH11"/>
      <c r="AI11"/>
      <c r="AJ11"/>
      <c r="AK11"/>
      <c r="AL11"/>
      <c r="AM11"/>
      <c r="AN11"/>
      <c r="AO11" t="s">
        <v>169</v>
      </c>
      <c r="AP11" t="s">
        <v>170</v>
      </c>
      <c r="AQ11"/>
      <c r="AR11"/>
      <c r="AS11"/>
      <c r="AT11" t="s">
        <v>171</v>
      </c>
      <c r="AU11">
        <v>2019</v>
      </c>
      <c r="AV11">
        <v>8</v>
      </c>
      <c r="AW11">
        <v>1</v>
      </c>
      <c r="AX11"/>
      <c r="AY11"/>
      <c r="AZ11"/>
      <c r="BA11"/>
      <c r="BB11">
        <v>167</v>
      </c>
      <c r="BC11">
        <v>186</v>
      </c>
      <c r="BD11"/>
      <c r="BE11" t="s">
        <v>172</v>
      </c>
      <c r="BF11" t="str">
        <f>HYPERLINK("http://dx.doi.org/10.13187/ejced.2019.1.167","http://dx.doi.org/10.13187/ejced.2019.1.167")</f>
        <v>http://dx.doi.org/10.13187/ejced.2019.1.167</v>
      </c>
      <c r="BG11"/>
      <c r="BH11"/>
      <c r="BI11"/>
      <c r="BJ11"/>
      <c r="BK11"/>
      <c r="BL11"/>
      <c r="BM11"/>
      <c r="BN11"/>
      <c r="BO11"/>
      <c r="BP11"/>
      <c r="BQ11"/>
      <c r="BR11"/>
      <c r="BS11" t="s">
        <v>173</v>
      </c>
      <c r="BT11" t="str">
        <f>HYPERLINK("https%3A%2F%2Fwww.webofscience.com%2Fwos%2Fwoscc%2Ffull-record%2FWOS:000462498700013","View Full Record in Web of Science")</f>
        <v>View Full Record in Web of Science</v>
      </c>
    </row>
    <row r="12" spans="1:75" customHeight="1" ht="12.75">
      <c r="A12" t="s">
        <v>147</v>
      </c>
      <c r="B12" t="s">
        <v>174</v>
      </c>
      <c r="C12"/>
      <c r="D12"/>
      <c r="E12" t="s">
        <v>175</v>
      </c>
      <c r="F12" t="s">
        <v>176</v>
      </c>
      <c r="G12"/>
      <c r="H12"/>
      <c r="I12" t="s">
        <v>177</v>
      </c>
      <c r="J12" t="s">
        <v>178</v>
      </c>
      <c r="K12" t="s">
        <v>179</v>
      </c>
      <c r="L12"/>
      <c r="M12"/>
      <c r="N12"/>
      <c r="O12" t="s">
        <v>180</v>
      </c>
      <c r="P12" t="s">
        <v>181</v>
      </c>
      <c r="Q12" t="s">
        <v>182</v>
      </c>
      <c r="R12" t="s">
        <v>183</v>
      </c>
      <c r="S12" t="s">
        <v>184</v>
      </c>
      <c r="T12"/>
      <c r="U12"/>
      <c r="V12"/>
      <c r="W12"/>
      <c r="X12"/>
      <c r="Y12"/>
      <c r="Z12"/>
      <c r="AA12" t="s">
        <v>185</v>
      </c>
      <c r="AB12" t="s">
        <v>186</v>
      </c>
      <c r="AC12"/>
      <c r="AD12"/>
      <c r="AE12"/>
      <c r="AF12"/>
      <c r="AG12"/>
      <c r="AH12"/>
      <c r="AI12"/>
      <c r="AJ12"/>
      <c r="AK12"/>
      <c r="AL12"/>
      <c r="AM12"/>
      <c r="AN12"/>
      <c r="AO12" t="s">
        <v>187</v>
      </c>
      <c r="AP12" t="s">
        <v>188</v>
      </c>
      <c r="AQ12"/>
      <c r="AR12"/>
      <c r="AS12"/>
      <c r="AT12"/>
      <c r="AU12">
        <v>2019</v>
      </c>
      <c r="AV12">
        <v>1399</v>
      </c>
      <c r="AW12"/>
      <c r="AX12"/>
      <c r="AY12"/>
      <c r="AZ12"/>
      <c r="BA12"/>
      <c r="BB12"/>
      <c r="BC12"/>
      <c r="BD12">
        <v>33094</v>
      </c>
      <c r="BE12" t="s">
        <v>189</v>
      </c>
      <c r="BF12" t="str">
        <f>HYPERLINK("http://dx.doi.org/10.1088/1742-6596/1399/3/033094","http://dx.doi.org/10.1088/1742-6596/1399/3/033094")</f>
        <v>http://dx.doi.org/10.1088/1742-6596/1399/3/033094</v>
      </c>
      <c r="BG12"/>
      <c r="BH12"/>
      <c r="BI12"/>
      <c r="BJ12"/>
      <c r="BK12"/>
      <c r="BL12"/>
      <c r="BM12"/>
      <c r="BN12"/>
      <c r="BO12"/>
      <c r="BP12"/>
      <c r="BQ12"/>
      <c r="BR12"/>
      <c r="BS12" t="s">
        <v>190</v>
      </c>
      <c r="BT12" t="str">
        <f>HYPERLINK("https%3A%2F%2Fwww.webofscience.com%2Fwos%2Fwoscc%2Ffull-record%2FWOS:000589557100156","View Full Record in Web of Science")</f>
        <v>View Full Record in Web of Science</v>
      </c>
    </row>
    <row r="13" spans="1:75" customHeight="1" ht="12.75">
      <c r="A13" t="s">
        <v>72</v>
      </c>
      <c r="B13" t="s">
        <v>191</v>
      </c>
      <c r="C13"/>
      <c r="D13"/>
      <c r="E13"/>
      <c r="F13" t="s">
        <v>192</v>
      </c>
      <c r="G13"/>
      <c r="H13"/>
      <c r="I13" t="s">
        <v>193</v>
      </c>
      <c r="J13" t="s">
        <v>194</v>
      </c>
      <c r="K13"/>
      <c r="L13"/>
      <c r="M13"/>
      <c r="N13"/>
      <c r="O13"/>
      <c r="P13"/>
      <c r="Q13"/>
      <c r="R13"/>
      <c r="S13"/>
      <c r="T13"/>
      <c r="U13"/>
      <c r="V13"/>
      <c r="W13"/>
      <c r="X13"/>
      <c r="Y13"/>
      <c r="Z13"/>
      <c r="AA13" t="s">
        <v>195</v>
      </c>
      <c r="AB13"/>
      <c r="AC13"/>
      <c r="AD13"/>
      <c r="AE13"/>
      <c r="AF13"/>
      <c r="AG13"/>
      <c r="AH13"/>
      <c r="AI13"/>
      <c r="AJ13"/>
      <c r="AK13"/>
      <c r="AL13"/>
      <c r="AM13"/>
      <c r="AN13"/>
      <c r="AO13" t="s">
        <v>196</v>
      </c>
      <c r="AP13" t="s">
        <v>197</v>
      </c>
      <c r="AQ13"/>
      <c r="AR13"/>
      <c r="AS13"/>
      <c r="AT13" t="s">
        <v>198</v>
      </c>
      <c r="AU13">
        <v>2018</v>
      </c>
      <c r="AV13">
        <v>16</v>
      </c>
      <c r="AW13"/>
      <c r="AX13"/>
      <c r="AY13"/>
      <c r="AZ13"/>
      <c r="BA13"/>
      <c r="BB13">
        <v>148</v>
      </c>
      <c r="BC13">
        <v>160</v>
      </c>
      <c r="BD13"/>
      <c r="BE13" t="s">
        <v>199</v>
      </c>
      <c r="BF13" t="str">
        <f>HYPERLINK("http://dx.doi.org/10.17223/23062061/16/9","http://dx.doi.org/10.17223/23062061/16/9")</f>
        <v>http://dx.doi.org/10.17223/23062061/16/9</v>
      </c>
      <c r="BG13"/>
      <c r="BH13"/>
      <c r="BI13"/>
      <c r="BJ13"/>
      <c r="BK13"/>
      <c r="BL13"/>
      <c r="BM13"/>
      <c r="BN13"/>
      <c r="BO13"/>
      <c r="BP13"/>
      <c r="BQ13"/>
      <c r="BR13"/>
      <c r="BS13" t="s">
        <v>200</v>
      </c>
      <c r="BT13" t="str">
        <f>HYPERLINK("https%3A%2F%2Fwww.webofscience.com%2Fwos%2Fwoscc%2Ffull-record%2FWOS:000451192400009","View Full Record in Web of Science")</f>
        <v>View Full Record in Web of Science</v>
      </c>
    </row>
    <row r="14" spans="1:75" customHeight="1" ht="12.75">
      <c r="A14" t="s">
        <v>72</v>
      </c>
      <c r="B14" t="s">
        <v>201</v>
      </c>
      <c r="C14"/>
      <c r="D14"/>
      <c r="E14"/>
      <c r="F14" t="s">
        <v>202</v>
      </c>
      <c r="G14"/>
      <c r="H14"/>
      <c r="I14" t="s">
        <v>203</v>
      </c>
      <c r="J14" t="s">
        <v>204</v>
      </c>
      <c r="K14"/>
      <c r="L14"/>
      <c r="M14"/>
      <c r="N14"/>
      <c r="O14"/>
      <c r="P14"/>
      <c r="Q14"/>
      <c r="R14"/>
      <c r="S14"/>
      <c r="T14"/>
      <c r="U14"/>
      <c r="V14"/>
      <c r="W14"/>
      <c r="X14"/>
      <c r="Y14"/>
      <c r="Z14"/>
      <c r="AA14"/>
      <c r="AB14"/>
      <c r="AC14"/>
      <c r="AD14"/>
      <c r="AE14"/>
      <c r="AF14"/>
      <c r="AG14"/>
      <c r="AH14"/>
      <c r="AI14"/>
      <c r="AJ14"/>
      <c r="AK14"/>
      <c r="AL14"/>
      <c r="AM14"/>
      <c r="AN14"/>
      <c r="AO14" t="s">
        <v>205</v>
      </c>
      <c r="AP14" t="s">
        <v>206</v>
      </c>
      <c r="AQ14"/>
      <c r="AR14"/>
      <c r="AS14"/>
      <c r="AT14" t="s">
        <v>198</v>
      </c>
      <c r="AU14">
        <v>2018</v>
      </c>
      <c r="AV14">
        <v>20</v>
      </c>
      <c r="AW14">
        <v>4</v>
      </c>
      <c r="AX14"/>
      <c r="AY14"/>
      <c r="AZ14"/>
      <c r="BA14"/>
      <c r="BB14">
        <v>180</v>
      </c>
      <c r="BC14">
        <v>199</v>
      </c>
      <c r="BD14"/>
      <c r="BE14" t="s">
        <v>207</v>
      </c>
      <c r="BF14" t="str">
        <f>HYPERLINK("http://dx.doi.org/10.17853/1994-5639-2018-4-180-199","http://dx.doi.org/10.17853/1994-5639-2018-4-180-199")</f>
        <v>http://dx.doi.org/10.17853/1994-5639-2018-4-180-199</v>
      </c>
      <c r="BG14"/>
      <c r="BH14"/>
      <c r="BI14"/>
      <c r="BJ14"/>
      <c r="BK14"/>
      <c r="BL14"/>
      <c r="BM14"/>
      <c r="BN14"/>
      <c r="BO14"/>
      <c r="BP14"/>
      <c r="BQ14"/>
      <c r="BR14"/>
      <c r="BS14" t="s">
        <v>208</v>
      </c>
      <c r="BT14" t="str">
        <f>HYPERLINK("https%3A%2F%2Fwww.webofscience.com%2Fwos%2Fwoscc%2Ffull-record%2FWOS:000461120800008","View Full Record in Web of Science")</f>
        <v>View Full Record in Web of Science</v>
      </c>
    </row>
    <row r="15" spans="1:75" customHeight="1" ht="12.75">
      <c r="A15" t="s">
        <v>147</v>
      </c>
      <c r="B15" t="s">
        <v>209</v>
      </c>
      <c r="C15"/>
      <c r="D15"/>
      <c r="E15" t="s">
        <v>210</v>
      </c>
      <c r="F15" t="s">
        <v>211</v>
      </c>
      <c r="G15"/>
      <c r="H15"/>
      <c r="I15" t="s">
        <v>212</v>
      </c>
      <c r="J15" t="s">
        <v>213</v>
      </c>
      <c r="K15"/>
      <c r="L15"/>
      <c r="M15"/>
      <c r="N15"/>
      <c r="O15" t="s">
        <v>214</v>
      </c>
      <c r="P15" t="s">
        <v>215</v>
      </c>
      <c r="Q15" t="s">
        <v>216</v>
      </c>
      <c r="R15"/>
      <c r="S15" t="s">
        <v>217</v>
      </c>
      <c r="T15"/>
      <c r="U15"/>
      <c r="V15"/>
      <c r="W15"/>
      <c r="X15"/>
      <c r="Y15"/>
      <c r="Z15"/>
      <c r="AA15"/>
      <c r="AB15"/>
      <c r="AC15"/>
      <c r="AD15"/>
      <c r="AE15"/>
      <c r="AF15"/>
      <c r="AG15"/>
      <c r="AH15"/>
      <c r="AI15"/>
      <c r="AJ15"/>
      <c r="AK15"/>
      <c r="AL15"/>
      <c r="AM15"/>
      <c r="AN15"/>
      <c r="AO15"/>
      <c r="AP15"/>
      <c r="AQ15" t="s">
        <v>218</v>
      </c>
      <c r="AR15"/>
      <c r="AS15"/>
      <c r="AT15"/>
      <c r="AU15">
        <v>2018</v>
      </c>
      <c r="AV15"/>
      <c r="AW15"/>
      <c r="AX15"/>
      <c r="AY15"/>
      <c r="AZ15"/>
      <c r="BA15"/>
      <c r="BB15"/>
      <c r="BC15"/>
      <c r="BD15"/>
      <c r="BE15"/>
      <c r="BF15"/>
      <c r="BG15"/>
      <c r="BH15"/>
      <c r="BI15"/>
      <c r="BJ15"/>
      <c r="BK15"/>
      <c r="BL15"/>
      <c r="BM15"/>
      <c r="BN15"/>
      <c r="BO15"/>
      <c r="BP15"/>
      <c r="BQ15"/>
      <c r="BR15"/>
      <c r="BS15" t="s">
        <v>219</v>
      </c>
      <c r="BT15" t="str">
        <f>HYPERLINK("https%3A%2F%2Fwww.webofscience.com%2Fwos%2Fwoscc%2Ffull-record%2FWOS:000478963800067","View Full Record in Web of Science")</f>
        <v>View Full Record in Web of Science</v>
      </c>
    </row>
    <row r="16" spans="1:75" customHeight="1" ht="12.75">
      <c r="A16" t="s">
        <v>147</v>
      </c>
      <c r="B16" t="s">
        <v>220</v>
      </c>
      <c r="C16"/>
      <c r="D16"/>
      <c r="E16" t="s">
        <v>175</v>
      </c>
      <c r="F16" t="s">
        <v>221</v>
      </c>
      <c r="G16"/>
      <c r="H16"/>
      <c r="I16" t="s">
        <v>222</v>
      </c>
      <c r="J16" t="s">
        <v>223</v>
      </c>
      <c r="K16" t="s">
        <v>179</v>
      </c>
      <c r="L16"/>
      <c r="M16"/>
      <c r="N16"/>
      <c r="O16" t="s">
        <v>224</v>
      </c>
      <c r="P16" t="s">
        <v>225</v>
      </c>
      <c r="Q16" t="s">
        <v>226</v>
      </c>
      <c r="R16"/>
      <c r="S16" t="s">
        <v>227</v>
      </c>
      <c r="T16"/>
      <c r="U16"/>
      <c r="V16"/>
      <c r="W16"/>
      <c r="X16"/>
      <c r="Y16"/>
      <c r="Z16"/>
      <c r="AA16" t="s">
        <v>228</v>
      </c>
      <c r="AB16"/>
      <c r="AC16"/>
      <c r="AD16"/>
      <c r="AE16"/>
      <c r="AF16"/>
      <c r="AG16"/>
      <c r="AH16"/>
      <c r="AI16"/>
      <c r="AJ16"/>
      <c r="AK16"/>
      <c r="AL16"/>
      <c r="AM16"/>
      <c r="AN16"/>
      <c r="AO16" t="s">
        <v>187</v>
      </c>
      <c r="AP16" t="s">
        <v>188</v>
      </c>
      <c r="AQ16"/>
      <c r="AR16"/>
      <c r="AS16"/>
      <c r="AT16"/>
      <c r="AU16">
        <v>2018</v>
      </c>
      <c r="AV16">
        <v>1015</v>
      </c>
      <c r="AW16"/>
      <c r="AX16"/>
      <c r="AY16"/>
      <c r="AZ16"/>
      <c r="BA16"/>
      <c r="BB16"/>
      <c r="BC16"/>
      <c r="BD16">
        <v>32059</v>
      </c>
      <c r="BE16" t="s">
        <v>229</v>
      </c>
      <c r="BF16" t="str">
        <f>HYPERLINK("http://dx.doi.org/10.1088/1742-6596/1015/3/032059","http://dx.doi.org/10.1088/1742-6596/1015/3/032059")</f>
        <v>http://dx.doi.org/10.1088/1742-6596/1015/3/032059</v>
      </c>
      <c r="BG16"/>
      <c r="BH16"/>
      <c r="BI16"/>
      <c r="BJ16"/>
      <c r="BK16"/>
      <c r="BL16"/>
      <c r="BM16"/>
      <c r="BN16"/>
      <c r="BO16"/>
      <c r="BP16"/>
      <c r="BQ16"/>
      <c r="BR16"/>
      <c r="BS16" t="s">
        <v>230</v>
      </c>
      <c r="BT16" t="str">
        <f>HYPERLINK("https%3A%2F%2Fwww.webofscience.com%2Fwos%2Fwoscc%2Ffull-record%2FWOS:000446952000078","View Full Record in Web of Science")</f>
        <v>View Full Record in Web of Science</v>
      </c>
    </row>
    <row r="17" spans="1:75" customHeight="1" ht="12.75">
      <c r="A17" t="s">
        <v>231</v>
      </c>
      <c r="B17" t="s">
        <v>232</v>
      </c>
      <c r="C17"/>
      <c r="D17" t="s">
        <v>233</v>
      </c>
      <c r="E17"/>
      <c r="F17" t="s">
        <v>234</v>
      </c>
      <c r="G17"/>
      <c r="H17"/>
      <c r="I17" t="s">
        <v>235</v>
      </c>
      <c r="J17" t="s">
        <v>236</v>
      </c>
      <c r="K17" t="s">
        <v>237</v>
      </c>
      <c r="L17"/>
      <c r="M17"/>
      <c r="N17"/>
      <c r="O17"/>
      <c r="P17"/>
      <c r="Q17"/>
      <c r="R17"/>
      <c r="S17"/>
      <c r="T17"/>
      <c r="U17"/>
      <c r="V17"/>
      <c r="W17"/>
      <c r="X17"/>
      <c r="Y17"/>
      <c r="Z17"/>
      <c r="AA17" t="s">
        <v>238</v>
      </c>
      <c r="AB17" t="s">
        <v>239</v>
      </c>
      <c r="AC17"/>
      <c r="AD17"/>
      <c r="AE17"/>
      <c r="AF17"/>
      <c r="AG17"/>
      <c r="AH17"/>
      <c r="AI17"/>
      <c r="AJ17"/>
      <c r="AK17"/>
      <c r="AL17"/>
      <c r="AM17"/>
      <c r="AN17"/>
      <c r="AO17"/>
      <c r="AP17"/>
      <c r="AQ17" t="s">
        <v>240</v>
      </c>
      <c r="AR17"/>
      <c r="AS17"/>
      <c r="AT17"/>
      <c r="AU17">
        <v>2018</v>
      </c>
      <c r="AV17"/>
      <c r="AW17"/>
      <c r="AX17"/>
      <c r="AY17"/>
      <c r="AZ17"/>
      <c r="BA17"/>
      <c r="BB17">
        <v>1</v>
      </c>
      <c r="BC17">
        <v>15</v>
      </c>
      <c r="BD17"/>
      <c r="BE17"/>
      <c r="BF17"/>
      <c r="BG17"/>
      <c r="BH17"/>
      <c r="BI17"/>
      <c r="BJ17"/>
      <c r="BK17"/>
      <c r="BL17"/>
      <c r="BM17"/>
      <c r="BN17"/>
      <c r="BO17"/>
      <c r="BP17"/>
      <c r="BQ17"/>
      <c r="BR17"/>
      <c r="BS17" t="s">
        <v>241</v>
      </c>
      <c r="BT17" t="str">
        <f>HYPERLINK("https%3A%2F%2Fwww.webofscience.com%2Fwos%2Fwoscc%2Ffull-record%2FWOS:000435422600001","View Full Record in Web of Science")</f>
        <v>View Full Record in Web of Science</v>
      </c>
    </row>
    <row r="18" spans="1:75" customHeight="1" ht="12.75">
      <c r="A18" t="s">
        <v>72</v>
      </c>
      <c r="B18" t="s">
        <v>102</v>
      </c>
      <c r="C18"/>
      <c r="D18"/>
      <c r="E18"/>
      <c r="F18" t="s">
        <v>242</v>
      </c>
      <c r="G18"/>
      <c r="H18"/>
      <c r="I18" t="s">
        <v>243</v>
      </c>
      <c r="J18" t="s">
        <v>244</v>
      </c>
      <c r="K18"/>
      <c r="L18"/>
      <c r="M18"/>
      <c r="N18"/>
      <c r="O18"/>
      <c r="P18"/>
      <c r="Q18"/>
      <c r="R18"/>
      <c r="S18"/>
      <c r="T18"/>
      <c r="U18"/>
      <c r="V18"/>
      <c r="W18"/>
      <c r="X18"/>
      <c r="Y18"/>
      <c r="Z18"/>
      <c r="AA18"/>
      <c r="AB18"/>
      <c r="AC18"/>
      <c r="AD18"/>
      <c r="AE18"/>
      <c r="AF18"/>
      <c r="AG18"/>
      <c r="AH18"/>
      <c r="AI18"/>
      <c r="AJ18"/>
      <c r="AK18"/>
      <c r="AL18"/>
      <c r="AM18"/>
      <c r="AN18"/>
      <c r="AO18" t="s">
        <v>245</v>
      </c>
      <c r="AP18" t="s">
        <v>246</v>
      </c>
      <c r="AQ18"/>
      <c r="AR18"/>
      <c r="AS18"/>
      <c r="AT18"/>
      <c r="AU18">
        <v>2018</v>
      </c>
      <c r="AV18"/>
      <c r="AW18">
        <v>3</v>
      </c>
      <c r="AX18"/>
      <c r="AY18"/>
      <c r="AZ18"/>
      <c r="BA18"/>
      <c r="BB18">
        <v>124</v>
      </c>
      <c r="BC18">
        <v>136</v>
      </c>
      <c r="BD18"/>
      <c r="BE18"/>
      <c r="BF18"/>
      <c r="BG18"/>
      <c r="BH18"/>
      <c r="BI18"/>
      <c r="BJ18"/>
      <c r="BK18"/>
      <c r="BL18"/>
      <c r="BM18"/>
      <c r="BN18"/>
      <c r="BO18"/>
      <c r="BP18"/>
      <c r="BQ18"/>
      <c r="BR18"/>
      <c r="BS18" t="s">
        <v>247</v>
      </c>
      <c r="BT18" t="str">
        <f>HYPERLINK("https%3A%2F%2Fwww.webofscience.com%2Fwos%2Fwoscc%2Ffull-record%2FWOS:000430782900010","View Full Record in Web of Science")</f>
        <v>View Full Record in Web of Science</v>
      </c>
    </row>
    <row r="19" spans="1:75" customHeight="1" ht="12.75">
      <c r="A19" t="s">
        <v>147</v>
      </c>
      <c r="B19" t="s">
        <v>248</v>
      </c>
      <c r="C19"/>
      <c r="D19" t="s">
        <v>249</v>
      </c>
      <c r="E19"/>
      <c r="F19" t="s">
        <v>250</v>
      </c>
      <c r="G19"/>
      <c r="H19"/>
      <c r="I19" t="s">
        <v>251</v>
      </c>
      <c r="J19" t="s">
        <v>252</v>
      </c>
      <c r="K19" t="s">
        <v>253</v>
      </c>
      <c r="L19"/>
      <c r="M19"/>
      <c r="N19"/>
      <c r="O19" t="s">
        <v>254</v>
      </c>
      <c r="P19" t="s">
        <v>255</v>
      </c>
      <c r="Q19" t="s">
        <v>256</v>
      </c>
      <c r="R19"/>
      <c r="S19" t="s">
        <v>257</v>
      </c>
      <c r="T19"/>
      <c r="U19"/>
      <c r="V19"/>
      <c r="W19"/>
      <c r="X19"/>
      <c r="Y19"/>
      <c r="Z19"/>
      <c r="AA19" t="s">
        <v>258</v>
      </c>
      <c r="AB19"/>
      <c r="AC19"/>
      <c r="AD19"/>
      <c r="AE19"/>
      <c r="AF19"/>
      <c r="AG19"/>
      <c r="AH19"/>
      <c r="AI19"/>
      <c r="AJ19"/>
      <c r="AK19"/>
      <c r="AL19"/>
      <c r="AM19"/>
      <c r="AN19"/>
      <c r="AO19" t="s">
        <v>259</v>
      </c>
      <c r="AP19"/>
      <c r="AQ19"/>
      <c r="AR19"/>
      <c r="AS19"/>
      <c r="AT19"/>
      <c r="AU19">
        <v>2017</v>
      </c>
      <c r="AV19">
        <v>29</v>
      </c>
      <c r="AW19"/>
      <c r="AX19"/>
      <c r="AY19"/>
      <c r="AZ19"/>
      <c r="BA19"/>
      <c r="BB19">
        <v>475</v>
      </c>
      <c r="BC19">
        <v>484</v>
      </c>
      <c r="BD19"/>
      <c r="BE19" t="s">
        <v>260</v>
      </c>
      <c r="BF19" t="str">
        <f>HYPERLINK("http://dx.doi.org/10.15405/epsbs.2017.08.02.55","http://dx.doi.org/10.15405/epsbs.2017.08.02.55")</f>
        <v>http://dx.doi.org/10.15405/epsbs.2017.08.02.55</v>
      </c>
      <c r="BG19"/>
      <c r="BH19"/>
      <c r="BI19"/>
      <c r="BJ19"/>
      <c r="BK19"/>
      <c r="BL19"/>
      <c r="BM19"/>
      <c r="BN19"/>
      <c r="BO19"/>
      <c r="BP19"/>
      <c r="BQ19"/>
      <c r="BR19"/>
      <c r="BS19" t="s">
        <v>261</v>
      </c>
      <c r="BT19" t="str">
        <f>HYPERLINK("https%3A%2F%2Fwww.webofscience.com%2Fwos%2Fwoscc%2Ffull-record%2FWOS:000432421300055","View Full Record in Web of Science")</f>
        <v>View Full Record in Web of Science</v>
      </c>
    </row>
    <row r="20" spans="1:75" customHeight="1" ht="12.75">
      <c r="A20" t="s">
        <v>147</v>
      </c>
      <c r="B20" t="s">
        <v>262</v>
      </c>
      <c r="C20"/>
      <c r="D20" t="s">
        <v>249</v>
      </c>
      <c r="E20"/>
      <c r="F20" t="s">
        <v>263</v>
      </c>
      <c r="G20"/>
      <c r="H20"/>
      <c r="I20" t="s">
        <v>264</v>
      </c>
      <c r="J20" t="s">
        <v>265</v>
      </c>
      <c r="K20" t="s">
        <v>253</v>
      </c>
      <c r="L20"/>
      <c r="M20"/>
      <c r="N20"/>
      <c r="O20" t="s">
        <v>266</v>
      </c>
      <c r="P20" t="s">
        <v>267</v>
      </c>
      <c r="Q20" t="s">
        <v>268</v>
      </c>
      <c r="R20"/>
      <c r="S20" t="s">
        <v>257</v>
      </c>
      <c r="T20"/>
      <c r="U20"/>
      <c r="V20"/>
      <c r="W20"/>
      <c r="X20"/>
      <c r="Y20"/>
      <c r="Z20"/>
      <c r="AA20" t="s">
        <v>269</v>
      </c>
      <c r="AB20" t="s">
        <v>270</v>
      </c>
      <c r="AC20"/>
      <c r="AD20"/>
      <c r="AE20"/>
      <c r="AF20"/>
      <c r="AG20"/>
      <c r="AH20"/>
      <c r="AI20"/>
      <c r="AJ20"/>
      <c r="AK20"/>
      <c r="AL20"/>
      <c r="AM20"/>
      <c r="AN20"/>
      <c r="AO20" t="s">
        <v>259</v>
      </c>
      <c r="AP20"/>
      <c r="AQ20"/>
      <c r="AR20"/>
      <c r="AS20"/>
      <c r="AT20"/>
      <c r="AU20">
        <v>2016</v>
      </c>
      <c r="AV20">
        <v>12</v>
      </c>
      <c r="AW20"/>
      <c r="AX20"/>
      <c r="AY20"/>
      <c r="AZ20"/>
      <c r="BA20"/>
      <c r="BB20">
        <v>45</v>
      </c>
      <c r="BC20">
        <v>49</v>
      </c>
      <c r="BD20"/>
      <c r="BE20" t="s">
        <v>271</v>
      </c>
      <c r="BF20" t="str">
        <f>HYPERLINK("http://dx.doi.org/10.15405/epsbs.2016.07.8","http://dx.doi.org/10.15405/epsbs.2016.07.8")</f>
        <v>http://dx.doi.org/10.15405/epsbs.2016.07.8</v>
      </c>
      <c r="BG20"/>
      <c r="BH20"/>
      <c r="BI20"/>
      <c r="BJ20"/>
      <c r="BK20"/>
      <c r="BL20"/>
      <c r="BM20"/>
      <c r="BN20"/>
      <c r="BO20"/>
      <c r="BP20"/>
      <c r="BQ20"/>
      <c r="BR20"/>
      <c r="BS20" t="s">
        <v>272</v>
      </c>
      <c r="BT20" t="str">
        <f>HYPERLINK("https%3A%2F%2Fwww.webofscience.com%2Fwos%2Fwoscc%2Ffull-record%2FWOS:000383393800008","View Full Record in Web of Science")</f>
        <v>View Full Record in Web of Science</v>
      </c>
    </row>
    <row r="21" spans="1:75" customHeight="1" ht="12.75">
      <c r="A21" t="s">
        <v>72</v>
      </c>
      <c r="B21" t="s">
        <v>273</v>
      </c>
      <c r="C21"/>
      <c r="D21"/>
      <c r="E21"/>
      <c r="F21" t="s">
        <v>274</v>
      </c>
      <c r="G21"/>
      <c r="H21"/>
      <c r="I21" t="s">
        <v>275</v>
      </c>
      <c r="J21" t="s">
        <v>244</v>
      </c>
      <c r="K21"/>
      <c r="L21"/>
      <c r="M21"/>
      <c r="N21"/>
      <c r="O21"/>
      <c r="P21"/>
      <c r="Q21"/>
      <c r="R21"/>
      <c r="S21"/>
      <c r="T21"/>
      <c r="U21"/>
      <c r="V21"/>
      <c r="W21"/>
      <c r="X21"/>
      <c r="Y21"/>
      <c r="Z21"/>
      <c r="AA21" t="s">
        <v>276</v>
      </c>
      <c r="AB21" t="s">
        <v>277</v>
      </c>
      <c r="AC21"/>
      <c r="AD21"/>
      <c r="AE21"/>
      <c r="AF21"/>
      <c r="AG21"/>
      <c r="AH21"/>
      <c r="AI21"/>
      <c r="AJ21"/>
      <c r="AK21"/>
      <c r="AL21"/>
      <c r="AM21"/>
      <c r="AN21"/>
      <c r="AO21" t="s">
        <v>245</v>
      </c>
      <c r="AP21" t="s">
        <v>246</v>
      </c>
      <c r="AQ21"/>
      <c r="AR21"/>
      <c r="AS21"/>
      <c r="AT21"/>
      <c r="AU21">
        <v>2016</v>
      </c>
      <c r="AV21"/>
      <c r="AW21">
        <v>1</v>
      </c>
      <c r="AX21"/>
      <c r="AY21"/>
      <c r="AZ21"/>
      <c r="BA21"/>
      <c r="BB21">
        <v>96</v>
      </c>
      <c r="BC21">
        <v>102</v>
      </c>
      <c r="BD21"/>
      <c r="BE21"/>
      <c r="BF21"/>
      <c r="BG21"/>
      <c r="BH21"/>
      <c r="BI21"/>
      <c r="BJ21"/>
      <c r="BK21"/>
      <c r="BL21"/>
      <c r="BM21"/>
      <c r="BN21"/>
      <c r="BO21"/>
      <c r="BP21"/>
      <c r="BQ21"/>
      <c r="BR21"/>
      <c r="BS21" t="s">
        <v>278</v>
      </c>
      <c r="BT21" t="str">
        <f>HYPERLINK("https%3A%2F%2Fwww.webofscience.com%2Fwos%2Fwoscc%2Ffull-record%2FWOS:000370908700007","View Full Record in Web of Science")</f>
        <v>View Full Record in Web of Science</v>
      </c>
    </row>
    <row r="22" spans="1:75" customHeight="1" ht="12.75">
      <c r="A22" t="s">
        <v>147</v>
      </c>
      <c r="B22" t="s">
        <v>279</v>
      </c>
      <c r="C22"/>
      <c r="D22"/>
      <c r="E22" t="s">
        <v>280</v>
      </c>
      <c r="F22" t="s">
        <v>281</v>
      </c>
      <c r="G22"/>
      <c r="H22"/>
      <c r="I22" t="s">
        <v>282</v>
      </c>
      <c r="J22" t="s">
        <v>283</v>
      </c>
      <c r="K22" t="s">
        <v>284</v>
      </c>
      <c r="L22"/>
      <c r="M22"/>
      <c r="N22"/>
      <c r="O22" t="s">
        <v>285</v>
      </c>
      <c r="P22" t="s">
        <v>286</v>
      </c>
      <c r="Q22" t="s">
        <v>287</v>
      </c>
      <c r="R22" t="s">
        <v>288</v>
      </c>
      <c r="S22"/>
      <c r="T22"/>
      <c r="U22"/>
      <c r="V22"/>
      <c r="W22"/>
      <c r="X22"/>
      <c r="Y22"/>
      <c r="Z22"/>
      <c r="AA22"/>
      <c r="AB22"/>
      <c r="AC22"/>
      <c r="AD22"/>
      <c r="AE22"/>
      <c r="AF22"/>
      <c r="AG22"/>
      <c r="AH22"/>
      <c r="AI22"/>
      <c r="AJ22"/>
      <c r="AK22"/>
      <c r="AL22"/>
      <c r="AM22"/>
      <c r="AN22"/>
      <c r="AO22" t="s">
        <v>289</v>
      </c>
      <c r="AP22"/>
      <c r="AQ22" t="s">
        <v>290</v>
      </c>
      <c r="AR22"/>
      <c r="AS22"/>
      <c r="AT22"/>
      <c r="AU22">
        <v>2014</v>
      </c>
      <c r="AV22"/>
      <c r="AW22"/>
      <c r="AX22"/>
      <c r="AY22"/>
      <c r="AZ22"/>
      <c r="BA22"/>
      <c r="BB22">
        <v>439</v>
      </c>
      <c r="BC22" t="s">
        <v>107</v>
      </c>
      <c r="BD22"/>
      <c r="BE22"/>
      <c r="BF22"/>
      <c r="BG22"/>
      <c r="BH22"/>
      <c r="BI22"/>
      <c r="BJ22"/>
      <c r="BK22"/>
      <c r="BL22"/>
      <c r="BM22"/>
      <c r="BN22"/>
      <c r="BO22"/>
      <c r="BP22"/>
      <c r="BQ22"/>
      <c r="BR22"/>
      <c r="BS22" t="s">
        <v>291</v>
      </c>
      <c r="BT22" t="str">
        <f>HYPERLINK("https%3A%2F%2Fwww.webofscience.com%2Fwos%2Fwoscc%2Ffull-record%2FWOS:000358190200056","View Full Record in Web of Science")</f>
        <v>View Full Record in Web of Science</v>
      </c>
    </row>
    <row r="23" spans="1:75" customHeight="1" ht="12.75">
      <c r="A23" t="s">
        <v>72</v>
      </c>
      <c r="B23" t="s">
        <v>292</v>
      </c>
      <c r="C23"/>
      <c r="D23"/>
      <c r="E23"/>
      <c r="F23" t="s">
        <v>293</v>
      </c>
      <c r="G23"/>
      <c r="H23"/>
      <c r="I23" t="s">
        <v>294</v>
      </c>
      <c r="J23" t="s">
        <v>244</v>
      </c>
      <c r="K23"/>
      <c r="L23"/>
      <c r="M23"/>
      <c r="N23"/>
      <c r="O23"/>
      <c r="P23"/>
      <c r="Q23"/>
      <c r="R23"/>
      <c r="S23"/>
      <c r="T23"/>
      <c r="U23"/>
      <c r="V23"/>
      <c r="W23"/>
      <c r="X23"/>
      <c r="Y23"/>
      <c r="Z23"/>
      <c r="AA23"/>
      <c r="AB23"/>
      <c r="AC23"/>
      <c r="AD23"/>
      <c r="AE23"/>
      <c r="AF23"/>
      <c r="AG23"/>
      <c r="AH23"/>
      <c r="AI23"/>
      <c r="AJ23"/>
      <c r="AK23"/>
      <c r="AL23"/>
      <c r="AM23"/>
      <c r="AN23"/>
      <c r="AO23" t="s">
        <v>245</v>
      </c>
      <c r="AP23"/>
      <c r="AQ23"/>
      <c r="AR23"/>
      <c r="AS23"/>
      <c r="AT23"/>
      <c r="AU23">
        <v>2011</v>
      </c>
      <c r="AV23"/>
      <c r="AW23">
        <v>4</v>
      </c>
      <c r="AX23"/>
      <c r="AY23"/>
      <c r="AZ23"/>
      <c r="BA23"/>
      <c r="BB23">
        <v>157</v>
      </c>
      <c r="BC23">
        <v>163</v>
      </c>
      <c r="BD23"/>
      <c r="BE23"/>
      <c r="BF23"/>
      <c r="BG23"/>
      <c r="BH23"/>
      <c r="BI23"/>
      <c r="BJ23"/>
      <c r="BK23"/>
      <c r="BL23"/>
      <c r="BM23"/>
      <c r="BN23"/>
      <c r="BO23"/>
      <c r="BP23"/>
      <c r="BQ23"/>
      <c r="BR23"/>
      <c r="BS23" t="s">
        <v>295</v>
      </c>
      <c r="BT23" t="str">
        <f>HYPERLINK("https%3A%2F%2Fwww.webofscience.com%2Fwos%2Fwoscc%2Ffull-record%2FWOS:000290830700011","View Full Record in Web of Science")</f>
        <v>View Full Record in Web of Science</v>
      </c>
    </row>
    <row r="24" spans="1:75" customHeight="1" ht="12.75">
      <c r="A24" t="s">
        <v>72</v>
      </c>
      <c r="B24" t="s">
        <v>296</v>
      </c>
      <c r="C24"/>
      <c r="D24"/>
      <c r="E24"/>
      <c r="F24" t="s">
        <v>297</v>
      </c>
      <c r="G24"/>
      <c r="H24"/>
      <c r="I24" t="s">
        <v>298</v>
      </c>
      <c r="J24" t="s">
        <v>244</v>
      </c>
      <c r="K24"/>
      <c r="L24"/>
      <c r="M24"/>
      <c r="N24"/>
      <c r="O24"/>
      <c r="P24"/>
      <c r="Q24"/>
      <c r="R24"/>
      <c r="S24"/>
      <c r="T24"/>
      <c r="U24"/>
      <c r="V24"/>
      <c r="W24"/>
      <c r="X24"/>
      <c r="Y24"/>
      <c r="Z24"/>
      <c r="AA24" t="s">
        <v>299</v>
      </c>
      <c r="AB24" t="s">
        <v>300</v>
      </c>
      <c r="AC24"/>
      <c r="AD24"/>
      <c r="AE24"/>
      <c r="AF24"/>
      <c r="AG24"/>
      <c r="AH24"/>
      <c r="AI24"/>
      <c r="AJ24"/>
      <c r="AK24"/>
      <c r="AL24"/>
      <c r="AM24"/>
      <c r="AN24"/>
      <c r="AO24" t="s">
        <v>245</v>
      </c>
      <c r="AP24"/>
      <c r="AQ24"/>
      <c r="AR24"/>
      <c r="AS24"/>
      <c r="AT24"/>
      <c r="AU24">
        <v>2009</v>
      </c>
      <c r="AV24"/>
      <c r="AW24">
        <v>9</v>
      </c>
      <c r="AX24"/>
      <c r="AY24"/>
      <c r="AZ24"/>
      <c r="BA24"/>
      <c r="BB24">
        <v>19</v>
      </c>
      <c r="BC24">
        <v>36</v>
      </c>
      <c r="BD24"/>
      <c r="BE24"/>
      <c r="BF24"/>
      <c r="BG24"/>
      <c r="BH24"/>
      <c r="BI24"/>
      <c r="BJ24"/>
      <c r="BK24"/>
      <c r="BL24"/>
      <c r="BM24"/>
      <c r="BN24"/>
      <c r="BO24"/>
      <c r="BP24"/>
      <c r="BQ24"/>
      <c r="BR24"/>
      <c r="BS24" t="s">
        <v>301</v>
      </c>
      <c r="BT24" t="str">
        <f>HYPERLINK("https%3A%2F%2Fwww.webofscience.com%2Fwos%2Fwoscc%2Ffull-record%2FWOS:000271159400002","View Full Record in Web of Science")</f>
        <v>View Full Record in Web of Science</v>
      </c>
    </row>
    <row r="25" spans="1:75" customHeight="1" ht="12.75">
      <c r="A25" t="s">
        <v>72</v>
      </c>
      <c r="B25" t="s">
        <v>302</v>
      </c>
      <c r="C25"/>
      <c r="D25"/>
      <c r="E25"/>
      <c r="F25" t="s">
        <v>302</v>
      </c>
      <c r="G25"/>
      <c r="H25"/>
      <c r="I25" t="s">
        <v>303</v>
      </c>
      <c r="J25" t="s">
        <v>304</v>
      </c>
      <c r="K25"/>
      <c r="L25"/>
      <c r="M25"/>
      <c r="N25"/>
      <c r="O25"/>
      <c r="P25"/>
      <c r="Q25"/>
      <c r="R25"/>
      <c r="S25"/>
      <c r="T25"/>
      <c r="U25"/>
      <c r="V25"/>
      <c r="W25"/>
      <c r="X25"/>
      <c r="Y25"/>
      <c r="Z25"/>
      <c r="AA25" t="s">
        <v>305</v>
      </c>
      <c r="AB25" t="s">
        <v>306</v>
      </c>
      <c r="AC25"/>
      <c r="AD25"/>
      <c r="AE25"/>
      <c r="AF25"/>
      <c r="AG25"/>
      <c r="AH25"/>
      <c r="AI25"/>
      <c r="AJ25"/>
      <c r="AK25"/>
      <c r="AL25"/>
      <c r="AM25"/>
      <c r="AN25"/>
      <c r="AO25" t="s">
        <v>77</v>
      </c>
      <c r="AP25"/>
      <c r="AQ25"/>
      <c r="AR25"/>
      <c r="AS25"/>
      <c r="AT25" t="s">
        <v>307</v>
      </c>
      <c r="AU25">
        <v>2006</v>
      </c>
      <c r="AV25"/>
      <c r="AW25">
        <v>1</v>
      </c>
      <c r="AX25"/>
      <c r="AY25"/>
      <c r="AZ25"/>
      <c r="BA25"/>
      <c r="BB25">
        <v>148</v>
      </c>
      <c r="BC25">
        <v>153</v>
      </c>
      <c r="BD25"/>
      <c r="BE25"/>
      <c r="BF25"/>
      <c r="BG25"/>
      <c r="BH25"/>
      <c r="BI25"/>
      <c r="BJ25"/>
      <c r="BK25"/>
      <c r="BL25"/>
      <c r="BM25"/>
      <c r="BN25"/>
      <c r="BO25"/>
      <c r="BP25"/>
      <c r="BQ25"/>
      <c r="BR25"/>
      <c r="BS25" t="s">
        <v>308</v>
      </c>
      <c r="BT25" t="str">
        <f>HYPERLINK("https%3A%2F%2Fwww.webofscience.com%2Fwos%2Fwoscc%2Ffull-record%2FWOS:000235642300014","View Full Record in Web of Science")</f>
        <v>View Full Record in Web of Science</v>
      </c>
    </row>
    <row r="26" spans="1:75" customHeight="1" ht="12.75">
      <c r="A26" t="s">
        <v>72</v>
      </c>
      <c r="B26" t="s">
        <v>309</v>
      </c>
      <c r="C26"/>
      <c r="D26"/>
      <c r="E26"/>
      <c r="F26" t="s">
        <v>309</v>
      </c>
      <c r="G26"/>
      <c r="H26"/>
      <c r="I26" t="s">
        <v>310</v>
      </c>
      <c r="J26" t="s">
        <v>311</v>
      </c>
      <c r="K26"/>
      <c r="L26"/>
      <c r="M26"/>
      <c r="N26"/>
      <c r="O26"/>
      <c r="P26"/>
      <c r="Q26"/>
      <c r="R26"/>
      <c r="S26"/>
      <c r="T26"/>
      <c r="U26"/>
      <c r="V26"/>
      <c r="W26"/>
      <c r="X26"/>
      <c r="Y26"/>
      <c r="Z26"/>
      <c r="AA26"/>
      <c r="AB26"/>
      <c r="AC26"/>
      <c r="AD26"/>
      <c r="AE26"/>
      <c r="AF26"/>
      <c r="AG26"/>
      <c r="AH26"/>
      <c r="AI26"/>
      <c r="AJ26"/>
      <c r="AK26"/>
      <c r="AL26"/>
      <c r="AM26"/>
      <c r="AN26"/>
      <c r="AO26" t="s">
        <v>312</v>
      </c>
      <c r="AP26"/>
      <c r="AQ26"/>
      <c r="AR26"/>
      <c r="AS26"/>
      <c r="AT26" t="s">
        <v>313</v>
      </c>
      <c r="AU26">
        <v>2004</v>
      </c>
      <c r="AV26">
        <v>38</v>
      </c>
      <c r="AW26">
        <v>4</v>
      </c>
      <c r="AX26"/>
      <c r="AY26"/>
      <c r="AZ26"/>
      <c r="BA26"/>
      <c r="BB26">
        <v>399</v>
      </c>
      <c r="BC26">
        <v>403</v>
      </c>
      <c r="BD26"/>
      <c r="BE26" t="s">
        <v>314</v>
      </c>
      <c r="BF26" t="str">
        <f>HYPERLINK("http://dx.doi.org/10.1023/B:TFCE.0000036967.86553.56","http://dx.doi.org/10.1023/B:TFCE.0000036967.86553.56")</f>
        <v>http://dx.doi.org/10.1023/B:TFCE.0000036967.86553.56</v>
      </c>
      <c r="BG26"/>
      <c r="BH26"/>
      <c r="BI26"/>
      <c r="BJ26"/>
      <c r="BK26"/>
      <c r="BL26"/>
      <c r="BM26"/>
      <c r="BN26"/>
      <c r="BO26"/>
      <c r="BP26"/>
      <c r="BQ26"/>
      <c r="BR26"/>
      <c r="BS26" t="s">
        <v>315</v>
      </c>
      <c r="BT26" t="str">
        <f>HYPERLINK("https%3A%2F%2Fwww.webofscience.com%2Fwos%2Fwoscc%2Ffull-record%2FWOS:000223571800010","View Full Record in Web of Science")</f>
        <v>View Full Record in Web of Science</v>
      </c>
    </row>
    <row r="27" spans="1:75" customHeight="1" ht="12.75">
      <c r="A27" t="s">
        <v>72</v>
      </c>
      <c r="B27" t="s">
        <v>316</v>
      </c>
      <c r="C27"/>
      <c r="D27"/>
      <c r="E27"/>
      <c r="F27" t="s">
        <v>317</v>
      </c>
      <c r="G27"/>
      <c r="H27"/>
      <c r="I27" t="s">
        <v>318</v>
      </c>
      <c r="J27" t="s">
        <v>204</v>
      </c>
      <c r="K27"/>
      <c r="L27"/>
      <c r="M27"/>
      <c r="N27"/>
      <c r="O27"/>
      <c r="P27"/>
      <c r="Q27"/>
      <c r="R27"/>
      <c r="S27"/>
      <c r="T27"/>
      <c r="U27"/>
      <c r="V27"/>
      <c r="W27"/>
      <c r="X27"/>
      <c r="Y27"/>
      <c r="Z27"/>
      <c r="AA27"/>
      <c r="AB27"/>
      <c r="AC27"/>
      <c r="AD27"/>
      <c r="AE27"/>
      <c r="AF27"/>
      <c r="AG27"/>
      <c r="AH27"/>
      <c r="AI27"/>
      <c r="AJ27"/>
      <c r="AK27"/>
      <c r="AL27"/>
      <c r="AM27"/>
      <c r="AN27"/>
      <c r="AO27" t="s">
        <v>205</v>
      </c>
      <c r="AP27" t="s">
        <v>206</v>
      </c>
      <c r="AQ27"/>
      <c r="AR27"/>
      <c r="AS27"/>
      <c r="AT27" t="s">
        <v>319</v>
      </c>
      <c r="AU27">
        <v>2022</v>
      </c>
      <c r="AV27">
        <v>24</v>
      </c>
      <c r="AW27">
        <v>9</v>
      </c>
      <c r="AX27"/>
      <c r="AY27"/>
      <c r="AZ27"/>
      <c r="BA27"/>
      <c r="BB27">
        <v>11</v>
      </c>
      <c r="BC27">
        <v>42</v>
      </c>
      <c r="BD27"/>
      <c r="BE27" t="s">
        <v>320</v>
      </c>
      <c r="BF27" t="str">
        <f>HYPERLINK("http://dx.doi.org/10.17853/1994-5639-2022-9-11-42","http://dx.doi.org/10.17853/1994-5639-2022-9-11-42")</f>
        <v>http://dx.doi.org/10.17853/1994-5639-2022-9-11-42</v>
      </c>
      <c r="BG27"/>
      <c r="BH27"/>
      <c r="BI27"/>
      <c r="BJ27"/>
      <c r="BK27"/>
      <c r="BL27"/>
      <c r="BM27"/>
      <c r="BN27"/>
      <c r="BO27"/>
      <c r="BP27"/>
      <c r="BQ27"/>
      <c r="BR27"/>
      <c r="BS27" t="s">
        <v>321</v>
      </c>
      <c r="BT27" t="str">
        <f>HYPERLINK("https%3A%2F%2Fwww.webofscience.com%2Fwos%2Fwoscc%2Ffull-record%2FWOS:000926386400001","View Full Record in Web of Science")</f>
        <v>View Full Record in Web of Science</v>
      </c>
    </row>
    <row r="28" spans="1:75" customHeight="1" ht="12.75">
      <c r="A28" t="s">
        <v>72</v>
      </c>
      <c r="B28" t="s">
        <v>322</v>
      </c>
      <c r="C28"/>
      <c r="D28"/>
      <c r="E28"/>
      <c r="F28" t="s">
        <v>323</v>
      </c>
      <c r="G28"/>
      <c r="H28"/>
      <c r="I28" t="s">
        <v>324</v>
      </c>
      <c r="J28" t="s">
        <v>325</v>
      </c>
      <c r="K28"/>
      <c r="L28"/>
      <c r="M28"/>
      <c r="N28"/>
      <c r="O28"/>
      <c r="P28"/>
      <c r="Q28"/>
      <c r="R28"/>
      <c r="S28"/>
      <c r="T28"/>
      <c r="U28"/>
      <c r="V28"/>
      <c r="W28"/>
      <c r="X28"/>
      <c r="Y28"/>
      <c r="Z28"/>
      <c r="AA28" t="s">
        <v>326</v>
      </c>
      <c r="AB28" t="s">
        <v>327</v>
      </c>
      <c r="AC28"/>
      <c r="AD28"/>
      <c r="AE28"/>
      <c r="AF28"/>
      <c r="AG28"/>
      <c r="AH28"/>
      <c r="AI28"/>
      <c r="AJ28"/>
      <c r="AK28"/>
      <c r="AL28"/>
      <c r="AM28"/>
      <c r="AN28"/>
      <c r="AO28" t="s">
        <v>328</v>
      </c>
      <c r="AP28" t="s">
        <v>329</v>
      </c>
      <c r="AQ28"/>
      <c r="AR28"/>
      <c r="AS28"/>
      <c r="AT28"/>
      <c r="AU28">
        <v>2022</v>
      </c>
      <c r="AV28">
        <v>16</v>
      </c>
      <c r="AW28">
        <v>3</v>
      </c>
      <c r="AX28"/>
      <c r="AY28"/>
      <c r="AZ28"/>
      <c r="BA28"/>
      <c r="BB28">
        <v>955</v>
      </c>
      <c r="BC28">
        <v>968</v>
      </c>
      <c r="BD28"/>
      <c r="BE28" t="s">
        <v>330</v>
      </c>
      <c r="BF28" t="str">
        <f>HYPERLINK("http://dx.doi.org/10.24874/IJQR16.03-20","http://dx.doi.org/10.24874/IJQR16.03-20")</f>
        <v>http://dx.doi.org/10.24874/IJQR16.03-20</v>
      </c>
      <c r="BG28"/>
      <c r="BH28"/>
      <c r="BI28"/>
      <c r="BJ28"/>
      <c r="BK28"/>
      <c r="BL28"/>
      <c r="BM28"/>
      <c r="BN28"/>
      <c r="BO28"/>
      <c r="BP28"/>
      <c r="BQ28"/>
      <c r="BR28"/>
      <c r="BS28" t="s">
        <v>331</v>
      </c>
      <c r="BT28" t="str">
        <f>HYPERLINK("https%3A%2F%2Fwww.webofscience.com%2Fwos%2Fwoscc%2Ffull-record%2FWOS:000891387700001","View Full Record in Web of Science")</f>
        <v>View Full Record in Web of Science</v>
      </c>
    </row>
    <row r="29" spans="1:75" customHeight="1" ht="12.75">
      <c r="A29" t="s">
        <v>72</v>
      </c>
      <c r="B29" t="s">
        <v>332</v>
      </c>
      <c r="C29"/>
      <c r="D29"/>
      <c r="E29"/>
      <c r="F29" t="s">
        <v>333</v>
      </c>
      <c r="G29"/>
      <c r="H29"/>
      <c r="I29" t="s">
        <v>334</v>
      </c>
      <c r="J29" t="s">
        <v>335</v>
      </c>
      <c r="K29"/>
      <c r="L29"/>
      <c r="M29"/>
      <c r="N29"/>
      <c r="O29"/>
      <c r="P29"/>
      <c r="Q29"/>
      <c r="R29"/>
      <c r="S29"/>
      <c r="T29"/>
      <c r="U29"/>
      <c r="V29"/>
      <c r="W29"/>
      <c r="X29"/>
      <c r="Y29"/>
      <c r="Z29"/>
      <c r="AA29"/>
      <c r="AB29" t="s">
        <v>336</v>
      </c>
      <c r="AC29"/>
      <c r="AD29"/>
      <c r="AE29"/>
      <c r="AF29"/>
      <c r="AG29"/>
      <c r="AH29"/>
      <c r="AI29"/>
      <c r="AJ29"/>
      <c r="AK29"/>
      <c r="AL29"/>
      <c r="AM29"/>
      <c r="AN29"/>
      <c r="AO29" t="s">
        <v>337</v>
      </c>
      <c r="AP29"/>
      <c r="AQ29"/>
      <c r="AR29"/>
      <c r="AS29"/>
      <c r="AT29" t="s">
        <v>338</v>
      </c>
      <c r="AU29">
        <v>2020</v>
      </c>
      <c r="AV29">
        <v>7</v>
      </c>
      <c r="AW29"/>
      <c r="AX29"/>
      <c r="AY29"/>
      <c r="AZ29" t="s">
        <v>339</v>
      </c>
      <c r="BA29"/>
      <c r="BB29">
        <v>255</v>
      </c>
      <c r="BC29">
        <v>273</v>
      </c>
      <c r="BD29"/>
      <c r="BE29"/>
      <c r="BF29"/>
      <c r="BG29"/>
      <c r="BH29"/>
      <c r="BI29"/>
      <c r="BJ29"/>
      <c r="BK29"/>
      <c r="BL29"/>
      <c r="BM29"/>
      <c r="BN29"/>
      <c r="BO29"/>
      <c r="BP29"/>
      <c r="BQ29"/>
      <c r="BR29"/>
      <c r="BS29" t="s">
        <v>340</v>
      </c>
      <c r="BT29" t="str">
        <f>HYPERLINK("https%3A%2F%2Fwww.webofscience.com%2Fwos%2Fwoscc%2Ffull-record%2FWOS:000583771900020","View Full Record in Web of Science")</f>
        <v>View Full Record in Web of Science</v>
      </c>
    </row>
    <row r="30" spans="1:75" customHeight="1" ht="12.75">
      <c r="A30" t="s">
        <v>72</v>
      </c>
      <c r="B30" t="s">
        <v>341</v>
      </c>
      <c r="C30"/>
      <c r="D30"/>
      <c r="E30"/>
      <c r="F30" t="s">
        <v>342</v>
      </c>
      <c r="G30"/>
      <c r="H30"/>
      <c r="I30" t="s">
        <v>343</v>
      </c>
      <c r="J30" t="s">
        <v>244</v>
      </c>
      <c r="K30"/>
      <c r="L30"/>
      <c r="M30"/>
      <c r="N30"/>
      <c r="O30"/>
      <c r="P30"/>
      <c r="Q30"/>
      <c r="R30"/>
      <c r="S30"/>
      <c r="T30"/>
      <c r="U30"/>
      <c r="V30"/>
      <c r="W30"/>
      <c r="X30"/>
      <c r="Y30"/>
      <c r="Z30"/>
      <c r="AA30" t="s">
        <v>344</v>
      </c>
      <c r="AB30" t="s">
        <v>345</v>
      </c>
      <c r="AC30"/>
      <c r="AD30"/>
      <c r="AE30"/>
      <c r="AF30"/>
      <c r="AG30"/>
      <c r="AH30"/>
      <c r="AI30"/>
      <c r="AJ30"/>
      <c r="AK30"/>
      <c r="AL30"/>
      <c r="AM30"/>
      <c r="AN30"/>
      <c r="AO30" t="s">
        <v>245</v>
      </c>
      <c r="AP30" t="s">
        <v>246</v>
      </c>
      <c r="AQ30"/>
      <c r="AR30"/>
      <c r="AS30"/>
      <c r="AT30"/>
      <c r="AU30">
        <v>2020</v>
      </c>
      <c r="AV30"/>
      <c r="AW30">
        <v>10</v>
      </c>
      <c r="AX30">
        <v>3</v>
      </c>
      <c r="AY30"/>
      <c r="AZ30"/>
      <c r="BA30"/>
      <c r="BB30">
        <v>182</v>
      </c>
      <c r="BC30">
        <v>190</v>
      </c>
      <c r="BD30"/>
      <c r="BE30" t="s">
        <v>346</v>
      </c>
      <c r="BF30" t="str">
        <f>HYPERLINK("http://dx.doi.org/10.31166/VoprosyIstorii202010Staty165","http://dx.doi.org/10.31166/VoprosyIstorii202010Staty165")</f>
        <v>http://dx.doi.org/10.31166/VoprosyIstorii202010Staty165</v>
      </c>
      <c r="BG30"/>
      <c r="BH30"/>
      <c r="BI30"/>
      <c r="BJ30"/>
      <c r="BK30"/>
      <c r="BL30"/>
      <c r="BM30"/>
      <c r="BN30"/>
      <c r="BO30"/>
      <c r="BP30"/>
      <c r="BQ30"/>
      <c r="BR30"/>
      <c r="BS30" t="s">
        <v>347</v>
      </c>
      <c r="BT30" t="str">
        <f>HYPERLINK("https%3A%2F%2Fwww.webofscience.com%2Fwos%2Fwoscc%2Ffull-record%2FWOS:000605445300016","View Full Record in Web of Science")</f>
        <v>View Full Record in Web of Science</v>
      </c>
    </row>
    <row r="31" spans="1:75" customHeight="1" ht="12.75">
      <c r="A31" t="s">
        <v>72</v>
      </c>
      <c r="B31" t="s">
        <v>348</v>
      </c>
      <c r="C31"/>
      <c r="D31"/>
      <c r="E31"/>
      <c r="F31" t="s">
        <v>349</v>
      </c>
      <c r="G31"/>
      <c r="H31"/>
      <c r="I31" t="s">
        <v>350</v>
      </c>
      <c r="J31" t="s">
        <v>325</v>
      </c>
      <c r="K31"/>
      <c r="L31"/>
      <c r="M31"/>
      <c r="N31"/>
      <c r="O31"/>
      <c r="P31"/>
      <c r="Q31"/>
      <c r="R31"/>
      <c r="S31"/>
      <c r="T31"/>
      <c r="U31"/>
      <c r="V31"/>
      <c r="W31"/>
      <c r="X31"/>
      <c r="Y31"/>
      <c r="Z31"/>
      <c r="AA31"/>
      <c r="AB31"/>
      <c r="AC31"/>
      <c r="AD31"/>
      <c r="AE31"/>
      <c r="AF31"/>
      <c r="AG31"/>
      <c r="AH31"/>
      <c r="AI31"/>
      <c r="AJ31"/>
      <c r="AK31"/>
      <c r="AL31"/>
      <c r="AM31"/>
      <c r="AN31"/>
      <c r="AO31" t="s">
        <v>328</v>
      </c>
      <c r="AP31" t="s">
        <v>329</v>
      </c>
      <c r="AQ31"/>
      <c r="AR31"/>
      <c r="AS31"/>
      <c r="AT31"/>
      <c r="AU31">
        <v>2020</v>
      </c>
      <c r="AV31">
        <v>14</v>
      </c>
      <c r="AW31">
        <v>2</v>
      </c>
      <c r="AX31"/>
      <c r="AY31"/>
      <c r="AZ31"/>
      <c r="BA31"/>
      <c r="BB31">
        <v>523</v>
      </c>
      <c r="BC31">
        <v>541</v>
      </c>
      <c r="BD31"/>
      <c r="BE31" t="s">
        <v>351</v>
      </c>
      <c r="BF31" t="str">
        <f>HYPERLINK("http://dx.doi.org/10.24874/IJQR14.02-12","http://dx.doi.org/10.24874/IJQR14.02-12")</f>
        <v>http://dx.doi.org/10.24874/IJQR14.02-12</v>
      </c>
      <c r="BG31"/>
      <c r="BH31"/>
      <c r="BI31"/>
      <c r="BJ31"/>
      <c r="BK31"/>
      <c r="BL31"/>
      <c r="BM31"/>
      <c r="BN31"/>
      <c r="BO31"/>
      <c r="BP31"/>
      <c r="BQ31"/>
      <c r="BR31"/>
      <c r="BS31" t="s">
        <v>352</v>
      </c>
      <c r="BT31" t="str">
        <f>HYPERLINK("https%3A%2F%2Fwww.webofscience.com%2Fwos%2Fwoscc%2Ffull-record%2FWOS:000531047700012","View Full Record in Web of Science")</f>
        <v>View Full Record in Web of Science</v>
      </c>
    </row>
    <row r="32" spans="1:75" customHeight="1" ht="12.75">
      <c r="A32" t="s">
        <v>72</v>
      </c>
      <c r="B32" t="s">
        <v>353</v>
      </c>
      <c r="C32"/>
      <c r="D32"/>
      <c r="E32"/>
      <c r="F32" t="s">
        <v>354</v>
      </c>
      <c r="G32"/>
      <c r="H32"/>
      <c r="I32" t="s">
        <v>355</v>
      </c>
      <c r="J32" t="s">
        <v>95</v>
      </c>
      <c r="K32"/>
      <c r="L32"/>
      <c r="M32"/>
      <c r="N32"/>
      <c r="O32"/>
      <c r="P32"/>
      <c r="Q32"/>
      <c r="R32"/>
      <c r="S32"/>
      <c r="T32"/>
      <c r="U32"/>
      <c r="V32"/>
      <c r="W32"/>
      <c r="X32"/>
      <c r="Y32"/>
      <c r="Z32"/>
      <c r="AA32"/>
      <c r="AB32"/>
      <c r="AC32"/>
      <c r="AD32"/>
      <c r="AE32"/>
      <c r="AF32"/>
      <c r="AG32"/>
      <c r="AH32"/>
      <c r="AI32"/>
      <c r="AJ32"/>
      <c r="AK32"/>
      <c r="AL32"/>
      <c r="AM32"/>
      <c r="AN32"/>
      <c r="AO32" t="s">
        <v>98</v>
      </c>
      <c r="AP32" t="s">
        <v>99</v>
      </c>
      <c r="AQ32"/>
      <c r="AR32"/>
      <c r="AS32"/>
      <c r="AT32"/>
      <c r="AU32">
        <v>2020</v>
      </c>
      <c r="AV32"/>
      <c r="AW32">
        <v>2</v>
      </c>
      <c r="AX32"/>
      <c r="AY32"/>
      <c r="AZ32"/>
      <c r="BA32"/>
      <c r="BB32">
        <v>57</v>
      </c>
      <c r="BC32">
        <v>63</v>
      </c>
      <c r="BD32"/>
      <c r="BE32" t="s">
        <v>356</v>
      </c>
      <c r="BF32" t="str">
        <f>HYPERLINK("http://dx.doi.org/10.25750/1995-4301-2020-2-057-063","http://dx.doi.org/10.25750/1995-4301-2020-2-057-063")</f>
        <v>http://dx.doi.org/10.25750/1995-4301-2020-2-057-063</v>
      </c>
      <c r="BG32"/>
      <c r="BH32"/>
      <c r="BI32"/>
      <c r="BJ32"/>
      <c r="BK32"/>
      <c r="BL32"/>
      <c r="BM32"/>
      <c r="BN32"/>
      <c r="BO32"/>
      <c r="BP32"/>
      <c r="BQ32"/>
      <c r="BR32"/>
      <c r="BS32" t="s">
        <v>357</v>
      </c>
      <c r="BT32" t="str">
        <f>HYPERLINK("https%3A%2F%2Fwww.webofscience.com%2Fwos%2Fwoscc%2Ffull-record%2FWOS:000545295600007","View Full Record in Web of Science")</f>
        <v>View Full Record in Web of Science</v>
      </c>
    </row>
    <row r="33" spans="1:75" customHeight="1" ht="12.75">
      <c r="A33" t="s">
        <v>147</v>
      </c>
      <c r="B33" t="s">
        <v>358</v>
      </c>
      <c r="C33"/>
      <c r="D33"/>
      <c r="E33" t="s">
        <v>210</v>
      </c>
      <c r="F33" t="s">
        <v>359</v>
      </c>
      <c r="G33"/>
      <c r="H33"/>
      <c r="I33" t="s">
        <v>360</v>
      </c>
      <c r="J33" t="s">
        <v>361</v>
      </c>
      <c r="K33" t="s">
        <v>362</v>
      </c>
      <c r="L33"/>
      <c r="M33"/>
      <c r="N33"/>
      <c r="O33" t="s">
        <v>363</v>
      </c>
      <c r="P33" t="s">
        <v>364</v>
      </c>
      <c r="Q33" t="s">
        <v>365</v>
      </c>
      <c r="R33" t="s">
        <v>366</v>
      </c>
      <c r="S33"/>
      <c r="T33"/>
      <c r="U33"/>
      <c r="V33"/>
      <c r="W33"/>
      <c r="X33"/>
      <c r="Y33"/>
      <c r="Z33"/>
      <c r="AA33" t="s">
        <v>367</v>
      </c>
      <c r="AB33" t="s">
        <v>368</v>
      </c>
      <c r="AC33"/>
      <c r="AD33"/>
      <c r="AE33"/>
      <c r="AF33"/>
      <c r="AG33"/>
      <c r="AH33"/>
      <c r="AI33"/>
      <c r="AJ33"/>
      <c r="AK33"/>
      <c r="AL33"/>
      <c r="AM33"/>
      <c r="AN33"/>
      <c r="AO33" t="s">
        <v>369</v>
      </c>
      <c r="AP33" t="s">
        <v>370</v>
      </c>
      <c r="AQ33" t="s">
        <v>371</v>
      </c>
      <c r="AR33"/>
      <c r="AS33"/>
      <c r="AT33"/>
      <c r="AU33">
        <v>2020</v>
      </c>
      <c r="AV33"/>
      <c r="AW33"/>
      <c r="AX33"/>
      <c r="AY33"/>
      <c r="AZ33"/>
      <c r="BA33"/>
      <c r="BB33">
        <v>291</v>
      </c>
      <c r="BC33">
        <v>296</v>
      </c>
      <c r="BD33"/>
      <c r="BE33"/>
      <c r="BF33"/>
      <c r="BG33"/>
      <c r="BH33"/>
      <c r="BI33"/>
      <c r="BJ33"/>
      <c r="BK33"/>
      <c r="BL33"/>
      <c r="BM33"/>
      <c r="BN33"/>
      <c r="BO33"/>
      <c r="BP33"/>
      <c r="BQ33"/>
      <c r="BR33"/>
      <c r="BS33" t="s">
        <v>372</v>
      </c>
      <c r="BT33" t="str">
        <f>HYPERLINK("https%3A%2F%2Fwww.webofscience.com%2Fwos%2Fwoscc%2Ffull-record%2FWOS:000590125300040","View Full Record in Web of Science")</f>
        <v>View Full Record in Web of Science</v>
      </c>
    </row>
    <row r="34" spans="1:75" customHeight="1" ht="12.75">
      <c r="A34" t="s">
        <v>147</v>
      </c>
      <c r="B34" t="s">
        <v>373</v>
      </c>
      <c r="C34"/>
      <c r="D34" t="s">
        <v>149</v>
      </c>
      <c r="E34"/>
      <c r="F34" t="s">
        <v>374</v>
      </c>
      <c r="G34"/>
      <c r="H34"/>
      <c r="I34" t="s">
        <v>375</v>
      </c>
      <c r="J34" t="s">
        <v>152</v>
      </c>
      <c r="K34" t="s">
        <v>153</v>
      </c>
      <c r="L34"/>
      <c r="M34"/>
      <c r="N34"/>
      <c r="O34" t="s">
        <v>154</v>
      </c>
      <c r="P34" t="s">
        <v>155</v>
      </c>
      <c r="Q34" t="s">
        <v>156</v>
      </c>
      <c r="R34" t="s">
        <v>157</v>
      </c>
      <c r="S34"/>
      <c r="T34"/>
      <c r="U34"/>
      <c r="V34"/>
      <c r="W34"/>
      <c r="X34"/>
      <c r="Y34"/>
      <c r="Z34"/>
      <c r="AA34"/>
      <c r="AB34"/>
      <c r="AC34"/>
      <c r="AD34"/>
      <c r="AE34"/>
      <c r="AF34"/>
      <c r="AG34"/>
      <c r="AH34"/>
      <c r="AI34"/>
      <c r="AJ34"/>
      <c r="AK34"/>
      <c r="AL34"/>
      <c r="AM34"/>
      <c r="AN34"/>
      <c r="AO34" t="s">
        <v>158</v>
      </c>
      <c r="AP34" t="s">
        <v>159</v>
      </c>
      <c r="AQ34" t="s">
        <v>160</v>
      </c>
      <c r="AR34"/>
      <c r="AS34"/>
      <c r="AT34"/>
      <c r="AU34">
        <v>2020</v>
      </c>
      <c r="AV34">
        <v>641</v>
      </c>
      <c r="AW34"/>
      <c r="AX34"/>
      <c r="AY34"/>
      <c r="AZ34"/>
      <c r="BA34"/>
      <c r="BB34">
        <v>637</v>
      </c>
      <c r="BC34">
        <v>646</v>
      </c>
      <c r="BD34"/>
      <c r="BE34" t="s">
        <v>376</v>
      </c>
      <c r="BF34" t="str">
        <f>HYPERLINK("http://dx.doi.org/10.1007/978-3-030-39225-3_70","http://dx.doi.org/10.1007/978-3-030-39225-3_70")</f>
        <v>http://dx.doi.org/10.1007/978-3-030-39225-3_70</v>
      </c>
      <c r="BG34"/>
      <c r="BH34"/>
      <c r="BI34"/>
      <c r="BJ34"/>
      <c r="BK34"/>
      <c r="BL34"/>
      <c r="BM34"/>
      <c r="BN34"/>
      <c r="BO34"/>
      <c r="BP34"/>
      <c r="BQ34"/>
      <c r="BR34"/>
      <c r="BS34" t="s">
        <v>377</v>
      </c>
      <c r="BT34" t="str">
        <f>HYPERLINK("https%3A%2F%2Fwww.webofscience.com%2Fwos%2Fwoscc%2Ffull-record%2FWOS:000675525300070","View Full Record in Web of Science")</f>
        <v>View Full Record in Web of Science</v>
      </c>
    </row>
    <row r="35" spans="1:75" customHeight="1" ht="12.75">
      <c r="A35" t="s">
        <v>72</v>
      </c>
      <c r="B35" t="s">
        <v>378</v>
      </c>
      <c r="C35"/>
      <c r="D35"/>
      <c r="E35"/>
      <c r="F35" t="s">
        <v>379</v>
      </c>
      <c r="G35"/>
      <c r="H35"/>
      <c r="I35" t="s">
        <v>380</v>
      </c>
      <c r="J35" t="s">
        <v>381</v>
      </c>
      <c r="K35"/>
      <c r="L35"/>
      <c r="M35"/>
      <c r="N35"/>
      <c r="O35"/>
      <c r="P35"/>
      <c r="Q35"/>
      <c r="R35"/>
      <c r="S35"/>
      <c r="T35"/>
      <c r="U35"/>
      <c r="V35"/>
      <c r="W35"/>
      <c r="X35"/>
      <c r="Y35"/>
      <c r="Z35"/>
      <c r="AA35"/>
      <c r="AB35"/>
      <c r="AC35"/>
      <c r="AD35"/>
      <c r="AE35"/>
      <c r="AF35"/>
      <c r="AG35"/>
      <c r="AH35"/>
      <c r="AI35"/>
      <c r="AJ35"/>
      <c r="AK35"/>
      <c r="AL35"/>
      <c r="AM35"/>
      <c r="AN35"/>
      <c r="AO35" t="s">
        <v>382</v>
      </c>
      <c r="AP35"/>
      <c r="AQ35"/>
      <c r="AR35"/>
      <c r="AS35"/>
      <c r="AT35" t="s">
        <v>383</v>
      </c>
      <c r="AU35">
        <v>2019</v>
      </c>
      <c r="AV35">
        <v>11</v>
      </c>
      <c r="AW35">
        <v>43</v>
      </c>
      <c r="AX35"/>
      <c r="AY35"/>
      <c r="AZ35"/>
      <c r="BA35"/>
      <c r="BB35">
        <v>229</v>
      </c>
      <c r="BC35">
        <v>234</v>
      </c>
      <c r="BD35"/>
      <c r="BE35"/>
      <c r="BF35"/>
      <c r="BG35"/>
      <c r="BH35"/>
      <c r="BI35"/>
      <c r="BJ35"/>
      <c r="BK35"/>
      <c r="BL35"/>
      <c r="BM35"/>
      <c r="BN35"/>
      <c r="BO35"/>
      <c r="BP35"/>
      <c r="BQ35"/>
      <c r="BR35"/>
      <c r="BS35" t="s">
        <v>384</v>
      </c>
      <c r="BT35" t="str">
        <f>HYPERLINK("https%3A%2F%2Fwww.webofscience.com%2Fwos%2Fwoscc%2Ffull-record%2FWOS:000458750500010","View Full Record in Web of Science")</f>
        <v>View Full Record in Web of Science</v>
      </c>
    </row>
    <row r="36" spans="1:75" customHeight="1" ht="12.75">
      <c r="A36" t="s">
        <v>147</v>
      </c>
      <c r="B36" t="s">
        <v>385</v>
      </c>
      <c r="C36"/>
      <c r="D36" t="s">
        <v>386</v>
      </c>
      <c r="E36"/>
      <c r="F36" t="s">
        <v>387</v>
      </c>
      <c r="G36"/>
      <c r="H36"/>
      <c r="I36" t="s">
        <v>388</v>
      </c>
      <c r="J36" t="s">
        <v>389</v>
      </c>
      <c r="K36" t="s">
        <v>390</v>
      </c>
      <c r="L36"/>
      <c r="M36"/>
      <c r="N36"/>
      <c r="O36" t="s">
        <v>391</v>
      </c>
      <c r="P36" t="s">
        <v>392</v>
      </c>
      <c r="Q36" t="s">
        <v>393</v>
      </c>
      <c r="R36" t="s">
        <v>394</v>
      </c>
      <c r="S36"/>
      <c r="T36"/>
      <c r="U36"/>
      <c r="V36"/>
      <c r="W36"/>
      <c r="X36"/>
      <c r="Y36"/>
      <c r="Z36"/>
      <c r="AA36" t="s">
        <v>367</v>
      </c>
      <c r="AB36" t="s">
        <v>368</v>
      </c>
      <c r="AC36"/>
      <c r="AD36"/>
      <c r="AE36"/>
      <c r="AF36"/>
      <c r="AG36"/>
      <c r="AH36"/>
      <c r="AI36"/>
      <c r="AJ36"/>
      <c r="AK36"/>
      <c r="AL36"/>
      <c r="AM36"/>
      <c r="AN36"/>
      <c r="AO36" t="s">
        <v>395</v>
      </c>
      <c r="AP36"/>
      <c r="AQ36" t="s">
        <v>396</v>
      </c>
      <c r="AR36"/>
      <c r="AS36"/>
      <c r="AT36"/>
      <c r="AU36">
        <v>2019</v>
      </c>
      <c r="AV36"/>
      <c r="AW36"/>
      <c r="AX36"/>
      <c r="AY36"/>
      <c r="AZ36"/>
      <c r="BA36"/>
      <c r="BB36">
        <v>493</v>
      </c>
      <c r="BC36">
        <v>496</v>
      </c>
      <c r="BD36"/>
      <c r="BE36"/>
      <c r="BF36"/>
      <c r="BG36"/>
      <c r="BH36"/>
      <c r="BI36"/>
      <c r="BJ36"/>
      <c r="BK36"/>
      <c r="BL36"/>
      <c r="BM36"/>
      <c r="BN36"/>
      <c r="BO36"/>
      <c r="BP36"/>
      <c r="BQ36"/>
      <c r="BR36"/>
      <c r="BS36" t="s">
        <v>397</v>
      </c>
      <c r="BT36" t="str">
        <f>HYPERLINK("https%3A%2F%2Fwww.webofscience.com%2Fwos%2Fwoscc%2Ffull-record%2FWOS:000492146100119","View Full Record in Web of Science")</f>
        <v>View Full Record in Web of Science</v>
      </c>
    </row>
    <row r="37" spans="1:75" customHeight="1" ht="12.75">
      <c r="A37" t="s">
        <v>72</v>
      </c>
      <c r="B37" t="s">
        <v>398</v>
      </c>
      <c r="C37"/>
      <c r="D37"/>
      <c r="E37"/>
      <c r="F37" t="s">
        <v>399</v>
      </c>
      <c r="G37"/>
      <c r="H37"/>
      <c r="I37" t="s">
        <v>400</v>
      </c>
      <c r="J37" t="s">
        <v>194</v>
      </c>
      <c r="K37"/>
      <c r="L37"/>
      <c r="M37"/>
      <c r="N37"/>
      <c r="O37"/>
      <c r="P37"/>
      <c r="Q37"/>
      <c r="R37"/>
      <c r="S37"/>
      <c r="T37"/>
      <c r="U37"/>
      <c r="V37"/>
      <c r="W37"/>
      <c r="X37"/>
      <c r="Y37"/>
      <c r="Z37"/>
      <c r="AA37" t="s">
        <v>401</v>
      </c>
      <c r="AB37" t="s">
        <v>402</v>
      </c>
      <c r="AC37"/>
      <c r="AD37"/>
      <c r="AE37"/>
      <c r="AF37"/>
      <c r="AG37"/>
      <c r="AH37"/>
      <c r="AI37"/>
      <c r="AJ37"/>
      <c r="AK37"/>
      <c r="AL37"/>
      <c r="AM37"/>
      <c r="AN37"/>
      <c r="AO37" t="s">
        <v>196</v>
      </c>
      <c r="AP37" t="s">
        <v>197</v>
      </c>
      <c r="AQ37"/>
      <c r="AR37"/>
      <c r="AS37"/>
      <c r="AT37" t="s">
        <v>403</v>
      </c>
      <c r="AU37">
        <v>2018</v>
      </c>
      <c r="AV37">
        <v>18</v>
      </c>
      <c r="AW37"/>
      <c r="AX37"/>
      <c r="AY37"/>
      <c r="AZ37"/>
      <c r="BA37"/>
      <c r="BB37">
        <v>152</v>
      </c>
      <c r="BC37">
        <v>168</v>
      </c>
      <c r="BD37"/>
      <c r="BE37" t="s">
        <v>404</v>
      </c>
      <c r="BF37" t="str">
        <f>HYPERLINK("http://dx.doi.org/10.17223/23062061/18/8","http://dx.doi.org/10.17223/23062061/18/8")</f>
        <v>http://dx.doi.org/10.17223/23062061/18/8</v>
      </c>
      <c r="BG37"/>
      <c r="BH37"/>
      <c r="BI37"/>
      <c r="BJ37"/>
      <c r="BK37"/>
      <c r="BL37"/>
      <c r="BM37"/>
      <c r="BN37"/>
      <c r="BO37"/>
      <c r="BP37"/>
      <c r="BQ37"/>
      <c r="BR37"/>
      <c r="BS37" t="s">
        <v>405</v>
      </c>
      <c r="BT37" t="str">
        <f>HYPERLINK("https%3A%2F%2Fwww.webofscience.com%2Fwos%2Fwoscc%2Ffull-record%2FWOS:000455535400008","View Full Record in Web of Science")</f>
        <v>View Full Record in Web of Science</v>
      </c>
    </row>
    <row r="38" spans="1:75" customHeight="1" ht="12.75">
      <c r="A38" t="s">
        <v>72</v>
      </c>
      <c r="B38" t="s">
        <v>406</v>
      </c>
      <c r="C38"/>
      <c r="D38"/>
      <c r="E38"/>
      <c r="F38" t="s">
        <v>407</v>
      </c>
      <c r="G38"/>
      <c r="H38"/>
      <c r="I38" t="s">
        <v>408</v>
      </c>
      <c r="J38" t="s">
        <v>409</v>
      </c>
      <c r="K38"/>
      <c r="L38"/>
      <c r="M38"/>
      <c r="N38"/>
      <c r="O38"/>
      <c r="P38"/>
      <c r="Q38"/>
      <c r="R38"/>
      <c r="S38"/>
      <c r="T38"/>
      <c r="U38"/>
      <c r="V38"/>
      <c r="W38"/>
      <c r="X38"/>
      <c r="Y38"/>
      <c r="Z38"/>
      <c r="AA38" t="s">
        <v>410</v>
      </c>
      <c r="AB38" t="s">
        <v>411</v>
      </c>
      <c r="AC38"/>
      <c r="AD38"/>
      <c r="AE38"/>
      <c r="AF38"/>
      <c r="AG38"/>
      <c r="AH38"/>
      <c r="AI38"/>
      <c r="AJ38"/>
      <c r="AK38"/>
      <c r="AL38"/>
      <c r="AM38"/>
      <c r="AN38"/>
      <c r="AO38" t="s">
        <v>412</v>
      </c>
      <c r="AP38" t="s">
        <v>413</v>
      </c>
      <c r="AQ38"/>
      <c r="AR38"/>
      <c r="AS38"/>
      <c r="AT38" t="s">
        <v>125</v>
      </c>
      <c r="AU38">
        <v>2018</v>
      </c>
      <c r="AV38">
        <v>91</v>
      </c>
      <c r="AW38">
        <v>7</v>
      </c>
      <c r="AX38"/>
      <c r="AY38"/>
      <c r="AZ38"/>
      <c r="BA38"/>
      <c r="BB38">
        <v>1188</v>
      </c>
      <c r="BC38">
        <v>1192</v>
      </c>
      <c r="BD38"/>
      <c r="BE38" t="s">
        <v>414</v>
      </c>
      <c r="BF38" t="str">
        <f>HYPERLINK("http://dx.doi.org/10.1134/S1070427218070182","http://dx.doi.org/10.1134/S1070427218070182")</f>
        <v>http://dx.doi.org/10.1134/S1070427218070182</v>
      </c>
      <c r="BG38"/>
      <c r="BH38"/>
      <c r="BI38"/>
      <c r="BJ38"/>
      <c r="BK38"/>
      <c r="BL38"/>
      <c r="BM38"/>
      <c r="BN38"/>
      <c r="BO38"/>
      <c r="BP38"/>
      <c r="BQ38"/>
      <c r="BR38"/>
      <c r="BS38" t="s">
        <v>415</v>
      </c>
      <c r="BT38" t="str">
        <f>HYPERLINK("https%3A%2F%2Fwww.webofscience.com%2Fwos%2Fwoscc%2Ffull-record%2FWOS:000447673400018","View Full Record in Web of Science")</f>
        <v>View Full Record in Web of Science</v>
      </c>
    </row>
    <row r="39" spans="1:75" customHeight="1" ht="12.75">
      <c r="A39" t="s">
        <v>147</v>
      </c>
      <c r="B39" t="s">
        <v>416</v>
      </c>
      <c r="C39"/>
      <c r="D39"/>
      <c r="E39" t="s">
        <v>210</v>
      </c>
      <c r="F39" t="s">
        <v>417</v>
      </c>
      <c r="G39"/>
      <c r="H39"/>
      <c r="I39" t="s">
        <v>418</v>
      </c>
      <c r="J39" t="s">
        <v>419</v>
      </c>
      <c r="K39" t="s">
        <v>420</v>
      </c>
      <c r="L39"/>
      <c r="M39"/>
      <c r="N39"/>
      <c r="O39" t="s">
        <v>421</v>
      </c>
      <c r="P39" t="s">
        <v>422</v>
      </c>
      <c r="Q39" t="s">
        <v>423</v>
      </c>
      <c r="R39" t="s">
        <v>424</v>
      </c>
      <c r="S39"/>
      <c r="T39"/>
      <c r="U39"/>
      <c r="V39"/>
      <c r="W39"/>
      <c r="X39"/>
      <c r="Y39"/>
      <c r="Z39"/>
      <c r="AA39" t="s">
        <v>425</v>
      </c>
      <c r="AB39" t="s">
        <v>426</v>
      </c>
      <c r="AC39"/>
      <c r="AD39"/>
      <c r="AE39"/>
      <c r="AF39"/>
      <c r="AG39"/>
      <c r="AH39"/>
      <c r="AI39"/>
      <c r="AJ39"/>
      <c r="AK39"/>
      <c r="AL39"/>
      <c r="AM39"/>
      <c r="AN39"/>
      <c r="AO39" t="s">
        <v>427</v>
      </c>
      <c r="AP39" t="s">
        <v>428</v>
      </c>
      <c r="AQ39" t="s">
        <v>429</v>
      </c>
      <c r="AR39"/>
      <c r="AS39"/>
      <c r="AT39"/>
      <c r="AU39">
        <v>2018</v>
      </c>
      <c r="AV39"/>
      <c r="AW39"/>
      <c r="AX39"/>
      <c r="AY39"/>
      <c r="AZ39"/>
      <c r="BA39"/>
      <c r="BB39"/>
      <c r="BC39"/>
      <c r="BD39"/>
      <c r="BE39"/>
      <c r="BF39"/>
      <c r="BG39"/>
      <c r="BH39"/>
      <c r="BI39"/>
      <c r="BJ39"/>
      <c r="BK39"/>
      <c r="BL39"/>
      <c r="BM39"/>
      <c r="BN39"/>
      <c r="BO39"/>
      <c r="BP39"/>
      <c r="BQ39"/>
      <c r="BR39"/>
      <c r="BS39" t="s">
        <v>430</v>
      </c>
      <c r="BT39" t="str">
        <f>HYPERLINK("https%3A%2F%2Fwww.webofscience.com%2Fwos%2Fwoscc%2Ffull-record%2FWOS:000517795800002","View Full Record in Web of Science")</f>
        <v>View Full Record in Web of Science</v>
      </c>
    </row>
    <row r="40" spans="1:75" customHeight="1" ht="12.75">
      <c r="A40" t="s">
        <v>72</v>
      </c>
      <c r="B40" t="s">
        <v>431</v>
      </c>
      <c r="C40"/>
      <c r="D40"/>
      <c r="E40"/>
      <c r="F40" t="s">
        <v>432</v>
      </c>
      <c r="G40"/>
      <c r="H40"/>
      <c r="I40" t="s">
        <v>433</v>
      </c>
      <c r="J40" t="s">
        <v>434</v>
      </c>
      <c r="K40"/>
      <c r="L40"/>
      <c r="M40"/>
      <c r="N40"/>
      <c r="O40"/>
      <c r="P40"/>
      <c r="Q40"/>
      <c r="R40"/>
      <c r="S40"/>
      <c r="T40"/>
      <c r="U40"/>
      <c r="V40"/>
      <c r="W40"/>
      <c r="X40"/>
      <c r="Y40"/>
      <c r="Z40"/>
      <c r="AA40" t="s">
        <v>435</v>
      </c>
      <c r="AB40" t="s">
        <v>436</v>
      </c>
      <c r="AC40"/>
      <c r="AD40"/>
      <c r="AE40"/>
      <c r="AF40"/>
      <c r="AG40"/>
      <c r="AH40"/>
      <c r="AI40"/>
      <c r="AJ40"/>
      <c r="AK40"/>
      <c r="AL40"/>
      <c r="AM40"/>
      <c r="AN40"/>
      <c r="AO40" t="s">
        <v>437</v>
      </c>
      <c r="AP40" t="s">
        <v>438</v>
      </c>
      <c r="AQ40"/>
      <c r="AR40"/>
      <c r="AS40"/>
      <c r="AT40"/>
      <c r="AU40">
        <v>2018</v>
      </c>
      <c r="AV40"/>
      <c r="AW40">
        <v>4</v>
      </c>
      <c r="AX40"/>
      <c r="AY40"/>
      <c r="AZ40"/>
      <c r="BA40"/>
      <c r="BB40">
        <v>241</v>
      </c>
      <c r="BC40">
        <v>261</v>
      </c>
      <c r="BD40"/>
      <c r="BE40" t="s">
        <v>439</v>
      </c>
      <c r="BF40" t="str">
        <f>HYPERLINK("http://dx.doi.org/10.24833/2071-8160-2018-4-61-241-261","http://dx.doi.org/10.24833/2071-8160-2018-4-61-241-261")</f>
        <v>http://dx.doi.org/10.24833/2071-8160-2018-4-61-241-261</v>
      </c>
      <c r="BG40"/>
      <c r="BH40"/>
      <c r="BI40"/>
      <c r="BJ40"/>
      <c r="BK40"/>
      <c r="BL40"/>
      <c r="BM40"/>
      <c r="BN40"/>
      <c r="BO40"/>
      <c r="BP40"/>
      <c r="BQ40"/>
      <c r="BR40"/>
      <c r="BS40" t="s">
        <v>440</v>
      </c>
      <c r="BT40" t="str">
        <f>HYPERLINK("https%3A%2F%2Fwww.webofscience.com%2Fwos%2Fwoscc%2Ffull-record%2FWOS:000445743100013","View Full Record in Web of Science")</f>
        <v>View Full Record in Web of Science</v>
      </c>
    </row>
    <row r="41" spans="1:75" customHeight="1" ht="12.75">
      <c r="A41" t="s">
        <v>147</v>
      </c>
      <c r="B41" t="s">
        <v>441</v>
      </c>
      <c r="C41"/>
      <c r="D41" t="s">
        <v>233</v>
      </c>
      <c r="E41"/>
      <c r="F41" t="s">
        <v>442</v>
      </c>
      <c r="G41"/>
      <c r="H41"/>
      <c r="I41" t="s">
        <v>443</v>
      </c>
      <c r="J41" t="s">
        <v>444</v>
      </c>
      <c r="K41" t="s">
        <v>445</v>
      </c>
      <c r="L41"/>
      <c r="M41"/>
      <c r="N41"/>
      <c r="O41" t="s">
        <v>446</v>
      </c>
      <c r="P41" t="s">
        <v>447</v>
      </c>
      <c r="Q41" t="s">
        <v>448</v>
      </c>
      <c r="R41"/>
      <c r="S41"/>
      <c r="T41"/>
      <c r="U41"/>
      <c r="V41"/>
      <c r="W41"/>
      <c r="X41"/>
      <c r="Y41"/>
      <c r="Z41"/>
      <c r="AA41"/>
      <c r="AB41" t="s">
        <v>449</v>
      </c>
      <c r="AC41"/>
      <c r="AD41"/>
      <c r="AE41"/>
      <c r="AF41"/>
      <c r="AG41"/>
      <c r="AH41"/>
      <c r="AI41"/>
      <c r="AJ41"/>
      <c r="AK41"/>
      <c r="AL41"/>
      <c r="AM41"/>
      <c r="AN41"/>
      <c r="AO41" t="s">
        <v>450</v>
      </c>
      <c r="AP41"/>
      <c r="AQ41" t="s">
        <v>451</v>
      </c>
      <c r="AR41"/>
      <c r="AS41"/>
      <c r="AT41"/>
      <c r="AU41">
        <v>2017</v>
      </c>
      <c r="AV41"/>
      <c r="AW41"/>
      <c r="AX41"/>
      <c r="AY41"/>
      <c r="AZ41"/>
      <c r="BA41"/>
      <c r="BB41">
        <v>15</v>
      </c>
      <c r="BC41">
        <v>20</v>
      </c>
      <c r="BD41"/>
      <c r="BE41" t="s">
        <v>452</v>
      </c>
      <c r="BF41" t="str">
        <f>HYPERLINK("http://dx.doi.org/10.1007/978-3-319-60696-5_3","http://dx.doi.org/10.1007/978-3-319-60696-5_3")</f>
        <v>http://dx.doi.org/10.1007/978-3-319-60696-5_3</v>
      </c>
      <c r="BG41"/>
      <c r="BH41"/>
      <c r="BI41"/>
      <c r="BJ41"/>
      <c r="BK41"/>
      <c r="BL41"/>
      <c r="BM41"/>
      <c r="BN41"/>
      <c r="BO41"/>
      <c r="BP41"/>
      <c r="BQ41"/>
      <c r="BR41"/>
      <c r="BS41" t="s">
        <v>453</v>
      </c>
      <c r="BT41" t="str">
        <f>HYPERLINK("https%3A%2F%2Fwww.webofscience.com%2Fwos%2Fwoscc%2Ffull-record%2FWOS:000426114200003","View Full Record in Web of Science")</f>
        <v>View Full Record in Web of Science</v>
      </c>
    </row>
    <row r="42" spans="1:75" customHeight="1" ht="12.75">
      <c r="A42" t="s">
        <v>147</v>
      </c>
      <c r="B42" t="s">
        <v>454</v>
      </c>
      <c r="C42"/>
      <c r="D42" t="s">
        <v>233</v>
      </c>
      <c r="E42"/>
      <c r="F42" t="s">
        <v>455</v>
      </c>
      <c r="G42"/>
      <c r="H42"/>
      <c r="I42" t="s">
        <v>456</v>
      </c>
      <c r="J42" t="s">
        <v>444</v>
      </c>
      <c r="K42" t="s">
        <v>445</v>
      </c>
      <c r="L42"/>
      <c r="M42"/>
      <c r="N42"/>
      <c r="O42" t="s">
        <v>446</v>
      </c>
      <c r="P42" t="s">
        <v>447</v>
      </c>
      <c r="Q42" t="s">
        <v>448</v>
      </c>
      <c r="R42"/>
      <c r="S42"/>
      <c r="T42"/>
      <c r="U42"/>
      <c r="V42"/>
      <c r="W42"/>
      <c r="X42"/>
      <c r="Y42"/>
      <c r="Z42"/>
      <c r="AA42" t="s">
        <v>457</v>
      </c>
      <c r="AB42" t="s">
        <v>458</v>
      </c>
      <c r="AC42"/>
      <c r="AD42"/>
      <c r="AE42"/>
      <c r="AF42"/>
      <c r="AG42"/>
      <c r="AH42"/>
      <c r="AI42"/>
      <c r="AJ42"/>
      <c r="AK42"/>
      <c r="AL42"/>
      <c r="AM42"/>
      <c r="AN42"/>
      <c r="AO42" t="s">
        <v>450</v>
      </c>
      <c r="AP42"/>
      <c r="AQ42" t="s">
        <v>451</v>
      </c>
      <c r="AR42"/>
      <c r="AS42"/>
      <c r="AT42"/>
      <c r="AU42">
        <v>2017</v>
      </c>
      <c r="AV42"/>
      <c r="AW42"/>
      <c r="AX42"/>
      <c r="AY42"/>
      <c r="AZ42"/>
      <c r="BA42"/>
      <c r="BB42">
        <v>565</v>
      </c>
      <c r="BC42">
        <v>574</v>
      </c>
      <c r="BD42"/>
      <c r="BE42" t="s">
        <v>459</v>
      </c>
      <c r="BF42" t="str">
        <f>HYPERLINK("http://dx.doi.org/10.1007/978-3-319-60696-5_71","http://dx.doi.org/10.1007/978-3-319-60696-5_71")</f>
        <v>http://dx.doi.org/10.1007/978-3-319-60696-5_71</v>
      </c>
      <c r="BG42"/>
      <c r="BH42"/>
      <c r="BI42"/>
      <c r="BJ42"/>
      <c r="BK42"/>
      <c r="BL42"/>
      <c r="BM42"/>
      <c r="BN42"/>
      <c r="BO42"/>
      <c r="BP42"/>
      <c r="BQ42"/>
      <c r="BR42"/>
      <c r="BS42" t="s">
        <v>460</v>
      </c>
      <c r="BT42" t="str">
        <f>HYPERLINK("https%3A%2F%2Fwww.webofscience.com%2Fwos%2Fwoscc%2Ffull-record%2FWOS:000426114200071","View Full Record in Web of Science")</f>
        <v>View Full Record in Web of Science</v>
      </c>
    </row>
    <row r="43" spans="1:75" customHeight="1" ht="12.75">
      <c r="A43" t="s">
        <v>147</v>
      </c>
      <c r="B43" t="s">
        <v>461</v>
      </c>
      <c r="C43"/>
      <c r="D43"/>
      <c r="E43" t="s">
        <v>210</v>
      </c>
      <c r="F43" t="s">
        <v>462</v>
      </c>
      <c r="G43"/>
      <c r="H43"/>
      <c r="I43" t="s">
        <v>463</v>
      </c>
      <c r="J43" t="s">
        <v>464</v>
      </c>
      <c r="K43" t="s">
        <v>465</v>
      </c>
      <c r="L43"/>
      <c r="M43"/>
      <c r="N43"/>
      <c r="O43" t="s">
        <v>466</v>
      </c>
      <c r="P43" t="s">
        <v>467</v>
      </c>
      <c r="Q43" t="s">
        <v>468</v>
      </c>
      <c r="R43" t="s">
        <v>469</v>
      </c>
      <c r="S43"/>
      <c r="T43"/>
      <c r="U43"/>
      <c r="V43"/>
      <c r="W43"/>
      <c r="X43"/>
      <c r="Y43"/>
      <c r="Z43"/>
      <c r="AA43" t="s">
        <v>425</v>
      </c>
      <c r="AB43" t="s">
        <v>426</v>
      </c>
      <c r="AC43"/>
      <c r="AD43"/>
      <c r="AE43"/>
      <c r="AF43"/>
      <c r="AG43"/>
      <c r="AH43"/>
      <c r="AI43"/>
      <c r="AJ43"/>
      <c r="AK43"/>
      <c r="AL43"/>
      <c r="AM43"/>
      <c r="AN43"/>
      <c r="AO43" t="s">
        <v>470</v>
      </c>
      <c r="AP43" t="s">
        <v>471</v>
      </c>
      <c r="AQ43" t="s">
        <v>472</v>
      </c>
      <c r="AR43"/>
      <c r="AS43"/>
      <c r="AT43"/>
      <c r="AU43">
        <v>2015</v>
      </c>
      <c r="AV43"/>
      <c r="AW43"/>
      <c r="AX43"/>
      <c r="AY43"/>
      <c r="AZ43"/>
      <c r="BA43"/>
      <c r="BB43">
        <v>88</v>
      </c>
      <c r="BC43">
        <v>90</v>
      </c>
      <c r="BD43"/>
      <c r="BE43"/>
      <c r="BF43"/>
      <c r="BG43"/>
      <c r="BH43"/>
      <c r="BI43"/>
      <c r="BJ43"/>
      <c r="BK43"/>
      <c r="BL43"/>
      <c r="BM43"/>
      <c r="BN43"/>
      <c r="BO43"/>
      <c r="BP43"/>
      <c r="BQ43"/>
      <c r="BR43"/>
      <c r="BS43" t="s">
        <v>473</v>
      </c>
      <c r="BT43" t="str">
        <f>HYPERLINK("https%3A%2F%2Fwww.webofscience.com%2Fwos%2Fwoscc%2Ffull-record%2FWOS:000380404000020","View Full Record in Web of Science")</f>
        <v>View Full Record in Web of Science</v>
      </c>
    </row>
    <row r="44" spans="1:75" customHeight="1" ht="12.75">
      <c r="A44" t="s">
        <v>72</v>
      </c>
      <c r="B44" t="s">
        <v>474</v>
      </c>
      <c r="C44"/>
      <c r="D44"/>
      <c r="E44"/>
      <c r="F44" t="s">
        <v>475</v>
      </c>
      <c r="G44"/>
      <c r="H44"/>
      <c r="I44" t="s">
        <v>476</v>
      </c>
      <c r="J44" t="s">
        <v>244</v>
      </c>
      <c r="K44"/>
      <c r="L44"/>
      <c r="M44"/>
      <c r="N44"/>
      <c r="O44"/>
      <c r="P44"/>
      <c r="Q44"/>
      <c r="R44"/>
      <c r="S44"/>
      <c r="T44"/>
      <c r="U44"/>
      <c r="V44"/>
      <c r="W44"/>
      <c r="X44"/>
      <c r="Y44"/>
      <c r="Z44"/>
      <c r="AA44"/>
      <c r="AB44"/>
      <c r="AC44"/>
      <c r="AD44"/>
      <c r="AE44"/>
      <c r="AF44"/>
      <c r="AG44"/>
      <c r="AH44"/>
      <c r="AI44"/>
      <c r="AJ44"/>
      <c r="AK44"/>
      <c r="AL44"/>
      <c r="AM44"/>
      <c r="AN44"/>
      <c r="AO44" t="s">
        <v>245</v>
      </c>
      <c r="AP44" t="s">
        <v>246</v>
      </c>
      <c r="AQ44"/>
      <c r="AR44"/>
      <c r="AS44"/>
      <c r="AT44"/>
      <c r="AU44">
        <v>2013</v>
      </c>
      <c r="AV44"/>
      <c r="AW44">
        <v>11</v>
      </c>
      <c r="AX44"/>
      <c r="AY44"/>
      <c r="AZ44"/>
      <c r="BA44"/>
      <c r="BB44">
        <v>150</v>
      </c>
      <c r="BC44">
        <v>152</v>
      </c>
      <c r="BD44"/>
      <c r="BE44"/>
      <c r="BF44"/>
      <c r="BG44"/>
      <c r="BH44"/>
      <c r="BI44"/>
      <c r="BJ44"/>
      <c r="BK44"/>
      <c r="BL44"/>
      <c r="BM44"/>
      <c r="BN44"/>
      <c r="BO44"/>
      <c r="BP44"/>
      <c r="BQ44"/>
      <c r="BR44"/>
      <c r="BS44" t="s">
        <v>477</v>
      </c>
      <c r="BT44" t="str">
        <f>HYPERLINK("https%3A%2F%2Fwww.webofscience.com%2Fwos%2Fwoscc%2Ffull-record%2FWOS:000330336600010","View Full Record in Web of Science")</f>
        <v>View Full Record in Web of Science</v>
      </c>
    </row>
    <row r="45" spans="1:75" customHeight="1" ht="12.75">
      <c r="A45" t="s">
        <v>72</v>
      </c>
      <c r="B45" t="s">
        <v>478</v>
      </c>
      <c r="C45"/>
      <c r="D45"/>
      <c r="E45"/>
      <c r="F45" t="s">
        <v>478</v>
      </c>
      <c r="G45"/>
      <c r="H45"/>
      <c r="I45" t="s">
        <v>479</v>
      </c>
      <c r="J45" t="s">
        <v>409</v>
      </c>
      <c r="K45"/>
      <c r="L45"/>
      <c r="M45"/>
      <c r="N45"/>
      <c r="O45"/>
      <c r="P45"/>
      <c r="Q45"/>
      <c r="R45"/>
      <c r="S45"/>
      <c r="T45"/>
      <c r="U45"/>
      <c r="V45"/>
      <c r="W45"/>
      <c r="X45"/>
      <c r="Y45"/>
      <c r="Z45"/>
      <c r="AA45" t="s">
        <v>480</v>
      </c>
      <c r="AB45" t="s">
        <v>481</v>
      </c>
      <c r="AC45"/>
      <c r="AD45"/>
      <c r="AE45"/>
      <c r="AF45"/>
      <c r="AG45"/>
      <c r="AH45"/>
      <c r="AI45"/>
      <c r="AJ45"/>
      <c r="AK45"/>
      <c r="AL45"/>
      <c r="AM45"/>
      <c r="AN45"/>
      <c r="AO45" t="s">
        <v>412</v>
      </c>
      <c r="AP45"/>
      <c r="AQ45"/>
      <c r="AR45"/>
      <c r="AS45"/>
      <c r="AT45" t="s">
        <v>198</v>
      </c>
      <c r="AU45">
        <v>2003</v>
      </c>
      <c r="AV45">
        <v>76</v>
      </c>
      <c r="AW45">
        <v>4</v>
      </c>
      <c r="AX45"/>
      <c r="AY45"/>
      <c r="AZ45"/>
      <c r="BA45"/>
      <c r="BB45">
        <v>666</v>
      </c>
      <c r="BC45">
        <v>668</v>
      </c>
      <c r="BD45"/>
      <c r="BE45" t="s">
        <v>482</v>
      </c>
      <c r="BF45" t="str">
        <f>HYPERLINK("http://dx.doi.org/10.1023/A:1025776212553","http://dx.doi.org/10.1023/A:1025776212553")</f>
        <v>http://dx.doi.org/10.1023/A:1025776212553</v>
      </c>
      <c r="BG45"/>
      <c r="BH45"/>
      <c r="BI45"/>
      <c r="BJ45"/>
      <c r="BK45"/>
      <c r="BL45"/>
      <c r="BM45"/>
      <c r="BN45"/>
      <c r="BO45"/>
      <c r="BP45"/>
      <c r="BQ45"/>
      <c r="BR45"/>
      <c r="BS45" t="s">
        <v>483</v>
      </c>
      <c r="BT45" t="str">
        <f>HYPERLINK("https%3A%2F%2Fwww.webofscience.com%2Fwos%2Fwoscc%2Ffull-record%2FWOS:000184763100039","View Full Record in Web of Science")</f>
        <v>View Full Record in Web of Science</v>
      </c>
    </row>
    <row r="46" spans="1:75" customHeight="1" ht="12.75">
      <c r="A46" t="s">
        <v>72</v>
      </c>
      <c r="B46" t="s">
        <v>484</v>
      </c>
      <c r="C46"/>
      <c r="D46"/>
      <c r="E46"/>
      <c r="F46" t="s">
        <v>484</v>
      </c>
      <c r="G46"/>
      <c r="H46"/>
      <c r="I46" t="s">
        <v>485</v>
      </c>
      <c r="J46" t="s">
        <v>409</v>
      </c>
      <c r="K46"/>
      <c r="L46"/>
      <c r="M46"/>
      <c r="N46"/>
      <c r="O46" t="s">
        <v>486</v>
      </c>
      <c r="P46" t="s">
        <v>487</v>
      </c>
      <c r="Q46" t="s">
        <v>488</v>
      </c>
      <c r="R46"/>
      <c r="S46"/>
      <c r="T46"/>
      <c r="U46"/>
      <c r="V46"/>
      <c r="W46"/>
      <c r="X46"/>
      <c r="Y46"/>
      <c r="Z46"/>
      <c r="AA46" t="s">
        <v>489</v>
      </c>
      <c r="AB46" t="s">
        <v>490</v>
      </c>
      <c r="AC46"/>
      <c r="AD46"/>
      <c r="AE46"/>
      <c r="AF46"/>
      <c r="AG46"/>
      <c r="AH46"/>
      <c r="AI46"/>
      <c r="AJ46"/>
      <c r="AK46"/>
      <c r="AL46"/>
      <c r="AM46"/>
      <c r="AN46"/>
      <c r="AO46" t="s">
        <v>412</v>
      </c>
      <c r="AP46"/>
      <c r="AQ46"/>
      <c r="AR46"/>
      <c r="AS46"/>
      <c r="AT46" t="s">
        <v>491</v>
      </c>
      <c r="AU46">
        <v>2000</v>
      </c>
      <c r="AV46">
        <v>73</v>
      </c>
      <c r="AW46">
        <v>6</v>
      </c>
      <c r="AX46"/>
      <c r="AY46"/>
      <c r="AZ46"/>
      <c r="BA46"/>
      <c r="BB46">
        <v>1015</v>
      </c>
      <c r="BC46">
        <v>1020</v>
      </c>
      <c r="BD46"/>
      <c r="BE46"/>
      <c r="BF46"/>
      <c r="BG46"/>
      <c r="BH46"/>
      <c r="BI46"/>
      <c r="BJ46"/>
      <c r="BK46"/>
      <c r="BL46"/>
      <c r="BM46"/>
      <c r="BN46"/>
      <c r="BO46"/>
      <c r="BP46"/>
      <c r="BQ46"/>
      <c r="BR46"/>
      <c r="BS46" t="s">
        <v>492</v>
      </c>
      <c r="BT46" t="str">
        <f>HYPERLINK("https%3A%2F%2Fwww.webofscience.com%2Fwos%2Fwoscc%2Ffull-record%2FWOS:000165979500020","View Full Record in Web of Science")</f>
        <v>View Full Record in Web of Science</v>
      </c>
    </row>
    <row r="47" spans="1:75" customHeight="1" ht="12.75">
      <c r="A47" t="s">
        <v>72</v>
      </c>
      <c r="B47" t="s">
        <v>493</v>
      </c>
      <c r="C47"/>
      <c r="D47"/>
      <c r="E47"/>
      <c r="F47" t="s">
        <v>494</v>
      </c>
      <c r="G47"/>
      <c r="H47"/>
      <c r="I47" t="s">
        <v>495</v>
      </c>
      <c r="J47" t="s">
        <v>496</v>
      </c>
      <c r="K47"/>
      <c r="L47"/>
      <c r="M47"/>
      <c r="N47"/>
      <c r="O47"/>
      <c r="P47"/>
      <c r="Q47"/>
      <c r="R47"/>
      <c r="S47"/>
      <c r="T47"/>
      <c r="U47"/>
      <c r="V47"/>
      <c r="W47"/>
      <c r="X47"/>
      <c r="Y47"/>
      <c r="Z47"/>
      <c r="AA47"/>
      <c r="AB47" t="s">
        <v>497</v>
      </c>
      <c r="AC47"/>
      <c r="AD47"/>
      <c r="AE47"/>
      <c r="AF47"/>
      <c r="AG47"/>
      <c r="AH47"/>
      <c r="AI47"/>
      <c r="AJ47"/>
      <c r="AK47"/>
      <c r="AL47"/>
      <c r="AM47"/>
      <c r="AN47"/>
      <c r="AO47" t="s">
        <v>498</v>
      </c>
      <c r="AP47" t="s">
        <v>499</v>
      </c>
      <c r="AQ47"/>
      <c r="AR47"/>
      <c r="AS47"/>
      <c r="AT47" t="s">
        <v>500</v>
      </c>
      <c r="AU47">
        <v>2022</v>
      </c>
      <c r="AV47"/>
      <c r="AW47"/>
      <c r="AX47"/>
      <c r="AY47"/>
      <c r="AZ47"/>
      <c r="BA47"/>
      <c r="BB47"/>
      <c r="BC47"/>
      <c r="BD47"/>
      <c r="BE47" t="s">
        <v>501</v>
      </c>
      <c r="BF47" t="str">
        <f>HYPERLINK("http://dx.doi.org/10.1139/er-2022-0081","http://dx.doi.org/10.1139/er-2022-0081")</f>
        <v>http://dx.doi.org/10.1139/er-2022-0081</v>
      </c>
      <c r="BG47"/>
      <c r="BH47"/>
      <c r="BI47"/>
      <c r="BJ47"/>
      <c r="BK47"/>
      <c r="BL47"/>
      <c r="BM47"/>
      <c r="BN47"/>
      <c r="BO47"/>
      <c r="BP47"/>
      <c r="BQ47"/>
      <c r="BR47"/>
      <c r="BS47" t="s">
        <v>502</v>
      </c>
      <c r="BT47" t="str">
        <f>HYPERLINK("https%3A%2F%2Fwww.webofscience.com%2Fwos%2Fwoscc%2Ffull-record%2FWOS:000931841200001","View Full Record in Web of Science")</f>
        <v>View Full Record in Web of Science</v>
      </c>
    </row>
    <row r="48" spans="1:75" customHeight="1" ht="12.75">
      <c r="A48" t="s">
        <v>72</v>
      </c>
      <c r="B48" t="s">
        <v>503</v>
      </c>
      <c r="C48"/>
      <c r="D48"/>
      <c r="E48"/>
      <c r="F48" t="s">
        <v>504</v>
      </c>
      <c r="G48"/>
      <c r="H48"/>
      <c r="I48" t="s">
        <v>505</v>
      </c>
      <c r="J48" t="s">
        <v>506</v>
      </c>
      <c r="K48"/>
      <c r="L48"/>
      <c r="M48"/>
      <c r="N48"/>
      <c r="O48"/>
      <c r="P48"/>
      <c r="Q48"/>
      <c r="R48"/>
      <c r="S48"/>
      <c r="T48"/>
      <c r="U48"/>
      <c r="V48"/>
      <c r="W48"/>
      <c r="X48"/>
      <c r="Y48"/>
      <c r="Z48"/>
      <c r="AA48" t="s">
        <v>507</v>
      </c>
      <c r="AB48" t="s">
        <v>508</v>
      </c>
      <c r="AC48"/>
      <c r="AD48"/>
      <c r="AE48"/>
      <c r="AF48"/>
      <c r="AG48"/>
      <c r="AH48"/>
      <c r="AI48"/>
      <c r="AJ48"/>
      <c r="AK48"/>
      <c r="AL48"/>
      <c r="AM48"/>
      <c r="AN48"/>
      <c r="AO48" t="s">
        <v>509</v>
      </c>
      <c r="AP48" t="s">
        <v>510</v>
      </c>
      <c r="AQ48"/>
      <c r="AR48"/>
      <c r="AS48"/>
      <c r="AT48"/>
      <c r="AU48">
        <v>2022</v>
      </c>
      <c r="AV48">
        <v>13</v>
      </c>
      <c r="AW48">
        <v>1</v>
      </c>
      <c r="AX48"/>
      <c r="AY48"/>
      <c r="AZ48"/>
      <c r="BA48"/>
      <c r="BB48">
        <v>28</v>
      </c>
      <c r="BC48">
        <v>45</v>
      </c>
      <c r="BD48"/>
      <c r="BE48" t="s">
        <v>511</v>
      </c>
      <c r="BF48" t="str">
        <f>HYPERLINK("http://dx.doi.org/10.21638/spbu14.2022.102","http://dx.doi.org/10.21638/spbu14.2022.102")</f>
        <v>http://dx.doi.org/10.21638/spbu14.2022.102</v>
      </c>
      <c r="BG48"/>
      <c r="BH48"/>
      <c r="BI48"/>
      <c r="BJ48"/>
      <c r="BK48"/>
      <c r="BL48"/>
      <c r="BM48"/>
      <c r="BN48"/>
      <c r="BO48"/>
      <c r="BP48"/>
      <c r="BQ48"/>
      <c r="BR48"/>
      <c r="BS48" t="s">
        <v>512</v>
      </c>
      <c r="BT48" t="str">
        <f>HYPERLINK("https%3A%2F%2Fwww.webofscience.com%2Fwos%2Fwoscc%2Ffull-record%2FWOS:000806210500002","View Full Record in Web of Science")</f>
        <v>View Full Record in Web of Science</v>
      </c>
    </row>
    <row r="49" spans="1:75" customHeight="1" ht="12.75">
      <c r="A49" t="s">
        <v>72</v>
      </c>
      <c r="B49" t="s">
        <v>513</v>
      </c>
      <c r="C49"/>
      <c r="D49"/>
      <c r="E49"/>
      <c r="F49" t="s">
        <v>514</v>
      </c>
      <c r="G49"/>
      <c r="H49"/>
      <c r="I49" t="s">
        <v>515</v>
      </c>
      <c r="J49" t="s">
        <v>516</v>
      </c>
      <c r="K49"/>
      <c r="L49"/>
      <c r="M49"/>
      <c r="N49"/>
      <c r="O49"/>
      <c r="P49"/>
      <c r="Q49"/>
      <c r="R49"/>
      <c r="S49"/>
      <c r="T49"/>
      <c r="U49"/>
      <c r="V49"/>
      <c r="W49"/>
      <c r="X49"/>
      <c r="Y49"/>
      <c r="Z49"/>
      <c r="AA49" t="s">
        <v>517</v>
      </c>
      <c r="AB49" t="s">
        <v>518</v>
      </c>
      <c r="AC49"/>
      <c r="AD49"/>
      <c r="AE49"/>
      <c r="AF49"/>
      <c r="AG49"/>
      <c r="AH49"/>
      <c r="AI49"/>
      <c r="AJ49"/>
      <c r="AK49"/>
      <c r="AL49"/>
      <c r="AM49"/>
      <c r="AN49"/>
      <c r="AO49" t="s">
        <v>519</v>
      </c>
      <c r="AP49" t="s">
        <v>520</v>
      </c>
      <c r="AQ49"/>
      <c r="AR49"/>
      <c r="AS49"/>
      <c r="AT49" t="s">
        <v>403</v>
      </c>
      <c r="AU49">
        <v>2021</v>
      </c>
      <c r="AV49"/>
      <c r="AW49">
        <v>22</v>
      </c>
      <c r="AX49"/>
      <c r="AY49"/>
      <c r="AZ49"/>
      <c r="BA49"/>
      <c r="BB49">
        <v>27</v>
      </c>
      <c r="BC49">
        <v>47</v>
      </c>
      <c r="BD49"/>
      <c r="BE49" t="s">
        <v>521</v>
      </c>
      <c r="BF49" t="str">
        <f>HYPERLINK("http://dx.doi.org/10.17223/22274200/22/2","http://dx.doi.org/10.17223/22274200/22/2")</f>
        <v>http://dx.doi.org/10.17223/22274200/22/2</v>
      </c>
      <c r="BG49"/>
      <c r="BH49"/>
      <c r="BI49"/>
      <c r="BJ49"/>
      <c r="BK49"/>
      <c r="BL49"/>
      <c r="BM49"/>
      <c r="BN49"/>
      <c r="BO49"/>
      <c r="BP49"/>
      <c r="BQ49"/>
      <c r="BR49"/>
      <c r="BS49" t="s">
        <v>522</v>
      </c>
      <c r="BT49" t="str">
        <f>HYPERLINK("https%3A%2F%2Fwww.webofscience.com%2Fwos%2Fwoscc%2Ffull-record%2FWOS:000869082400002","View Full Record in Web of Science")</f>
        <v>View Full Record in Web of Science</v>
      </c>
    </row>
    <row r="50" spans="1:75" customHeight="1" ht="12.75">
      <c r="A50" t="s">
        <v>72</v>
      </c>
      <c r="B50" t="s">
        <v>523</v>
      </c>
      <c r="C50"/>
      <c r="D50"/>
      <c r="E50"/>
      <c r="F50" t="s">
        <v>524</v>
      </c>
      <c r="G50"/>
      <c r="H50"/>
      <c r="I50" t="s">
        <v>525</v>
      </c>
      <c r="J50" t="s">
        <v>141</v>
      </c>
      <c r="K50"/>
      <c r="L50"/>
      <c r="M50"/>
      <c r="N50"/>
      <c r="O50"/>
      <c r="P50"/>
      <c r="Q50"/>
      <c r="R50"/>
      <c r="S50"/>
      <c r="T50"/>
      <c r="U50"/>
      <c r="V50"/>
      <c r="W50"/>
      <c r="X50"/>
      <c r="Y50"/>
      <c r="Z50"/>
      <c r="AA50" t="s">
        <v>142</v>
      </c>
      <c r="AB50" t="s">
        <v>526</v>
      </c>
      <c r="AC50"/>
      <c r="AD50"/>
      <c r="AE50"/>
      <c r="AF50"/>
      <c r="AG50"/>
      <c r="AH50"/>
      <c r="AI50"/>
      <c r="AJ50"/>
      <c r="AK50"/>
      <c r="AL50"/>
      <c r="AM50"/>
      <c r="AN50"/>
      <c r="AO50" t="s">
        <v>144</v>
      </c>
      <c r="AP50"/>
      <c r="AQ50"/>
      <c r="AR50"/>
      <c r="AS50"/>
      <c r="AT50"/>
      <c r="AU50">
        <v>2021</v>
      </c>
      <c r="AV50"/>
      <c r="AW50">
        <v>4</v>
      </c>
      <c r="AX50"/>
      <c r="AY50"/>
      <c r="AZ50"/>
      <c r="BA50"/>
      <c r="BB50">
        <v>1</v>
      </c>
      <c r="BC50">
        <v>12</v>
      </c>
      <c r="BD50"/>
      <c r="BE50" t="s">
        <v>527</v>
      </c>
      <c r="BF50" t="str">
        <f>HYPERLINK("http://dx.doi.org/10.52254/1857-0070.2021.4-52.01","http://dx.doi.org/10.52254/1857-0070.2021.4-52.01")</f>
        <v>http://dx.doi.org/10.52254/1857-0070.2021.4-52.01</v>
      </c>
      <c r="BG50"/>
      <c r="BH50"/>
      <c r="BI50"/>
      <c r="BJ50"/>
      <c r="BK50"/>
      <c r="BL50"/>
      <c r="BM50"/>
      <c r="BN50"/>
      <c r="BO50"/>
      <c r="BP50"/>
      <c r="BQ50"/>
      <c r="BR50"/>
      <c r="BS50" t="s">
        <v>528</v>
      </c>
      <c r="BT50" t="str">
        <f>HYPERLINK("https%3A%2F%2Fwww.webofscience.com%2Fwos%2Fwoscc%2Ffull-record%2FWOS:000734088800001","View Full Record in Web of Science")</f>
        <v>View Full Record in Web of Science</v>
      </c>
    </row>
    <row r="51" spans="1:75" customHeight="1" ht="12.75">
      <c r="A51" t="s">
        <v>72</v>
      </c>
      <c r="B51" t="s">
        <v>529</v>
      </c>
      <c r="C51"/>
      <c r="D51"/>
      <c r="E51"/>
      <c r="F51" t="s">
        <v>530</v>
      </c>
      <c r="G51"/>
      <c r="H51"/>
      <c r="I51" t="s">
        <v>531</v>
      </c>
      <c r="J51" t="s">
        <v>532</v>
      </c>
      <c r="K51"/>
      <c r="L51"/>
      <c r="M51"/>
      <c r="N51"/>
      <c r="O51"/>
      <c r="P51"/>
      <c r="Q51"/>
      <c r="R51"/>
      <c r="S51"/>
      <c r="T51"/>
      <c r="U51"/>
      <c r="V51"/>
      <c r="W51"/>
      <c r="X51"/>
      <c r="Y51"/>
      <c r="Z51"/>
      <c r="AA51" t="s">
        <v>533</v>
      </c>
      <c r="AB51"/>
      <c r="AC51"/>
      <c r="AD51"/>
      <c r="AE51"/>
      <c r="AF51"/>
      <c r="AG51"/>
      <c r="AH51"/>
      <c r="AI51"/>
      <c r="AJ51"/>
      <c r="AK51"/>
      <c r="AL51"/>
      <c r="AM51"/>
      <c r="AN51"/>
      <c r="AO51" t="s">
        <v>534</v>
      </c>
      <c r="AP51"/>
      <c r="AQ51"/>
      <c r="AR51"/>
      <c r="AS51"/>
      <c r="AT51"/>
      <c r="AU51">
        <v>2021</v>
      </c>
      <c r="AV51">
        <v>86</v>
      </c>
      <c r="AW51">
        <v>6</v>
      </c>
      <c r="AX51"/>
      <c r="AY51"/>
      <c r="AZ51"/>
      <c r="BA51"/>
      <c r="BB51">
        <v>19</v>
      </c>
      <c r="BC51">
        <v>29</v>
      </c>
      <c r="BD51"/>
      <c r="BE51" t="s">
        <v>535</v>
      </c>
      <c r="BF51" t="str">
        <f>HYPERLINK("http://dx.doi.org/10.33407/itlt.v86i6.4320","http://dx.doi.org/10.33407/itlt.v86i6.4320")</f>
        <v>http://dx.doi.org/10.33407/itlt.v86i6.4320</v>
      </c>
      <c r="BG51"/>
      <c r="BH51"/>
      <c r="BI51"/>
      <c r="BJ51"/>
      <c r="BK51"/>
      <c r="BL51"/>
      <c r="BM51"/>
      <c r="BN51"/>
      <c r="BO51"/>
      <c r="BP51"/>
      <c r="BQ51"/>
      <c r="BR51"/>
      <c r="BS51" t="s">
        <v>536</v>
      </c>
      <c r="BT51" t="str">
        <f>HYPERLINK("https%3A%2F%2Fwww.webofscience.com%2Fwos%2Fwoscc%2Ffull-record%2FWOS:000750127200002","View Full Record in Web of Science")</f>
        <v>View Full Record in Web of Science</v>
      </c>
    </row>
    <row r="52" spans="1:75" customHeight="1" ht="12.75">
      <c r="A52" t="s">
        <v>72</v>
      </c>
      <c r="B52" t="s">
        <v>120</v>
      </c>
      <c r="C52"/>
      <c r="D52"/>
      <c r="E52"/>
      <c r="F52" t="s">
        <v>121</v>
      </c>
      <c r="G52"/>
      <c r="H52"/>
      <c r="I52" t="s">
        <v>537</v>
      </c>
      <c r="J52" t="s">
        <v>538</v>
      </c>
      <c r="K52"/>
      <c r="L52"/>
      <c r="M52"/>
      <c r="N52"/>
      <c r="O52"/>
      <c r="P52"/>
      <c r="Q52"/>
      <c r="R52"/>
      <c r="S52"/>
      <c r="T52"/>
      <c r="U52"/>
      <c r="V52"/>
      <c r="W52"/>
      <c r="X52"/>
      <c r="Y52"/>
      <c r="Z52"/>
      <c r="AA52"/>
      <c r="AB52" t="s">
        <v>539</v>
      </c>
      <c r="AC52"/>
      <c r="AD52"/>
      <c r="AE52"/>
      <c r="AF52"/>
      <c r="AG52"/>
      <c r="AH52"/>
      <c r="AI52"/>
      <c r="AJ52"/>
      <c r="AK52"/>
      <c r="AL52"/>
      <c r="AM52"/>
      <c r="AN52"/>
      <c r="AO52"/>
      <c r="AP52" t="s">
        <v>540</v>
      </c>
      <c r="AQ52"/>
      <c r="AR52"/>
      <c r="AS52"/>
      <c r="AT52" t="s">
        <v>541</v>
      </c>
      <c r="AU52">
        <v>2021</v>
      </c>
      <c r="AV52">
        <v>13</v>
      </c>
      <c r="AW52">
        <v>1</v>
      </c>
      <c r="AX52"/>
      <c r="AY52"/>
      <c r="AZ52"/>
      <c r="BA52"/>
      <c r="BB52"/>
      <c r="BC52"/>
      <c r="BD52">
        <v>47</v>
      </c>
      <c r="BE52" t="s">
        <v>542</v>
      </c>
      <c r="BF52" t="str">
        <f>HYPERLINK("http://dx.doi.org/10.3390/w13010047","http://dx.doi.org/10.3390/w13010047")</f>
        <v>http://dx.doi.org/10.3390/w13010047</v>
      </c>
      <c r="BG52"/>
      <c r="BH52"/>
      <c r="BI52"/>
      <c r="BJ52"/>
      <c r="BK52"/>
      <c r="BL52"/>
      <c r="BM52"/>
      <c r="BN52"/>
      <c r="BO52"/>
      <c r="BP52"/>
      <c r="BQ52"/>
      <c r="BR52"/>
      <c r="BS52" t="s">
        <v>543</v>
      </c>
      <c r="BT52" t="str">
        <f>HYPERLINK("https%3A%2F%2Fwww.webofscience.com%2Fwos%2Fwoscc%2Ffull-record%2FWOS:000606408000001","View Full Record in Web of Science")</f>
        <v>View Full Record in Web of Science</v>
      </c>
    </row>
    <row r="53" spans="1:75" customHeight="1" ht="12.75">
      <c r="A53" t="s">
        <v>72</v>
      </c>
      <c r="B53" t="s">
        <v>544</v>
      </c>
      <c r="C53"/>
      <c r="D53"/>
      <c r="E53"/>
      <c r="F53" t="s">
        <v>545</v>
      </c>
      <c r="G53"/>
      <c r="H53"/>
      <c r="I53" t="s">
        <v>546</v>
      </c>
      <c r="J53" t="s">
        <v>166</v>
      </c>
      <c r="K53"/>
      <c r="L53"/>
      <c r="M53"/>
      <c r="N53"/>
      <c r="O53"/>
      <c r="P53"/>
      <c r="Q53"/>
      <c r="R53"/>
      <c r="S53"/>
      <c r="T53"/>
      <c r="U53"/>
      <c r="V53"/>
      <c r="W53"/>
      <c r="X53"/>
      <c r="Y53"/>
      <c r="Z53"/>
      <c r="AA53"/>
      <c r="AB53"/>
      <c r="AC53"/>
      <c r="AD53"/>
      <c r="AE53"/>
      <c r="AF53"/>
      <c r="AG53"/>
      <c r="AH53"/>
      <c r="AI53"/>
      <c r="AJ53"/>
      <c r="AK53"/>
      <c r="AL53"/>
      <c r="AM53"/>
      <c r="AN53"/>
      <c r="AO53" t="s">
        <v>169</v>
      </c>
      <c r="AP53" t="s">
        <v>170</v>
      </c>
      <c r="AQ53"/>
      <c r="AR53"/>
      <c r="AS53"/>
      <c r="AT53" t="s">
        <v>171</v>
      </c>
      <c r="AU53">
        <v>2020</v>
      </c>
      <c r="AV53">
        <v>9</v>
      </c>
      <c r="AW53">
        <v>1</v>
      </c>
      <c r="AX53"/>
      <c r="AY53"/>
      <c r="AZ53"/>
      <c r="BA53"/>
      <c r="BB53">
        <v>160</v>
      </c>
      <c r="BC53">
        <v>176</v>
      </c>
      <c r="BD53"/>
      <c r="BE53" t="s">
        <v>547</v>
      </c>
      <c r="BF53" t="str">
        <f>HYPERLINK("http://dx.doi.org/10.13187/ejced.2020.1.160","http://dx.doi.org/10.13187/ejced.2020.1.160")</f>
        <v>http://dx.doi.org/10.13187/ejced.2020.1.160</v>
      </c>
      <c r="BG53"/>
      <c r="BH53"/>
      <c r="BI53"/>
      <c r="BJ53"/>
      <c r="BK53"/>
      <c r="BL53"/>
      <c r="BM53"/>
      <c r="BN53"/>
      <c r="BO53"/>
      <c r="BP53"/>
      <c r="BQ53"/>
      <c r="BR53"/>
      <c r="BS53" t="s">
        <v>548</v>
      </c>
      <c r="BT53" t="str">
        <f>HYPERLINK("https%3A%2F%2Fwww.webofscience.com%2Fwos%2Fwoscc%2Ffull-record%2FWOS:000522736400013","View Full Record in Web of Science")</f>
        <v>View Full Record in Web of Science</v>
      </c>
    </row>
    <row r="54" spans="1:75" customHeight="1" ht="12.75">
      <c r="A54" t="s">
        <v>72</v>
      </c>
      <c r="B54" t="s">
        <v>549</v>
      </c>
      <c r="C54"/>
      <c r="D54"/>
      <c r="E54"/>
      <c r="F54" t="s">
        <v>550</v>
      </c>
      <c r="G54"/>
      <c r="H54"/>
      <c r="I54" t="s">
        <v>551</v>
      </c>
      <c r="J54" t="s">
        <v>552</v>
      </c>
      <c r="K54"/>
      <c r="L54"/>
      <c r="M54"/>
      <c r="N54"/>
      <c r="O54"/>
      <c r="P54"/>
      <c r="Q54"/>
      <c r="R54"/>
      <c r="S54"/>
      <c r="T54"/>
      <c r="U54"/>
      <c r="V54"/>
      <c r="W54"/>
      <c r="X54"/>
      <c r="Y54"/>
      <c r="Z54"/>
      <c r="AA54" t="s">
        <v>553</v>
      </c>
      <c r="AB54" t="s">
        <v>554</v>
      </c>
      <c r="AC54"/>
      <c r="AD54"/>
      <c r="AE54"/>
      <c r="AF54"/>
      <c r="AG54"/>
      <c r="AH54"/>
      <c r="AI54"/>
      <c r="AJ54"/>
      <c r="AK54"/>
      <c r="AL54"/>
      <c r="AM54"/>
      <c r="AN54"/>
      <c r="AO54"/>
      <c r="AP54" t="s">
        <v>555</v>
      </c>
      <c r="AQ54"/>
      <c r="AR54"/>
      <c r="AS54"/>
      <c r="AT54"/>
      <c r="AU54">
        <v>2020</v>
      </c>
      <c r="AV54">
        <v>24</v>
      </c>
      <c r="AW54">
        <v>6</v>
      </c>
      <c r="AX54"/>
      <c r="AY54"/>
      <c r="AZ54"/>
      <c r="BA54"/>
      <c r="BB54">
        <v>310</v>
      </c>
      <c r="BC54">
        <v>315</v>
      </c>
      <c r="BD54"/>
      <c r="BE54" t="s">
        <v>556</v>
      </c>
      <c r="BF54" t="str">
        <f>HYPERLINK("http://dx.doi.org/10.15561/26649837.2020.0606","http://dx.doi.org/10.15561/26649837.2020.0606")</f>
        <v>http://dx.doi.org/10.15561/26649837.2020.0606</v>
      </c>
      <c r="BG54"/>
      <c r="BH54"/>
      <c r="BI54"/>
      <c r="BJ54"/>
      <c r="BK54"/>
      <c r="BL54"/>
      <c r="BM54"/>
      <c r="BN54"/>
      <c r="BO54"/>
      <c r="BP54"/>
      <c r="BQ54"/>
      <c r="BR54"/>
      <c r="BS54" t="s">
        <v>557</v>
      </c>
      <c r="BT54" t="str">
        <f>HYPERLINK("https%3A%2F%2Fwww.webofscience.com%2Fwos%2Fwoscc%2Ffull-record%2FWOS:000601302200006","View Full Record in Web of Science")</f>
        <v>View Full Record in Web of Science</v>
      </c>
    </row>
    <row r="55" spans="1:75" customHeight="1" ht="12.75">
      <c r="A55" t="s">
        <v>72</v>
      </c>
      <c r="B55" t="s">
        <v>558</v>
      </c>
      <c r="C55"/>
      <c r="D55"/>
      <c r="E55"/>
      <c r="F55" t="s">
        <v>559</v>
      </c>
      <c r="G55"/>
      <c r="H55"/>
      <c r="I55" t="s">
        <v>560</v>
      </c>
      <c r="J55" t="s">
        <v>561</v>
      </c>
      <c r="K55"/>
      <c r="L55"/>
      <c r="M55"/>
      <c r="N55"/>
      <c r="O55"/>
      <c r="P55"/>
      <c r="Q55"/>
      <c r="R55"/>
      <c r="S55"/>
      <c r="T55"/>
      <c r="U55"/>
      <c r="V55"/>
      <c r="W55"/>
      <c r="X55"/>
      <c r="Y55"/>
      <c r="Z55"/>
      <c r="AA55" t="s">
        <v>562</v>
      </c>
      <c r="AB55" t="s">
        <v>563</v>
      </c>
      <c r="AC55"/>
      <c r="AD55"/>
      <c r="AE55"/>
      <c r="AF55"/>
      <c r="AG55"/>
      <c r="AH55"/>
      <c r="AI55"/>
      <c r="AJ55"/>
      <c r="AK55"/>
      <c r="AL55"/>
      <c r="AM55"/>
      <c r="AN55"/>
      <c r="AO55" t="s">
        <v>564</v>
      </c>
      <c r="AP55" t="s">
        <v>565</v>
      </c>
      <c r="AQ55"/>
      <c r="AR55"/>
      <c r="AS55"/>
      <c r="AT55" t="s">
        <v>171</v>
      </c>
      <c r="AU55">
        <v>2019</v>
      </c>
      <c r="AV55">
        <v>26</v>
      </c>
      <c r="AW55">
        <v>2</v>
      </c>
      <c r="AX55"/>
      <c r="AY55"/>
      <c r="AZ55"/>
      <c r="BA55"/>
      <c r="BB55">
        <v>281</v>
      </c>
      <c r="BC55">
        <v>294</v>
      </c>
      <c r="BD55"/>
      <c r="BE55" t="s">
        <v>566</v>
      </c>
      <c r="BF55" t="str">
        <f>HYPERLINK("http://dx.doi.org/10.1134/S0869864319020112","http://dx.doi.org/10.1134/S0869864319020112")</f>
        <v>http://dx.doi.org/10.1134/S0869864319020112</v>
      </c>
      <c r="BG55"/>
      <c r="BH55"/>
      <c r="BI55"/>
      <c r="BJ55"/>
      <c r="BK55"/>
      <c r="BL55"/>
      <c r="BM55"/>
      <c r="BN55"/>
      <c r="BO55"/>
      <c r="BP55"/>
      <c r="BQ55"/>
      <c r="BR55"/>
      <c r="BS55" t="s">
        <v>567</v>
      </c>
      <c r="BT55" t="str">
        <f>HYPERLINK("https%3A%2F%2Fwww.webofscience.com%2Fwos%2Fwoscc%2Ffull-record%2FWOS:000471203300011","View Full Record in Web of Science")</f>
        <v>View Full Record in Web of Science</v>
      </c>
    </row>
    <row r="56" spans="1:75" customHeight="1" ht="12.75">
      <c r="A56" t="s">
        <v>147</v>
      </c>
      <c r="B56" t="s">
        <v>568</v>
      </c>
      <c r="C56"/>
      <c r="D56"/>
      <c r="E56" t="s">
        <v>210</v>
      </c>
      <c r="F56" t="s">
        <v>569</v>
      </c>
      <c r="G56"/>
      <c r="H56"/>
      <c r="I56" t="s">
        <v>570</v>
      </c>
      <c r="J56" t="s">
        <v>571</v>
      </c>
      <c r="K56" t="s">
        <v>362</v>
      </c>
      <c r="L56"/>
      <c r="M56"/>
      <c r="N56"/>
      <c r="O56" t="s">
        <v>572</v>
      </c>
      <c r="P56" t="s">
        <v>573</v>
      </c>
      <c r="Q56" t="s">
        <v>574</v>
      </c>
      <c r="R56" t="s">
        <v>575</v>
      </c>
      <c r="S56" t="s">
        <v>576</v>
      </c>
      <c r="T56"/>
      <c r="U56"/>
      <c r="V56"/>
      <c r="W56"/>
      <c r="X56"/>
      <c r="Y56"/>
      <c r="Z56"/>
      <c r="AA56" t="s">
        <v>577</v>
      </c>
      <c r="AB56" t="s">
        <v>578</v>
      </c>
      <c r="AC56"/>
      <c r="AD56"/>
      <c r="AE56"/>
      <c r="AF56"/>
      <c r="AG56"/>
      <c r="AH56"/>
      <c r="AI56"/>
      <c r="AJ56"/>
      <c r="AK56"/>
      <c r="AL56"/>
      <c r="AM56"/>
      <c r="AN56"/>
      <c r="AO56" t="s">
        <v>369</v>
      </c>
      <c r="AP56"/>
      <c r="AQ56" t="s">
        <v>579</v>
      </c>
      <c r="AR56"/>
      <c r="AS56"/>
      <c r="AT56"/>
      <c r="AU56">
        <v>2019</v>
      </c>
      <c r="AV56"/>
      <c r="AW56"/>
      <c r="AX56"/>
      <c r="AY56"/>
      <c r="AZ56"/>
      <c r="BA56"/>
      <c r="BB56">
        <v>220</v>
      </c>
      <c r="BC56">
        <v>227</v>
      </c>
      <c r="BD56"/>
      <c r="BE56"/>
      <c r="BF56"/>
      <c r="BG56"/>
      <c r="BH56"/>
      <c r="BI56"/>
      <c r="BJ56"/>
      <c r="BK56"/>
      <c r="BL56"/>
      <c r="BM56"/>
      <c r="BN56"/>
      <c r="BO56"/>
      <c r="BP56"/>
      <c r="BQ56"/>
      <c r="BR56"/>
      <c r="BS56" t="s">
        <v>580</v>
      </c>
      <c r="BT56" t="str">
        <f>HYPERLINK("https%3A%2F%2Fwww.webofscience.com%2Fwos%2Fwoscc%2Ffull-record%2FWOS:000469999300031","View Full Record in Web of Science")</f>
        <v>View Full Record in Web of Science</v>
      </c>
    </row>
    <row r="57" spans="1:75" customHeight="1" ht="12.75">
      <c r="A57" t="s">
        <v>72</v>
      </c>
      <c r="B57" t="s">
        <v>581</v>
      </c>
      <c r="C57"/>
      <c r="D57"/>
      <c r="E57"/>
      <c r="F57" t="s">
        <v>582</v>
      </c>
      <c r="G57"/>
      <c r="H57"/>
      <c r="I57" t="s">
        <v>583</v>
      </c>
      <c r="J57" t="s">
        <v>584</v>
      </c>
      <c r="K57"/>
      <c r="L57"/>
      <c r="M57"/>
      <c r="N57"/>
      <c r="O57"/>
      <c r="P57"/>
      <c r="Q57"/>
      <c r="R57"/>
      <c r="S57"/>
      <c r="T57"/>
      <c r="U57"/>
      <c r="V57"/>
      <c r="W57"/>
      <c r="X57"/>
      <c r="Y57"/>
      <c r="Z57"/>
      <c r="AA57" t="s">
        <v>585</v>
      </c>
      <c r="AB57" t="s">
        <v>586</v>
      </c>
      <c r="AC57"/>
      <c r="AD57"/>
      <c r="AE57"/>
      <c r="AF57"/>
      <c r="AG57"/>
      <c r="AH57"/>
      <c r="AI57"/>
      <c r="AJ57"/>
      <c r="AK57"/>
      <c r="AL57"/>
      <c r="AM57"/>
      <c r="AN57"/>
      <c r="AO57" t="s">
        <v>587</v>
      </c>
      <c r="AP57" t="s">
        <v>588</v>
      </c>
      <c r="AQ57"/>
      <c r="AR57"/>
      <c r="AS57"/>
      <c r="AT57"/>
      <c r="AU57">
        <v>2019</v>
      </c>
      <c r="AV57">
        <v>89</v>
      </c>
      <c r="AW57">
        <v>5</v>
      </c>
      <c r="AX57"/>
      <c r="AY57"/>
      <c r="AZ57"/>
      <c r="BA57"/>
      <c r="BB57">
        <v>61</v>
      </c>
      <c r="BC57">
        <v>78</v>
      </c>
      <c r="BD57"/>
      <c r="BE57" t="s">
        <v>589</v>
      </c>
      <c r="BF57" t="str">
        <f>HYPERLINK("http://dx.doi.org/10.18720/MCE.89.6","http://dx.doi.org/10.18720/MCE.89.6")</f>
        <v>http://dx.doi.org/10.18720/MCE.89.6</v>
      </c>
      <c r="BG57"/>
      <c r="BH57"/>
      <c r="BI57"/>
      <c r="BJ57"/>
      <c r="BK57"/>
      <c r="BL57"/>
      <c r="BM57"/>
      <c r="BN57"/>
      <c r="BO57"/>
      <c r="BP57"/>
      <c r="BQ57"/>
      <c r="BR57"/>
      <c r="BS57" t="s">
        <v>590</v>
      </c>
      <c r="BT57" t="str">
        <f>HYPERLINK("https%3A%2F%2Fwww.webofscience.com%2Fwos%2Fwoscc%2Ffull-record%2FWOS:000487290800006","View Full Record in Web of Science")</f>
        <v>View Full Record in Web of Science</v>
      </c>
    </row>
    <row r="58" spans="1:75" customHeight="1" ht="12.75">
      <c r="A58" t="s">
        <v>72</v>
      </c>
      <c r="B58" t="s">
        <v>591</v>
      </c>
      <c r="C58"/>
      <c r="D58"/>
      <c r="E58"/>
      <c r="F58" t="s">
        <v>592</v>
      </c>
      <c r="G58"/>
      <c r="H58"/>
      <c r="I58" t="s">
        <v>593</v>
      </c>
      <c r="J58" t="s">
        <v>594</v>
      </c>
      <c r="K58"/>
      <c r="L58"/>
      <c r="M58"/>
      <c r="N58"/>
      <c r="O58"/>
      <c r="P58"/>
      <c r="Q58"/>
      <c r="R58"/>
      <c r="S58"/>
      <c r="T58"/>
      <c r="U58"/>
      <c r="V58"/>
      <c r="W58"/>
      <c r="X58"/>
      <c r="Y58"/>
      <c r="Z58"/>
      <c r="AA58" t="s">
        <v>595</v>
      </c>
      <c r="AB58" t="s">
        <v>596</v>
      </c>
      <c r="AC58"/>
      <c r="AD58"/>
      <c r="AE58"/>
      <c r="AF58"/>
      <c r="AG58"/>
      <c r="AH58"/>
      <c r="AI58"/>
      <c r="AJ58"/>
      <c r="AK58"/>
      <c r="AL58"/>
      <c r="AM58"/>
      <c r="AN58"/>
      <c r="AO58" t="s">
        <v>597</v>
      </c>
      <c r="AP58"/>
      <c r="AQ58"/>
      <c r="AR58"/>
      <c r="AS58"/>
      <c r="AT58" t="s">
        <v>491</v>
      </c>
      <c r="AU58">
        <v>2018</v>
      </c>
      <c r="AV58">
        <v>8</v>
      </c>
      <c r="AW58">
        <v>6</v>
      </c>
      <c r="AX58"/>
      <c r="AY58"/>
      <c r="AZ58"/>
      <c r="BA58"/>
      <c r="BB58">
        <v>270</v>
      </c>
      <c r="BC58">
        <v>282</v>
      </c>
      <c r="BD58"/>
      <c r="BE58"/>
      <c r="BF58"/>
      <c r="BG58"/>
      <c r="BH58"/>
      <c r="BI58"/>
      <c r="BJ58"/>
      <c r="BK58"/>
      <c r="BL58"/>
      <c r="BM58"/>
      <c r="BN58"/>
      <c r="BO58"/>
      <c r="BP58"/>
      <c r="BQ58"/>
      <c r="BR58"/>
      <c r="BS58" t="s">
        <v>598</v>
      </c>
      <c r="BT58" t="str">
        <f>HYPERLINK("https%3A%2F%2Fwww.webofscience.com%2Fwos%2Fwoscc%2Ffull-record%2FWOS:000443674500029","View Full Record in Web of Science")</f>
        <v>View Full Record in Web of Science</v>
      </c>
    </row>
    <row r="59" spans="1:75" customHeight="1" ht="12.75">
      <c r="A59" t="s">
        <v>147</v>
      </c>
      <c r="B59" t="s">
        <v>599</v>
      </c>
      <c r="C59"/>
      <c r="D59"/>
      <c r="E59" t="s">
        <v>210</v>
      </c>
      <c r="F59" t="s">
        <v>600</v>
      </c>
      <c r="G59"/>
      <c r="H59"/>
      <c r="I59" t="s">
        <v>601</v>
      </c>
      <c r="J59" t="s">
        <v>419</v>
      </c>
      <c r="K59" t="s">
        <v>420</v>
      </c>
      <c r="L59"/>
      <c r="M59"/>
      <c r="N59"/>
      <c r="O59" t="s">
        <v>421</v>
      </c>
      <c r="P59" t="s">
        <v>422</v>
      </c>
      <c r="Q59" t="s">
        <v>423</v>
      </c>
      <c r="R59" t="s">
        <v>424</v>
      </c>
      <c r="S59"/>
      <c r="T59"/>
      <c r="U59"/>
      <c r="V59"/>
      <c r="W59"/>
      <c r="X59"/>
      <c r="Y59"/>
      <c r="Z59"/>
      <c r="AA59" t="s">
        <v>602</v>
      </c>
      <c r="AB59" t="s">
        <v>603</v>
      </c>
      <c r="AC59"/>
      <c r="AD59"/>
      <c r="AE59"/>
      <c r="AF59"/>
      <c r="AG59"/>
      <c r="AH59"/>
      <c r="AI59"/>
      <c r="AJ59"/>
      <c r="AK59"/>
      <c r="AL59"/>
      <c r="AM59"/>
      <c r="AN59"/>
      <c r="AO59" t="s">
        <v>427</v>
      </c>
      <c r="AP59" t="s">
        <v>428</v>
      </c>
      <c r="AQ59" t="s">
        <v>429</v>
      </c>
      <c r="AR59"/>
      <c r="AS59"/>
      <c r="AT59"/>
      <c r="AU59">
        <v>2018</v>
      </c>
      <c r="AV59"/>
      <c r="AW59"/>
      <c r="AX59"/>
      <c r="AY59"/>
      <c r="AZ59"/>
      <c r="BA59"/>
      <c r="BB59"/>
      <c r="BC59"/>
      <c r="BD59"/>
      <c r="BE59"/>
      <c r="BF59"/>
      <c r="BG59"/>
      <c r="BH59"/>
      <c r="BI59"/>
      <c r="BJ59"/>
      <c r="BK59"/>
      <c r="BL59"/>
      <c r="BM59"/>
      <c r="BN59"/>
      <c r="BO59"/>
      <c r="BP59"/>
      <c r="BQ59"/>
      <c r="BR59"/>
      <c r="BS59" t="s">
        <v>604</v>
      </c>
      <c r="BT59" t="str">
        <f>HYPERLINK("https%3A%2F%2Fwww.webofscience.com%2Fwos%2Fwoscc%2Ffull-record%2FWOS:000517795800128","View Full Record in Web of Science")</f>
        <v>View Full Record in Web of Science</v>
      </c>
    </row>
    <row r="60" spans="1:75" customHeight="1" ht="12.75">
      <c r="A60" t="s">
        <v>72</v>
      </c>
      <c r="B60" t="s">
        <v>605</v>
      </c>
      <c r="C60"/>
      <c r="D60"/>
      <c r="E60"/>
      <c r="F60" t="s">
        <v>606</v>
      </c>
      <c r="G60"/>
      <c r="H60"/>
      <c r="I60" t="s">
        <v>607</v>
      </c>
      <c r="J60" t="s">
        <v>244</v>
      </c>
      <c r="K60"/>
      <c r="L60"/>
      <c r="M60"/>
      <c r="N60"/>
      <c r="O60"/>
      <c r="P60"/>
      <c r="Q60"/>
      <c r="R60"/>
      <c r="S60"/>
      <c r="T60"/>
      <c r="U60"/>
      <c r="V60"/>
      <c r="W60"/>
      <c r="X60"/>
      <c r="Y60"/>
      <c r="Z60"/>
      <c r="AA60" t="s">
        <v>608</v>
      </c>
      <c r="AB60" t="s">
        <v>609</v>
      </c>
      <c r="AC60"/>
      <c r="AD60"/>
      <c r="AE60"/>
      <c r="AF60"/>
      <c r="AG60"/>
      <c r="AH60"/>
      <c r="AI60"/>
      <c r="AJ60"/>
      <c r="AK60"/>
      <c r="AL60"/>
      <c r="AM60"/>
      <c r="AN60"/>
      <c r="AO60" t="s">
        <v>245</v>
      </c>
      <c r="AP60" t="s">
        <v>246</v>
      </c>
      <c r="AQ60"/>
      <c r="AR60"/>
      <c r="AS60"/>
      <c r="AT60"/>
      <c r="AU60">
        <v>2016</v>
      </c>
      <c r="AV60"/>
      <c r="AW60">
        <v>10</v>
      </c>
      <c r="AX60"/>
      <c r="AY60"/>
      <c r="AZ60"/>
      <c r="BA60"/>
      <c r="BB60">
        <v>105</v>
      </c>
      <c r="BC60">
        <v>125</v>
      </c>
      <c r="BD60"/>
      <c r="BE60"/>
      <c r="BF60"/>
      <c r="BG60"/>
      <c r="BH60"/>
      <c r="BI60"/>
      <c r="BJ60"/>
      <c r="BK60"/>
      <c r="BL60"/>
      <c r="BM60"/>
      <c r="BN60"/>
      <c r="BO60"/>
      <c r="BP60"/>
      <c r="BQ60"/>
      <c r="BR60"/>
      <c r="BS60" t="s">
        <v>610</v>
      </c>
      <c r="BT60" t="str">
        <f>HYPERLINK("https%3A%2F%2Fwww.webofscience.com%2Fwos%2Fwoscc%2Ffull-record%2FWOS:000386994400006","View Full Record in Web of Science")</f>
        <v>View Full Record in Web of Science</v>
      </c>
    </row>
    <row r="61" spans="1:75" customHeight="1" ht="12.75">
      <c r="A61" t="s">
        <v>72</v>
      </c>
      <c r="B61" t="s">
        <v>611</v>
      </c>
      <c r="C61"/>
      <c r="D61"/>
      <c r="E61"/>
      <c r="F61" t="s">
        <v>612</v>
      </c>
      <c r="G61"/>
      <c r="H61"/>
      <c r="I61" t="s">
        <v>613</v>
      </c>
      <c r="J61" t="s">
        <v>614</v>
      </c>
      <c r="K61"/>
      <c r="L61"/>
      <c r="M61"/>
      <c r="N61"/>
      <c r="O61"/>
      <c r="P61"/>
      <c r="Q61"/>
      <c r="R61"/>
      <c r="S61"/>
      <c r="T61"/>
      <c r="U61"/>
      <c r="V61"/>
      <c r="W61"/>
      <c r="X61"/>
      <c r="Y61"/>
      <c r="Z61"/>
      <c r="AA61" t="s">
        <v>615</v>
      </c>
      <c r="AB61" t="s">
        <v>616</v>
      </c>
      <c r="AC61"/>
      <c r="AD61"/>
      <c r="AE61"/>
      <c r="AF61"/>
      <c r="AG61"/>
      <c r="AH61"/>
      <c r="AI61"/>
      <c r="AJ61"/>
      <c r="AK61"/>
      <c r="AL61"/>
      <c r="AM61"/>
      <c r="AN61"/>
      <c r="AO61" t="s">
        <v>617</v>
      </c>
      <c r="AP61"/>
      <c r="AQ61"/>
      <c r="AR61"/>
      <c r="AS61"/>
      <c r="AT61" t="s">
        <v>403</v>
      </c>
      <c r="AU61">
        <v>2012</v>
      </c>
      <c r="AV61">
        <v>48</v>
      </c>
      <c r="AW61">
        <v>12</v>
      </c>
      <c r="AX61"/>
      <c r="AY61"/>
      <c r="AZ61"/>
      <c r="BA61"/>
      <c r="BB61">
        <v>1201</v>
      </c>
      <c r="BC61">
        <v>1203</v>
      </c>
      <c r="BD61"/>
      <c r="BE61" t="s">
        <v>618</v>
      </c>
      <c r="BF61" t="str">
        <f>HYPERLINK("http://dx.doi.org/10.1134/S1023193512120051","http://dx.doi.org/10.1134/S1023193512120051")</f>
        <v>http://dx.doi.org/10.1134/S1023193512120051</v>
      </c>
      <c r="BG61"/>
      <c r="BH61"/>
      <c r="BI61"/>
      <c r="BJ61"/>
      <c r="BK61"/>
      <c r="BL61"/>
      <c r="BM61"/>
      <c r="BN61"/>
      <c r="BO61"/>
      <c r="BP61"/>
      <c r="BQ61"/>
      <c r="BR61"/>
      <c r="BS61" t="s">
        <v>619</v>
      </c>
      <c r="BT61" t="str">
        <f>HYPERLINK("https%3A%2F%2Fwww.webofscience.com%2Fwos%2Fwoscc%2Ffull-record%2FWOS:000312405700009","View Full Record in Web of Science")</f>
        <v>View Full Record in Web of Science</v>
      </c>
    </row>
    <row r="62" spans="1:75" customHeight="1" ht="12.75">
      <c r="A62" t="s">
        <v>72</v>
      </c>
      <c r="B62" t="s">
        <v>620</v>
      </c>
      <c r="C62"/>
      <c r="D62"/>
      <c r="E62"/>
      <c r="F62" t="s">
        <v>621</v>
      </c>
      <c r="G62"/>
      <c r="H62"/>
      <c r="I62" t="s">
        <v>622</v>
      </c>
      <c r="J62" t="s">
        <v>623</v>
      </c>
      <c r="K62"/>
      <c r="L62"/>
      <c r="M62"/>
      <c r="N62"/>
      <c r="O62"/>
      <c r="P62"/>
      <c r="Q62"/>
      <c r="R62"/>
      <c r="S62"/>
      <c r="T62"/>
      <c r="U62"/>
      <c r="V62"/>
      <c r="W62"/>
      <c r="X62"/>
      <c r="Y62"/>
      <c r="Z62"/>
      <c r="AA62"/>
      <c r="AB62"/>
      <c r="AC62"/>
      <c r="AD62"/>
      <c r="AE62"/>
      <c r="AF62"/>
      <c r="AG62"/>
      <c r="AH62"/>
      <c r="AI62"/>
      <c r="AJ62"/>
      <c r="AK62"/>
      <c r="AL62"/>
      <c r="AM62"/>
      <c r="AN62"/>
      <c r="AO62" t="s">
        <v>624</v>
      </c>
      <c r="AP62"/>
      <c r="AQ62"/>
      <c r="AR62"/>
      <c r="AS62"/>
      <c r="AT62" t="s">
        <v>541</v>
      </c>
      <c r="AU62">
        <v>2011</v>
      </c>
      <c r="AV62">
        <v>85</v>
      </c>
      <c r="AW62">
        <v>1</v>
      </c>
      <c r="AX62"/>
      <c r="AY62"/>
      <c r="AZ62"/>
      <c r="BA62"/>
      <c r="BB62">
        <v>108</v>
      </c>
      <c r="BC62">
        <v>111</v>
      </c>
      <c r="BD62"/>
      <c r="BE62" t="s">
        <v>625</v>
      </c>
      <c r="BF62" t="str">
        <f>HYPERLINK("http://dx.doi.org/10.1134/S0036024411010286","http://dx.doi.org/10.1134/S0036024411010286")</f>
        <v>http://dx.doi.org/10.1134/S0036024411010286</v>
      </c>
      <c r="BG62"/>
      <c r="BH62"/>
      <c r="BI62"/>
      <c r="BJ62"/>
      <c r="BK62"/>
      <c r="BL62"/>
      <c r="BM62"/>
      <c r="BN62"/>
      <c r="BO62"/>
      <c r="BP62"/>
      <c r="BQ62"/>
      <c r="BR62"/>
      <c r="BS62" t="s">
        <v>626</v>
      </c>
      <c r="BT62" t="str">
        <f>HYPERLINK("https%3A%2F%2Fwww.webofscience.com%2Fwos%2Fwoscc%2Ffull-record%2FWOS:000288387800020","View Full Record in Web of Science")</f>
        <v>View Full Record in Web of Science</v>
      </c>
    </row>
    <row r="63" spans="1:75" customHeight="1" ht="12.75">
      <c r="A63" t="s">
        <v>72</v>
      </c>
      <c r="B63" t="s">
        <v>627</v>
      </c>
      <c r="C63"/>
      <c r="D63"/>
      <c r="E63"/>
      <c r="F63" t="s">
        <v>628</v>
      </c>
      <c r="G63"/>
      <c r="H63"/>
      <c r="I63" t="s">
        <v>629</v>
      </c>
      <c r="J63" t="s">
        <v>95</v>
      </c>
      <c r="K63"/>
      <c r="L63"/>
      <c r="M63"/>
      <c r="N63"/>
      <c r="O63"/>
      <c r="P63"/>
      <c r="Q63"/>
      <c r="R63"/>
      <c r="S63"/>
      <c r="T63"/>
      <c r="U63"/>
      <c r="V63"/>
      <c r="W63"/>
      <c r="X63"/>
      <c r="Y63"/>
      <c r="Z63"/>
      <c r="AA63"/>
      <c r="AB63"/>
      <c r="AC63"/>
      <c r="AD63"/>
      <c r="AE63"/>
      <c r="AF63"/>
      <c r="AG63"/>
      <c r="AH63"/>
      <c r="AI63"/>
      <c r="AJ63"/>
      <c r="AK63"/>
      <c r="AL63"/>
      <c r="AM63"/>
      <c r="AN63"/>
      <c r="AO63" t="s">
        <v>98</v>
      </c>
      <c r="AP63" t="s">
        <v>99</v>
      </c>
      <c r="AQ63"/>
      <c r="AR63"/>
      <c r="AS63"/>
      <c r="AT63"/>
      <c r="AU63">
        <v>2022</v>
      </c>
      <c r="AV63"/>
      <c r="AW63">
        <v>4</v>
      </c>
      <c r="AX63"/>
      <c r="AY63"/>
      <c r="AZ63"/>
      <c r="BA63"/>
      <c r="BB63">
        <v>119</v>
      </c>
      <c r="BC63">
        <v>123</v>
      </c>
      <c r="BD63"/>
      <c r="BE63" t="s">
        <v>630</v>
      </c>
      <c r="BF63" t="str">
        <f>HYPERLINK("http://dx.doi.org/10.25750/1995-4301-2022-4-119-123","http://dx.doi.org/10.25750/1995-4301-2022-4-119-123")</f>
        <v>http://dx.doi.org/10.25750/1995-4301-2022-4-119-123</v>
      </c>
      <c r="BG63"/>
      <c r="BH63"/>
      <c r="BI63"/>
      <c r="BJ63"/>
      <c r="BK63"/>
      <c r="BL63"/>
      <c r="BM63"/>
      <c r="BN63"/>
      <c r="BO63"/>
      <c r="BP63"/>
      <c r="BQ63"/>
      <c r="BR63"/>
      <c r="BS63" t="s">
        <v>631</v>
      </c>
      <c r="BT63" t="str">
        <f>HYPERLINK("https%3A%2F%2Fwww.webofscience.com%2Fwos%2Fwoscc%2Ffull-record%2FWOS:000929704700016","View Full Record in Web of Science")</f>
        <v>View Full Record in Web of Science</v>
      </c>
    </row>
    <row r="64" spans="1:75" customHeight="1" ht="12.75">
      <c r="A64" t="s">
        <v>72</v>
      </c>
      <c r="B64" t="s">
        <v>632</v>
      </c>
      <c r="C64"/>
      <c r="D64"/>
      <c r="E64"/>
      <c r="F64" t="s">
        <v>633</v>
      </c>
      <c r="G64"/>
      <c r="H64"/>
      <c r="I64" t="s">
        <v>634</v>
      </c>
      <c r="J64" t="s">
        <v>113</v>
      </c>
      <c r="K64"/>
      <c r="L64"/>
      <c r="M64"/>
      <c r="N64"/>
      <c r="O64"/>
      <c r="P64"/>
      <c r="Q64"/>
      <c r="R64"/>
      <c r="S64"/>
      <c r="T64"/>
      <c r="U64"/>
      <c r="V64"/>
      <c r="W64"/>
      <c r="X64"/>
      <c r="Y64"/>
      <c r="Z64"/>
      <c r="AA64" t="s">
        <v>635</v>
      </c>
      <c r="AB64" t="s">
        <v>636</v>
      </c>
      <c r="AC64"/>
      <c r="AD64"/>
      <c r="AE64"/>
      <c r="AF64"/>
      <c r="AG64"/>
      <c r="AH64"/>
      <c r="AI64"/>
      <c r="AJ64"/>
      <c r="AK64"/>
      <c r="AL64"/>
      <c r="AM64"/>
      <c r="AN64"/>
      <c r="AO64" t="s">
        <v>116</v>
      </c>
      <c r="AP64" t="s">
        <v>117</v>
      </c>
      <c r="AQ64"/>
      <c r="AR64"/>
      <c r="AS64"/>
      <c r="AT64"/>
      <c r="AU64">
        <v>2022</v>
      </c>
      <c r="AV64">
        <v>27</v>
      </c>
      <c r="AW64">
        <v>2</v>
      </c>
      <c r="AX64"/>
      <c r="AY64"/>
      <c r="AZ64"/>
      <c r="BA64"/>
      <c r="BB64">
        <v>90</v>
      </c>
      <c r="BC64">
        <v>100</v>
      </c>
      <c r="BD64"/>
      <c r="BE64" t="s">
        <v>637</v>
      </c>
      <c r="BF64" t="str">
        <f>HYPERLINK("http://dx.doi.org/10.15688/jvolsu4.2022.2.8","http://dx.doi.org/10.15688/jvolsu4.2022.2.8")</f>
        <v>http://dx.doi.org/10.15688/jvolsu4.2022.2.8</v>
      </c>
      <c r="BG64"/>
      <c r="BH64"/>
      <c r="BI64"/>
      <c r="BJ64"/>
      <c r="BK64"/>
      <c r="BL64"/>
      <c r="BM64"/>
      <c r="BN64"/>
      <c r="BO64"/>
      <c r="BP64"/>
      <c r="BQ64"/>
      <c r="BR64"/>
      <c r="BS64" t="s">
        <v>638</v>
      </c>
      <c r="BT64" t="str">
        <f>HYPERLINK("https%3A%2F%2Fwww.webofscience.com%2Fwos%2Fwoscc%2Ffull-record%2FWOS:000787124400009","View Full Record in Web of Science")</f>
        <v>View Full Record in Web of Science</v>
      </c>
    </row>
    <row r="65" spans="1:75" customHeight="1" ht="12.75">
      <c r="A65" t="s">
        <v>72</v>
      </c>
      <c r="B65" t="s">
        <v>639</v>
      </c>
      <c r="C65"/>
      <c r="D65"/>
      <c r="E65"/>
      <c r="F65" t="s">
        <v>640</v>
      </c>
      <c r="G65"/>
      <c r="H65"/>
      <c r="I65" t="s">
        <v>641</v>
      </c>
      <c r="J65" t="s">
        <v>642</v>
      </c>
      <c r="K65"/>
      <c r="L65"/>
      <c r="M65"/>
      <c r="N65"/>
      <c r="O65"/>
      <c r="P65"/>
      <c r="Q65"/>
      <c r="R65"/>
      <c r="S65"/>
      <c r="T65"/>
      <c r="U65"/>
      <c r="V65"/>
      <c r="W65"/>
      <c r="X65"/>
      <c r="Y65"/>
      <c r="Z65"/>
      <c r="AA65"/>
      <c r="AB65"/>
      <c r="AC65"/>
      <c r="AD65"/>
      <c r="AE65"/>
      <c r="AF65"/>
      <c r="AG65"/>
      <c r="AH65"/>
      <c r="AI65"/>
      <c r="AJ65"/>
      <c r="AK65"/>
      <c r="AL65"/>
      <c r="AM65"/>
      <c r="AN65"/>
      <c r="AO65" t="s">
        <v>643</v>
      </c>
      <c r="AP65" t="s">
        <v>644</v>
      </c>
      <c r="AQ65"/>
      <c r="AR65"/>
      <c r="AS65"/>
      <c r="AT65"/>
      <c r="AU65">
        <v>2022</v>
      </c>
      <c r="AV65">
        <v>10</v>
      </c>
      <c r="AW65">
        <v>5</v>
      </c>
      <c r="AX65"/>
      <c r="AY65"/>
      <c r="AZ65"/>
      <c r="BA65"/>
      <c r="BB65">
        <v>1691</v>
      </c>
      <c r="BC65">
        <v>1707</v>
      </c>
      <c r="BD65"/>
      <c r="BE65" t="s">
        <v>645</v>
      </c>
      <c r="BF65" t="str">
        <f>HYPERLINK("http://dx.doi.org/10.15826/qr.2022.5.755","http://dx.doi.org/10.15826/qr.2022.5.755")</f>
        <v>http://dx.doi.org/10.15826/qr.2022.5.755</v>
      </c>
      <c r="BG65"/>
      <c r="BH65"/>
      <c r="BI65"/>
      <c r="BJ65"/>
      <c r="BK65"/>
      <c r="BL65"/>
      <c r="BM65"/>
      <c r="BN65"/>
      <c r="BO65"/>
      <c r="BP65"/>
      <c r="BQ65"/>
      <c r="BR65"/>
      <c r="BS65" t="s">
        <v>646</v>
      </c>
      <c r="BT65" t="str">
        <f>HYPERLINK("https%3A%2F%2Fwww.webofscience.com%2Fwos%2Fwoscc%2Ffull-record%2FWOS:000945576100007","View Full Record in Web of Science")</f>
        <v>View Full Record in Web of Science</v>
      </c>
    </row>
    <row r="66" spans="1:75" customHeight="1" ht="12.75">
      <c r="A66" t="s">
        <v>72</v>
      </c>
      <c r="B66" t="s">
        <v>647</v>
      </c>
      <c r="C66"/>
      <c r="D66"/>
      <c r="E66"/>
      <c r="F66" t="s">
        <v>648</v>
      </c>
      <c r="G66"/>
      <c r="H66"/>
      <c r="I66" t="s">
        <v>649</v>
      </c>
      <c r="J66" t="s">
        <v>650</v>
      </c>
      <c r="K66"/>
      <c r="L66"/>
      <c r="M66"/>
      <c r="N66"/>
      <c r="O66"/>
      <c r="P66"/>
      <c r="Q66"/>
      <c r="R66"/>
      <c r="S66"/>
      <c r="T66"/>
      <c r="U66"/>
      <c r="V66"/>
      <c r="W66"/>
      <c r="X66"/>
      <c r="Y66"/>
      <c r="Z66"/>
      <c r="AA66" t="s">
        <v>651</v>
      </c>
      <c r="AB66" t="s">
        <v>652</v>
      </c>
      <c r="AC66"/>
      <c r="AD66"/>
      <c r="AE66"/>
      <c r="AF66"/>
      <c r="AG66"/>
      <c r="AH66"/>
      <c r="AI66"/>
      <c r="AJ66"/>
      <c r="AK66"/>
      <c r="AL66"/>
      <c r="AM66"/>
      <c r="AN66"/>
      <c r="AO66" t="s">
        <v>653</v>
      </c>
      <c r="AP66" t="s">
        <v>654</v>
      </c>
      <c r="AQ66"/>
      <c r="AR66"/>
      <c r="AS66"/>
      <c r="AT66" t="s">
        <v>655</v>
      </c>
      <c r="AU66">
        <v>2020</v>
      </c>
      <c r="AV66">
        <v>2020</v>
      </c>
      <c r="AW66">
        <v>2</v>
      </c>
      <c r="AX66"/>
      <c r="AY66"/>
      <c r="AZ66"/>
      <c r="BA66"/>
      <c r="BB66">
        <v>102</v>
      </c>
      <c r="BC66">
        <v>106</v>
      </c>
      <c r="BD66"/>
      <c r="BE66" t="s">
        <v>656</v>
      </c>
      <c r="BF66" t="str">
        <f>HYPERLINK("http://dx.doi.org/10.1134/S0036029520020032","http://dx.doi.org/10.1134/S0036029520020032")</f>
        <v>http://dx.doi.org/10.1134/S0036029520020032</v>
      </c>
      <c r="BG66"/>
      <c r="BH66"/>
      <c r="BI66"/>
      <c r="BJ66"/>
      <c r="BK66"/>
      <c r="BL66"/>
      <c r="BM66"/>
      <c r="BN66"/>
      <c r="BO66"/>
      <c r="BP66"/>
      <c r="BQ66"/>
      <c r="BR66"/>
      <c r="BS66" t="s">
        <v>657</v>
      </c>
      <c r="BT66" t="str">
        <f>HYPERLINK("https%3A%2F%2Fwww.webofscience.com%2Fwos%2Fwoscc%2Ffull-record%2FWOS:000520832000004","View Full Record in Web of Science")</f>
        <v>View Full Record in Web of Science</v>
      </c>
    </row>
    <row r="67" spans="1:75" customHeight="1" ht="12.75">
      <c r="A67" t="s">
        <v>72</v>
      </c>
      <c r="B67" t="s">
        <v>658</v>
      </c>
      <c r="C67"/>
      <c r="D67"/>
      <c r="E67"/>
      <c r="F67" t="s">
        <v>659</v>
      </c>
      <c r="G67"/>
      <c r="H67"/>
      <c r="I67" t="s">
        <v>660</v>
      </c>
      <c r="J67" t="s">
        <v>661</v>
      </c>
      <c r="K67"/>
      <c r="L67"/>
      <c r="M67"/>
      <c r="N67"/>
      <c r="O67"/>
      <c r="P67"/>
      <c r="Q67"/>
      <c r="R67"/>
      <c r="S67"/>
      <c r="T67"/>
      <c r="U67"/>
      <c r="V67"/>
      <c r="W67"/>
      <c r="X67"/>
      <c r="Y67"/>
      <c r="Z67"/>
      <c r="AA67" t="s">
        <v>507</v>
      </c>
      <c r="AB67" t="s">
        <v>508</v>
      </c>
      <c r="AC67"/>
      <c r="AD67"/>
      <c r="AE67"/>
      <c r="AF67"/>
      <c r="AG67"/>
      <c r="AH67"/>
      <c r="AI67"/>
      <c r="AJ67"/>
      <c r="AK67"/>
      <c r="AL67"/>
      <c r="AM67"/>
      <c r="AN67"/>
      <c r="AO67" t="s">
        <v>662</v>
      </c>
      <c r="AP67"/>
      <c r="AQ67"/>
      <c r="AR67"/>
      <c r="AS67"/>
      <c r="AT67"/>
      <c r="AU67">
        <v>2020</v>
      </c>
      <c r="AV67">
        <v>10</v>
      </c>
      <c r="AW67">
        <v>1</v>
      </c>
      <c r="AX67"/>
      <c r="AY67"/>
      <c r="AZ67"/>
      <c r="BA67"/>
      <c r="BB67">
        <v>165</v>
      </c>
      <c r="BC67">
        <v>176</v>
      </c>
      <c r="BD67"/>
      <c r="BE67" t="s">
        <v>663</v>
      </c>
      <c r="BF67" t="str">
        <f>HYPERLINK("http://dx.doi.org/10.17759/psylaw.2020100115","http://dx.doi.org/10.17759/psylaw.2020100115")</f>
        <v>http://dx.doi.org/10.17759/psylaw.2020100115</v>
      </c>
      <c r="BG67"/>
      <c r="BH67"/>
      <c r="BI67"/>
      <c r="BJ67"/>
      <c r="BK67"/>
      <c r="BL67"/>
      <c r="BM67"/>
      <c r="BN67"/>
      <c r="BO67"/>
      <c r="BP67"/>
      <c r="BQ67"/>
      <c r="BR67"/>
      <c r="BS67" t="s">
        <v>664</v>
      </c>
      <c r="BT67" t="str">
        <f>HYPERLINK("https%3A%2F%2Fwww.webofscience.com%2Fwos%2Fwoscc%2Ffull-record%2FWOS:000523598300015","View Full Record in Web of Science")</f>
        <v>View Full Record in Web of Science</v>
      </c>
    </row>
    <row r="68" spans="1:75" customHeight="1" ht="12.75">
      <c r="A68" t="s">
        <v>72</v>
      </c>
      <c r="B68" t="s">
        <v>665</v>
      </c>
      <c r="C68"/>
      <c r="D68"/>
      <c r="E68"/>
      <c r="F68" t="s">
        <v>666</v>
      </c>
      <c r="G68"/>
      <c r="H68"/>
      <c r="I68" t="s">
        <v>667</v>
      </c>
      <c r="J68" t="s">
        <v>668</v>
      </c>
      <c r="K68"/>
      <c r="L68"/>
      <c r="M68"/>
      <c r="N68"/>
      <c r="O68"/>
      <c r="P68"/>
      <c r="Q68"/>
      <c r="R68"/>
      <c r="S68"/>
      <c r="T68"/>
      <c r="U68"/>
      <c r="V68"/>
      <c r="W68"/>
      <c r="X68"/>
      <c r="Y68"/>
      <c r="Z68"/>
      <c r="AA68"/>
      <c r="AB68"/>
      <c r="AC68"/>
      <c r="AD68"/>
      <c r="AE68"/>
      <c r="AF68"/>
      <c r="AG68"/>
      <c r="AH68"/>
      <c r="AI68"/>
      <c r="AJ68"/>
      <c r="AK68"/>
      <c r="AL68"/>
      <c r="AM68"/>
      <c r="AN68"/>
      <c r="AO68" t="s">
        <v>669</v>
      </c>
      <c r="AP68" t="s">
        <v>670</v>
      </c>
      <c r="AQ68"/>
      <c r="AR68"/>
      <c r="AS68"/>
      <c r="AT68"/>
      <c r="AU68">
        <v>2020</v>
      </c>
      <c r="AV68"/>
      <c r="AW68">
        <v>1</v>
      </c>
      <c r="AX68"/>
      <c r="AY68"/>
      <c r="AZ68"/>
      <c r="BA68"/>
      <c r="BB68">
        <v>400</v>
      </c>
      <c r="BC68">
        <v>421</v>
      </c>
      <c r="BD68"/>
      <c r="BE68" t="s">
        <v>671</v>
      </c>
      <c r="BF68" t="str">
        <f>HYPERLINK("http://dx.doi.org/10.24224/2227-1295-2020-1-400-421","http://dx.doi.org/10.24224/2227-1295-2020-1-400-421")</f>
        <v>http://dx.doi.org/10.24224/2227-1295-2020-1-400-421</v>
      </c>
      <c r="BG68"/>
      <c r="BH68"/>
      <c r="BI68"/>
      <c r="BJ68"/>
      <c r="BK68"/>
      <c r="BL68"/>
      <c r="BM68"/>
      <c r="BN68"/>
      <c r="BO68"/>
      <c r="BP68"/>
      <c r="BQ68"/>
      <c r="BR68"/>
      <c r="BS68" t="s">
        <v>672</v>
      </c>
      <c r="BT68" t="str">
        <f>HYPERLINK("https%3A%2F%2Fwww.webofscience.com%2Fwos%2Fwoscc%2Ffull-record%2FWOS:000511435400025","View Full Record in Web of Science")</f>
        <v>View Full Record in Web of Science</v>
      </c>
    </row>
    <row r="69" spans="1:75" customHeight="1" ht="12.75">
      <c r="A69" t="s">
        <v>72</v>
      </c>
      <c r="B69" t="s">
        <v>673</v>
      </c>
      <c r="C69"/>
      <c r="D69"/>
      <c r="E69"/>
      <c r="F69" t="s">
        <v>674</v>
      </c>
      <c r="G69"/>
      <c r="H69"/>
      <c r="I69" t="s">
        <v>675</v>
      </c>
      <c r="J69" t="s">
        <v>676</v>
      </c>
      <c r="K69"/>
      <c r="L69"/>
      <c r="M69"/>
      <c r="N69"/>
      <c r="O69"/>
      <c r="P69"/>
      <c r="Q69"/>
      <c r="R69"/>
      <c r="S69"/>
      <c r="T69"/>
      <c r="U69"/>
      <c r="V69"/>
      <c r="W69"/>
      <c r="X69"/>
      <c r="Y69"/>
      <c r="Z69"/>
      <c r="AA69" t="s">
        <v>677</v>
      </c>
      <c r="AB69" t="s">
        <v>678</v>
      </c>
      <c r="AC69"/>
      <c r="AD69"/>
      <c r="AE69"/>
      <c r="AF69"/>
      <c r="AG69"/>
      <c r="AH69"/>
      <c r="AI69"/>
      <c r="AJ69"/>
      <c r="AK69"/>
      <c r="AL69"/>
      <c r="AM69"/>
      <c r="AN69"/>
      <c r="AO69" t="s">
        <v>679</v>
      </c>
      <c r="AP69"/>
      <c r="AQ69"/>
      <c r="AR69"/>
      <c r="AS69"/>
      <c r="AT69"/>
      <c r="AU69">
        <v>2020</v>
      </c>
      <c r="AV69">
        <v>11</v>
      </c>
      <c r="AW69">
        <v>12</v>
      </c>
      <c r="AX69">
        <v>2</v>
      </c>
      <c r="AY69"/>
      <c r="AZ69"/>
      <c r="BA69"/>
      <c r="BB69"/>
      <c r="BC69"/>
      <c r="BD69"/>
      <c r="BE69" t="s">
        <v>680</v>
      </c>
      <c r="BF69" t="str">
        <f>HYPERLINK("http://dx.doi.org/10.18254/S207987840013183-0","http://dx.doi.org/10.18254/S207987840013183-0")</f>
        <v>http://dx.doi.org/10.18254/S207987840013183-0</v>
      </c>
      <c r="BG69"/>
      <c r="BH69"/>
      <c r="BI69"/>
      <c r="BJ69"/>
      <c r="BK69"/>
      <c r="BL69"/>
      <c r="BM69"/>
      <c r="BN69"/>
      <c r="BO69"/>
      <c r="BP69"/>
      <c r="BQ69"/>
      <c r="BR69"/>
      <c r="BS69" t="s">
        <v>681</v>
      </c>
      <c r="BT69" t="str">
        <f>HYPERLINK("https%3A%2F%2Fwww.webofscience.com%2Fwos%2Fwoscc%2Ffull-record%2FWOS:000609191500013","View Full Record in Web of Science")</f>
        <v>View Full Record in Web of Science</v>
      </c>
    </row>
    <row r="70" spans="1:75" customHeight="1" ht="12.75">
      <c r="A70" t="s">
        <v>72</v>
      </c>
      <c r="B70" t="s">
        <v>682</v>
      </c>
      <c r="C70"/>
      <c r="D70"/>
      <c r="E70"/>
      <c r="F70" t="s">
        <v>683</v>
      </c>
      <c r="G70"/>
      <c r="H70"/>
      <c r="I70" t="s">
        <v>684</v>
      </c>
      <c r="J70" t="s">
        <v>685</v>
      </c>
      <c r="K70"/>
      <c r="L70"/>
      <c r="M70"/>
      <c r="N70"/>
      <c r="O70"/>
      <c r="P70"/>
      <c r="Q70"/>
      <c r="R70"/>
      <c r="S70"/>
      <c r="T70"/>
      <c r="U70"/>
      <c r="V70"/>
      <c r="W70"/>
      <c r="X70"/>
      <c r="Y70"/>
      <c r="Z70"/>
      <c r="AA70" t="s">
        <v>686</v>
      </c>
      <c r="AB70"/>
      <c r="AC70"/>
      <c r="AD70"/>
      <c r="AE70"/>
      <c r="AF70"/>
      <c r="AG70"/>
      <c r="AH70"/>
      <c r="AI70"/>
      <c r="AJ70"/>
      <c r="AK70"/>
      <c r="AL70"/>
      <c r="AM70"/>
      <c r="AN70"/>
      <c r="AO70" t="s">
        <v>687</v>
      </c>
      <c r="AP70" t="s">
        <v>688</v>
      </c>
      <c r="AQ70"/>
      <c r="AR70"/>
      <c r="AS70"/>
      <c r="AT70" t="s">
        <v>319</v>
      </c>
      <c r="AU70">
        <v>2019</v>
      </c>
      <c r="AV70">
        <v>46</v>
      </c>
      <c r="AW70">
        <v>6</v>
      </c>
      <c r="AX70"/>
      <c r="AY70"/>
      <c r="AZ70"/>
      <c r="BA70"/>
      <c r="BB70">
        <v>570</v>
      </c>
      <c r="BC70">
        <v>576</v>
      </c>
      <c r="BD70"/>
      <c r="BE70" t="s">
        <v>689</v>
      </c>
      <c r="BF70" t="str">
        <f>HYPERLINK("http://dx.doi.org/10.1134/S1062359019060116","http://dx.doi.org/10.1134/S1062359019060116")</f>
        <v>http://dx.doi.org/10.1134/S1062359019060116</v>
      </c>
      <c r="BG70"/>
      <c r="BH70"/>
      <c r="BI70"/>
      <c r="BJ70"/>
      <c r="BK70"/>
      <c r="BL70"/>
      <c r="BM70"/>
      <c r="BN70"/>
      <c r="BO70"/>
      <c r="BP70"/>
      <c r="BQ70"/>
      <c r="BR70"/>
      <c r="BS70" t="s">
        <v>690</v>
      </c>
      <c r="BT70" t="str">
        <f>HYPERLINK("https%3A%2F%2Fwww.webofscience.com%2Fwos%2Fwoscc%2Ffull-record%2FWOS:000511334100008","View Full Record in Web of Science")</f>
        <v>View Full Record in Web of Science</v>
      </c>
    </row>
    <row r="71" spans="1:75" customHeight="1" ht="12.75">
      <c r="A71" t="s">
        <v>72</v>
      </c>
      <c r="B71" t="s">
        <v>691</v>
      </c>
      <c r="C71"/>
      <c r="D71"/>
      <c r="E71"/>
      <c r="F71" t="s">
        <v>692</v>
      </c>
      <c r="G71"/>
      <c r="H71"/>
      <c r="I71" t="s">
        <v>693</v>
      </c>
      <c r="J71" t="s">
        <v>95</v>
      </c>
      <c r="K71"/>
      <c r="L71"/>
      <c r="M71"/>
      <c r="N71"/>
      <c r="O71"/>
      <c r="P71"/>
      <c r="Q71"/>
      <c r="R71"/>
      <c r="S71"/>
      <c r="T71"/>
      <c r="U71"/>
      <c r="V71"/>
      <c r="W71"/>
      <c r="X71"/>
      <c r="Y71"/>
      <c r="Z71"/>
      <c r="AA71" t="s">
        <v>694</v>
      </c>
      <c r="AB71" t="s">
        <v>695</v>
      </c>
      <c r="AC71"/>
      <c r="AD71"/>
      <c r="AE71"/>
      <c r="AF71"/>
      <c r="AG71"/>
      <c r="AH71"/>
      <c r="AI71"/>
      <c r="AJ71"/>
      <c r="AK71"/>
      <c r="AL71"/>
      <c r="AM71"/>
      <c r="AN71"/>
      <c r="AO71" t="s">
        <v>98</v>
      </c>
      <c r="AP71" t="s">
        <v>99</v>
      </c>
      <c r="AQ71"/>
      <c r="AR71"/>
      <c r="AS71"/>
      <c r="AT71"/>
      <c r="AU71">
        <v>2019</v>
      </c>
      <c r="AV71"/>
      <c r="AW71">
        <v>3</v>
      </c>
      <c r="AX71"/>
      <c r="AY71"/>
      <c r="AZ71"/>
      <c r="BA71"/>
      <c r="BB71">
        <v>87</v>
      </c>
      <c r="BC71">
        <v>94</v>
      </c>
      <c r="BD71"/>
      <c r="BE71" t="s">
        <v>696</v>
      </c>
      <c r="BF71" t="str">
        <f>HYPERLINK("http://dx.doi.org/10.25750/1995-4301-2019-3-087-094","http://dx.doi.org/10.25750/1995-4301-2019-3-087-094")</f>
        <v>http://dx.doi.org/10.25750/1995-4301-2019-3-087-094</v>
      </c>
      <c r="BG71"/>
      <c r="BH71"/>
      <c r="BI71"/>
      <c r="BJ71"/>
      <c r="BK71"/>
      <c r="BL71"/>
      <c r="BM71"/>
      <c r="BN71"/>
      <c r="BO71"/>
      <c r="BP71"/>
      <c r="BQ71"/>
      <c r="BR71"/>
      <c r="BS71" t="s">
        <v>697</v>
      </c>
      <c r="BT71" t="str">
        <f>HYPERLINK("https%3A%2F%2Fwww.webofscience.com%2Fwos%2Fwoscc%2Ffull-record%2FWOS:000490704900012","View Full Record in Web of Science")</f>
        <v>View Full Record in Web of Science</v>
      </c>
    </row>
    <row r="72" spans="1:75" customHeight="1" ht="12.75">
      <c r="A72" t="s">
        <v>72</v>
      </c>
      <c r="B72" t="s">
        <v>698</v>
      </c>
      <c r="C72"/>
      <c r="D72"/>
      <c r="E72"/>
      <c r="F72" t="s">
        <v>699</v>
      </c>
      <c r="G72"/>
      <c r="H72"/>
      <c r="I72" t="s">
        <v>700</v>
      </c>
      <c r="J72" t="s">
        <v>701</v>
      </c>
      <c r="K72"/>
      <c r="L72"/>
      <c r="M72"/>
      <c r="N72"/>
      <c r="O72"/>
      <c r="P72"/>
      <c r="Q72"/>
      <c r="R72"/>
      <c r="S72"/>
      <c r="T72"/>
      <c r="U72"/>
      <c r="V72"/>
      <c r="W72"/>
      <c r="X72"/>
      <c r="Y72"/>
      <c r="Z72"/>
      <c r="AA72"/>
      <c r="AB72"/>
      <c r="AC72"/>
      <c r="AD72"/>
      <c r="AE72"/>
      <c r="AF72"/>
      <c r="AG72"/>
      <c r="AH72"/>
      <c r="AI72"/>
      <c r="AJ72"/>
      <c r="AK72"/>
      <c r="AL72"/>
      <c r="AM72"/>
      <c r="AN72"/>
      <c r="AO72" t="s">
        <v>702</v>
      </c>
      <c r="AP72"/>
      <c r="AQ72"/>
      <c r="AR72"/>
      <c r="AS72"/>
      <c r="AT72" t="s">
        <v>703</v>
      </c>
      <c r="AU72">
        <v>2018</v>
      </c>
      <c r="AV72">
        <v>10</v>
      </c>
      <c r="AW72">
        <v>5</v>
      </c>
      <c r="AX72"/>
      <c r="AY72"/>
      <c r="AZ72"/>
      <c r="BA72"/>
      <c r="BB72">
        <v>389</v>
      </c>
      <c r="BC72">
        <v>392</v>
      </c>
      <c r="BD72"/>
      <c r="BE72"/>
      <c r="BF72"/>
      <c r="BG72"/>
      <c r="BH72"/>
      <c r="BI72"/>
      <c r="BJ72"/>
      <c r="BK72"/>
      <c r="BL72"/>
      <c r="BM72"/>
      <c r="BN72"/>
      <c r="BO72"/>
      <c r="BP72"/>
      <c r="BQ72"/>
      <c r="BR72"/>
      <c r="BS72" t="s">
        <v>704</v>
      </c>
      <c r="BT72" t="str">
        <f>HYPERLINK("https%3A%2F%2Fwww.webofscience.com%2Fwos%2Fwoscc%2Ffull-record%2FWOS:000457012100053","View Full Record in Web of Science")</f>
        <v>View Full Record in Web of Science</v>
      </c>
    </row>
    <row r="73" spans="1:75" customHeight="1" ht="12.75">
      <c r="A73" t="s">
        <v>72</v>
      </c>
      <c r="B73" t="s">
        <v>705</v>
      </c>
      <c r="C73"/>
      <c r="D73"/>
      <c r="E73"/>
      <c r="F73" t="s">
        <v>706</v>
      </c>
      <c r="G73"/>
      <c r="H73"/>
      <c r="I73" t="s">
        <v>707</v>
      </c>
      <c r="J73" t="s">
        <v>708</v>
      </c>
      <c r="K73"/>
      <c r="L73"/>
      <c r="M73"/>
      <c r="N73"/>
      <c r="O73"/>
      <c r="P73"/>
      <c r="Q73"/>
      <c r="R73"/>
      <c r="S73"/>
      <c r="T73"/>
      <c r="U73"/>
      <c r="V73"/>
      <c r="W73"/>
      <c r="X73"/>
      <c r="Y73"/>
      <c r="Z73"/>
      <c r="AA73"/>
      <c r="AB73"/>
      <c r="AC73"/>
      <c r="AD73"/>
      <c r="AE73"/>
      <c r="AF73"/>
      <c r="AG73"/>
      <c r="AH73"/>
      <c r="AI73"/>
      <c r="AJ73"/>
      <c r="AK73"/>
      <c r="AL73"/>
      <c r="AM73"/>
      <c r="AN73"/>
      <c r="AO73" t="s">
        <v>709</v>
      </c>
      <c r="AP73" t="s">
        <v>710</v>
      </c>
      <c r="AQ73"/>
      <c r="AR73"/>
      <c r="AS73"/>
      <c r="AT73" t="s">
        <v>125</v>
      </c>
      <c r="AU73">
        <v>2018</v>
      </c>
      <c r="AV73">
        <v>119</v>
      </c>
      <c r="AW73">
        <v>7</v>
      </c>
      <c r="AX73"/>
      <c r="AY73"/>
      <c r="AZ73"/>
      <c r="BA73"/>
      <c r="BB73">
        <v>634</v>
      </c>
      <c r="BC73">
        <v>642</v>
      </c>
      <c r="BD73"/>
      <c r="BE73" t="s">
        <v>711</v>
      </c>
      <c r="BF73" t="str">
        <f>HYPERLINK("http://dx.doi.org/10.1134/S0031918X18070098","http://dx.doi.org/10.1134/S0031918X18070098")</f>
        <v>http://dx.doi.org/10.1134/S0031918X18070098</v>
      </c>
      <c r="BG73"/>
      <c r="BH73"/>
      <c r="BI73"/>
      <c r="BJ73"/>
      <c r="BK73"/>
      <c r="BL73"/>
      <c r="BM73"/>
      <c r="BN73"/>
      <c r="BO73"/>
      <c r="BP73"/>
      <c r="BQ73"/>
      <c r="BR73"/>
      <c r="BS73" t="s">
        <v>712</v>
      </c>
      <c r="BT73" t="str">
        <f>HYPERLINK("https%3A%2F%2Fwww.webofscience.com%2Fwos%2Fwoscc%2Ffull-record%2FWOS:000440113400005","View Full Record in Web of Science")</f>
        <v>View Full Record in Web of Science</v>
      </c>
    </row>
    <row r="74" spans="1:75" customHeight="1" ht="12.75">
      <c r="A74" t="s">
        <v>72</v>
      </c>
      <c r="B74" t="s">
        <v>713</v>
      </c>
      <c r="C74"/>
      <c r="D74"/>
      <c r="E74"/>
      <c r="F74" t="s">
        <v>714</v>
      </c>
      <c r="G74"/>
      <c r="H74"/>
      <c r="I74" t="s">
        <v>715</v>
      </c>
      <c r="J74" t="s">
        <v>716</v>
      </c>
      <c r="K74"/>
      <c r="L74"/>
      <c r="M74"/>
      <c r="N74"/>
      <c r="O74"/>
      <c r="P74"/>
      <c r="Q74"/>
      <c r="R74"/>
      <c r="S74"/>
      <c r="T74"/>
      <c r="U74"/>
      <c r="V74"/>
      <c r="W74"/>
      <c r="X74"/>
      <c r="Y74"/>
      <c r="Z74"/>
      <c r="AA74" t="s">
        <v>717</v>
      </c>
      <c r="AB74" t="s">
        <v>718</v>
      </c>
      <c r="AC74"/>
      <c r="AD74"/>
      <c r="AE74"/>
      <c r="AF74"/>
      <c r="AG74"/>
      <c r="AH74"/>
      <c r="AI74"/>
      <c r="AJ74"/>
      <c r="AK74"/>
      <c r="AL74"/>
      <c r="AM74"/>
      <c r="AN74"/>
      <c r="AO74" t="s">
        <v>719</v>
      </c>
      <c r="AP74" t="s">
        <v>720</v>
      </c>
      <c r="AQ74"/>
      <c r="AR74"/>
      <c r="AS74"/>
      <c r="AT74" t="s">
        <v>198</v>
      </c>
      <c r="AU74">
        <v>2018</v>
      </c>
      <c r="AV74"/>
      <c r="AW74">
        <v>429</v>
      </c>
      <c r="AX74"/>
      <c r="AY74"/>
      <c r="AZ74"/>
      <c r="BA74"/>
      <c r="BB74">
        <v>160</v>
      </c>
      <c r="BC74">
        <v>167</v>
      </c>
      <c r="BD74"/>
      <c r="BE74" t="s">
        <v>721</v>
      </c>
      <c r="BF74" t="str">
        <f>HYPERLINK("http://dx.doi.org/10.17223/15617793/429/20","http://dx.doi.org/10.17223/15617793/429/20")</f>
        <v>http://dx.doi.org/10.17223/15617793/429/20</v>
      </c>
      <c r="BG74"/>
      <c r="BH74"/>
      <c r="BI74"/>
      <c r="BJ74"/>
      <c r="BK74"/>
      <c r="BL74"/>
      <c r="BM74"/>
      <c r="BN74"/>
      <c r="BO74"/>
      <c r="BP74"/>
      <c r="BQ74"/>
      <c r="BR74"/>
      <c r="BS74" t="s">
        <v>722</v>
      </c>
      <c r="BT74" t="str">
        <f>HYPERLINK("https%3A%2F%2Fwww.webofscience.com%2Fwos%2Fwoscc%2Ffull-record%2FWOS:000435701700020","View Full Record in Web of Science")</f>
        <v>View Full Record in Web of Science</v>
      </c>
    </row>
    <row r="75" spans="1:75" customHeight="1" ht="12.75">
      <c r="A75" t="s">
        <v>72</v>
      </c>
      <c r="B75" t="s">
        <v>723</v>
      </c>
      <c r="C75"/>
      <c r="D75"/>
      <c r="E75"/>
      <c r="F75" t="s">
        <v>724</v>
      </c>
      <c r="G75"/>
      <c r="H75"/>
      <c r="I75" t="s">
        <v>725</v>
      </c>
      <c r="J75" t="s">
        <v>244</v>
      </c>
      <c r="K75"/>
      <c r="L75"/>
      <c r="M75"/>
      <c r="N75"/>
      <c r="O75"/>
      <c r="P75"/>
      <c r="Q75"/>
      <c r="R75"/>
      <c r="S75"/>
      <c r="T75"/>
      <c r="U75"/>
      <c r="V75"/>
      <c r="W75"/>
      <c r="X75"/>
      <c r="Y75"/>
      <c r="Z75"/>
      <c r="AA75" t="s">
        <v>726</v>
      </c>
      <c r="AB75" t="s">
        <v>727</v>
      </c>
      <c r="AC75"/>
      <c r="AD75"/>
      <c r="AE75"/>
      <c r="AF75"/>
      <c r="AG75"/>
      <c r="AH75"/>
      <c r="AI75"/>
      <c r="AJ75"/>
      <c r="AK75"/>
      <c r="AL75"/>
      <c r="AM75"/>
      <c r="AN75"/>
      <c r="AO75" t="s">
        <v>245</v>
      </c>
      <c r="AP75" t="s">
        <v>246</v>
      </c>
      <c r="AQ75"/>
      <c r="AR75"/>
      <c r="AS75"/>
      <c r="AT75"/>
      <c r="AU75">
        <v>2017</v>
      </c>
      <c r="AV75"/>
      <c r="AW75">
        <v>3</v>
      </c>
      <c r="AX75"/>
      <c r="AY75"/>
      <c r="AZ75"/>
      <c r="BA75"/>
      <c r="BB75">
        <v>164</v>
      </c>
      <c r="BC75">
        <v>171</v>
      </c>
      <c r="BD75"/>
      <c r="BE75"/>
      <c r="BF75"/>
      <c r="BG75"/>
      <c r="BH75"/>
      <c r="BI75"/>
      <c r="BJ75"/>
      <c r="BK75"/>
      <c r="BL75"/>
      <c r="BM75"/>
      <c r="BN75"/>
      <c r="BO75"/>
      <c r="BP75"/>
      <c r="BQ75"/>
      <c r="BR75"/>
      <c r="BS75" t="s">
        <v>728</v>
      </c>
      <c r="BT75" t="str">
        <f>HYPERLINK("https%3A%2F%2Fwww.webofscience.com%2Fwos%2Fwoscc%2Ffull-record%2FWOS:000399357000012","View Full Record in Web of Science")</f>
        <v>View Full Record in Web of Science</v>
      </c>
    </row>
    <row r="76" spans="1:75" customHeight="1" ht="12.75">
      <c r="A76" t="s">
        <v>147</v>
      </c>
      <c r="B76" t="s">
        <v>568</v>
      </c>
      <c r="C76"/>
      <c r="D76"/>
      <c r="E76" t="s">
        <v>210</v>
      </c>
      <c r="F76" t="s">
        <v>569</v>
      </c>
      <c r="G76"/>
      <c r="H76"/>
      <c r="I76" t="s">
        <v>729</v>
      </c>
      <c r="J76" t="s">
        <v>730</v>
      </c>
      <c r="K76"/>
      <c r="L76"/>
      <c r="M76"/>
      <c r="N76"/>
      <c r="O76" t="s">
        <v>421</v>
      </c>
      <c r="P76" t="s">
        <v>731</v>
      </c>
      <c r="Q76" t="s">
        <v>732</v>
      </c>
      <c r="R76" t="s">
        <v>733</v>
      </c>
      <c r="S76"/>
      <c r="T76"/>
      <c r="U76"/>
      <c r="V76"/>
      <c r="W76"/>
      <c r="X76"/>
      <c r="Y76"/>
      <c r="Z76"/>
      <c r="AA76" t="s">
        <v>734</v>
      </c>
      <c r="AB76" t="s">
        <v>735</v>
      </c>
      <c r="AC76"/>
      <c r="AD76"/>
      <c r="AE76"/>
      <c r="AF76"/>
      <c r="AG76"/>
      <c r="AH76"/>
      <c r="AI76"/>
      <c r="AJ76"/>
      <c r="AK76"/>
      <c r="AL76"/>
      <c r="AM76"/>
      <c r="AN76"/>
      <c r="AO76"/>
      <c r="AP76"/>
      <c r="AQ76" t="s">
        <v>736</v>
      </c>
      <c r="AR76"/>
      <c r="AS76"/>
      <c r="AT76"/>
      <c r="AU76">
        <v>2016</v>
      </c>
      <c r="AV76"/>
      <c r="AW76"/>
      <c r="AX76"/>
      <c r="AY76"/>
      <c r="AZ76"/>
      <c r="BA76"/>
      <c r="BB76"/>
      <c r="BC76"/>
      <c r="BD76"/>
      <c r="BE76"/>
      <c r="BF76"/>
      <c r="BG76"/>
      <c r="BH76"/>
      <c r="BI76"/>
      <c r="BJ76"/>
      <c r="BK76"/>
      <c r="BL76"/>
      <c r="BM76"/>
      <c r="BN76"/>
      <c r="BO76"/>
      <c r="BP76"/>
      <c r="BQ76"/>
      <c r="BR76"/>
      <c r="BS76" t="s">
        <v>737</v>
      </c>
      <c r="BT76" t="str">
        <f>HYPERLINK("https%3A%2F%2Fwww.webofscience.com%2Fwos%2Fwoscc%2Ffull-record%2FWOS:000400700700024","View Full Record in Web of Science")</f>
        <v>View Full Record in Web of Science</v>
      </c>
    </row>
    <row r="77" spans="1:75" customHeight="1" ht="12.75">
      <c r="A77" t="s">
        <v>147</v>
      </c>
      <c r="B77" t="s">
        <v>738</v>
      </c>
      <c r="C77"/>
      <c r="D77" t="s">
        <v>739</v>
      </c>
      <c r="E77"/>
      <c r="F77" t="s">
        <v>740</v>
      </c>
      <c r="G77"/>
      <c r="H77"/>
      <c r="I77" t="s">
        <v>741</v>
      </c>
      <c r="J77" t="s">
        <v>742</v>
      </c>
      <c r="K77" t="s">
        <v>743</v>
      </c>
      <c r="L77"/>
      <c r="M77"/>
      <c r="N77"/>
      <c r="O77" t="s">
        <v>744</v>
      </c>
      <c r="P77" t="s">
        <v>745</v>
      </c>
      <c r="Q77" t="s">
        <v>746</v>
      </c>
      <c r="R77" t="s">
        <v>747</v>
      </c>
      <c r="S77"/>
      <c r="T77"/>
      <c r="U77"/>
      <c r="V77"/>
      <c r="W77"/>
      <c r="X77"/>
      <c r="Y77"/>
      <c r="Z77"/>
      <c r="AA77" t="s">
        <v>425</v>
      </c>
      <c r="AB77" t="s">
        <v>426</v>
      </c>
      <c r="AC77"/>
      <c r="AD77"/>
      <c r="AE77"/>
      <c r="AF77"/>
      <c r="AG77"/>
      <c r="AH77"/>
      <c r="AI77"/>
      <c r="AJ77"/>
      <c r="AK77"/>
      <c r="AL77"/>
      <c r="AM77"/>
      <c r="AN77"/>
      <c r="AO77" t="s">
        <v>748</v>
      </c>
      <c r="AP77"/>
      <c r="AQ77" t="s">
        <v>749</v>
      </c>
      <c r="AR77"/>
      <c r="AS77"/>
      <c r="AT77"/>
      <c r="AU77">
        <v>2016</v>
      </c>
      <c r="AV77"/>
      <c r="AW77"/>
      <c r="AX77"/>
      <c r="AY77"/>
      <c r="AZ77"/>
      <c r="BA77"/>
      <c r="BB77"/>
      <c r="BC77"/>
      <c r="BD77"/>
      <c r="BE77"/>
      <c r="BF77"/>
      <c r="BG77"/>
      <c r="BH77"/>
      <c r="BI77"/>
      <c r="BJ77"/>
      <c r="BK77"/>
      <c r="BL77"/>
      <c r="BM77"/>
      <c r="BN77"/>
      <c r="BO77"/>
      <c r="BP77"/>
      <c r="BQ77"/>
      <c r="BR77"/>
      <c r="BS77" t="s">
        <v>750</v>
      </c>
      <c r="BT77" t="str">
        <f>HYPERLINK("https%3A%2F%2Fwww.webofscience.com%2Fwos%2Fwoscc%2Ffull-record%2FWOS:000383090900046","View Full Record in Web of Science")</f>
        <v>View Full Record in Web of Science</v>
      </c>
    </row>
    <row r="78" spans="1:75" customHeight="1" ht="12.75">
      <c r="A78" t="s">
        <v>72</v>
      </c>
      <c r="B78" t="s">
        <v>751</v>
      </c>
      <c r="C78"/>
      <c r="D78"/>
      <c r="E78"/>
      <c r="F78" t="s">
        <v>752</v>
      </c>
      <c r="G78"/>
      <c r="H78"/>
      <c r="I78" t="s">
        <v>753</v>
      </c>
      <c r="J78" t="s">
        <v>244</v>
      </c>
      <c r="K78"/>
      <c r="L78"/>
      <c r="M78"/>
      <c r="N78"/>
      <c r="O78"/>
      <c r="P78"/>
      <c r="Q78"/>
      <c r="R78"/>
      <c r="S78"/>
      <c r="T78"/>
      <c r="U78"/>
      <c r="V78"/>
      <c r="W78"/>
      <c r="X78"/>
      <c r="Y78"/>
      <c r="Z78"/>
      <c r="AA78" t="s">
        <v>754</v>
      </c>
      <c r="AB78"/>
      <c r="AC78"/>
      <c r="AD78"/>
      <c r="AE78"/>
      <c r="AF78"/>
      <c r="AG78"/>
      <c r="AH78"/>
      <c r="AI78"/>
      <c r="AJ78"/>
      <c r="AK78"/>
      <c r="AL78"/>
      <c r="AM78"/>
      <c r="AN78"/>
      <c r="AO78" t="s">
        <v>245</v>
      </c>
      <c r="AP78"/>
      <c r="AQ78"/>
      <c r="AR78"/>
      <c r="AS78"/>
      <c r="AT78"/>
      <c r="AU78">
        <v>2011</v>
      </c>
      <c r="AV78"/>
      <c r="AW78">
        <v>8</v>
      </c>
      <c r="AX78"/>
      <c r="AY78"/>
      <c r="AZ78"/>
      <c r="BA78"/>
      <c r="BB78">
        <v>122</v>
      </c>
      <c r="BC78">
        <v>128</v>
      </c>
      <c r="BD78"/>
      <c r="BE78"/>
      <c r="BF78"/>
      <c r="BG78"/>
      <c r="BH78"/>
      <c r="BI78"/>
      <c r="BJ78"/>
      <c r="BK78"/>
      <c r="BL78"/>
      <c r="BM78"/>
      <c r="BN78"/>
      <c r="BO78"/>
      <c r="BP78"/>
      <c r="BQ78"/>
      <c r="BR78"/>
      <c r="BS78" t="s">
        <v>755</v>
      </c>
      <c r="BT78" t="str">
        <f>HYPERLINK("https%3A%2F%2Fwww.webofscience.com%2Fwos%2Fwoscc%2Ffull-record%2FWOS:000295100200008","View Full Record in Web of Science")</f>
        <v>View Full Record in Web of Science</v>
      </c>
    </row>
    <row r="79" spans="1:75" customHeight="1" ht="12.75">
      <c r="A79" t="s">
        <v>72</v>
      </c>
      <c r="B79" t="s">
        <v>756</v>
      </c>
      <c r="C79"/>
      <c r="D79"/>
      <c r="E79"/>
      <c r="F79" t="s">
        <v>756</v>
      </c>
      <c r="G79"/>
      <c r="H79"/>
      <c r="I79" t="s">
        <v>757</v>
      </c>
      <c r="J79" t="s">
        <v>409</v>
      </c>
      <c r="K79"/>
      <c r="L79"/>
      <c r="M79"/>
      <c r="N79"/>
      <c r="O79"/>
      <c r="P79"/>
      <c r="Q79"/>
      <c r="R79"/>
      <c r="S79"/>
      <c r="T79"/>
      <c r="U79"/>
      <c r="V79"/>
      <c r="W79"/>
      <c r="X79"/>
      <c r="Y79"/>
      <c r="Z79"/>
      <c r="AA79" t="s">
        <v>758</v>
      </c>
      <c r="AB79" t="s">
        <v>759</v>
      </c>
      <c r="AC79"/>
      <c r="AD79"/>
      <c r="AE79"/>
      <c r="AF79"/>
      <c r="AG79"/>
      <c r="AH79"/>
      <c r="AI79"/>
      <c r="AJ79"/>
      <c r="AK79"/>
      <c r="AL79"/>
      <c r="AM79"/>
      <c r="AN79"/>
      <c r="AO79" t="s">
        <v>412</v>
      </c>
      <c r="AP79"/>
      <c r="AQ79"/>
      <c r="AR79"/>
      <c r="AS79"/>
      <c r="AT79" t="s">
        <v>403</v>
      </c>
      <c r="AU79">
        <v>2000</v>
      </c>
      <c r="AV79">
        <v>73</v>
      </c>
      <c r="AW79">
        <v>12</v>
      </c>
      <c r="AX79"/>
      <c r="AY79"/>
      <c r="AZ79"/>
      <c r="BA79"/>
      <c r="BB79">
        <v>2062</v>
      </c>
      <c r="BC79">
        <v>2066</v>
      </c>
      <c r="BD79"/>
      <c r="BE79"/>
      <c r="BF79"/>
      <c r="BG79"/>
      <c r="BH79"/>
      <c r="BI79"/>
      <c r="BJ79"/>
      <c r="BK79"/>
      <c r="BL79"/>
      <c r="BM79"/>
      <c r="BN79"/>
      <c r="BO79"/>
      <c r="BP79"/>
      <c r="BQ79"/>
      <c r="BR79"/>
      <c r="BS79" t="s">
        <v>760</v>
      </c>
      <c r="BT79" t="str">
        <f>HYPERLINK("https%3A%2F%2Fwww.webofscience.com%2Fwos%2Fwoscc%2Ffull-record%2FWOS:000169540600013","View Full Record in Web of Science")</f>
        <v>View Full Record in Web of Science</v>
      </c>
    </row>
    <row r="80" spans="1:75" customHeight="1" ht="12.75">
      <c r="A80" t="s">
        <v>72</v>
      </c>
      <c r="B80" t="s">
        <v>761</v>
      </c>
      <c r="C80"/>
      <c r="D80"/>
      <c r="E80"/>
      <c r="F80" t="s">
        <v>762</v>
      </c>
      <c r="G80"/>
      <c r="H80"/>
      <c r="I80" t="s">
        <v>763</v>
      </c>
      <c r="J80" t="s">
        <v>716</v>
      </c>
      <c r="K80"/>
      <c r="L80"/>
      <c r="M80"/>
      <c r="N80"/>
      <c r="O80"/>
      <c r="P80"/>
      <c r="Q80"/>
      <c r="R80"/>
      <c r="S80"/>
      <c r="T80"/>
      <c r="U80"/>
      <c r="V80"/>
      <c r="W80"/>
      <c r="X80"/>
      <c r="Y80"/>
      <c r="Z80"/>
      <c r="AA80"/>
      <c r="AB80"/>
      <c r="AC80"/>
      <c r="AD80"/>
      <c r="AE80"/>
      <c r="AF80"/>
      <c r="AG80"/>
      <c r="AH80"/>
      <c r="AI80"/>
      <c r="AJ80"/>
      <c r="AK80"/>
      <c r="AL80"/>
      <c r="AM80"/>
      <c r="AN80"/>
      <c r="AO80" t="s">
        <v>719</v>
      </c>
      <c r="AP80" t="s">
        <v>720</v>
      </c>
      <c r="AQ80"/>
      <c r="AR80"/>
      <c r="AS80"/>
      <c r="AT80" t="s">
        <v>171</v>
      </c>
      <c r="AU80">
        <v>2021</v>
      </c>
      <c r="AV80"/>
      <c r="AW80">
        <v>464</v>
      </c>
      <c r="AX80"/>
      <c r="AY80"/>
      <c r="AZ80"/>
      <c r="BA80"/>
      <c r="BB80">
        <v>216</v>
      </c>
      <c r="BC80">
        <v>224</v>
      </c>
      <c r="BD80"/>
      <c r="BE80" t="s">
        <v>764</v>
      </c>
      <c r="BF80" t="str">
        <f>HYPERLINK("http://dx.doi.org/10.17223/15617793/464/24","http://dx.doi.org/10.17223/15617793/464/24")</f>
        <v>http://dx.doi.org/10.17223/15617793/464/24</v>
      </c>
      <c r="BG80"/>
      <c r="BH80"/>
      <c r="BI80"/>
      <c r="BJ80"/>
      <c r="BK80"/>
      <c r="BL80"/>
      <c r="BM80"/>
      <c r="BN80"/>
      <c r="BO80"/>
      <c r="BP80"/>
      <c r="BQ80"/>
      <c r="BR80"/>
      <c r="BS80" t="s">
        <v>765</v>
      </c>
      <c r="BT80" t="str">
        <f>HYPERLINK("https%3A%2F%2Fwww.webofscience.com%2Fwos%2Fwoscc%2Ffull-record%2FWOS:000662849700024","View Full Record in Web of Science")</f>
        <v>View Full Record in Web of Science</v>
      </c>
    </row>
    <row r="81" spans="1:75" customHeight="1" ht="12.75">
      <c r="A81" t="s">
        <v>147</v>
      </c>
      <c r="B81" t="s">
        <v>766</v>
      </c>
      <c r="C81"/>
      <c r="D81"/>
      <c r="E81"/>
      <c r="F81" t="s">
        <v>767</v>
      </c>
      <c r="G81"/>
      <c r="H81"/>
      <c r="I81" t="s">
        <v>768</v>
      </c>
      <c r="J81" t="s">
        <v>769</v>
      </c>
      <c r="K81"/>
      <c r="L81"/>
      <c r="M81"/>
      <c r="N81"/>
      <c r="O81" t="s">
        <v>770</v>
      </c>
      <c r="P81" t="s">
        <v>771</v>
      </c>
      <c r="Q81" t="s">
        <v>772</v>
      </c>
      <c r="R81" t="s">
        <v>773</v>
      </c>
      <c r="S81"/>
      <c r="T81"/>
      <c r="U81"/>
      <c r="V81"/>
      <c r="W81"/>
      <c r="X81"/>
      <c r="Y81"/>
      <c r="Z81"/>
      <c r="AA81"/>
      <c r="AB81" t="s">
        <v>774</v>
      </c>
      <c r="AC81"/>
      <c r="AD81"/>
      <c r="AE81"/>
      <c r="AF81"/>
      <c r="AG81"/>
      <c r="AH81"/>
      <c r="AI81"/>
      <c r="AJ81"/>
      <c r="AK81"/>
      <c r="AL81"/>
      <c r="AM81"/>
      <c r="AN81"/>
      <c r="AO81" t="s">
        <v>775</v>
      </c>
      <c r="AP81"/>
      <c r="AQ81"/>
      <c r="AR81"/>
      <c r="AS81"/>
      <c r="AT81"/>
      <c r="AU81">
        <v>2021</v>
      </c>
      <c r="AV81">
        <v>38</v>
      </c>
      <c r="AW81"/>
      <c r="AX81">
        <v>4</v>
      </c>
      <c r="AY81"/>
      <c r="AZ81"/>
      <c r="BA81"/>
      <c r="BB81">
        <v>1613</v>
      </c>
      <c r="BC81">
        <v>1616</v>
      </c>
      <c r="BD81"/>
      <c r="BE81" t="s">
        <v>776</v>
      </c>
      <c r="BF81" t="str">
        <f>HYPERLINK("http://dx.doi.org/10.1016/j.matpr.2020.08.165","http://dx.doi.org/10.1016/j.matpr.2020.08.165")</f>
        <v>http://dx.doi.org/10.1016/j.matpr.2020.08.165</v>
      </c>
      <c r="BG81"/>
      <c r="BH81" t="s">
        <v>777</v>
      </c>
      <c r="BI81"/>
      <c r="BJ81"/>
      <c r="BK81"/>
      <c r="BL81"/>
      <c r="BM81"/>
      <c r="BN81"/>
      <c r="BO81"/>
      <c r="BP81"/>
      <c r="BQ81"/>
      <c r="BR81"/>
      <c r="BS81" t="s">
        <v>778</v>
      </c>
      <c r="BT81" t="str">
        <f>HYPERLINK("https%3A%2F%2Fwww.webofscience.com%2Fwos%2Fwoscc%2Ffull-record%2FWOS:000624313400081","View Full Record in Web of Science")</f>
        <v>View Full Record in Web of Science</v>
      </c>
    </row>
    <row r="82" spans="1:75" customHeight="1" ht="12.75">
      <c r="A82" t="s">
        <v>72</v>
      </c>
      <c r="B82" t="s">
        <v>779</v>
      </c>
      <c r="C82"/>
      <c r="D82"/>
      <c r="E82"/>
      <c r="F82" t="s">
        <v>780</v>
      </c>
      <c r="G82"/>
      <c r="H82"/>
      <c r="I82" t="s">
        <v>781</v>
      </c>
      <c r="J82" t="s">
        <v>244</v>
      </c>
      <c r="K82"/>
      <c r="L82"/>
      <c r="M82"/>
      <c r="N82"/>
      <c r="O82"/>
      <c r="P82"/>
      <c r="Q82"/>
      <c r="R82"/>
      <c r="S82"/>
      <c r="T82"/>
      <c r="U82"/>
      <c r="V82"/>
      <c r="W82"/>
      <c r="X82"/>
      <c r="Y82"/>
      <c r="Z82"/>
      <c r="AA82" t="s">
        <v>782</v>
      </c>
      <c r="AB82" t="s">
        <v>783</v>
      </c>
      <c r="AC82"/>
      <c r="AD82"/>
      <c r="AE82"/>
      <c r="AF82"/>
      <c r="AG82"/>
      <c r="AH82"/>
      <c r="AI82"/>
      <c r="AJ82"/>
      <c r="AK82"/>
      <c r="AL82"/>
      <c r="AM82"/>
      <c r="AN82"/>
      <c r="AO82" t="s">
        <v>245</v>
      </c>
      <c r="AP82" t="s">
        <v>246</v>
      </c>
      <c r="AQ82"/>
      <c r="AR82"/>
      <c r="AS82"/>
      <c r="AT82"/>
      <c r="AU82">
        <v>2021</v>
      </c>
      <c r="AV82">
        <v>12</v>
      </c>
      <c r="AW82">
        <v>5</v>
      </c>
      <c r="AX82"/>
      <c r="AY82"/>
      <c r="AZ82"/>
      <c r="BA82"/>
      <c r="BB82">
        <v>237</v>
      </c>
      <c r="BC82">
        <v>250</v>
      </c>
      <c r="BD82"/>
      <c r="BE82" t="s">
        <v>784</v>
      </c>
      <c r="BF82" t="str">
        <f>HYPERLINK("http://dx.doi.org/10.31166/VoprosyIstorii202201Statyi02","http://dx.doi.org/10.31166/VoprosyIstorii202201Statyi02")</f>
        <v>http://dx.doi.org/10.31166/VoprosyIstorii202201Statyi02</v>
      </c>
      <c r="BG82"/>
      <c r="BH82"/>
      <c r="BI82"/>
      <c r="BJ82"/>
      <c r="BK82"/>
      <c r="BL82"/>
      <c r="BM82"/>
      <c r="BN82"/>
      <c r="BO82"/>
      <c r="BP82"/>
      <c r="BQ82"/>
      <c r="BR82"/>
      <c r="BS82" t="s">
        <v>785</v>
      </c>
      <c r="BT82" t="str">
        <f>HYPERLINK("https%3A%2F%2Fwww.webofscience.com%2Fwos%2Fwoscc%2Ffull-record%2FWOS:000757092500024","View Full Record in Web of Science")</f>
        <v>View Full Record in Web of Science</v>
      </c>
    </row>
    <row r="83" spans="1:75" customHeight="1" ht="12.75">
      <c r="A83" t="s">
        <v>72</v>
      </c>
      <c r="B83" t="s">
        <v>673</v>
      </c>
      <c r="C83"/>
      <c r="D83"/>
      <c r="E83"/>
      <c r="F83" t="s">
        <v>786</v>
      </c>
      <c r="G83"/>
      <c r="H83"/>
      <c r="I83" t="s">
        <v>787</v>
      </c>
      <c r="J83" t="s">
        <v>642</v>
      </c>
      <c r="K83"/>
      <c r="L83"/>
      <c r="M83"/>
      <c r="N83"/>
      <c r="O83"/>
      <c r="P83"/>
      <c r="Q83"/>
      <c r="R83"/>
      <c r="S83"/>
      <c r="T83"/>
      <c r="U83"/>
      <c r="V83"/>
      <c r="W83"/>
      <c r="X83"/>
      <c r="Y83"/>
      <c r="Z83"/>
      <c r="AA83" t="s">
        <v>114</v>
      </c>
      <c r="AB83" t="s">
        <v>115</v>
      </c>
      <c r="AC83"/>
      <c r="AD83"/>
      <c r="AE83"/>
      <c r="AF83"/>
      <c r="AG83"/>
      <c r="AH83"/>
      <c r="AI83"/>
      <c r="AJ83"/>
      <c r="AK83"/>
      <c r="AL83"/>
      <c r="AM83"/>
      <c r="AN83"/>
      <c r="AO83" t="s">
        <v>643</v>
      </c>
      <c r="AP83" t="s">
        <v>644</v>
      </c>
      <c r="AQ83"/>
      <c r="AR83"/>
      <c r="AS83"/>
      <c r="AT83"/>
      <c r="AU83">
        <v>2021</v>
      </c>
      <c r="AV83">
        <v>9</v>
      </c>
      <c r="AW83">
        <v>3</v>
      </c>
      <c r="AX83"/>
      <c r="AY83"/>
      <c r="AZ83"/>
      <c r="BA83"/>
      <c r="BB83">
        <v>1080</v>
      </c>
      <c r="BC83">
        <v>1094</v>
      </c>
      <c r="BD83"/>
      <c r="BE83" t="s">
        <v>788</v>
      </c>
      <c r="BF83" t="str">
        <f>HYPERLINK("http://dx.doi.org/10.15826/qr.2021.3.628","http://dx.doi.org/10.15826/qr.2021.3.628")</f>
        <v>http://dx.doi.org/10.15826/qr.2021.3.628</v>
      </c>
      <c r="BG83"/>
      <c r="BH83"/>
      <c r="BI83"/>
      <c r="BJ83"/>
      <c r="BK83"/>
      <c r="BL83"/>
      <c r="BM83"/>
      <c r="BN83"/>
      <c r="BO83"/>
      <c r="BP83"/>
      <c r="BQ83"/>
      <c r="BR83"/>
      <c r="BS83" t="s">
        <v>789</v>
      </c>
      <c r="BT83" t="str">
        <f>HYPERLINK("https%3A%2F%2Fwww.webofscience.com%2Fwos%2Fwoscc%2Ffull-record%2FWOS:000727336000020","View Full Record in Web of Science")</f>
        <v>View Full Record in Web of Science</v>
      </c>
    </row>
    <row r="84" spans="1:75" customHeight="1" ht="12.75">
      <c r="A84" t="s">
        <v>72</v>
      </c>
      <c r="B84" t="s">
        <v>790</v>
      </c>
      <c r="C84"/>
      <c r="D84"/>
      <c r="E84"/>
      <c r="F84" t="s">
        <v>791</v>
      </c>
      <c r="G84"/>
      <c r="H84"/>
      <c r="I84" t="s">
        <v>792</v>
      </c>
      <c r="J84" t="s">
        <v>793</v>
      </c>
      <c r="K84"/>
      <c r="L84"/>
      <c r="M84"/>
      <c r="N84"/>
      <c r="O84"/>
      <c r="P84"/>
      <c r="Q84"/>
      <c r="R84"/>
      <c r="S84"/>
      <c r="T84"/>
      <c r="U84"/>
      <c r="V84"/>
      <c r="W84"/>
      <c r="X84"/>
      <c r="Y84"/>
      <c r="Z84"/>
      <c r="AA84"/>
      <c r="AB84" t="s">
        <v>794</v>
      </c>
      <c r="AC84"/>
      <c r="AD84"/>
      <c r="AE84"/>
      <c r="AF84"/>
      <c r="AG84"/>
      <c r="AH84"/>
      <c r="AI84"/>
      <c r="AJ84"/>
      <c r="AK84"/>
      <c r="AL84"/>
      <c r="AM84"/>
      <c r="AN84"/>
      <c r="AO84" t="s">
        <v>795</v>
      </c>
      <c r="AP84" t="s">
        <v>796</v>
      </c>
      <c r="AQ84"/>
      <c r="AR84"/>
      <c r="AS84"/>
      <c r="AT84" t="s">
        <v>88</v>
      </c>
      <c r="AU84">
        <v>2020</v>
      </c>
      <c r="AV84">
        <v>13</v>
      </c>
      <c r="AW84">
        <v>3</v>
      </c>
      <c r="AX84"/>
      <c r="AY84"/>
      <c r="AZ84"/>
      <c r="BA84"/>
      <c r="BB84">
        <v>226</v>
      </c>
      <c r="BC84">
        <v>236</v>
      </c>
      <c r="BD84"/>
      <c r="BE84" t="s">
        <v>797</v>
      </c>
      <c r="BF84" t="str">
        <f>HYPERLINK("http://dx.doi.org/10.1134/S1995425520030105","http://dx.doi.org/10.1134/S1995425520030105")</f>
        <v>http://dx.doi.org/10.1134/S1995425520030105</v>
      </c>
      <c r="BG84"/>
      <c r="BH84"/>
      <c r="BI84"/>
      <c r="BJ84"/>
      <c r="BK84"/>
      <c r="BL84"/>
      <c r="BM84"/>
      <c r="BN84"/>
      <c r="BO84"/>
      <c r="BP84"/>
      <c r="BQ84"/>
      <c r="BR84"/>
      <c r="BS84" t="s">
        <v>798</v>
      </c>
      <c r="BT84" t="str">
        <f>HYPERLINK("https%3A%2F%2Fwww.webofscience.com%2Fwos%2Fwoscc%2Ffull-record%2FWOS:000545495200003","View Full Record in Web of Science")</f>
        <v>View Full Record in Web of Science</v>
      </c>
    </row>
    <row r="85" spans="1:75" customHeight="1" ht="12.75">
      <c r="A85" t="s">
        <v>147</v>
      </c>
      <c r="B85" t="s">
        <v>799</v>
      </c>
      <c r="C85"/>
      <c r="D85" t="s">
        <v>800</v>
      </c>
      <c r="E85"/>
      <c r="F85" t="s">
        <v>801</v>
      </c>
      <c r="G85"/>
      <c r="H85"/>
      <c r="I85" t="s">
        <v>802</v>
      </c>
      <c r="J85" t="s">
        <v>803</v>
      </c>
      <c r="K85"/>
      <c r="L85"/>
      <c r="M85"/>
      <c r="N85"/>
      <c r="O85" t="s">
        <v>804</v>
      </c>
      <c r="P85" t="s">
        <v>805</v>
      </c>
      <c r="Q85" t="s">
        <v>806</v>
      </c>
      <c r="R85" t="s">
        <v>807</v>
      </c>
      <c r="S85"/>
      <c r="T85"/>
      <c r="U85"/>
      <c r="V85"/>
      <c r="W85"/>
      <c r="X85"/>
      <c r="Y85"/>
      <c r="Z85"/>
      <c r="AA85" t="s">
        <v>808</v>
      </c>
      <c r="AB85" t="s">
        <v>809</v>
      </c>
      <c r="AC85"/>
      <c r="AD85"/>
      <c r="AE85"/>
      <c r="AF85"/>
      <c r="AG85"/>
      <c r="AH85"/>
      <c r="AI85"/>
      <c r="AJ85"/>
      <c r="AK85"/>
      <c r="AL85"/>
      <c r="AM85"/>
      <c r="AN85"/>
      <c r="AO85"/>
      <c r="AP85"/>
      <c r="AQ85" t="s">
        <v>810</v>
      </c>
      <c r="AR85"/>
      <c r="AS85"/>
      <c r="AT85"/>
      <c r="AU85">
        <v>2020</v>
      </c>
      <c r="AV85"/>
      <c r="AW85"/>
      <c r="AX85"/>
      <c r="AY85"/>
      <c r="AZ85"/>
      <c r="BA85"/>
      <c r="BB85"/>
      <c r="BC85"/>
      <c r="BD85"/>
      <c r="BE85" t="s">
        <v>811</v>
      </c>
      <c r="BF85" t="str">
        <f>HYPERLINK("http://dx.doi.org/10.1109/ITNT49337.2020.9253206","http://dx.doi.org/10.1109/ITNT49337.2020.9253206")</f>
        <v>http://dx.doi.org/10.1109/ITNT49337.2020.9253206</v>
      </c>
      <c r="BG85"/>
      <c r="BH85"/>
      <c r="BI85"/>
      <c r="BJ85"/>
      <c r="BK85"/>
      <c r="BL85"/>
      <c r="BM85"/>
      <c r="BN85"/>
      <c r="BO85"/>
      <c r="BP85"/>
      <c r="BQ85"/>
      <c r="BR85"/>
      <c r="BS85" t="s">
        <v>812</v>
      </c>
      <c r="BT85" t="str">
        <f>HYPERLINK("https%3A%2F%2Fwww.webofscience.com%2Fwos%2Fwoscc%2Ffull-record%2FWOS:000647641500043","View Full Record in Web of Science")</f>
        <v>View Full Record in Web of Science</v>
      </c>
    </row>
    <row r="86" spans="1:75" customHeight="1" ht="12.75">
      <c r="A86" t="s">
        <v>147</v>
      </c>
      <c r="B86" t="s">
        <v>813</v>
      </c>
      <c r="C86"/>
      <c r="D86" t="s">
        <v>814</v>
      </c>
      <c r="E86"/>
      <c r="F86" t="s">
        <v>815</v>
      </c>
      <c r="G86"/>
      <c r="H86"/>
      <c r="I86" t="s">
        <v>816</v>
      </c>
      <c r="J86" t="s">
        <v>817</v>
      </c>
      <c r="K86" t="s">
        <v>818</v>
      </c>
      <c r="L86"/>
      <c r="M86"/>
      <c r="N86"/>
      <c r="O86" t="s">
        <v>819</v>
      </c>
      <c r="P86" t="s">
        <v>820</v>
      </c>
      <c r="Q86" t="s">
        <v>156</v>
      </c>
      <c r="R86" t="s">
        <v>821</v>
      </c>
      <c r="S86"/>
      <c r="T86"/>
      <c r="U86"/>
      <c r="V86"/>
      <c r="W86"/>
      <c r="X86"/>
      <c r="Y86"/>
      <c r="Z86"/>
      <c r="AA86"/>
      <c r="AB86"/>
      <c r="AC86"/>
      <c r="AD86"/>
      <c r="AE86"/>
      <c r="AF86"/>
      <c r="AG86"/>
      <c r="AH86"/>
      <c r="AI86"/>
      <c r="AJ86"/>
      <c r="AK86"/>
      <c r="AL86"/>
      <c r="AM86"/>
      <c r="AN86"/>
      <c r="AO86" t="s">
        <v>822</v>
      </c>
      <c r="AP86" t="s">
        <v>823</v>
      </c>
      <c r="AQ86" t="s">
        <v>824</v>
      </c>
      <c r="AR86"/>
      <c r="AS86"/>
      <c r="AT86"/>
      <c r="AU86">
        <v>2020</v>
      </c>
      <c r="AV86"/>
      <c r="AW86"/>
      <c r="AX86"/>
      <c r="AY86"/>
      <c r="AZ86"/>
      <c r="BA86"/>
      <c r="BB86">
        <v>743</v>
      </c>
      <c r="BC86">
        <v>751</v>
      </c>
      <c r="BD86"/>
      <c r="BE86" t="s">
        <v>825</v>
      </c>
      <c r="BF86" t="str">
        <f>HYPERLINK("http://dx.doi.org/10.1007/978-3-030-22041-9_80","http://dx.doi.org/10.1007/978-3-030-22041-9_80")</f>
        <v>http://dx.doi.org/10.1007/978-3-030-22041-9_80</v>
      </c>
      <c r="BG86"/>
      <c r="BH86"/>
      <c r="BI86"/>
      <c r="BJ86"/>
      <c r="BK86"/>
      <c r="BL86"/>
      <c r="BM86"/>
      <c r="BN86"/>
      <c r="BO86"/>
      <c r="BP86"/>
      <c r="BQ86"/>
      <c r="BR86"/>
      <c r="BS86" t="s">
        <v>826</v>
      </c>
      <c r="BT86" t="str">
        <f>HYPERLINK("https%3A%2F%2Fwww.webofscience.com%2Fwos%2Fwoscc%2Ffull-record%2FWOS:000613138500080","View Full Record in Web of Science")</f>
        <v>View Full Record in Web of Science</v>
      </c>
    </row>
    <row r="87" spans="1:75" customHeight="1" ht="12.75">
      <c r="A87" t="s">
        <v>72</v>
      </c>
      <c r="B87" t="s">
        <v>827</v>
      </c>
      <c r="C87"/>
      <c r="D87"/>
      <c r="E87"/>
      <c r="F87" t="s">
        <v>828</v>
      </c>
      <c r="G87"/>
      <c r="H87"/>
      <c r="I87" t="s">
        <v>829</v>
      </c>
      <c r="J87" t="s">
        <v>166</v>
      </c>
      <c r="K87"/>
      <c r="L87"/>
      <c r="M87"/>
      <c r="N87"/>
      <c r="O87"/>
      <c r="P87"/>
      <c r="Q87"/>
      <c r="R87"/>
      <c r="S87"/>
      <c r="T87"/>
      <c r="U87"/>
      <c r="V87"/>
      <c r="W87"/>
      <c r="X87"/>
      <c r="Y87"/>
      <c r="Z87"/>
      <c r="AA87"/>
      <c r="AB87"/>
      <c r="AC87"/>
      <c r="AD87"/>
      <c r="AE87"/>
      <c r="AF87"/>
      <c r="AG87"/>
      <c r="AH87"/>
      <c r="AI87"/>
      <c r="AJ87"/>
      <c r="AK87"/>
      <c r="AL87"/>
      <c r="AM87"/>
      <c r="AN87"/>
      <c r="AO87" t="s">
        <v>169</v>
      </c>
      <c r="AP87" t="s">
        <v>170</v>
      </c>
      <c r="AQ87"/>
      <c r="AR87"/>
      <c r="AS87"/>
      <c r="AT87" t="s">
        <v>830</v>
      </c>
      <c r="AU87">
        <v>2019</v>
      </c>
      <c r="AV87">
        <v>8</v>
      </c>
      <c r="AW87">
        <v>3</v>
      </c>
      <c r="AX87"/>
      <c r="AY87"/>
      <c r="AZ87"/>
      <c r="BA87"/>
      <c r="BB87">
        <v>613</v>
      </c>
      <c r="BC87">
        <v>626</v>
      </c>
      <c r="BD87"/>
      <c r="BE87" t="s">
        <v>831</v>
      </c>
      <c r="BF87" t="str">
        <f>HYPERLINK("http://dx.doi.org/10.13187/ejced.2019.3.613","http://dx.doi.org/10.13187/ejced.2019.3.613")</f>
        <v>http://dx.doi.org/10.13187/ejced.2019.3.613</v>
      </c>
      <c r="BG87"/>
      <c r="BH87"/>
      <c r="BI87"/>
      <c r="BJ87"/>
      <c r="BK87"/>
      <c r="BL87"/>
      <c r="BM87"/>
      <c r="BN87"/>
      <c r="BO87"/>
      <c r="BP87"/>
      <c r="BQ87"/>
      <c r="BR87"/>
      <c r="BS87" t="s">
        <v>832</v>
      </c>
      <c r="BT87" t="str">
        <f>HYPERLINK("https%3A%2F%2Fwww.webofscience.com%2Fwos%2Fwoscc%2Ffull-record%2FWOS:000486437000014","View Full Record in Web of Science")</f>
        <v>View Full Record in Web of Science</v>
      </c>
    </row>
    <row r="88" spans="1:75" customHeight="1" ht="12.75">
      <c r="A88" t="s">
        <v>72</v>
      </c>
      <c r="B88" t="s">
        <v>833</v>
      </c>
      <c r="C88"/>
      <c r="D88"/>
      <c r="E88"/>
      <c r="F88" t="s">
        <v>834</v>
      </c>
      <c r="G88"/>
      <c r="H88"/>
      <c r="I88" t="s">
        <v>835</v>
      </c>
      <c r="J88" t="s">
        <v>204</v>
      </c>
      <c r="K88"/>
      <c r="L88"/>
      <c r="M88"/>
      <c r="N88"/>
      <c r="O88"/>
      <c r="P88"/>
      <c r="Q88"/>
      <c r="R88"/>
      <c r="S88"/>
      <c r="T88"/>
      <c r="U88"/>
      <c r="V88"/>
      <c r="W88"/>
      <c r="X88"/>
      <c r="Y88"/>
      <c r="Z88"/>
      <c r="AA88"/>
      <c r="AB88"/>
      <c r="AC88"/>
      <c r="AD88"/>
      <c r="AE88"/>
      <c r="AF88"/>
      <c r="AG88"/>
      <c r="AH88"/>
      <c r="AI88"/>
      <c r="AJ88"/>
      <c r="AK88"/>
      <c r="AL88"/>
      <c r="AM88"/>
      <c r="AN88"/>
      <c r="AO88" t="s">
        <v>205</v>
      </c>
      <c r="AP88" t="s">
        <v>206</v>
      </c>
      <c r="AQ88"/>
      <c r="AR88"/>
      <c r="AS88"/>
      <c r="AT88" t="s">
        <v>830</v>
      </c>
      <c r="AU88">
        <v>2019</v>
      </c>
      <c r="AV88">
        <v>21</v>
      </c>
      <c r="AW88">
        <v>7</v>
      </c>
      <c r="AX88"/>
      <c r="AY88"/>
      <c r="AZ88"/>
      <c r="BA88"/>
      <c r="BB88">
        <v>164</v>
      </c>
      <c r="BC88">
        <v>202</v>
      </c>
      <c r="BD88"/>
      <c r="BE88" t="s">
        <v>836</v>
      </c>
      <c r="BF88" t="str">
        <f>HYPERLINK("http://dx.doi.org/10.17853/1994-5639-2019-7-164-202","http://dx.doi.org/10.17853/1994-5639-2019-7-164-202")</f>
        <v>http://dx.doi.org/10.17853/1994-5639-2019-7-164-202</v>
      </c>
      <c r="BG88"/>
      <c r="BH88"/>
      <c r="BI88"/>
      <c r="BJ88"/>
      <c r="BK88"/>
      <c r="BL88"/>
      <c r="BM88"/>
      <c r="BN88"/>
      <c r="BO88"/>
      <c r="BP88"/>
      <c r="BQ88"/>
      <c r="BR88"/>
      <c r="BS88" t="s">
        <v>837</v>
      </c>
      <c r="BT88" t="str">
        <f>HYPERLINK("https%3A%2F%2Fwww.webofscience.com%2Fwos%2Fwoscc%2Ffull-record%2FWOS:000497661800007","View Full Record in Web of Science")</f>
        <v>View Full Record in Web of Science</v>
      </c>
    </row>
    <row r="89" spans="1:75" customHeight="1" ht="12.75">
      <c r="A89" t="s">
        <v>72</v>
      </c>
      <c r="B89" t="s">
        <v>838</v>
      </c>
      <c r="C89"/>
      <c r="D89"/>
      <c r="E89"/>
      <c r="F89" t="s">
        <v>839</v>
      </c>
      <c r="G89"/>
      <c r="H89"/>
      <c r="I89" t="s">
        <v>840</v>
      </c>
      <c r="J89" t="s">
        <v>716</v>
      </c>
      <c r="K89"/>
      <c r="L89"/>
      <c r="M89"/>
      <c r="N89"/>
      <c r="O89"/>
      <c r="P89"/>
      <c r="Q89"/>
      <c r="R89"/>
      <c r="S89"/>
      <c r="T89"/>
      <c r="U89"/>
      <c r="V89"/>
      <c r="W89"/>
      <c r="X89"/>
      <c r="Y89"/>
      <c r="Z89"/>
      <c r="AA89" t="s">
        <v>841</v>
      </c>
      <c r="AB89" t="s">
        <v>842</v>
      </c>
      <c r="AC89"/>
      <c r="AD89"/>
      <c r="AE89"/>
      <c r="AF89"/>
      <c r="AG89"/>
      <c r="AH89"/>
      <c r="AI89"/>
      <c r="AJ89"/>
      <c r="AK89"/>
      <c r="AL89"/>
      <c r="AM89"/>
      <c r="AN89"/>
      <c r="AO89" t="s">
        <v>719</v>
      </c>
      <c r="AP89" t="s">
        <v>720</v>
      </c>
      <c r="AQ89"/>
      <c r="AR89"/>
      <c r="AS89"/>
      <c r="AT89" t="s">
        <v>198</v>
      </c>
      <c r="AU89">
        <v>2019</v>
      </c>
      <c r="AV89"/>
      <c r="AW89">
        <v>441</v>
      </c>
      <c r="AX89"/>
      <c r="AY89"/>
      <c r="AZ89"/>
      <c r="BA89"/>
      <c r="BB89">
        <v>44</v>
      </c>
      <c r="BC89">
        <v>53</v>
      </c>
      <c r="BD89"/>
      <c r="BE89" t="s">
        <v>843</v>
      </c>
      <c r="BF89" t="str">
        <f>HYPERLINK("http://dx.doi.org/10.17223/15617793/441/6","http://dx.doi.org/10.17223/15617793/441/6")</f>
        <v>http://dx.doi.org/10.17223/15617793/441/6</v>
      </c>
      <c r="BG89"/>
      <c r="BH89"/>
      <c r="BI89"/>
      <c r="BJ89"/>
      <c r="BK89"/>
      <c r="BL89"/>
      <c r="BM89"/>
      <c r="BN89"/>
      <c r="BO89"/>
      <c r="BP89"/>
      <c r="BQ89"/>
      <c r="BR89"/>
      <c r="BS89" t="s">
        <v>844</v>
      </c>
      <c r="BT89" t="str">
        <f>HYPERLINK("https%3A%2F%2Fwww.webofscience.com%2Fwos%2Fwoscc%2Ffull-record%2FWOS:000468214400006","View Full Record in Web of Science")</f>
        <v>View Full Record in Web of Science</v>
      </c>
    </row>
    <row r="90" spans="1:75" customHeight="1" ht="12.75">
      <c r="A90" t="s">
        <v>147</v>
      </c>
      <c r="B90" t="s">
        <v>845</v>
      </c>
      <c r="C90"/>
      <c r="D90" t="s">
        <v>846</v>
      </c>
      <c r="E90"/>
      <c r="F90" t="s">
        <v>847</v>
      </c>
      <c r="G90"/>
      <c r="H90"/>
      <c r="I90" t="s">
        <v>848</v>
      </c>
      <c r="J90" t="s">
        <v>849</v>
      </c>
      <c r="K90" t="s">
        <v>850</v>
      </c>
      <c r="L90"/>
      <c r="M90"/>
      <c r="N90"/>
      <c r="O90" t="s">
        <v>851</v>
      </c>
      <c r="P90" t="s">
        <v>852</v>
      </c>
      <c r="Q90" t="s">
        <v>853</v>
      </c>
      <c r="R90"/>
      <c r="S90" t="s">
        <v>854</v>
      </c>
      <c r="T90"/>
      <c r="U90"/>
      <c r="V90"/>
      <c r="W90"/>
      <c r="X90"/>
      <c r="Y90"/>
      <c r="Z90"/>
      <c r="AA90"/>
      <c r="AB90"/>
      <c r="AC90"/>
      <c r="AD90"/>
      <c r="AE90"/>
      <c r="AF90"/>
      <c r="AG90"/>
      <c r="AH90"/>
      <c r="AI90"/>
      <c r="AJ90"/>
      <c r="AK90"/>
      <c r="AL90"/>
      <c r="AM90"/>
      <c r="AN90"/>
      <c r="AO90" t="s">
        <v>855</v>
      </c>
      <c r="AP90"/>
      <c r="AQ90" t="s">
        <v>856</v>
      </c>
      <c r="AR90"/>
      <c r="AS90"/>
      <c r="AT90"/>
      <c r="AU90">
        <v>2019</v>
      </c>
      <c r="AV90">
        <v>17</v>
      </c>
      <c r="AW90"/>
      <c r="AX90"/>
      <c r="AY90"/>
      <c r="AZ90"/>
      <c r="BA90"/>
      <c r="BB90">
        <v>37</v>
      </c>
      <c r="BC90">
        <v>40</v>
      </c>
      <c r="BD90"/>
      <c r="BE90"/>
      <c r="BF90"/>
      <c r="BG90"/>
      <c r="BH90"/>
      <c r="BI90"/>
      <c r="BJ90"/>
      <c r="BK90"/>
      <c r="BL90"/>
      <c r="BM90"/>
      <c r="BN90"/>
      <c r="BO90"/>
      <c r="BP90"/>
      <c r="BQ90"/>
      <c r="BR90"/>
      <c r="BS90" t="s">
        <v>857</v>
      </c>
      <c r="BT90" t="str">
        <f>HYPERLINK("https%3A%2F%2Fwww.webofscience.com%2Fwos%2Fwoscc%2Ffull-record%2FWOS:000625435700011","View Full Record in Web of Science")</f>
        <v>View Full Record in Web of Science</v>
      </c>
    </row>
    <row r="91" spans="1:75" customHeight="1" ht="12.75">
      <c r="A91" t="s">
        <v>72</v>
      </c>
      <c r="B91" t="s">
        <v>858</v>
      </c>
      <c r="C91"/>
      <c r="D91"/>
      <c r="E91"/>
      <c r="F91" t="s">
        <v>859</v>
      </c>
      <c r="G91"/>
      <c r="H91"/>
      <c r="I91" t="s">
        <v>860</v>
      </c>
      <c r="J91" t="s">
        <v>861</v>
      </c>
      <c r="K91"/>
      <c r="L91"/>
      <c r="M91"/>
      <c r="N91"/>
      <c r="O91"/>
      <c r="P91"/>
      <c r="Q91"/>
      <c r="R91"/>
      <c r="S91"/>
      <c r="T91"/>
      <c r="U91"/>
      <c r="V91"/>
      <c r="W91"/>
      <c r="X91"/>
      <c r="Y91"/>
      <c r="Z91"/>
      <c r="AA91" t="s">
        <v>862</v>
      </c>
      <c r="AB91" t="s">
        <v>863</v>
      </c>
      <c r="AC91"/>
      <c r="AD91"/>
      <c r="AE91"/>
      <c r="AF91"/>
      <c r="AG91"/>
      <c r="AH91"/>
      <c r="AI91"/>
      <c r="AJ91"/>
      <c r="AK91"/>
      <c r="AL91"/>
      <c r="AM91"/>
      <c r="AN91"/>
      <c r="AO91" t="s">
        <v>864</v>
      </c>
      <c r="AP91" t="s">
        <v>865</v>
      </c>
      <c r="AQ91"/>
      <c r="AR91"/>
      <c r="AS91"/>
      <c r="AT91"/>
      <c r="AU91">
        <v>2019</v>
      </c>
      <c r="AV91">
        <v>62</v>
      </c>
      <c r="AW91">
        <v>9</v>
      </c>
      <c r="AX91"/>
      <c r="AY91"/>
      <c r="AZ91"/>
      <c r="BA91"/>
      <c r="BB91">
        <v>66</v>
      </c>
      <c r="BC91">
        <v>72</v>
      </c>
      <c r="BD91"/>
      <c r="BE91" t="s">
        <v>866</v>
      </c>
      <c r="BF91" t="str">
        <f>HYPERLINK("http://dx.doi.org/10.6060/ivkkt.20196209.5920","http://dx.doi.org/10.6060/ivkkt.20196209.5920")</f>
        <v>http://dx.doi.org/10.6060/ivkkt.20196209.5920</v>
      </c>
      <c r="BG91"/>
      <c r="BH91"/>
      <c r="BI91"/>
      <c r="BJ91"/>
      <c r="BK91"/>
      <c r="BL91"/>
      <c r="BM91"/>
      <c r="BN91"/>
      <c r="BO91"/>
      <c r="BP91"/>
      <c r="BQ91"/>
      <c r="BR91"/>
      <c r="BS91" t="s">
        <v>867</v>
      </c>
      <c r="BT91" t="str">
        <f>HYPERLINK("https%3A%2F%2Fwww.webofscience.com%2Fwos%2Fwoscc%2Ffull-record%2FWOS:000484823500009","View Full Record in Web of Science")</f>
        <v>View Full Record in Web of Science</v>
      </c>
    </row>
    <row r="92" spans="1:75" customHeight="1" ht="12.75">
      <c r="A92" t="s">
        <v>72</v>
      </c>
      <c r="B92" t="s">
        <v>232</v>
      </c>
      <c r="C92"/>
      <c r="D92"/>
      <c r="E92"/>
      <c r="F92" t="s">
        <v>234</v>
      </c>
      <c r="G92"/>
      <c r="H92"/>
      <c r="I92" t="s">
        <v>868</v>
      </c>
      <c r="J92" t="s">
        <v>869</v>
      </c>
      <c r="K92"/>
      <c r="L92"/>
      <c r="M92"/>
      <c r="N92"/>
      <c r="O92"/>
      <c r="P92"/>
      <c r="Q92"/>
      <c r="R92"/>
      <c r="S92"/>
      <c r="T92"/>
      <c r="U92"/>
      <c r="V92"/>
      <c r="W92"/>
      <c r="X92"/>
      <c r="Y92"/>
      <c r="Z92"/>
      <c r="AA92" t="s">
        <v>238</v>
      </c>
      <c r="AB92" t="s">
        <v>239</v>
      </c>
      <c r="AC92"/>
      <c r="AD92"/>
      <c r="AE92"/>
      <c r="AF92"/>
      <c r="AG92"/>
      <c r="AH92"/>
      <c r="AI92"/>
      <c r="AJ92"/>
      <c r="AK92"/>
      <c r="AL92"/>
      <c r="AM92"/>
      <c r="AN92"/>
      <c r="AO92" t="s">
        <v>870</v>
      </c>
      <c r="AP92"/>
      <c r="AQ92"/>
      <c r="AR92"/>
      <c r="AS92"/>
      <c r="AT92" t="s">
        <v>125</v>
      </c>
      <c r="AU92">
        <v>2018</v>
      </c>
      <c r="AV92">
        <v>19</v>
      </c>
      <c r="AW92"/>
      <c r="AX92"/>
      <c r="AY92">
        <v>2</v>
      </c>
      <c r="AZ92"/>
      <c r="BA92"/>
      <c r="BB92">
        <v>118</v>
      </c>
      <c r="BC92">
        <v>122</v>
      </c>
      <c r="BD92"/>
      <c r="BE92"/>
      <c r="BF92"/>
      <c r="BG92"/>
      <c r="BH92"/>
      <c r="BI92"/>
      <c r="BJ92"/>
      <c r="BK92"/>
      <c r="BL92"/>
      <c r="BM92"/>
      <c r="BN92"/>
      <c r="BO92"/>
      <c r="BP92"/>
      <c r="BQ92"/>
      <c r="BR92"/>
      <c r="BS92" t="s">
        <v>871</v>
      </c>
      <c r="BT92" t="str">
        <f>HYPERLINK("https%3A%2F%2Fwww.webofscience.com%2Fwos%2Fwoscc%2Ffull-record%2FWOS:000450658500021","View Full Record in Web of Science")</f>
        <v>View Full Record in Web of Science</v>
      </c>
    </row>
    <row r="93" spans="1:75" customHeight="1" ht="12.75">
      <c r="A93" t="s">
        <v>72</v>
      </c>
      <c r="B93" t="s">
        <v>872</v>
      </c>
      <c r="C93"/>
      <c r="D93"/>
      <c r="E93"/>
      <c r="F93" t="s">
        <v>873</v>
      </c>
      <c r="G93"/>
      <c r="H93"/>
      <c r="I93" t="s">
        <v>874</v>
      </c>
      <c r="J93" t="s">
        <v>875</v>
      </c>
      <c r="K93"/>
      <c r="L93"/>
      <c r="M93"/>
      <c r="N93"/>
      <c r="O93"/>
      <c r="P93"/>
      <c r="Q93"/>
      <c r="R93"/>
      <c r="S93"/>
      <c r="T93"/>
      <c r="U93"/>
      <c r="V93"/>
      <c r="W93"/>
      <c r="X93"/>
      <c r="Y93"/>
      <c r="Z93"/>
      <c r="AA93" t="s">
        <v>876</v>
      </c>
      <c r="AB93" t="s">
        <v>877</v>
      </c>
      <c r="AC93"/>
      <c r="AD93"/>
      <c r="AE93"/>
      <c r="AF93"/>
      <c r="AG93"/>
      <c r="AH93"/>
      <c r="AI93"/>
      <c r="AJ93"/>
      <c r="AK93"/>
      <c r="AL93"/>
      <c r="AM93"/>
      <c r="AN93"/>
      <c r="AO93" t="s">
        <v>878</v>
      </c>
      <c r="AP93" t="s">
        <v>879</v>
      </c>
      <c r="AQ93"/>
      <c r="AR93"/>
      <c r="AS93"/>
      <c r="AT93"/>
      <c r="AU93">
        <v>2018</v>
      </c>
      <c r="AV93">
        <v>22</v>
      </c>
      <c r="AW93">
        <v>1</v>
      </c>
      <c r="AX93"/>
      <c r="AY93"/>
      <c r="AZ93"/>
      <c r="BA93"/>
      <c r="BB93">
        <v>4</v>
      </c>
      <c r="BC93">
        <v>11</v>
      </c>
      <c r="BD93"/>
      <c r="BE93" t="s">
        <v>880</v>
      </c>
      <c r="BF93" t="str">
        <f>HYPERLINK("http://dx.doi.org/10.15561/20755279.2018.0101","http://dx.doi.org/10.15561/20755279.2018.0101")</f>
        <v>http://dx.doi.org/10.15561/20755279.2018.0101</v>
      </c>
      <c r="BG93"/>
      <c r="BH93"/>
      <c r="BI93"/>
      <c r="BJ93"/>
      <c r="BK93"/>
      <c r="BL93"/>
      <c r="BM93"/>
      <c r="BN93"/>
      <c r="BO93"/>
      <c r="BP93"/>
      <c r="BQ93"/>
      <c r="BR93"/>
      <c r="BS93" t="s">
        <v>881</v>
      </c>
      <c r="BT93" t="str">
        <f>HYPERLINK("https%3A%2F%2Fwww.webofscience.com%2Fwos%2Fwoscc%2Ffull-record%2FWOS:000429273100001","View Full Record in Web of Science")</f>
        <v>View Full Record in Web of Science</v>
      </c>
    </row>
    <row r="94" spans="1:75" customHeight="1" ht="12.75">
      <c r="A94" t="s">
        <v>147</v>
      </c>
      <c r="B94" t="s">
        <v>882</v>
      </c>
      <c r="C94"/>
      <c r="D94"/>
      <c r="E94" t="s">
        <v>175</v>
      </c>
      <c r="F94" t="s">
        <v>883</v>
      </c>
      <c r="G94"/>
      <c r="H94"/>
      <c r="I94" t="s">
        <v>884</v>
      </c>
      <c r="J94" t="s">
        <v>885</v>
      </c>
      <c r="K94" t="s">
        <v>179</v>
      </c>
      <c r="L94"/>
      <c r="M94"/>
      <c r="N94"/>
      <c r="O94" t="s">
        <v>886</v>
      </c>
      <c r="P94" t="s">
        <v>887</v>
      </c>
      <c r="Q94" t="s">
        <v>888</v>
      </c>
      <c r="R94"/>
      <c r="S94"/>
      <c r="T94"/>
      <c r="U94"/>
      <c r="V94"/>
      <c r="W94"/>
      <c r="X94"/>
      <c r="Y94"/>
      <c r="Z94"/>
      <c r="AA94" t="s">
        <v>889</v>
      </c>
      <c r="AB94" t="s">
        <v>890</v>
      </c>
      <c r="AC94"/>
      <c r="AD94"/>
      <c r="AE94"/>
      <c r="AF94"/>
      <c r="AG94"/>
      <c r="AH94"/>
      <c r="AI94"/>
      <c r="AJ94"/>
      <c r="AK94"/>
      <c r="AL94"/>
      <c r="AM94"/>
      <c r="AN94"/>
      <c r="AO94" t="s">
        <v>187</v>
      </c>
      <c r="AP94" t="s">
        <v>188</v>
      </c>
      <c r="AQ94"/>
      <c r="AR94"/>
      <c r="AS94"/>
      <c r="AT94"/>
      <c r="AU94">
        <v>2018</v>
      </c>
      <c r="AV94">
        <v>944</v>
      </c>
      <c r="AW94"/>
      <c r="AX94"/>
      <c r="AY94"/>
      <c r="AZ94"/>
      <c r="BA94"/>
      <c r="BB94"/>
      <c r="BC94"/>
      <c r="BD94">
        <v>12089</v>
      </c>
      <c r="BE94" t="s">
        <v>891</v>
      </c>
      <c r="BF94" t="str">
        <f>HYPERLINK("http://dx.doi.org/10.1088/1742-6596/944/1/012089","http://dx.doi.org/10.1088/1742-6596/944/1/012089")</f>
        <v>http://dx.doi.org/10.1088/1742-6596/944/1/012089</v>
      </c>
      <c r="BG94"/>
      <c r="BH94"/>
      <c r="BI94"/>
      <c r="BJ94"/>
      <c r="BK94"/>
      <c r="BL94"/>
      <c r="BM94"/>
      <c r="BN94"/>
      <c r="BO94"/>
      <c r="BP94"/>
      <c r="BQ94"/>
      <c r="BR94"/>
      <c r="BS94" t="s">
        <v>892</v>
      </c>
      <c r="BT94" t="str">
        <f>HYPERLINK("https%3A%2F%2Fwww.webofscience.com%2Fwos%2Fwoscc%2Ffull-record%2FWOS:000431622000089","View Full Record in Web of Science")</f>
        <v>View Full Record in Web of Science</v>
      </c>
    </row>
    <row r="95" spans="1:75" customHeight="1" ht="12.75">
      <c r="A95" t="s">
        <v>72</v>
      </c>
      <c r="B95" t="s">
        <v>893</v>
      </c>
      <c r="C95"/>
      <c r="D95"/>
      <c r="E95"/>
      <c r="F95" t="s">
        <v>894</v>
      </c>
      <c r="G95"/>
      <c r="H95"/>
      <c r="I95" t="s">
        <v>895</v>
      </c>
      <c r="J95" t="s">
        <v>896</v>
      </c>
      <c r="K95"/>
      <c r="L95"/>
      <c r="M95"/>
      <c r="N95"/>
      <c r="O95"/>
      <c r="P95"/>
      <c r="Q95"/>
      <c r="R95"/>
      <c r="S95"/>
      <c r="T95"/>
      <c r="U95"/>
      <c r="V95"/>
      <c r="W95"/>
      <c r="X95"/>
      <c r="Y95"/>
      <c r="Z95"/>
      <c r="AA95" t="s">
        <v>897</v>
      </c>
      <c r="AB95" t="s">
        <v>898</v>
      </c>
      <c r="AC95"/>
      <c r="AD95"/>
      <c r="AE95"/>
      <c r="AF95"/>
      <c r="AG95"/>
      <c r="AH95"/>
      <c r="AI95"/>
      <c r="AJ95"/>
      <c r="AK95"/>
      <c r="AL95"/>
      <c r="AM95"/>
      <c r="AN95"/>
      <c r="AO95" t="s">
        <v>899</v>
      </c>
      <c r="AP95"/>
      <c r="AQ95"/>
      <c r="AR95"/>
      <c r="AS95"/>
      <c r="AT95"/>
      <c r="AU95">
        <v>2018</v>
      </c>
      <c r="AV95">
        <v>50</v>
      </c>
      <c r="AW95">
        <v>4</v>
      </c>
      <c r="AX95"/>
      <c r="AY95"/>
      <c r="AZ95"/>
      <c r="BA95"/>
      <c r="BB95">
        <v>1725</v>
      </c>
      <c r="BC95">
        <v>1733</v>
      </c>
      <c r="BD95"/>
      <c r="BE95" t="s">
        <v>900</v>
      </c>
      <c r="BF95" t="str">
        <f>HYPERLINK("http://dx.doi.org/10.13187/bg.2018.4.1725","http://dx.doi.org/10.13187/bg.2018.4.1725")</f>
        <v>http://dx.doi.org/10.13187/bg.2018.4.1725</v>
      </c>
      <c r="BG95"/>
      <c r="BH95"/>
      <c r="BI95"/>
      <c r="BJ95"/>
      <c r="BK95"/>
      <c r="BL95"/>
      <c r="BM95"/>
      <c r="BN95"/>
      <c r="BO95"/>
      <c r="BP95"/>
      <c r="BQ95"/>
      <c r="BR95"/>
      <c r="BS95" t="s">
        <v>901</v>
      </c>
      <c r="BT95" t="str">
        <f>HYPERLINK("https%3A%2F%2Fwww.webofscience.com%2Fwos%2Fwoscc%2Ffull-record%2FWOS:000451963100038","View Full Record in Web of Science")</f>
        <v>View Full Record in Web of Science</v>
      </c>
    </row>
    <row r="96" spans="1:75" customHeight="1" ht="12.75">
      <c r="A96" t="s">
        <v>147</v>
      </c>
      <c r="B96" t="s">
        <v>902</v>
      </c>
      <c r="C96"/>
      <c r="D96" t="s">
        <v>903</v>
      </c>
      <c r="E96"/>
      <c r="F96" t="s">
        <v>904</v>
      </c>
      <c r="G96"/>
      <c r="H96"/>
      <c r="I96" t="s">
        <v>905</v>
      </c>
      <c r="J96" t="s">
        <v>906</v>
      </c>
      <c r="K96" t="s">
        <v>907</v>
      </c>
      <c r="L96"/>
      <c r="M96"/>
      <c r="N96"/>
      <c r="O96" t="s">
        <v>908</v>
      </c>
      <c r="P96" t="s">
        <v>909</v>
      </c>
      <c r="Q96" t="s">
        <v>910</v>
      </c>
      <c r="R96" t="s">
        <v>911</v>
      </c>
      <c r="S96"/>
      <c r="T96"/>
      <c r="U96"/>
      <c r="V96"/>
      <c r="W96"/>
      <c r="X96"/>
      <c r="Y96"/>
      <c r="Z96"/>
      <c r="AA96" t="s">
        <v>562</v>
      </c>
      <c r="AB96" t="s">
        <v>563</v>
      </c>
      <c r="AC96"/>
      <c r="AD96"/>
      <c r="AE96"/>
      <c r="AF96"/>
      <c r="AG96"/>
      <c r="AH96"/>
      <c r="AI96"/>
      <c r="AJ96"/>
      <c r="AK96"/>
      <c r="AL96"/>
      <c r="AM96"/>
      <c r="AN96"/>
      <c r="AO96" t="s">
        <v>912</v>
      </c>
      <c r="AP96"/>
      <c r="AQ96"/>
      <c r="AR96"/>
      <c r="AS96"/>
      <c r="AT96"/>
      <c r="AU96">
        <v>2017</v>
      </c>
      <c r="AV96">
        <v>206</v>
      </c>
      <c r="AW96"/>
      <c r="AX96"/>
      <c r="AY96"/>
      <c r="AZ96"/>
      <c r="BA96"/>
      <c r="BB96">
        <v>1801</v>
      </c>
      <c r="BC96">
        <v>1807</v>
      </c>
      <c r="BD96"/>
      <c r="BE96" t="s">
        <v>913</v>
      </c>
      <c r="BF96" t="str">
        <f>HYPERLINK("http://dx.doi.org/10.1016/j.proeng.2017.10.716","http://dx.doi.org/10.1016/j.proeng.2017.10.716")</f>
        <v>http://dx.doi.org/10.1016/j.proeng.2017.10.716</v>
      </c>
      <c r="BG96"/>
      <c r="BH96"/>
      <c r="BI96"/>
      <c r="BJ96"/>
      <c r="BK96"/>
      <c r="BL96"/>
      <c r="BM96"/>
      <c r="BN96"/>
      <c r="BO96"/>
      <c r="BP96"/>
      <c r="BQ96"/>
      <c r="BR96"/>
      <c r="BS96" t="s">
        <v>914</v>
      </c>
      <c r="BT96" t="str">
        <f>HYPERLINK("https%3A%2F%2Fwww.webofscience.com%2Fwos%2Fwoscc%2Ffull-record%2FWOS:000425674300290","View Full Record in Web of Science")</f>
        <v>View Full Record in Web of Science</v>
      </c>
    </row>
    <row r="97" spans="1:75" customHeight="1" ht="12.75">
      <c r="A97" t="s">
        <v>147</v>
      </c>
      <c r="B97" t="s">
        <v>568</v>
      </c>
      <c r="C97"/>
      <c r="D97"/>
      <c r="E97" t="s">
        <v>210</v>
      </c>
      <c r="F97" t="s">
        <v>569</v>
      </c>
      <c r="G97"/>
      <c r="H97"/>
      <c r="I97" t="s">
        <v>915</v>
      </c>
      <c r="J97" t="s">
        <v>916</v>
      </c>
      <c r="K97" t="s">
        <v>420</v>
      </c>
      <c r="L97"/>
      <c r="M97"/>
      <c r="N97"/>
      <c r="O97" t="s">
        <v>917</v>
      </c>
      <c r="P97" t="s">
        <v>918</v>
      </c>
      <c r="Q97" t="s">
        <v>919</v>
      </c>
      <c r="R97" t="s">
        <v>920</v>
      </c>
      <c r="S97"/>
      <c r="T97"/>
      <c r="U97"/>
      <c r="V97"/>
      <c r="W97"/>
      <c r="X97"/>
      <c r="Y97"/>
      <c r="Z97"/>
      <c r="AA97" t="s">
        <v>921</v>
      </c>
      <c r="AB97" t="s">
        <v>922</v>
      </c>
      <c r="AC97"/>
      <c r="AD97"/>
      <c r="AE97"/>
      <c r="AF97"/>
      <c r="AG97"/>
      <c r="AH97"/>
      <c r="AI97"/>
      <c r="AJ97"/>
      <c r="AK97"/>
      <c r="AL97"/>
      <c r="AM97"/>
      <c r="AN97"/>
      <c r="AO97" t="s">
        <v>427</v>
      </c>
      <c r="AP97" t="s">
        <v>428</v>
      </c>
      <c r="AQ97" t="s">
        <v>923</v>
      </c>
      <c r="AR97"/>
      <c r="AS97"/>
      <c r="AT97"/>
      <c r="AU97">
        <v>2017</v>
      </c>
      <c r="AV97"/>
      <c r="AW97"/>
      <c r="AX97"/>
      <c r="AY97"/>
      <c r="AZ97"/>
      <c r="BA97"/>
      <c r="BB97"/>
      <c r="BC97"/>
      <c r="BD97"/>
      <c r="BE97"/>
      <c r="BF97"/>
      <c r="BG97"/>
      <c r="BH97"/>
      <c r="BI97"/>
      <c r="BJ97"/>
      <c r="BK97"/>
      <c r="BL97"/>
      <c r="BM97"/>
      <c r="BN97"/>
      <c r="BO97"/>
      <c r="BP97"/>
      <c r="BQ97"/>
      <c r="BR97"/>
      <c r="BS97" t="s">
        <v>924</v>
      </c>
      <c r="BT97" t="str">
        <f>HYPERLINK("https%3A%2F%2Fwww.webofscience.com%2Fwos%2Fwoscc%2Ffull-record%2FWOS:000426878200006","View Full Record in Web of Science")</f>
        <v>View Full Record in Web of Science</v>
      </c>
    </row>
    <row r="98" spans="1:75" customHeight="1" ht="12.75">
      <c r="A98" t="s">
        <v>147</v>
      </c>
      <c r="B98" t="s">
        <v>925</v>
      </c>
      <c r="C98"/>
      <c r="D98"/>
      <c r="E98" t="s">
        <v>210</v>
      </c>
      <c r="F98" t="s">
        <v>926</v>
      </c>
      <c r="G98"/>
      <c r="H98"/>
      <c r="I98" t="s">
        <v>927</v>
      </c>
      <c r="J98" t="s">
        <v>928</v>
      </c>
      <c r="K98"/>
      <c r="L98"/>
      <c r="M98"/>
      <c r="N98"/>
      <c r="O98" t="s">
        <v>929</v>
      </c>
      <c r="P98" t="s">
        <v>930</v>
      </c>
      <c r="Q98" t="s">
        <v>931</v>
      </c>
      <c r="R98" t="s">
        <v>932</v>
      </c>
      <c r="S98" t="s">
        <v>933</v>
      </c>
      <c r="T98"/>
      <c r="U98"/>
      <c r="V98"/>
      <c r="W98"/>
      <c r="X98"/>
      <c r="Y98"/>
      <c r="Z98"/>
      <c r="AA98" t="s">
        <v>934</v>
      </c>
      <c r="AB98" t="s">
        <v>935</v>
      </c>
      <c r="AC98"/>
      <c r="AD98"/>
      <c r="AE98"/>
      <c r="AF98"/>
      <c r="AG98"/>
      <c r="AH98"/>
      <c r="AI98"/>
      <c r="AJ98"/>
      <c r="AK98"/>
      <c r="AL98"/>
      <c r="AM98"/>
      <c r="AN98"/>
      <c r="AO98"/>
      <c r="AP98"/>
      <c r="AQ98" t="s">
        <v>936</v>
      </c>
      <c r="AR98"/>
      <c r="AS98"/>
      <c r="AT98"/>
      <c r="AU98">
        <v>2016</v>
      </c>
      <c r="AV98"/>
      <c r="AW98"/>
      <c r="AX98"/>
      <c r="AY98"/>
      <c r="AZ98"/>
      <c r="BA98"/>
      <c r="BB98">
        <v>76</v>
      </c>
      <c r="BC98">
        <v>79</v>
      </c>
      <c r="BD98"/>
      <c r="BE98" t="s">
        <v>937</v>
      </c>
      <c r="BF98" t="str">
        <f>HYPERLINK("http://dx.doi.org/10.1109/EnT.2016.23","http://dx.doi.org/10.1109/EnT.2016.23")</f>
        <v>http://dx.doi.org/10.1109/EnT.2016.23</v>
      </c>
      <c r="BG98"/>
      <c r="BH98"/>
      <c r="BI98"/>
      <c r="BJ98"/>
      <c r="BK98"/>
      <c r="BL98"/>
      <c r="BM98"/>
      <c r="BN98"/>
      <c r="BO98"/>
      <c r="BP98"/>
      <c r="BQ98"/>
      <c r="BR98"/>
      <c r="BS98" t="s">
        <v>938</v>
      </c>
      <c r="BT98" t="str">
        <f>HYPERLINK("https%3A%2F%2Fwww.webofscience.com%2Fwos%2Fwoscc%2Ffull-record%2FWOS:000404436600017","View Full Record in Web of Science")</f>
        <v>View Full Record in Web of Science</v>
      </c>
    </row>
    <row r="99" spans="1:75" customHeight="1" ht="12.75">
      <c r="A99" t="s">
        <v>72</v>
      </c>
      <c r="B99" t="s">
        <v>705</v>
      </c>
      <c r="C99"/>
      <c r="D99"/>
      <c r="E99"/>
      <c r="F99" t="s">
        <v>706</v>
      </c>
      <c r="G99"/>
      <c r="H99"/>
      <c r="I99" t="s">
        <v>939</v>
      </c>
      <c r="J99" t="s">
        <v>940</v>
      </c>
      <c r="K99"/>
      <c r="L99"/>
      <c r="M99"/>
      <c r="N99"/>
      <c r="O99"/>
      <c r="P99"/>
      <c r="Q99"/>
      <c r="R99"/>
      <c r="S99"/>
      <c r="T99"/>
      <c r="U99"/>
      <c r="V99"/>
      <c r="W99"/>
      <c r="X99"/>
      <c r="Y99"/>
      <c r="Z99"/>
      <c r="AA99" t="s">
        <v>941</v>
      </c>
      <c r="AB99" t="s">
        <v>942</v>
      </c>
      <c r="AC99"/>
      <c r="AD99"/>
      <c r="AE99"/>
      <c r="AF99"/>
      <c r="AG99"/>
      <c r="AH99"/>
      <c r="AI99"/>
      <c r="AJ99"/>
      <c r="AK99"/>
      <c r="AL99"/>
      <c r="AM99"/>
      <c r="AN99"/>
      <c r="AO99" t="s">
        <v>943</v>
      </c>
      <c r="AP99" t="s">
        <v>944</v>
      </c>
      <c r="AQ99"/>
      <c r="AR99"/>
      <c r="AS99"/>
      <c r="AT99" t="s">
        <v>171</v>
      </c>
      <c r="AU99">
        <v>2015</v>
      </c>
      <c r="AV99">
        <v>56</v>
      </c>
      <c r="AW99" t="s">
        <v>945</v>
      </c>
      <c r="AX99"/>
      <c r="AY99"/>
      <c r="AZ99"/>
      <c r="BA99"/>
      <c r="BB99">
        <v>676</v>
      </c>
      <c r="BC99">
        <v>680</v>
      </c>
      <c r="BD99"/>
      <c r="BE99" t="s">
        <v>946</v>
      </c>
      <c r="BF99" t="str">
        <f>HYPERLINK("http://dx.doi.org/10.1007/s11041-015-9821-6","http://dx.doi.org/10.1007/s11041-015-9821-6")</f>
        <v>http://dx.doi.org/10.1007/s11041-015-9821-6</v>
      </c>
      <c r="BG99"/>
      <c r="BH99"/>
      <c r="BI99"/>
      <c r="BJ99"/>
      <c r="BK99"/>
      <c r="BL99"/>
      <c r="BM99"/>
      <c r="BN99"/>
      <c r="BO99"/>
      <c r="BP99"/>
      <c r="BQ99"/>
      <c r="BR99"/>
      <c r="BS99" t="s">
        <v>947</v>
      </c>
      <c r="BT99" t="str">
        <f>HYPERLINK("https%3A%2F%2Fwww.webofscience.com%2Fwos%2Fwoscc%2Ffull-record%2FWOS:000352980200020","View Full Record in Web of Science")</f>
        <v>View Full Record in Web of Science</v>
      </c>
    </row>
    <row r="100" spans="1:75" customHeight="1" ht="12.75">
      <c r="A100" t="s">
        <v>147</v>
      </c>
      <c r="B100" t="s">
        <v>948</v>
      </c>
      <c r="C100"/>
      <c r="D100" t="s">
        <v>949</v>
      </c>
      <c r="E100"/>
      <c r="F100" t="s">
        <v>950</v>
      </c>
      <c r="G100"/>
      <c r="H100"/>
      <c r="I100" t="s">
        <v>951</v>
      </c>
      <c r="J100" t="s">
        <v>952</v>
      </c>
      <c r="K100"/>
      <c r="L100"/>
      <c r="M100"/>
      <c r="N100"/>
      <c r="O100" t="s">
        <v>953</v>
      </c>
      <c r="P100" t="s">
        <v>954</v>
      </c>
      <c r="Q100" t="s">
        <v>955</v>
      </c>
      <c r="R100" t="s">
        <v>956</v>
      </c>
      <c r="S100"/>
      <c r="T100"/>
      <c r="U100"/>
      <c r="V100"/>
      <c r="W100"/>
      <c r="X100"/>
      <c r="Y100"/>
      <c r="Z100"/>
      <c r="AA100" t="s">
        <v>957</v>
      </c>
      <c r="AB100" t="s">
        <v>958</v>
      </c>
      <c r="AC100"/>
      <c r="AD100"/>
      <c r="AE100"/>
      <c r="AF100"/>
      <c r="AG100"/>
      <c r="AH100"/>
      <c r="AI100"/>
      <c r="AJ100"/>
      <c r="AK100"/>
      <c r="AL100"/>
      <c r="AM100"/>
      <c r="AN100"/>
      <c r="AO100"/>
      <c r="AP100"/>
      <c r="AQ100" t="s">
        <v>959</v>
      </c>
      <c r="AR100"/>
      <c r="AS100"/>
      <c r="AT100"/>
      <c r="AU100">
        <v>2014</v>
      </c>
      <c r="AV100"/>
      <c r="AW100"/>
      <c r="AX100"/>
      <c r="AY100"/>
      <c r="AZ100"/>
      <c r="BA100"/>
      <c r="BB100">
        <v>403</v>
      </c>
      <c r="BC100">
        <v>408</v>
      </c>
      <c r="BD100"/>
      <c r="BE100" t="s">
        <v>960</v>
      </c>
      <c r="BF100" t="str">
        <f>HYPERLINK("http://dx.doi.org/10.1109/EMS.2014.71","http://dx.doi.org/10.1109/EMS.2014.71")</f>
        <v>http://dx.doi.org/10.1109/EMS.2014.71</v>
      </c>
      <c r="BG100"/>
      <c r="BH100"/>
      <c r="BI100"/>
      <c r="BJ100"/>
      <c r="BK100"/>
      <c r="BL100"/>
      <c r="BM100"/>
      <c r="BN100"/>
      <c r="BO100"/>
      <c r="BP100"/>
      <c r="BQ100"/>
      <c r="BR100"/>
      <c r="BS100" t="s">
        <v>961</v>
      </c>
      <c r="BT100" t="str">
        <f>HYPERLINK("https%3A%2F%2Fwww.webofscience.com%2Fwos%2Fwoscc%2Ffull-record%2FWOS:000411856100067","View Full Record in Web of Science")</f>
        <v>View Full Record in Web of Science</v>
      </c>
    </row>
    <row r="101" spans="1:75" customHeight="1" ht="12.75">
      <c r="A101" t="s">
        <v>147</v>
      </c>
      <c r="B101" t="s">
        <v>962</v>
      </c>
      <c r="C101"/>
      <c r="D101"/>
      <c r="E101" t="s">
        <v>280</v>
      </c>
      <c r="F101" t="s">
        <v>963</v>
      </c>
      <c r="G101"/>
      <c r="H101"/>
      <c r="I101" t="s">
        <v>964</v>
      </c>
      <c r="J101" t="s">
        <v>283</v>
      </c>
      <c r="K101" t="s">
        <v>284</v>
      </c>
      <c r="L101"/>
      <c r="M101"/>
      <c r="N101"/>
      <c r="O101" t="s">
        <v>285</v>
      </c>
      <c r="P101" t="s">
        <v>286</v>
      </c>
      <c r="Q101" t="s">
        <v>287</v>
      </c>
      <c r="R101" t="s">
        <v>288</v>
      </c>
      <c r="S101"/>
      <c r="T101"/>
      <c r="U101"/>
      <c r="V101"/>
      <c r="W101"/>
      <c r="X101"/>
      <c r="Y101"/>
      <c r="Z101"/>
      <c r="AA101" t="s">
        <v>965</v>
      </c>
      <c r="AB101" t="s">
        <v>966</v>
      </c>
      <c r="AC101"/>
      <c r="AD101"/>
      <c r="AE101"/>
      <c r="AF101"/>
      <c r="AG101"/>
      <c r="AH101"/>
      <c r="AI101"/>
      <c r="AJ101"/>
      <c r="AK101"/>
      <c r="AL101"/>
      <c r="AM101"/>
      <c r="AN101"/>
      <c r="AO101" t="s">
        <v>289</v>
      </c>
      <c r="AP101"/>
      <c r="AQ101" t="s">
        <v>290</v>
      </c>
      <c r="AR101"/>
      <c r="AS101"/>
      <c r="AT101"/>
      <c r="AU101">
        <v>2014</v>
      </c>
      <c r="AV101"/>
      <c r="AW101"/>
      <c r="AX101"/>
      <c r="AY101"/>
      <c r="AZ101"/>
      <c r="BA101"/>
      <c r="BB101">
        <v>297</v>
      </c>
      <c r="BC101">
        <v>304</v>
      </c>
      <c r="BD101"/>
      <c r="BE101"/>
      <c r="BF101"/>
      <c r="BG101"/>
      <c r="BH101"/>
      <c r="BI101"/>
      <c r="BJ101"/>
      <c r="BK101"/>
      <c r="BL101"/>
      <c r="BM101"/>
      <c r="BN101"/>
      <c r="BO101"/>
      <c r="BP101"/>
      <c r="BQ101"/>
      <c r="BR101"/>
      <c r="BS101" t="s">
        <v>967</v>
      </c>
      <c r="BT101" t="str">
        <f>HYPERLINK("https%3A%2F%2Fwww.webofscience.com%2Fwos%2Fwoscc%2Ffull-record%2FWOS:000358190200039","View Full Record in Web of Science")</f>
        <v>View Full Record in Web of Science</v>
      </c>
    </row>
    <row r="102" spans="1:75" customHeight="1" ht="12.75">
      <c r="A102" t="s">
        <v>72</v>
      </c>
      <c r="B102" t="s">
        <v>968</v>
      </c>
      <c r="C102"/>
      <c r="D102"/>
      <c r="E102"/>
      <c r="F102" t="s">
        <v>969</v>
      </c>
      <c r="G102"/>
      <c r="H102"/>
      <c r="I102" t="s">
        <v>970</v>
      </c>
      <c r="J102" t="s">
        <v>971</v>
      </c>
      <c r="K102"/>
      <c r="L102"/>
      <c r="M102"/>
      <c r="N102"/>
      <c r="O102"/>
      <c r="P102"/>
      <c r="Q102"/>
      <c r="R102"/>
      <c r="S102"/>
      <c r="T102"/>
      <c r="U102"/>
      <c r="V102"/>
      <c r="W102"/>
      <c r="X102"/>
      <c r="Y102"/>
      <c r="Z102"/>
      <c r="AA102" t="s">
        <v>972</v>
      </c>
      <c r="AB102"/>
      <c r="AC102"/>
      <c r="AD102"/>
      <c r="AE102"/>
      <c r="AF102"/>
      <c r="AG102"/>
      <c r="AH102"/>
      <c r="AI102"/>
      <c r="AJ102"/>
      <c r="AK102"/>
      <c r="AL102"/>
      <c r="AM102"/>
      <c r="AN102"/>
      <c r="AO102" t="s">
        <v>973</v>
      </c>
      <c r="AP102" t="s">
        <v>974</v>
      </c>
      <c r="AQ102"/>
      <c r="AR102"/>
      <c r="AS102"/>
      <c r="AT102" t="s">
        <v>88</v>
      </c>
      <c r="AU102">
        <v>2013</v>
      </c>
      <c r="AV102">
        <v>49</v>
      </c>
      <c r="AW102">
        <v>3</v>
      </c>
      <c r="AX102"/>
      <c r="AY102"/>
      <c r="AZ102"/>
      <c r="BA102"/>
      <c r="BB102">
        <v>280</v>
      </c>
      <c r="BC102">
        <v>286</v>
      </c>
      <c r="BD102"/>
      <c r="BE102" t="s">
        <v>975</v>
      </c>
      <c r="BF102" t="str">
        <f>HYPERLINK("http://dx.doi.org/10.1134/S0003683813030150","http://dx.doi.org/10.1134/S0003683813030150")</f>
        <v>http://dx.doi.org/10.1134/S0003683813030150</v>
      </c>
      <c r="BG102"/>
      <c r="BH102"/>
      <c r="BI102"/>
      <c r="BJ102"/>
      <c r="BK102"/>
      <c r="BL102"/>
      <c r="BM102"/>
      <c r="BN102"/>
      <c r="BO102"/>
      <c r="BP102"/>
      <c r="BQ102"/>
      <c r="BR102"/>
      <c r="BS102" t="s">
        <v>976</v>
      </c>
      <c r="BT102" t="str">
        <f>HYPERLINK("https%3A%2F%2Fwww.webofscience.com%2Fwos%2Fwoscc%2Ffull-record%2FWOS:000318798500010","View Full Record in Web of Science")</f>
        <v>View Full Record in Web of Science</v>
      </c>
    </row>
    <row r="103" spans="1:75" customHeight="1" ht="12.75">
      <c r="A103" t="s">
        <v>72</v>
      </c>
      <c r="B103" t="s">
        <v>977</v>
      </c>
      <c r="C103"/>
      <c r="D103"/>
      <c r="E103"/>
      <c r="F103" t="s">
        <v>978</v>
      </c>
      <c r="G103"/>
      <c r="H103"/>
      <c r="I103" t="s">
        <v>979</v>
      </c>
      <c r="J103" t="s">
        <v>244</v>
      </c>
      <c r="K103"/>
      <c r="L103"/>
      <c r="M103"/>
      <c r="N103"/>
      <c r="O103"/>
      <c r="P103"/>
      <c r="Q103"/>
      <c r="R103"/>
      <c r="S103"/>
      <c r="T103"/>
      <c r="U103"/>
      <c r="V103"/>
      <c r="W103"/>
      <c r="X103"/>
      <c r="Y103"/>
      <c r="Z103"/>
      <c r="AA103" t="s">
        <v>782</v>
      </c>
      <c r="AB103" t="s">
        <v>783</v>
      </c>
      <c r="AC103"/>
      <c r="AD103"/>
      <c r="AE103"/>
      <c r="AF103"/>
      <c r="AG103"/>
      <c r="AH103"/>
      <c r="AI103"/>
      <c r="AJ103"/>
      <c r="AK103"/>
      <c r="AL103"/>
      <c r="AM103"/>
      <c r="AN103"/>
      <c r="AO103" t="s">
        <v>245</v>
      </c>
      <c r="AP103" t="s">
        <v>246</v>
      </c>
      <c r="AQ103"/>
      <c r="AR103"/>
      <c r="AS103"/>
      <c r="AT103"/>
      <c r="AU103">
        <v>2013</v>
      </c>
      <c r="AV103"/>
      <c r="AW103">
        <v>10</v>
      </c>
      <c r="AX103"/>
      <c r="AY103"/>
      <c r="AZ103"/>
      <c r="BA103"/>
      <c r="BB103">
        <v>138</v>
      </c>
      <c r="BC103">
        <v>145</v>
      </c>
      <c r="BD103"/>
      <c r="BE103"/>
      <c r="BF103"/>
      <c r="BG103"/>
      <c r="BH103"/>
      <c r="BI103"/>
      <c r="BJ103"/>
      <c r="BK103"/>
      <c r="BL103"/>
      <c r="BM103"/>
      <c r="BN103"/>
      <c r="BO103"/>
      <c r="BP103"/>
      <c r="BQ103"/>
      <c r="BR103"/>
      <c r="BS103" t="s">
        <v>980</v>
      </c>
      <c r="BT103" t="str">
        <f>HYPERLINK("https%3A%2F%2Fwww.webofscience.com%2Fwos%2Fwoscc%2Ffull-record%2FWOS:000326774100013","View Full Record in Web of Science")</f>
        <v>View Full Record in Web of Science</v>
      </c>
    </row>
    <row r="104" spans="1:75" customHeight="1" ht="12.75">
      <c r="A104" t="s">
        <v>72</v>
      </c>
      <c r="B104" t="s">
        <v>981</v>
      </c>
      <c r="C104"/>
      <c r="D104"/>
      <c r="E104"/>
      <c r="F104" t="s">
        <v>982</v>
      </c>
      <c r="G104"/>
      <c r="H104"/>
      <c r="I104" t="s">
        <v>983</v>
      </c>
      <c r="J104" t="s">
        <v>409</v>
      </c>
      <c r="K104"/>
      <c r="L104"/>
      <c r="M104"/>
      <c r="N104"/>
      <c r="O104"/>
      <c r="P104"/>
      <c r="Q104"/>
      <c r="R104"/>
      <c r="S104"/>
      <c r="T104"/>
      <c r="U104"/>
      <c r="V104"/>
      <c r="W104"/>
      <c r="X104"/>
      <c r="Y104"/>
      <c r="Z104"/>
      <c r="AA104" t="s">
        <v>758</v>
      </c>
      <c r="AB104" t="s">
        <v>759</v>
      </c>
      <c r="AC104"/>
      <c r="AD104"/>
      <c r="AE104"/>
      <c r="AF104"/>
      <c r="AG104"/>
      <c r="AH104"/>
      <c r="AI104"/>
      <c r="AJ104"/>
      <c r="AK104"/>
      <c r="AL104"/>
      <c r="AM104"/>
      <c r="AN104"/>
      <c r="AO104" t="s">
        <v>412</v>
      </c>
      <c r="AP104"/>
      <c r="AQ104"/>
      <c r="AR104"/>
      <c r="AS104"/>
      <c r="AT104" t="s">
        <v>491</v>
      </c>
      <c r="AU104">
        <v>2012</v>
      </c>
      <c r="AV104">
        <v>85</v>
      </c>
      <c r="AW104">
        <v>6</v>
      </c>
      <c r="AX104"/>
      <c r="AY104"/>
      <c r="AZ104"/>
      <c r="BA104"/>
      <c r="BB104">
        <v>949</v>
      </c>
      <c r="BC104">
        <v>952</v>
      </c>
      <c r="BD104"/>
      <c r="BE104" t="s">
        <v>984</v>
      </c>
      <c r="BF104" t="str">
        <f>HYPERLINK("http://dx.doi.org/10.1134/S1070427212050195","http://dx.doi.org/10.1134/S1070427212050195")</f>
        <v>http://dx.doi.org/10.1134/S1070427212050195</v>
      </c>
      <c r="BG104"/>
      <c r="BH104"/>
      <c r="BI104"/>
      <c r="BJ104"/>
      <c r="BK104"/>
      <c r="BL104"/>
      <c r="BM104"/>
      <c r="BN104"/>
      <c r="BO104"/>
      <c r="BP104"/>
      <c r="BQ104"/>
      <c r="BR104"/>
      <c r="BS104" t="s">
        <v>985</v>
      </c>
      <c r="BT104" t="str">
        <f>HYPERLINK("https%3A%2F%2Fwww.webofscience.com%2Fwos%2Fwoscc%2Ffull-record%2FWOS:000306594000019","View Full Record in Web of Science")</f>
        <v>View Full Record in Web of Science</v>
      </c>
    </row>
    <row r="105" spans="1:75" customHeight="1" ht="12.75">
      <c r="A105" t="s">
        <v>72</v>
      </c>
      <c r="B105" t="s">
        <v>986</v>
      </c>
      <c r="C105"/>
      <c r="D105"/>
      <c r="E105"/>
      <c r="F105" t="s">
        <v>987</v>
      </c>
      <c r="G105"/>
      <c r="H105"/>
      <c r="I105" t="s">
        <v>988</v>
      </c>
      <c r="J105" t="s">
        <v>989</v>
      </c>
      <c r="K105"/>
      <c r="L105"/>
      <c r="M105"/>
      <c r="N105"/>
      <c r="O105"/>
      <c r="P105"/>
      <c r="Q105"/>
      <c r="R105"/>
      <c r="S105"/>
      <c r="T105"/>
      <c r="U105"/>
      <c r="V105"/>
      <c r="W105"/>
      <c r="X105"/>
      <c r="Y105"/>
      <c r="Z105"/>
      <c r="AA105" t="s">
        <v>990</v>
      </c>
      <c r="AB105" t="s">
        <v>991</v>
      </c>
      <c r="AC105"/>
      <c r="AD105"/>
      <c r="AE105"/>
      <c r="AF105"/>
      <c r="AG105"/>
      <c r="AH105"/>
      <c r="AI105"/>
      <c r="AJ105"/>
      <c r="AK105"/>
      <c r="AL105"/>
      <c r="AM105"/>
      <c r="AN105"/>
      <c r="AO105" t="s">
        <v>992</v>
      </c>
      <c r="AP105" t="s">
        <v>993</v>
      </c>
      <c r="AQ105"/>
      <c r="AR105"/>
      <c r="AS105"/>
      <c r="AT105" t="s">
        <v>491</v>
      </c>
      <c r="AU105">
        <v>2009</v>
      </c>
      <c r="AV105">
        <v>85</v>
      </c>
      <c r="AW105" t="s">
        <v>994</v>
      </c>
      <c r="AX105"/>
      <c r="AY105"/>
      <c r="AZ105"/>
      <c r="BA105"/>
      <c r="BB105">
        <v>767</v>
      </c>
      <c r="BC105">
        <v>779</v>
      </c>
      <c r="BD105"/>
      <c r="BE105" t="s">
        <v>995</v>
      </c>
      <c r="BF105" t="str">
        <f>HYPERLINK("http://dx.doi.org/10.1134/S0001434609050198","http://dx.doi.org/10.1134/S0001434609050198")</f>
        <v>http://dx.doi.org/10.1134/S0001434609050198</v>
      </c>
      <c r="BG105"/>
      <c r="BH105"/>
      <c r="BI105"/>
      <c r="BJ105"/>
      <c r="BK105"/>
      <c r="BL105"/>
      <c r="BM105"/>
      <c r="BN105"/>
      <c r="BO105"/>
      <c r="BP105"/>
      <c r="BQ105"/>
      <c r="BR105"/>
      <c r="BS105" t="s">
        <v>996</v>
      </c>
      <c r="BT105" t="str">
        <f>HYPERLINK("https%3A%2F%2Fwww.webofscience.com%2Fwos%2Fwoscc%2Ffull-record%2FWOS:000267684500019","View Full Record in Web of Science")</f>
        <v>View Full Record in Web of Science</v>
      </c>
    </row>
    <row r="106" spans="1:75" customHeight="1" ht="12.75">
      <c r="A106" t="s">
        <v>72</v>
      </c>
      <c r="B106" t="s">
        <v>997</v>
      </c>
      <c r="C106"/>
      <c r="D106"/>
      <c r="E106"/>
      <c r="F106" t="s">
        <v>998</v>
      </c>
      <c r="G106"/>
      <c r="H106"/>
      <c r="I106" t="s">
        <v>999</v>
      </c>
      <c r="J106" t="s">
        <v>971</v>
      </c>
      <c r="K106"/>
      <c r="L106"/>
      <c r="M106"/>
      <c r="N106"/>
      <c r="O106"/>
      <c r="P106"/>
      <c r="Q106"/>
      <c r="R106"/>
      <c r="S106"/>
      <c r="T106"/>
      <c r="U106"/>
      <c r="V106"/>
      <c r="W106"/>
      <c r="X106"/>
      <c r="Y106"/>
      <c r="Z106"/>
      <c r="AA106"/>
      <c r="AB106"/>
      <c r="AC106"/>
      <c r="AD106"/>
      <c r="AE106"/>
      <c r="AF106"/>
      <c r="AG106"/>
      <c r="AH106"/>
      <c r="AI106"/>
      <c r="AJ106"/>
      <c r="AK106"/>
      <c r="AL106"/>
      <c r="AM106"/>
      <c r="AN106"/>
      <c r="AO106" t="s">
        <v>973</v>
      </c>
      <c r="AP106" t="s">
        <v>974</v>
      </c>
      <c r="AQ106"/>
      <c r="AR106"/>
      <c r="AS106"/>
      <c r="AT106" t="s">
        <v>125</v>
      </c>
      <c r="AU106">
        <v>2007</v>
      </c>
      <c r="AV106">
        <v>43</v>
      </c>
      <c r="AW106">
        <v>4</v>
      </c>
      <c r="AX106"/>
      <c r="AY106"/>
      <c r="AZ106"/>
      <c r="BA106"/>
      <c r="BB106">
        <v>399</v>
      </c>
      <c r="BC106">
        <v>402</v>
      </c>
      <c r="BD106"/>
      <c r="BE106" t="s">
        <v>1000</v>
      </c>
      <c r="BF106" t="str">
        <f>HYPERLINK("http://dx.doi.org/10.1134/S0003683807040072","http://dx.doi.org/10.1134/S0003683807040072")</f>
        <v>http://dx.doi.org/10.1134/S0003683807040072</v>
      </c>
      <c r="BG106"/>
      <c r="BH106"/>
      <c r="BI106"/>
      <c r="BJ106"/>
      <c r="BK106"/>
      <c r="BL106"/>
      <c r="BM106"/>
      <c r="BN106"/>
      <c r="BO106"/>
      <c r="BP106"/>
      <c r="BQ106"/>
      <c r="BR106"/>
      <c r="BS106" t="s">
        <v>1001</v>
      </c>
      <c r="BT106" t="str">
        <f>HYPERLINK("https%3A%2F%2Fwww.webofscience.com%2Fwos%2Fwoscc%2Ffull-record%2FWOS:000248054600007","View Full Record in Web of Science")</f>
        <v>View Full Record in Web of Science</v>
      </c>
    </row>
    <row r="107" spans="1:75" customHeight="1" ht="12.75">
      <c r="A107" t="s">
        <v>72</v>
      </c>
      <c r="B107" t="s">
        <v>1002</v>
      </c>
      <c r="C107"/>
      <c r="D107"/>
      <c r="E107"/>
      <c r="F107" t="s">
        <v>1003</v>
      </c>
      <c r="G107"/>
      <c r="H107"/>
      <c r="I107" t="s">
        <v>1004</v>
      </c>
      <c r="J107" t="s">
        <v>1005</v>
      </c>
      <c r="K107"/>
      <c r="L107"/>
      <c r="M107"/>
      <c r="N107"/>
      <c r="O107"/>
      <c r="P107"/>
      <c r="Q107"/>
      <c r="R107"/>
      <c r="S107"/>
      <c r="T107"/>
      <c r="U107"/>
      <c r="V107"/>
      <c r="W107"/>
      <c r="X107"/>
      <c r="Y107"/>
      <c r="Z107"/>
      <c r="AA107"/>
      <c r="AB107"/>
      <c r="AC107"/>
      <c r="AD107"/>
      <c r="AE107"/>
      <c r="AF107"/>
      <c r="AG107"/>
      <c r="AH107"/>
      <c r="AI107"/>
      <c r="AJ107"/>
      <c r="AK107"/>
      <c r="AL107"/>
      <c r="AM107"/>
      <c r="AN107"/>
      <c r="AO107" t="s">
        <v>1006</v>
      </c>
      <c r="AP107" t="s">
        <v>1007</v>
      </c>
      <c r="AQ107"/>
      <c r="AR107"/>
      <c r="AS107"/>
      <c r="AT107" t="s">
        <v>78</v>
      </c>
      <c r="AU107">
        <v>2006</v>
      </c>
      <c r="AV107">
        <v>75</v>
      </c>
      <c r="AW107">
        <v>3</v>
      </c>
      <c r="AX107"/>
      <c r="AY107"/>
      <c r="AZ107"/>
      <c r="BA107"/>
      <c r="BB107">
        <v>312</v>
      </c>
      <c r="BC107">
        <v>316</v>
      </c>
      <c r="BD107"/>
      <c r="BE107" t="s">
        <v>1008</v>
      </c>
      <c r="BF107" t="str">
        <f>HYPERLINK("http://dx.doi.org/10.1134/S002626170603012X","http://dx.doi.org/10.1134/S002626170603012X")</f>
        <v>http://dx.doi.org/10.1134/S002626170603012X</v>
      </c>
      <c r="BG107"/>
      <c r="BH107"/>
      <c r="BI107"/>
      <c r="BJ107"/>
      <c r="BK107"/>
      <c r="BL107"/>
      <c r="BM107"/>
      <c r="BN107"/>
      <c r="BO107"/>
      <c r="BP107"/>
      <c r="BQ107"/>
      <c r="BR107"/>
      <c r="BS107" t="s">
        <v>1009</v>
      </c>
      <c r="BT107" t="str">
        <f>HYPERLINK("https%3A%2F%2Fwww.webofscience.com%2Fwos%2Fwoscc%2Ffull-record%2FWOS:000238267100012","View Full Record in Web of Science")</f>
        <v>View Full Record in Web of Science</v>
      </c>
    </row>
    <row r="108" spans="1:75" customHeight="1" ht="12.75">
      <c r="A108" t="s">
        <v>72</v>
      </c>
      <c r="B108" t="s">
        <v>1010</v>
      </c>
      <c r="C108"/>
      <c r="D108"/>
      <c r="E108"/>
      <c r="F108" t="s">
        <v>1010</v>
      </c>
      <c r="G108"/>
      <c r="H108"/>
      <c r="I108" t="s">
        <v>1011</v>
      </c>
      <c r="J108" t="s">
        <v>311</v>
      </c>
      <c r="K108"/>
      <c r="L108"/>
      <c r="M108"/>
      <c r="N108"/>
      <c r="O108"/>
      <c r="P108"/>
      <c r="Q108"/>
      <c r="R108"/>
      <c r="S108"/>
      <c r="T108"/>
      <c r="U108"/>
      <c r="V108"/>
      <c r="W108"/>
      <c r="X108"/>
      <c r="Y108"/>
      <c r="Z108"/>
      <c r="AA108"/>
      <c r="AB108"/>
      <c r="AC108"/>
      <c r="AD108"/>
      <c r="AE108"/>
      <c r="AF108"/>
      <c r="AG108"/>
      <c r="AH108"/>
      <c r="AI108"/>
      <c r="AJ108"/>
      <c r="AK108"/>
      <c r="AL108"/>
      <c r="AM108"/>
      <c r="AN108"/>
      <c r="AO108" t="s">
        <v>312</v>
      </c>
      <c r="AP108"/>
      <c r="AQ108"/>
      <c r="AR108"/>
      <c r="AS108"/>
      <c r="AT108" t="s">
        <v>1012</v>
      </c>
      <c r="AU108">
        <v>2001</v>
      </c>
      <c r="AV108">
        <v>35</v>
      </c>
      <c r="AW108">
        <v>5</v>
      </c>
      <c r="AX108"/>
      <c r="AY108"/>
      <c r="AZ108"/>
      <c r="BA108"/>
      <c r="BB108">
        <v>518</v>
      </c>
      <c r="BC108">
        <v>519</v>
      </c>
      <c r="BD108"/>
      <c r="BE108" t="s">
        <v>1013</v>
      </c>
      <c r="BF108" t="str">
        <f>HYPERLINK("http://dx.doi.org/10.1023/A:1012394524649","http://dx.doi.org/10.1023/A:1012394524649")</f>
        <v>http://dx.doi.org/10.1023/A:1012394524649</v>
      </c>
      <c r="BG108"/>
      <c r="BH108"/>
      <c r="BI108"/>
      <c r="BJ108"/>
      <c r="BK108"/>
      <c r="BL108"/>
      <c r="BM108"/>
      <c r="BN108"/>
      <c r="BO108"/>
      <c r="BP108"/>
      <c r="BQ108"/>
      <c r="BR108"/>
      <c r="BS108" t="s">
        <v>1014</v>
      </c>
      <c r="BT108" t="str">
        <f>HYPERLINK("https%3A%2F%2Fwww.webofscience.com%2Fwos%2Fwoscc%2Ffull-record%2FWOS:000171839100018","View Full Record in Web of Science")</f>
        <v>View Full Record in Web of Science</v>
      </c>
    </row>
    <row r="109" spans="1:75" customHeight="1" ht="12.75">
      <c r="A109" t="s">
        <v>72</v>
      </c>
      <c r="B109" t="s">
        <v>1015</v>
      </c>
      <c r="C109"/>
      <c r="D109"/>
      <c r="E109"/>
      <c r="F109" t="s">
        <v>1015</v>
      </c>
      <c r="G109"/>
      <c r="H109"/>
      <c r="I109" t="s">
        <v>1016</v>
      </c>
      <c r="J109" t="s">
        <v>940</v>
      </c>
      <c r="K109"/>
      <c r="L109"/>
      <c r="M109"/>
      <c r="N109"/>
      <c r="O109"/>
      <c r="P109"/>
      <c r="Q109"/>
      <c r="R109"/>
      <c r="S109"/>
      <c r="T109"/>
      <c r="U109"/>
      <c r="V109"/>
      <c r="W109"/>
      <c r="X109"/>
      <c r="Y109"/>
      <c r="Z109"/>
      <c r="AA109"/>
      <c r="AB109"/>
      <c r="AC109"/>
      <c r="AD109"/>
      <c r="AE109"/>
      <c r="AF109"/>
      <c r="AG109"/>
      <c r="AH109"/>
      <c r="AI109"/>
      <c r="AJ109"/>
      <c r="AK109"/>
      <c r="AL109"/>
      <c r="AM109"/>
      <c r="AN109"/>
      <c r="AO109" t="s">
        <v>943</v>
      </c>
      <c r="AP109"/>
      <c r="AQ109"/>
      <c r="AR109"/>
      <c r="AS109"/>
      <c r="AT109" t="s">
        <v>78</v>
      </c>
      <c r="AU109">
        <v>1998</v>
      </c>
      <c r="AV109">
        <v>40</v>
      </c>
      <c r="AW109" t="s">
        <v>994</v>
      </c>
      <c r="AX109"/>
      <c r="AY109"/>
      <c r="AZ109"/>
      <c r="BA109"/>
      <c r="BB109">
        <v>179</v>
      </c>
      <c r="BC109">
        <v>181</v>
      </c>
      <c r="BD109"/>
      <c r="BE109" t="s">
        <v>1017</v>
      </c>
      <c r="BF109" t="str">
        <f>HYPERLINK("http://dx.doi.org/10.1007/BF02467476","http://dx.doi.org/10.1007/BF02467476")</f>
        <v>http://dx.doi.org/10.1007/BF02467476</v>
      </c>
      <c r="BG109"/>
      <c r="BH109"/>
      <c r="BI109"/>
      <c r="BJ109"/>
      <c r="BK109"/>
      <c r="BL109"/>
      <c r="BM109"/>
      <c r="BN109"/>
      <c r="BO109"/>
      <c r="BP109"/>
      <c r="BQ109"/>
      <c r="BR109"/>
      <c r="BS109" t="s">
        <v>1018</v>
      </c>
      <c r="BT109" t="str">
        <f>HYPERLINK("https%3A%2F%2Fwww.webofscience.com%2Fwos%2Fwoscc%2Ffull-record%2FWOS:000077330900001","View Full Record in Web of Science")</f>
        <v>View Full Record in Web of Science</v>
      </c>
    </row>
    <row r="110" spans="1:75" customHeight="1" ht="12.75">
      <c r="A110" t="s">
        <v>72</v>
      </c>
      <c r="B110" t="s">
        <v>1019</v>
      </c>
      <c r="C110"/>
      <c r="D110"/>
      <c r="E110"/>
      <c r="F110" t="s">
        <v>1019</v>
      </c>
      <c r="G110"/>
      <c r="H110"/>
      <c r="I110" t="s">
        <v>1020</v>
      </c>
      <c r="J110" t="s">
        <v>614</v>
      </c>
      <c r="K110"/>
      <c r="L110"/>
      <c r="M110"/>
      <c r="N110"/>
      <c r="O110" t="s">
        <v>1021</v>
      </c>
      <c r="P110">
        <v>1994</v>
      </c>
      <c r="Q110" t="s">
        <v>1022</v>
      </c>
      <c r="R110" t="s">
        <v>1023</v>
      </c>
      <c r="S110"/>
      <c r="T110"/>
      <c r="U110"/>
      <c r="V110"/>
      <c r="W110"/>
      <c r="X110"/>
      <c r="Y110"/>
      <c r="Z110"/>
      <c r="AA110" t="s">
        <v>1024</v>
      </c>
      <c r="AB110" t="s">
        <v>1025</v>
      </c>
      <c r="AC110"/>
      <c r="AD110"/>
      <c r="AE110"/>
      <c r="AF110"/>
      <c r="AG110"/>
      <c r="AH110"/>
      <c r="AI110"/>
      <c r="AJ110"/>
      <c r="AK110"/>
      <c r="AL110"/>
      <c r="AM110"/>
      <c r="AN110"/>
      <c r="AO110" t="s">
        <v>617</v>
      </c>
      <c r="AP110"/>
      <c r="AQ110"/>
      <c r="AR110"/>
      <c r="AS110"/>
      <c r="AT110" t="s">
        <v>655</v>
      </c>
      <c r="AU110">
        <v>1996</v>
      </c>
      <c r="AV110">
        <v>32</v>
      </c>
      <c r="AW110">
        <v>2</v>
      </c>
      <c r="AX110"/>
      <c r="AY110"/>
      <c r="AZ110"/>
      <c r="BA110"/>
      <c r="BB110">
        <v>265</v>
      </c>
      <c r="BC110">
        <v>267</v>
      </c>
      <c r="BD110"/>
      <c r="BE110"/>
      <c r="BF110"/>
      <c r="BG110"/>
      <c r="BH110"/>
      <c r="BI110"/>
      <c r="BJ110"/>
      <c r="BK110"/>
      <c r="BL110"/>
      <c r="BM110"/>
      <c r="BN110"/>
      <c r="BO110"/>
      <c r="BP110"/>
      <c r="BQ110"/>
      <c r="BR110"/>
      <c r="BS110" t="s">
        <v>1026</v>
      </c>
      <c r="BT110" t="str">
        <f>HYPERLINK("https%3A%2F%2Fwww.webofscience.com%2Fwos%2Fwoscc%2Ffull-record%2FWOS:A1996TY61200025","View Full Record in Web of Science")</f>
        <v>View Full Record in Web of Science</v>
      </c>
    </row>
    <row r="111" spans="1:75" customHeight="1" ht="12.75">
      <c r="A111" t="s">
        <v>72</v>
      </c>
      <c r="B111" t="s">
        <v>1027</v>
      </c>
      <c r="C111"/>
      <c r="D111"/>
      <c r="E111"/>
      <c r="F111" t="s">
        <v>1028</v>
      </c>
      <c r="G111"/>
      <c r="H111"/>
      <c r="I111" t="s">
        <v>1029</v>
      </c>
      <c r="J111" t="s">
        <v>1030</v>
      </c>
      <c r="K111"/>
      <c r="L111"/>
      <c r="M111"/>
      <c r="N111"/>
      <c r="O111"/>
      <c r="P111"/>
      <c r="Q111"/>
      <c r="R111"/>
      <c r="S111"/>
      <c r="T111"/>
      <c r="U111"/>
      <c r="V111"/>
      <c r="W111"/>
      <c r="X111"/>
      <c r="Y111"/>
      <c r="Z111"/>
      <c r="AA111" t="s">
        <v>1031</v>
      </c>
      <c r="AB111" t="s">
        <v>1032</v>
      </c>
      <c r="AC111"/>
      <c r="AD111"/>
      <c r="AE111"/>
      <c r="AF111"/>
      <c r="AG111"/>
      <c r="AH111"/>
      <c r="AI111"/>
      <c r="AJ111"/>
      <c r="AK111"/>
      <c r="AL111"/>
      <c r="AM111"/>
      <c r="AN111"/>
      <c r="AO111" t="s">
        <v>1033</v>
      </c>
      <c r="AP111" t="s">
        <v>1034</v>
      </c>
      <c r="AQ111"/>
      <c r="AR111"/>
      <c r="AS111"/>
      <c r="AT111" t="s">
        <v>491</v>
      </c>
      <c r="AU111">
        <v>2022</v>
      </c>
      <c r="AV111">
        <v>56</v>
      </c>
      <c r="AW111">
        <v>3</v>
      </c>
      <c r="AX111"/>
      <c r="AY111"/>
      <c r="AZ111"/>
      <c r="BA111"/>
      <c r="BB111">
        <v>131</v>
      </c>
      <c r="BC111">
        <v>137</v>
      </c>
      <c r="BD111"/>
      <c r="BE111" t="s">
        <v>1035</v>
      </c>
      <c r="BF111" t="str">
        <f>HYPERLINK("http://dx.doi.org/10.3103/S0005105522030037","http://dx.doi.org/10.3103/S0005105522030037")</f>
        <v>http://dx.doi.org/10.3103/S0005105522030037</v>
      </c>
      <c r="BG111"/>
      <c r="BH111"/>
      <c r="BI111"/>
      <c r="BJ111"/>
      <c r="BK111"/>
      <c r="BL111"/>
      <c r="BM111"/>
      <c r="BN111"/>
      <c r="BO111"/>
      <c r="BP111"/>
      <c r="BQ111"/>
      <c r="BR111"/>
      <c r="BS111" t="s">
        <v>1036</v>
      </c>
      <c r="BT111" t="str">
        <f>HYPERLINK("https%3A%2F%2Fwww.webofscience.com%2Fwos%2Fwoscc%2Ffull-record%2FWOS:000840844200004","View Full Record in Web of Science")</f>
        <v>View Full Record in Web of Science</v>
      </c>
    </row>
    <row r="112" spans="1:75" customHeight="1" ht="12.75">
      <c r="A112" t="s">
        <v>72</v>
      </c>
      <c r="B112" t="s">
        <v>1037</v>
      </c>
      <c r="C112"/>
      <c r="D112"/>
      <c r="E112"/>
      <c r="F112" t="s">
        <v>1038</v>
      </c>
      <c r="G112"/>
      <c r="H112"/>
      <c r="I112" t="s">
        <v>1039</v>
      </c>
      <c r="J112" t="s">
        <v>716</v>
      </c>
      <c r="K112"/>
      <c r="L112"/>
      <c r="M112"/>
      <c r="N112"/>
      <c r="O112"/>
      <c r="P112"/>
      <c r="Q112"/>
      <c r="R112"/>
      <c r="S112"/>
      <c r="T112"/>
      <c r="U112"/>
      <c r="V112"/>
      <c r="W112"/>
      <c r="X112"/>
      <c r="Y112"/>
      <c r="Z112"/>
      <c r="AA112"/>
      <c r="AB112"/>
      <c r="AC112"/>
      <c r="AD112"/>
      <c r="AE112"/>
      <c r="AF112"/>
      <c r="AG112"/>
      <c r="AH112"/>
      <c r="AI112"/>
      <c r="AJ112"/>
      <c r="AK112"/>
      <c r="AL112"/>
      <c r="AM112"/>
      <c r="AN112"/>
      <c r="AO112" t="s">
        <v>719</v>
      </c>
      <c r="AP112" t="s">
        <v>720</v>
      </c>
      <c r="AQ112"/>
      <c r="AR112"/>
      <c r="AS112"/>
      <c r="AT112" t="s">
        <v>125</v>
      </c>
      <c r="AU112">
        <v>2021</v>
      </c>
      <c r="AV112"/>
      <c r="AW112">
        <v>468</v>
      </c>
      <c r="AX112"/>
      <c r="AY112"/>
      <c r="AZ112"/>
      <c r="BA112"/>
      <c r="BB112">
        <v>211</v>
      </c>
      <c r="BC112">
        <v>218</v>
      </c>
      <c r="BD112"/>
      <c r="BE112" t="s">
        <v>1040</v>
      </c>
      <c r="BF112" t="str">
        <f>HYPERLINK("http://dx.doi.org/10.17223/15617793/468/24","http://dx.doi.org/10.17223/15617793/468/24")</f>
        <v>http://dx.doi.org/10.17223/15617793/468/24</v>
      </c>
      <c r="BG112"/>
      <c r="BH112"/>
      <c r="BI112"/>
      <c r="BJ112"/>
      <c r="BK112"/>
      <c r="BL112"/>
      <c r="BM112"/>
      <c r="BN112"/>
      <c r="BO112"/>
      <c r="BP112"/>
      <c r="BQ112"/>
      <c r="BR112"/>
      <c r="BS112" t="s">
        <v>1041</v>
      </c>
      <c r="BT112" t="str">
        <f>HYPERLINK("https%3A%2F%2Fwww.webofscience.com%2Fwos%2Fwoscc%2Ffull-record%2FWOS:000727809000024","View Full Record in Web of Science")</f>
        <v>View Full Record in Web of Science</v>
      </c>
    </row>
    <row r="113" spans="1:75" customHeight="1" ht="12.75">
      <c r="A113" t="s">
        <v>72</v>
      </c>
      <c r="B113" t="s">
        <v>1042</v>
      </c>
      <c r="C113"/>
      <c r="D113"/>
      <c r="E113"/>
      <c r="F113" t="s">
        <v>1043</v>
      </c>
      <c r="G113"/>
      <c r="H113"/>
      <c r="I113" t="s">
        <v>1044</v>
      </c>
      <c r="J113" t="s">
        <v>1045</v>
      </c>
      <c r="K113"/>
      <c r="L113"/>
      <c r="M113"/>
      <c r="N113"/>
      <c r="O113"/>
      <c r="P113"/>
      <c r="Q113"/>
      <c r="R113"/>
      <c r="S113"/>
      <c r="T113"/>
      <c r="U113"/>
      <c r="V113"/>
      <c r="W113"/>
      <c r="X113"/>
      <c r="Y113"/>
      <c r="Z113"/>
      <c r="AA113" t="s">
        <v>1046</v>
      </c>
      <c r="AB113" t="s">
        <v>1047</v>
      </c>
      <c r="AC113"/>
      <c r="AD113"/>
      <c r="AE113"/>
      <c r="AF113"/>
      <c r="AG113"/>
      <c r="AH113"/>
      <c r="AI113"/>
      <c r="AJ113"/>
      <c r="AK113"/>
      <c r="AL113"/>
      <c r="AM113"/>
      <c r="AN113"/>
      <c r="AO113" t="s">
        <v>1048</v>
      </c>
      <c r="AP113" t="s">
        <v>1049</v>
      </c>
      <c r="AQ113"/>
      <c r="AR113"/>
      <c r="AS113"/>
      <c r="AT113" t="s">
        <v>198</v>
      </c>
      <c r="AU113">
        <v>2021</v>
      </c>
      <c r="AV113">
        <v>48</v>
      </c>
      <c r="AW113">
        <v>2</v>
      </c>
      <c r="AX113"/>
      <c r="AY113"/>
      <c r="AZ113"/>
      <c r="BA113"/>
      <c r="BB113">
        <v>107</v>
      </c>
      <c r="BC113">
        <v>113</v>
      </c>
      <c r="BD113"/>
      <c r="BE113" t="s">
        <v>1050</v>
      </c>
      <c r="BF113" t="str">
        <f>HYPERLINK("http://dx.doi.org/10.3103/S0147688221020064","http://dx.doi.org/10.3103/S0147688221020064")</f>
        <v>http://dx.doi.org/10.3103/S0147688221020064</v>
      </c>
      <c r="BG113"/>
      <c r="BH113"/>
      <c r="BI113"/>
      <c r="BJ113"/>
      <c r="BK113"/>
      <c r="BL113"/>
      <c r="BM113"/>
      <c r="BN113"/>
      <c r="BO113"/>
      <c r="BP113"/>
      <c r="BQ113"/>
      <c r="BR113"/>
      <c r="BS113" t="s">
        <v>1051</v>
      </c>
      <c r="BT113" t="str">
        <f>HYPERLINK("https%3A%2F%2Fwww.webofscience.com%2Fwos%2Fwoscc%2Ffull-record%2FWOS:000694881900005","View Full Record in Web of Science")</f>
        <v>View Full Record in Web of Science</v>
      </c>
    </row>
    <row r="114" spans="1:75" customHeight="1" ht="12.75">
      <c r="A114" t="s">
        <v>147</v>
      </c>
      <c r="B114" t="s">
        <v>568</v>
      </c>
      <c r="C114"/>
      <c r="D114"/>
      <c r="E114" t="s">
        <v>210</v>
      </c>
      <c r="F114" t="s">
        <v>569</v>
      </c>
      <c r="G114"/>
      <c r="H114"/>
      <c r="I114" t="s">
        <v>1052</v>
      </c>
      <c r="J114" t="s">
        <v>1053</v>
      </c>
      <c r="K114" t="s">
        <v>743</v>
      </c>
      <c r="L114"/>
      <c r="M114"/>
      <c r="N114"/>
      <c r="O114" t="s">
        <v>744</v>
      </c>
      <c r="P114" t="s">
        <v>1054</v>
      </c>
      <c r="Q114" t="s">
        <v>256</v>
      </c>
      <c r="R114" t="s">
        <v>1055</v>
      </c>
      <c r="S114" t="s">
        <v>257</v>
      </c>
      <c r="T114"/>
      <c r="U114"/>
      <c r="V114"/>
      <c r="W114"/>
      <c r="X114"/>
      <c r="Y114"/>
      <c r="Z114"/>
      <c r="AA114" t="s">
        <v>1056</v>
      </c>
      <c r="AB114" t="s">
        <v>1057</v>
      </c>
      <c r="AC114"/>
      <c r="AD114"/>
      <c r="AE114"/>
      <c r="AF114"/>
      <c r="AG114"/>
      <c r="AH114"/>
      <c r="AI114"/>
      <c r="AJ114"/>
      <c r="AK114"/>
      <c r="AL114"/>
      <c r="AM114"/>
      <c r="AN114"/>
      <c r="AO114" t="s">
        <v>748</v>
      </c>
      <c r="AP114"/>
      <c r="AQ114" t="s">
        <v>1058</v>
      </c>
      <c r="AR114"/>
      <c r="AS114"/>
      <c r="AT114"/>
      <c r="AU114">
        <v>2021</v>
      </c>
      <c r="AV114"/>
      <c r="AW114"/>
      <c r="AX114"/>
      <c r="AY114"/>
      <c r="AZ114"/>
      <c r="BA114"/>
      <c r="BB114"/>
      <c r="BC114"/>
      <c r="BD114"/>
      <c r="BE114" t="s">
        <v>1059</v>
      </c>
      <c r="BF114" t="str">
        <f>HYPERLINK("http://dx.doi.org/10.1109/SIBCON50419.2021.9438922","http://dx.doi.org/10.1109/SIBCON50419.2021.9438922")</f>
        <v>http://dx.doi.org/10.1109/SIBCON50419.2021.9438922</v>
      </c>
      <c r="BG114"/>
      <c r="BH114"/>
      <c r="BI114"/>
      <c r="BJ114"/>
      <c r="BK114"/>
      <c r="BL114"/>
      <c r="BM114"/>
      <c r="BN114"/>
      <c r="BO114"/>
      <c r="BP114"/>
      <c r="BQ114"/>
      <c r="BR114"/>
      <c r="BS114" t="s">
        <v>1060</v>
      </c>
      <c r="BT114" t="str">
        <f>HYPERLINK("https%3A%2F%2Fwww.webofscience.com%2Fwos%2Fwoscc%2Ffull-record%2FWOS:000680842100070","View Full Record in Web of Science")</f>
        <v>View Full Record in Web of Science</v>
      </c>
    </row>
    <row r="115" spans="1:75" customHeight="1" ht="12.75">
      <c r="A115" t="s">
        <v>147</v>
      </c>
      <c r="B115" t="s">
        <v>1061</v>
      </c>
      <c r="C115"/>
      <c r="D115" t="s">
        <v>1062</v>
      </c>
      <c r="E115"/>
      <c r="F115" t="s">
        <v>1063</v>
      </c>
      <c r="G115"/>
      <c r="H115"/>
      <c r="I115" t="s">
        <v>1064</v>
      </c>
      <c r="J115" t="s">
        <v>1065</v>
      </c>
      <c r="K115" t="s">
        <v>253</v>
      </c>
      <c r="L115"/>
      <c r="M115"/>
      <c r="N115"/>
      <c r="O115" t="s">
        <v>1066</v>
      </c>
      <c r="P115" t="s">
        <v>1067</v>
      </c>
      <c r="Q115" t="s">
        <v>1068</v>
      </c>
      <c r="R115" t="s">
        <v>1069</v>
      </c>
      <c r="S115" t="s">
        <v>1070</v>
      </c>
      <c r="T115"/>
      <c r="U115"/>
      <c r="V115"/>
      <c r="W115"/>
      <c r="X115"/>
      <c r="Y115"/>
      <c r="Z115"/>
      <c r="AA115"/>
      <c r="AB115"/>
      <c r="AC115"/>
      <c r="AD115"/>
      <c r="AE115"/>
      <c r="AF115"/>
      <c r="AG115"/>
      <c r="AH115"/>
      <c r="AI115"/>
      <c r="AJ115"/>
      <c r="AK115"/>
      <c r="AL115"/>
      <c r="AM115"/>
      <c r="AN115"/>
      <c r="AO115"/>
      <c r="AP115" t="s">
        <v>259</v>
      </c>
      <c r="AQ115" t="s">
        <v>1071</v>
      </c>
      <c r="AR115"/>
      <c r="AS115"/>
      <c r="AT115"/>
      <c r="AU115">
        <v>2021</v>
      </c>
      <c r="AV115">
        <v>114</v>
      </c>
      <c r="AW115"/>
      <c r="AX115"/>
      <c r="AY115"/>
      <c r="AZ115"/>
      <c r="BA115"/>
      <c r="BB115">
        <v>332</v>
      </c>
      <c r="BC115">
        <v>348</v>
      </c>
      <c r="BD115"/>
      <c r="BE115" t="s">
        <v>1072</v>
      </c>
      <c r="BF115" t="str">
        <f>HYPERLINK("http://dx.doi.org/10.15405/epsbs.2021.07.02.40","http://dx.doi.org/10.15405/epsbs.2021.07.02.40")</f>
        <v>http://dx.doi.org/10.15405/epsbs.2021.07.02.40</v>
      </c>
      <c r="BG115"/>
      <c r="BH115"/>
      <c r="BI115"/>
      <c r="BJ115"/>
      <c r="BK115"/>
      <c r="BL115"/>
      <c r="BM115"/>
      <c r="BN115"/>
      <c r="BO115"/>
      <c r="BP115"/>
      <c r="BQ115"/>
      <c r="BR115"/>
      <c r="BS115" t="s">
        <v>1073</v>
      </c>
      <c r="BT115" t="str">
        <f>HYPERLINK("https%3A%2F%2Fwww.webofscience.com%2Fwos%2Fwoscc%2Ffull-record%2FWOS:000771919100040","View Full Record in Web of Science")</f>
        <v>View Full Record in Web of Science</v>
      </c>
    </row>
    <row r="116" spans="1:75" customHeight="1" ht="12.75">
      <c r="A116" t="s">
        <v>72</v>
      </c>
      <c r="B116" t="s">
        <v>1074</v>
      </c>
      <c r="C116"/>
      <c r="D116"/>
      <c r="E116"/>
      <c r="F116" t="s">
        <v>1075</v>
      </c>
      <c r="G116"/>
      <c r="H116"/>
      <c r="I116" t="s">
        <v>1076</v>
      </c>
      <c r="J116" t="s">
        <v>1077</v>
      </c>
      <c r="K116"/>
      <c r="L116"/>
      <c r="M116"/>
      <c r="N116"/>
      <c r="O116"/>
      <c r="P116"/>
      <c r="Q116"/>
      <c r="R116"/>
      <c r="S116"/>
      <c r="T116"/>
      <c r="U116"/>
      <c r="V116"/>
      <c r="W116"/>
      <c r="X116"/>
      <c r="Y116"/>
      <c r="Z116"/>
      <c r="AA116" t="s">
        <v>1078</v>
      </c>
      <c r="AB116" t="s">
        <v>1079</v>
      </c>
      <c r="AC116"/>
      <c r="AD116"/>
      <c r="AE116"/>
      <c r="AF116"/>
      <c r="AG116"/>
      <c r="AH116"/>
      <c r="AI116"/>
      <c r="AJ116"/>
      <c r="AK116"/>
      <c r="AL116"/>
      <c r="AM116"/>
      <c r="AN116"/>
      <c r="AO116" t="s">
        <v>1080</v>
      </c>
      <c r="AP116" t="s">
        <v>1081</v>
      </c>
      <c r="AQ116"/>
      <c r="AR116"/>
      <c r="AS116"/>
      <c r="AT116" t="s">
        <v>830</v>
      </c>
      <c r="AU116">
        <v>2020</v>
      </c>
      <c r="AV116">
        <v>41</v>
      </c>
      <c r="AW116">
        <v>9</v>
      </c>
      <c r="AX116"/>
      <c r="AY116"/>
      <c r="AZ116" t="s">
        <v>339</v>
      </c>
      <c r="BA116"/>
      <c r="BB116">
        <v>1684</v>
      </c>
      <c r="BC116">
        <v>1692</v>
      </c>
      <c r="BD116"/>
      <c r="BE116" t="s">
        <v>1082</v>
      </c>
      <c r="BF116" t="str">
        <f>HYPERLINK("http://dx.doi.org/10.1134/S1995080220090255","http://dx.doi.org/10.1134/S1995080220090255")</f>
        <v>http://dx.doi.org/10.1134/S1995080220090255</v>
      </c>
      <c r="BG116"/>
      <c r="BH116"/>
      <c r="BI116"/>
      <c r="BJ116"/>
      <c r="BK116"/>
      <c r="BL116"/>
      <c r="BM116"/>
      <c r="BN116"/>
      <c r="BO116"/>
      <c r="BP116"/>
      <c r="BQ116"/>
      <c r="BR116"/>
      <c r="BS116" t="s">
        <v>1083</v>
      </c>
      <c r="BT116" t="str">
        <f>HYPERLINK("https%3A%2F%2Fwww.webofscience.com%2Fwos%2Fwoscc%2Ffull-record%2FWOS:000587460100010","View Full Record in Web of Science")</f>
        <v>View Full Record in Web of Science</v>
      </c>
    </row>
    <row r="117" spans="1:75" customHeight="1" ht="12.75">
      <c r="A117" t="s">
        <v>72</v>
      </c>
      <c r="B117" t="s">
        <v>1084</v>
      </c>
      <c r="C117"/>
      <c r="D117"/>
      <c r="E117"/>
      <c r="F117" t="s">
        <v>1085</v>
      </c>
      <c r="G117"/>
      <c r="H117"/>
      <c r="I117" t="s">
        <v>1086</v>
      </c>
      <c r="J117" t="s">
        <v>1087</v>
      </c>
      <c r="K117"/>
      <c r="L117"/>
      <c r="M117"/>
      <c r="N117"/>
      <c r="O117" t="s">
        <v>1088</v>
      </c>
      <c r="P117" t="s">
        <v>1089</v>
      </c>
      <c r="Q117" t="s">
        <v>1090</v>
      </c>
      <c r="R117"/>
      <c r="S117"/>
      <c r="T117"/>
      <c r="U117"/>
      <c r="V117"/>
      <c r="W117"/>
      <c r="X117"/>
      <c r="Y117"/>
      <c r="Z117"/>
      <c r="AA117" t="s">
        <v>1091</v>
      </c>
      <c r="AB117" t="s">
        <v>1092</v>
      </c>
      <c r="AC117"/>
      <c r="AD117"/>
      <c r="AE117"/>
      <c r="AF117"/>
      <c r="AG117"/>
      <c r="AH117"/>
      <c r="AI117"/>
      <c r="AJ117"/>
      <c r="AK117"/>
      <c r="AL117"/>
      <c r="AM117"/>
      <c r="AN117"/>
      <c r="AO117" t="s">
        <v>1093</v>
      </c>
      <c r="AP117" t="s">
        <v>1094</v>
      </c>
      <c r="AQ117"/>
      <c r="AR117"/>
      <c r="AS117"/>
      <c r="AT117" t="s">
        <v>171</v>
      </c>
      <c r="AU117">
        <v>2020</v>
      </c>
      <c r="AV117">
        <v>57</v>
      </c>
      <c r="AW117">
        <v>1</v>
      </c>
      <c r="AX117"/>
      <c r="AY117"/>
      <c r="AZ117"/>
      <c r="BA117"/>
      <c r="BB117">
        <v>69</v>
      </c>
      <c r="BC117">
        <v>79</v>
      </c>
      <c r="BD117"/>
      <c r="BE117" t="s">
        <v>1095</v>
      </c>
      <c r="BF117" t="str">
        <f>HYPERLINK("http://dx.doi.org/10.37358/mp.20.1.5313","http://dx.doi.org/10.37358/mp.20.1.5313")</f>
        <v>http://dx.doi.org/10.37358/mp.20.1.5313</v>
      </c>
      <c r="BG117"/>
      <c r="BH117"/>
      <c r="BI117"/>
      <c r="BJ117"/>
      <c r="BK117"/>
      <c r="BL117"/>
      <c r="BM117"/>
      <c r="BN117"/>
      <c r="BO117"/>
      <c r="BP117"/>
      <c r="BQ117"/>
      <c r="BR117"/>
      <c r="BS117" t="s">
        <v>1096</v>
      </c>
      <c r="BT117" t="str">
        <f>HYPERLINK("https%3A%2F%2Fwww.webofscience.com%2Fwos%2Fwoscc%2Ffull-record%2FWOS:000528195000009","View Full Record in Web of Science")</f>
        <v>View Full Record in Web of Science</v>
      </c>
    </row>
    <row r="118" spans="1:75" customHeight="1" ht="12.75">
      <c r="A118" t="s">
        <v>72</v>
      </c>
      <c r="B118" t="s">
        <v>1097</v>
      </c>
      <c r="C118"/>
      <c r="D118"/>
      <c r="E118"/>
      <c r="F118" t="s">
        <v>1098</v>
      </c>
      <c r="G118"/>
      <c r="H118"/>
      <c r="I118" t="s">
        <v>1099</v>
      </c>
      <c r="J118" t="s">
        <v>861</v>
      </c>
      <c r="K118"/>
      <c r="L118"/>
      <c r="M118"/>
      <c r="N118"/>
      <c r="O118"/>
      <c r="P118"/>
      <c r="Q118"/>
      <c r="R118"/>
      <c r="S118"/>
      <c r="T118"/>
      <c r="U118"/>
      <c r="V118"/>
      <c r="W118"/>
      <c r="X118"/>
      <c r="Y118"/>
      <c r="Z118"/>
      <c r="AA118" t="s">
        <v>1100</v>
      </c>
      <c r="AB118" t="s">
        <v>1101</v>
      </c>
      <c r="AC118"/>
      <c r="AD118"/>
      <c r="AE118"/>
      <c r="AF118"/>
      <c r="AG118"/>
      <c r="AH118"/>
      <c r="AI118"/>
      <c r="AJ118"/>
      <c r="AK118"/>
      <c r="AL118"/>
      <c r="AM118"/>
      <c r="AN118"/>
      <c r="AO118" t="s">
        <v>864</v>
      </c>
      <c r="AP118" t="s">
        <v>865</v>
      </c>
      <c r="AQ118"/>
      <c r="AR118"/>
      <c r="AS118"/>
      <c r="AT118"/>
      <c r="AU118">
        <v>2020</v>
      </c>
      <c r="AV118">
        <v>63</v>
      </c>
      <c r="AW118">
        <v>1</v>
      </c>
      <c r="AX118"/>
      <c r="AY118"/>
      <c r="AZ118"/>
      <c r="BA118"/>
      <c r="BB118">
        <v>58</v>
      </c>
      <c r="BC118">
        <v>63</v>
      </c>
      <c r="BD118"/>
      <c r="BE118" t="s">
        <v>1102</v>
      </c>
      <c r="BF118" t="str">
        <f>HYPERLINK("http://dx.doi.org/10.6060/ivkkt.20206301.6051","http://dx.doi.org/10.6060/ivkkt.20206301.6051")</f>
        <v>http://dx.doi.org/10.6060/ivkkt.20206301.6051</v>
      </c>
      <c r="BG118"/>
      <c r="BH118"/>
      <c r="BI118"/>
      <c r="BJ118"/>
      <c r="BK118"/>
      <c r="BL118"/>
      <c r="BM118"/>
      <c r="BN118"/>
      <c r="BO118"/>
      <c r="BP118"/>
      <c r="BQ118"/>
      <c r="BR118"/>
      <c r="BS118" t="s">
        <v>1103</v>
      </c>
      <c r="BT118" t="str">
        <f>HYPERLINK("https%3A%2F%2Fwww.webofscience.com%2Fwos%2Fwoscc%2Ffull-record%2FWOS:000502525400009","View Full Record in Web of Science")</f>
        <v>View Full Record in Web of Science</v>
      </c>
    </row>
    <row r="119" spans="1:75" customHeight="1" ht="12.75">
      <c r="A119" t="s">
        <v>147</v>
      </c>
      <c r="B119" t="s">
        <v>1104</v>
      </c>
      <c r="C119"/>
      <c r="D119" t="s">
        <v>814</v>
      </c>
      <c r="E119"/>
      <c r="F119" t="s">
        <v>1105</v>
      </c>
      <c r="G119"/>
      <c r="H119"/>
      <c r="I119" t="s">
        <v>1106</v>
      </c>
      <c r="J119" t="s">
        <v>817</v>
      </c>
      <c r="K119" t="s">
        <v>818</v>
      </c>
      <c r="L119"/>
      <c r="M119"/>
      <c r="N119"/>
      <c r="O119" t="s">
        <v>819</v>
      </c>
      <c r="P119" t="s">
        <v>820</v>
      </c>
      <c r="Q119" t="s">
        <v>156</v>
      </c>
      <c r="R119" t="s">
        <v>821</v>
      </c>
      <c r="S119"/>
      <c r="T119"/>
      <c r="U119"/>
      <c r="V119"/>
      <c r="W119"/>
      <c r="X119"/>
      <c r="Y119"/>
      <c r="Z119"/>
      <c r="AA119" t="s">
        <v>1107</v>
      </c>
      <c r="AB119" t="s">
        <v>1108</v>
      </c>
      <c r="AC119"/>
      <c r="AD119"/>
      <c r="AE119"/>
      <c r="AF119"/>
      <c r="AG119"/>
      <c r="AH119"/>
      <c r="AI119"/>
      <c r="AJ119"/>
      <c r="AK119"/>
      <c r="AL119"/>
      <c r="AM119"/>
      <c r="AN119"/>
      <c r="AO119" t="s">
        <v>822</v>
      </c>
      <c r="AP119" t="s">
        <v>823</v>
      </c>
      <c r="AQ119" t="s">
        <v>824</v>
      </c>
      <c r="AR119"/>
      <c r="AS119"/>
      <c r="AT119"/>
      <c r="AU119">
        <v>2020</v>
      </c>
      <c r="AV119"/>
      <c r="AW119"/>
      <c r="AX119"/>
      <c r="AY119"/>
      <c r="AZ119"/>
      <c r="BA119"/>
      <c r="BB119">
        <v>1073</v>
      </c>
      <c r="BC119">
        <v>1088</v>
      </c>
      <c r="BD119"/>
      <c r="BE119" t="s">
        <v>1109</v>
      </c>
      <c r="BF119" t="str">
        <f>HYPERLINK("http://dx.doi.org/10.1007/978-3-030-22041-9_113","http://dx.doi.org/10.1007/978-3-030-22041-9_113")</f>
        <v>http://dx.doi.org/10.1007/978-3-030-22041-9_113</v>
      </c>
      <c r="BG119"/>
      <c r="BH119"/>
      <c r="BI119"/>
      <c r="BJ119"/>
      <c r="BK119"/>
      <c r="BL119"/>
      <c r="BM119"/>
      <c r="BN119"/>
      <c r="BO119"/>
      <c r="BP119"/>
      <c r="BQ119"/>
      <c r="BR119"/>
      <c r="BS119" t="s">
        <v>1110</v>
      </c>
      <c r="BT119" t="str">
        <f>HYPERLINK("https%3A%2F%2Fwww.webofscience.com%2Fwos%2Fwoscc%2Ffull-record%2FWOS:000613138500113","View Full Record in Web of Science")</f>
        <v>View Full Record in Web of Science</v>
      </c>
    </row>
    <row r="120" spans="1:75" customHeight="1" ht="12.75">
      <c r="A120" t="s">
        <v>72</v>
      </c>
      <c r="B120" t="s">
        <v>1111</v>
      </c>
      <c r="C120"/>
      <c r="D120"/>
      <c r="E120"/>
      <c r="F120" t="s">
        <v>1112</v>
      </c>
      <c r="G120"/>
      <c r="H120"/>
      <c r="I120" t="s">
        <v>1113</v>
      </c>
      <c r="J120" t="s">
        <v>1114</v>
      </c>
      <c r="K120"/>
      <c r="L120"/>
      <c r="M120"/>
      <c r="N120"/>
      <c r="O120"/>
      <c r="P120"/>
      <c r="Q120"/>
      <c r="R120"/>
      <c r="S120"/>
      <c r="T120"/>
      <c r="U120"/>
      <c r="V120"/>
      <c r="W120"/>
      <c r="X120"/>
      <c r="Y120"/>
      <c r="Z120"/>
      <c r="AA120" t="s">
        <v>1115</v>
      </c>
      <c r="AB120" t="s">
        <v>1116</v>
      </c>
      <c r="AC120"/>
      <c r="AD120"/>
      <c r="AE120"/>
      <c r="AF120"/>
      <c r="AG120"/>
      <c r="AH120"/>
      <c r="AI120"/>
      <c r="AJ120"/>
      <c r="AK120"/>
      <c r="AL120"/>
      <c r="AM120"/>
      <c r="AN120"/>
      <c r="AO120" t="s">
        <v>1117</v>
      </c>
      <c r="AP120"/>
      <c r="AQ120"/>
      <c r="AR120"/>
      <c r="AS120"/>
      <c r="AT120" t="s">
        <v>313</v>
      </c>
      <c r="AU120">
        <v>2019</v>
      </c>
      <c r="AV120">
        <v>8</v>
      </c>
      <c r="AW120">
        <v>21</v>
      </c>
      <c r="AX120"/>
      <c r="AY120"/>
      <c r="AZ120"/>
      <c r="BA120"/>
      <c r="BB120">
        <v>731</v>
      </c>
      <c r="BC120">
        <v>746</v>
      </c>
      <c r="BD120"/>
      <c r="BE120"/>
      <c r="BF120"/>
      <c r="BG120"/>
      <c r="BH120"/>
      <c r="BI120"/>
      <c r="BJ120"/>
      <c r="BK120"/>
      <c r="BL120"/>
      <c r="BM120"/>
      <c r="BN120"/>
      <c r="BO120"/>
      <c r="BP120"/>
      <c r="BQ120"/>
      <c r="BR120"/>
      <c r="BS120" t="s">
        <v>1118</v>
      </c>
      <c r="BT120" t="str">
        <f>HYPERLINK("https%3A%2F%2Fwww.webofscience.com%2Fwos%2Fwoscc%2Ffull-record%2FWOS:000485631000022","View Full Record in Web of Science")</f>
        <v>View Full Record in Web of Science</v>
      </c>
    </row>
    <row r="121" spans="1:75" customHeight="1" ht="12.75">
      <c r="A121" t="s">
        <v>72</v>
      </c>
      <c r="B121" t="s">
        <v>1119</v>
      </c>
      <c r="C121"/>
      <c r="D121"/>
      <c r="E121"/>
      <c r="F121" t="s">
        <v>1120</v>
      </c>
      <c r="G121"/>
      <c r="H121"/>
      <c r="I121" t="s">
        <v>1121</v>
      </c>
      <c r="J121" t="s">
        <v>1122</v>
      </c>
      <c r="K121"/>
      <c r="L121"/>
      <c r="M121"/>
      <c r="N121"/>
      <c r="O121"/>
      <c r="P121"/>
      <c r="Q121"/>
      <c r="R121"/>
      <c r="S121"/>
      <c r="T121"/>
      <c r="U121"/>
      <c r="V121"/>
      <c r="W121"/>
      <c r="X121"/>
      <c r="Y121"/>
      <c r="Z121"/>
      <c r="AA121" t="s">
        <v>1123</v>
      </c>
      <c r="AB121"/>
      <c r="AC121"/>
      <c r="AD121"/>
      <c r="AE121"/>
      <c r="AF121"/>
      <c r="AG121"/>
      <c r="AH121"/>
      <c r="AI121"/>
      <c r="AJ121"/>
      <c r="AK121"/>
      <c r="AL121"/>
      <c r="AM121"/>
      <c r="AN121"/>
      <c r="AO121" t="s">
        <v>1124</v>
      </c>
      <c r="AP121" t="s">
        <v>1125</v>
      </c>
      <c r="AQ121"/>
      <c r="AR121"/>
      <c r="AS121"/>
      <c r="AT121"/>
      <c r="AU121">
        <v>2019</v>
      </c>
      <c r="AV121"/>
      <c r="AW121">
        <v>62</v>
      </c>
      <c r="AX121"/>
      <c r="AY121"/>
      <c r="AZ121"/>
      <c r="BA121"/>
      <c r="BB121">
        <v>72</v>
      </c>
      <c r="BC121">
        <v>79</v>
      </c>
      <c r="BD121"/>
      <c r="BE121" t="s">
        <v>1126</v>
      </c>
      <c r="BF121" t="str">
        <f>HYPERLINK("http://dx.doi.org/10.17223/19988613/62/9","http://dx.doi.org/10.17223/19988613/62/9")</f>
        <v>http://dx.doi.org/10.17223/19988613/62/9</v>
      </c>
      <c r="BG121"/>
      <c r="BH121"/>
      <c r="BI121"/>
      <c r="BJ121"/>
      <c r="BK121"/>
      <c r="BL121"/>
      <c r="BM121"/>
      <c r="BN121"/>
      <c r="BO121"/>
      <c r="BP121"/>
      <c r="BQ121"/>
      <c r="BR121"/>
      <c r="BS121" t="s">
        <v>1127</v>
      </c>
      <c r="BT121" t="str">
        <f>HYPERLINK("https%3A%2F%2Fwww.webofscience.com%2Fwos%2Fwoscc%2Ffull-record%2FWOS:000510467300009","View Full Record in Web of Science")</f>
        <v>View Full Record in Web of Science</v>
      </c>
    </row>
    <row r="122" spans="1:75" customHeight="1" ht="12.75">
      <c r="A122" t="s">
        <v>72</v>
      </c>
      <c r="B122" t="s">
        <v>1128</v>
      </c>
      <c r="C122"/>
      <c r="D122"/>
      <c r="E122"/>
      <c r="F122" t="s">
        <v>1129</v>
      </c>
      <c r="G122"/>
      <c r="H122"/>
      <c r="I122" t="s">
        <v>1130</v>
      </c>
      <c r="J122" t="s">
        <v>1131</v>
      </c>
      <c r="K122"/>
      <c r="L122"/>
      <c r="M122"/>
      <c r="N122"/>
      <c r="O122"/>
      <c r="P122"/>
      <c r="Q122"/>
      <c r="R122"/>
      <c r="S122"/>
      <c r="T122"/>
      <c r="U122"/>
      <c r="V122"/>
      <c r="W122"/>
      <c r="X122"/>
      <c r="Y122"/>
      <c r="Z122"/>
      <c r="AA122" t="s">
        <v>132</v>
      </c>
      <c r="AB122" t="s">
        <v>133</v>
      </c>
      <c r="AC122"/>
      <c r="AD122"/>
      <c r="AE122"/>
      <c r="AF122"/>
      <c r="AG122"/>
      <c r="AH122"/>
      <c r="AI122"/>
      <c r="AJ122"/>
      <c r="AK122"/>
      <c r="AL122"/>
      <c r="AM122"/>
      <c r="AN122"/>
      <c r="AO122" t="s">
        <v>1132</v>
      </c>
      <c r="AP122" t="s">
        <v>1133</v>
      </c>
      <c r="AQ122"/>
      <c r="AR122"/>
      <c r="AS122"/>
      <c r="AT122"/>
      <c r="AU122">
        <v>2018</v>
      </c>
      <c r="AV122"/>
      <c r="AW122">
        <v>4</v>
      </c>
      <c r="AX122"/>
      <c r="AY122"/>
      <c r="AZ122"/>
      <c r="BA122"/>
      <c r="BB122">
        <v>60</v>
      </c>
      <c r="BC122">
        <v>62</v>
      </c>
      <c r="BD122"/>
      <c r="BE122" t="s">
        <v>1134</v>
      </c>
      <c r="BF122" t="str">
        <f>HYPERLINK("http://dx.doi.org/10.25789/YMJ.2018.64.17","http://dx.doi.org/10.25789/YMJ.2018.64.17")</f>
        <v>http://dx.doi.org/10.25789/YMJ.2018.64.17</v>
      </c>
      <c r="BG122"/>
      <c r="BH122"/>
      <c r="BI122"/>
      <c r="BJ122"/>
      <c r="BK122"/>
      <c r="BL122"/>
      <c r="BM122"/>
      <c r="BN122"/>
      <c r="BO122"/>
      <c r="BP122"/>
      <c r="BQ122"/>
      <c r="BR122"/>
      <c r="BS122" t="s">
        <v>1135</v>
      </c>
      <c r="BT122" t="str">
        <f>HYPERLINK("https%3A%2F%2Fwww.webofscience.com%2Fwos%2Fwoscc%2Ffull-record%2FWOS:000453449700017","View Full Record in Web of Science")</f>
        <v>View Full Record in Web of Science</v>
      </c>
    </row>
    <row r="123" spans="1:75" customHeight="1" ht="12.75">
      <c r="A123" t="s">
        <v>147</v>
      </c>
      <c r="B123" t="s">
        <v>1136</v>
      </c>
      <c r="C123"/>
      <c r="D123"/>
      <c r="E123" t="s">
        <v>210</v>
      </c>
      <c r="F123" t="s">
        <v>1137</v>
      </c>
      <c r="G123"/>
      <c r="H123"/>
      <c r="I123" t="s">
        <v>1138</v>
      </c>
      <c r="J123" t="s">
        <v>1139</v>
      </c>
      <c r="K123" t="s">
        <v>390</v>
      </c>
      <c r="L123"/>
      <c r="M123"/>
      <c r="N123"/>
      <c r="O123" t="s">
        <v>1140</v>
      </c>
      <c r="P123" t="s">
        <v>1141</v>
      </c>
      <c r="Q123" t="s">
        <v>393</v>
      </c>
      <c r="R123" t="s">
        <v>1142</v>
      </c>
      <c r="S123"/>
      <c r="T123"/>
      <c r="U123"/>
      <c r="V123"/>
      <c r="W123"/>
      <c r="X123"/>
      <c r="Y123"/>
      <c r="Z123"/>
      <c r="AA123" t="s">
        <v>1143</v>
      </c>
      <c r="AB123" t="s">
        <v>1144</v>
      </c>
      <c r="AC123"/>
      <c r="AD123"/>
      <c r="AE123"/>
      <c r="AF123"/>
      <c r="AG123"/>
      <c r="AH123"/>
      <c r="AI123"/>
      <c r="AJ123"/>
      <c r="AK123"/>
      <c r="AL123"/>
      <c r="AM123"/>
      <c r="AN123"/>
      <c r="AO123" t="s">
        <v>395</v>
      </c>
      <c r="AP123"/>
      <c r="AQ123" t="s">
        <v>1145</v>
      </c>
      <c r="AR123"/>
      <c r="AS123"/>
      <c r="AT123"/>
      <c r="AU123">
        <v>2018</v>
      </c>
      <c r="AV123"/>
      <c r="AW123"/>
      <c r="AX123"/>
      <c r="AY123"/>
      <c r="AZ123"/>
      <c r="BA123"/>
      <c r="BB123">
        <v>304</v>
      </c>
      <c r="BC123">
        <v>307</v>
      </c>
      <c r="BD123"/>
      <c r="BE123"/>
      <c r="BF123"/>
      <c r="BG123"/>
      <c r="BH123"/>
      <c r="BI123"/>
      <c r="BJ123"/>
      <c r="BK123"/>
      <c r="BL123"/>
      <c r="BM123"/>
      <c r="BN123"/>
      <c r="BO123"/>
      <c r="BP123"/>
      <c r="BQ123"/>
      <c r="BR123"/>
      <c r="BS123" t="s">
        <v>1146</v>
      </c>
      <c r="BT123" t="str">
        <f>HYPERLINK("https%3A%2F%2Fwww.webofscience.com%2Fwos%2Fwoscc%2Ffull-record%2FWOS:000644432200078","View Full Record in Web of Science")</f>
        <v>View Full Record in Web of Science</v>
      </c>
    </row>
    <row r="124" spans="1:75" customHeight="1" ht="12.75">
      <c r="A124" t="s">
        <v>147</v>
      </c>
      <c r="B124" t="s">
        <v>1147</v>
      </c>
      <c r="C124"/>
      <c r="D124"/>
      <c r="E124" t="s">
        <v>210</v>
      </c>
      <c r="F124" t="s">
        <v>1148</v>
      </c>
      <c r="G124"/>
      <c r="H124"/>
      <c r="I124" t="s">
        <v>1149</v>
      </c>
      <c r="J124" t="s">
        <v>213</v>
      </c>
      <c r="K124"/>
      <c r="L124"/>
      <c r="M124"/>
      <c r="N124"/>
      <c r="O124" t="s">
        <v>214</v>
      </c>
      <c r="P124" t="s">
        <v>215</v>
      </c>
      <c r="Q124" t="s">
        <v>216</v>
      </c>
      <c r="R124"/>
      <c r="S124" t="s">
        <v>217</v>
      </c>
      <c r="T124"/>
      <c r="U124"/>
      <c r="V124"/>
      <c r="W124"/>
      <c r="X124"/>
      <c r="Y124"/>
      <c r="Z124"/>
      <c r="AA124" t="s">
        <v>1150</v>
      </c>
      <c r="AB124" t="s">
        <v>1151</v>
      </c>
      <c r="AC124"/>
      <c r="AD124"/>
      <c r="AE124"/>
      <c r="AF124"/>
      <c r="AG124"/>
      <c r="AH124"/>
      <c r="AI124"/>
      <c r="AJ124"/>
      <c r="AK124"/>
      <c r="AL124"/>
      <c r="AM124"/>
      <c r="AN124"/>
      <c r="AO124"/>
      <c r="AP124"/>
      <c r="AQ124" t="s">
        <v>218</v>
      </c>
      <c r="AR124"/>
      <c r="AS124"/>
      <c r="AT124"/>
      <c r="AU124">
        <v>2018</v>
      </c>
      <c r="AV124"/>
      <c r="AW124"/>
      <c r="AX124"/>
      <c r="AY124"/>
      <c r="AZ124"/>
      <c r="BA124"/>
      <c r="BB124"/>
      <c r="BC124"/>
      <c r="BD124"/>
      <c r="BE124"/>
      <c r="BF124"/>
      <c r="BG124"/>
      <c r="BH124"/>
      <c r="BI124"/>
      <c r="BJ124"/>
      <c r="BK124"/>
      <c r="BL124"/>
      <c r="BM124"/>
      <c r="BN124"/>
      <c r="BO124"/>
      <c r="BP124"/>
      <c r="BQ124"/>
      <c r="BR124"/>
      <c r="BS124" t="s">
        <v>1152</v>
      </c>
      <c r="BT124" t="str">
        <f>HYPERLINK("https%3A%2F%2Fwww.webofscience.com%2Fwos%2Fwoscc%2Ffull-record%2FWOS:000478963800053","View Full Record in Web of Science")</f>
        <v>View Full Record in Web of Science</v>
      </c>
    </row>
    <row r="125" spans="1:75" customHeight="1" ht="12.75">
      <c r="A125" t="s">
        <v>147</v>
      </c>
      <c r="B125" t="s">
        <v>568</v>
      </c>
      <c r="C125"/>
      <c r="D125"/>
      <c r="E125" t="s">
        <v>210</v>
      </c>
      <c r="F125" t="s">
        <v>569</v>
      </c>
      <c r="G125"/>
      <c r="H125"/>
      <c r="I125" t="s">
        <v>1153</v>
      </c>
      <c r="J125" t="s">
        <v>419</v>
      </c>
      <c r="K125" t="s">
        <v>420</v>
      </c>
      <c r="L125"/>
      <c r="M125"/>
      <c r="N125"/>
      <c r="O125" t="s">
        <v>421</v>
      </c>
      <c r="P125" t="s">
        <v>422</v>
      </c>
      <c r="Q125" t="s">
        <v>423</v>
      </c>
      <c r="R125" t="s">
        <v>424</v>
      </c>
      <c r="S125"/>
      <c r="T125"/>
      <c r="U125"/>
      <c r="V125"/>
      <c r="W125"/>
      <c r="X125"/>
      <c r="Y125"/>
      <c r="Z125"/>
      <c r="AA125" t="s">
        <v>577</v>
      </c>
      <c r="AB125" t="s">
        <v>578</v>
      </c>
      <c r="AC125"/>
      <c r="AD125"/>
      <c r="AE125"/>
      <c r="AF125"/>
      <c r="AG125"/>
      <c r="AH125"/>
      <c r="AI125"/>
      <c r="AJ125"/>
      <c r="AK125"/>
      <c r="AL125"/>
      <c r="AM125"/>
      <c r="AN125"/>
      <c r="AO125" t="s">
        <v>427</v>
      </c>
      <c r="AP125" t="s">
        <v>428</v>
      </c>
      <c r="AQ125" t="s">
        <v>429</v>
      </c>
      <c r="AR125"/>
      <c r="AS125"/>
      <c r="AT125"/>
      <c r="AU125">
        <v>2018</v>
      </c>
      <c r="AV125"/>
      <c r="AW125"/>
      <c r="AX125"/>
      <c r="AY125"/>
      <c r="AZ125"/>
      <c r="BA125"/>
      <c r="BB125"/>
      <c r="BC125"/>
      <c r="BD125"/>
      <c r="BE125"/>
      <c r="BF125"/>
      <c r="BG125"/>
      <c r="BH125"/>
      <c r="BI125"/>
      <c r="BJ125"/>
      <c r="BK125"/>
      <c r="BL125"/>
      <c r="BM125"/>
      <c r="BN125"/>
      <c r="BO125"/>
      <c r="BP125"/>
      <c r="BQ125"/>
      <c r="BR125"/>
      <c r="BS125" t="s">
        <v>1154</v>
      </c>
      <c r="BT125" t="str">
        <f>HYPERLINK("https%3A%2F%2Fwww.webofscience.com%2Fwos%2Fwoscc%2Ffull-record%2FWOS:000517795800099","View Full Record in Web of Science")</f>
        <v>View Full Record in Web of Science</v>
      </c>
    </row>
    <row r="126" spans="1:75" customHeight="1" ht="12.75">
      <c r="A126" t="s">
        <v>147</v>
      </c>
      <c r="B126" t="s">
        <v>1155</v>
      </c>
      <c r="C126"/>
      <c r="D126"/>
      <c r="E126" t="s">
        <v>210</v>
      </c>
      <c r="F126" t="s">
        <v>1156</v>
      </c>
      <c r="G126"/>
      <c r="H126"/>
      <c r="I126" t="s">
        <v>1157</v>
      </c>
      <c r="J126" t="s">
        <v>419</v>
      </c>
      <c r="K126" t="s">
        <v>420</v>
      </c>
      <c r="L126"/>
      <c r="M126"/>
      <c r="N126"/>
      <c r="O126" t="s">
        <v>421</v>
      </c>
      <c r="P126" t="s">
        <v>422</v>
      </c>
      <c r="Q126" t="s">
        <v>423</v>
      </c>
      <c r="R126" t="s">
        <v>424</v>
      </c>
      <c r="S126"/>
      <c r="T126"/>
      <c r="U126"/>
      <c r="V126"/>
      <c r="W126"/>
      <c r="X126"/>
      <c r="Y126"/>
      <c r="Z126"/>
      <c r="AA126" t="s">
        <v>425</v>
      </c>
      <c r="AB126" t="s">
        <v>426</v>
      </c>
      <c r="AC126"/>
      <c r="AD126"/>
      <c r="AE126"/>
      <c r="AF126"/>
      <c r="AG126"/>
      <c r="AH126"/>
      <c r="AI126"/>
      <c r="AJ126"/>
      <c r="AK126"/>
      <c r="AL126"/>
      <c r="AM126"/>
      <c r="AN126"/>
      <c r="AO126" t="s">
        <v>427</v>
      </c>
      <c r="AP126" t="s">
        <v>428</v>
      </c>
      <c r="AQ126" t="s">
        <v>429</v>
      </c>
      <c r="AR126"/>
      <c r="AS126"/>
      <c r="AT126"/>
      <c r="AU126">
        <v>2018</v>
      </c>
      <c r="AV126"/>
      <c r="AW126"/>
      <c r="AX126"/>
      <c r="AY126"/>
      <c r="AZ126"/>
      <c r="BA126"/>
      <c r="BB126"/>
      <c r="BC126"/>
      <c r="BD126"/>
      <c r="BE126"/>
      <c r="BF126"/>
      <c r="BG126"/>
      <c r="BH126"/>
      <c r="BI126"/>
      <c r="BJ126"/>
      <c r="BK126"/>
      <c r="BL126"/>
      <c r="BM126"/>
      <c r="BN126"/>
      <c r="BO126"/>
      <c r="BP126"/>
      <c r="BQ126"/>
      <c r="BR126"/>
      <c r="BS126" t="s">
        <v>1158</v>
      </c>
      <c r="BT126" t="str">
        <f>HYPERLINK("https%3A%2F%2Fwww.webofscience.com%2Fwos%2Fwoscc%2Ffull-record%2FWOS:000517795800058","View Full Record in Web of Science")</f>
        <v>View Full Record in Web of Science</v>
      </c>
    </row>
    <row r="127" spans="1:75" customHeight="1" ht="12.75">
      <c r="A127" t="s">
        <v>72</v>
      </c>
      <c r="B127" t="s">
        <v>1159</v>
      </c>
      <c r="C127"/>
      <c r="D127"/>
      <c r="E127"/>
      <c r="F127" t="s">
        <v>1160</v>
      </c>
      <c r="G127"/>
      <c r="H127"/>
      <c r="I127" t="s">
        <v>1161</v>
      </c>
      <c r="J127" t="s">
        <v>409</v>
      </c>
      <c r="K127"/>
      <c r="L127"/>
      <c r="M127"/>
      <c r="N127"/>
      <c r="O127"/>
      <c r="P127"/>
      <c r="Q127"/>
      <c r="R127"/>
      <c r="S127"/>
      <c r="T127"/>
      <c r="U127"/>
      <c r="V127"/>
      <c r="W127"/>
      <c r="X127"/>
      <c r="Y127"/>
      <c r="Z127"/>
      <c r="AA127"/>
      <c r="AB127"/>
      <c r="AC127"/>
      <c r="AD127"/>
      <c r="AE127"/>
      <c r="AF127"/>
      <c r="AG127"/>
      <c r="AH127"/>
      <c r="AI127"/>
      <c r="AJ127"/>
      <c r="AK127"/>
      <c r="AL127"/>
      <c r="AM127"/>
      <c r="AN127"/>
      <c r="AO127" t="s">
        <v>412</v>
      </c>
      <c r="AP127"/>
      <c r="AQ127"/>
      <c r="AR127"/>
      <c r="AS127"/>
      <c r="AT127" t="s">
        <v>403</v>
      </c>
      <c r="AU127">
        <v>2011</v>
      </c>
      <c r="AV127">
        <v>84</v>
      </c>
      <c r="AW127">
        <v>12</v>
      </c>
      <c r="AX127"/>
      <c r="AY127"/>
      <c r="AZ127"/>
      <c r="BA127"/>
      <c r="BB127">
        <v>2152</v>
      </c>
      <c r="BC127">
        <v>2154</v>
      </c>
      <c r="BD127"/>
      <c r="BE127" t="s">
        <v>1162</v>
      </c>
      <c r="BF127" t="str">
        <f>HYPERLINK("http://dx.doi.org/10.1134/S1070427211120263","http://dx.doi.org/10.1134/S1070427211120263")</f>
        <v>http://dx.doi.org/10.1134/S1070427211120263</v>
      </c>
      <c r="BG127"/>
      <c r="BH127"/>
      <c r="BI127"/>
      <c r="BJ127"/>
      <c r="BK127"/>
      <c r="BL127"/>
      <c r="BM127"/>
      <c r="BN127"/>
      <c r="BO127"/>
      <c r="BP127"/>
      <c r="BQ127"/>
      <c r="BR127"/>
      <c r="BS127" t="s">
        <v>1163</v>
      </c>
      <c r="BT127" t="str">
        <f>HYPERLINK("https%3A%2F%2Fwww.webofscience.com%2Fwos%2Fwoscc%2Ffull-record%2FWOS:000300088400026","View Full Record in Web of Science")</f>
        <v>View Full Record in Web of Science</v>
      </c>
    </row>
    <row r="128" spans="1:75" customHeight="1" ht="12.75">
      <c r="A128" t="s">
        <v>72</v>
      </c>
      <c r="B128" t="s">
        <v>1164</v>
      </c>
      <c r="C128"/>
      <c r="D128"/>
      <c r="E128"/>
      <c r="F128" t="s">
        <v>1165</v>
      </c>
      <c r="G128"/>
      <c r="H128"/>
      <c r="I128" t="s">
        <v>1166</v>
      </c>
      <c r="J128" t="s">
        <v>409</v>
      </c>
      <c r="K128"/>
      <c r="L128"/>
      <c r="M128"/>
      <c r="N128"/>
      <c r="O128"/>
      <c r="P128"/>
      <c r="Q128"/>
      <c r="R128"/>
      <c r="S128"/>
      <c r="T128"/>
      <c r="U128"/>
      <c r="V128"/>
      <c r="W128"/>
      <c r="X128"/>
      <c r="Y128"/>
      <c r="Z128"/>
      <c r="AA128"/>
      <c r="AB128"/>
      <c r="AC128"/>
      <c r="AD128"/>
      <c r="AE128"/>
      <c r="AF128"/>
      <c r="AG128"/>
      <c r="AH128"/>
      <c r="AI128"/>
      <c r="AJ128"/>
      <c r="AK128"/>
      <c r="AL128"/>
      <c r="AM128"/>
      <c r="AN128"/>
      <c r="AO128" t="s">
        <v>412</v>
      </c>
      <c r="AP128"/>
      <c r="AQ128"/>
      <c r="AR128"/>
      <c r="AS128"/>
      <c r="AT128" t="s">
        <v>1167</v>
      </c>
      <c r="AU128">
        <v>2008</v>
      </c>
      <c r="AV128">
        <v>81</v>
      </c>
      <c r="AW128">
        <v>10</v>
      </c>
      <c r="AX128"/>
      <c r="AY128"/>
      <c r="AZ128"/>
      <c r="BA128"/>
      <c r="BB128">
        <v>1774</v>
      </c>
      <c r="BC128">
        <v>1777</v>
      </c>
      <c r="BD128"/>
      <c r="BE128" t="s">
        <v>1168</v>
      </c>
      <c r="BF128" t="str">
        <f>HYPERLINK("http://dx.doi.org/10.1134/S1070427208100133","http://dx.doi.org/10.1134/S1070427208100133")</f>
        <v>http://dx.doi.org/10.1134/S1070427208100133</v>
      </c>
      <c r="BG128"/>
      <c r="BH128"/>
      <c r="BI128"/>
      <c r="BJ128"/>
      <c r="BK128"/>
      <c r="BL128"/>
      <c r="BM128"/>
      <c r="BN128"/>
      <c r="BO128"/>
      <c r="BP128"/>
      <c r="BQ128"/>
      <c r="BR128"/>
      <c r="BS128" t="s">
        <v>1169</v>
      </c>
      <c r="BT128" t="str">
        <f>HYPERLINK("https%3A%2F%2Fwww.webofscience.com%2Fwos%2Fwoscc%2Ffull-record%2FWOS:000263171600013","View Full Record in Web of Science")</f>
        <v>View Full Record in Web of Science</v>
      </c>
    </row>
    <row r="129" spans="1:75" customHeight="1" ht="12.75">
      <c r="A129" t="s">
        <v>72</v>
      </c>
      <c r="B129" t="s">
        <v>1170</v>
      </c>
      <c r="C129"/>
      <c r="D129"/>
      <c r="E129"/>
      <c r="F129" t="s">
        <v>1171</v>
      </c>
      <c r="G129"/>
      <c r="H129"/>
      <c r="I129" t="s">
        <v>1172</v>
      </c>
      <c r="J129" t="s">
        <v>311</v>
      </c>
      <c r="K129"/>
      <c r="L129"/>
      <c r="M129"/>
      <c r="N129"/>
      <c r="O129"/>
      <c r="P129"/>
      <c r="Q129"/>
      <c r="R129"/>
      <c r="S129"/>
      <c r="T129"/>
      <c r="U129"/>
      <c r="V129"/>
      <c r="W129"/>
      <c r="X129"/>
      <c r="Y129"/>
      <c r="Z129"/>
      <c r="AA129"/>
      <c r="AB129"/>
      <c r="AC129"/>
      <c r="AD129"/>
      <c r="AE129"/>
      <c r="AF129"/>
      <c r="AG129"/>
      <c r="AH129"/>
      <c r="AI129"/>
      <c r="AJ129"/>
      <c r="AK129"/>
      <c r="AL129"/>
      <c r="AM129"/>
      <c r="AN129"/>
      <c r="AO129" t="s">
        <v>312</v>
      </c>
      <c r="AP129"/>
      <c r="AQ129"/>
      <c r="AR129"/>
      <c r="AS129"/>
      <c r="AT129" t="s">
        <v>1173</v>
      </c>
      <c r="AU129">
        <v>2008</v>
      </c>
      <c r="AV129">
        <v>42</v>
      </c>
      <c r="AW129">
        <v>4</v>
      </c>
      <c r="AX129"/>
      <c r="AY129"/>
      <c r="AZ129"/>
      <c r="BA129"/>
      <c r="BB129">
        <v>366</v>
      </c>
      <c r="BC129">
        <v>376</v>
      </c>
      <c r="BD129"/>
      <c r="BE129" t="s">
        <v>1174</v>
      </c>
      <c r="BF129" t="str">
        <f>HYPERLINK("http://dx.doi.org/10.1134/S0040579508040040","http://dx.doi.org/10.1134/S0040579508040040")</f>
        <v>http://dx.doi.org/10.1134/S0040579508040040</v>
      </c>
      <c r="BG129"/>
      <c r="BH129"/>
      <c r="BI129"/>
      <c r="BJ129"/>
      <c r="BK129"/>
      <c r="BL129"/>
      <c r="BM129"/>
      <c r="BN129"/>
      <c r="BO129"/>
      <c r="BP129"/>
      <c r="BQ129"/>
      <c r="BR129"/>
      <c r="BS129" t="s">
        <v>1175</v>
      </c>
      <c r="BT129" t="str">
        <f>HYPERLINK("https%3A%2F%2Fwww.webofscience.com%2Fwos%2Fwoscc%2Ffull-record%2FWOS:000258408800004","View Full Record in Web of Science")</f>
        <v>View Full Record in Web of Science</v>
      </c>
    </row>
    <row r="130" spans="1:75" customHeight="1" ht="12.75">
      <c r="A130" t="s">
        <v>72</v>
      </c>
      <c r="B130" t="s">
        <v>1176</v>
      </c>
      <c r="C130"/>
      <c r="D130"/>
      <c r="E130"/>
      <c r="F130" t="s">
        <v>1177</v>
      </c>
      <c r="G130"/>
      <c r="H130"/>
      <c r="I130" t="s">
        <v>1178</v>
      </c>
      <c r="J130" t="s">
        <v>304</v>
      </c>
      <c r="K130"/>
      <c r="L130"/>
      <c r="M130"/>
      <c r="N130"/>
      <c r="O130"/>
      <c r="P130"/>
      <c r="Q130"/>
      <c r="R130"/>
      <c r="S130"/>
      <c r="T130"/>
      <c r="U130"/>
      <c r="V130"/>
      <c r="W130"/>
      <c r="X130"/>
      <c r="Y130"/>
      <c r="Z130"/>
      <c r="AA130"/>
      <c r="AB130"/>
      <c r="AC130"/>
      <c r="AD130"/>
      <c r="AE130"/>
      <c r="AF130"/>
      <c r="AG130"/>
      <c r="AH130"/>
      <c r="AI130"/>
      <c r="AJ130"/>
      <c r="AK130"/>
      <c r="AL130"/>
      <c r="AM130"/>
      <c r="AN130"/>
      <c r="AO130" t="s">
        <v>77</v>
      </c>
      <c r="AP130"/>
      <c r="AQ130"/>
      <c r="AR130"/>
      <c r="AS130"/>
      <c r="AT130"/>
      <c r="AU130">
        <v>2008</v>
      </c>
      <c r="AV130"/>
      <c r="AW130">
        <v>1</v>
      </c>
      <c r="AX130"/>
      <c r="AY130"/>
      <c r="AZ130"/>
      <c r="BA130"/>
      <c r="BB130">
        <v>209</v>
      </c>
      <c r="BC130">
        <v>210</v>
      </c>
      <c r="BD130"/>
      <c r="BE130"/>
      <c r="BF130"/>
      <c r="BG130"/>
      <c r="BH130"/>
      <c r="BI130"/>
      <c r="BJ130"/>
      <c r="BK130"/>
      <c r="BL130"/>
      <c r="BM130"/>
      <c r="BN130"/>
      <c r="BO130"/>
      <c r="BP130"/>
      <c r="BQ130"/>
      <c r="BR130"/>
      <c r="BS130" t="s">
        <v>1179</v>
      </c>
      <c r="BT130" t="str">
        <f>HYPERLINK("https%3A%2F%2Fwww.webofscience.com%2Fwos%2Fwoscc%2Ffull-record%2FWOS:000253186900027","View Full Record in Web of Science")</f>
        <v>View Full Record in Web of Science</v>
      </c>
    </row>
    <row r="131" spans="1:75" customHeight="1" ht="12.75">
      <c r="A131" t="s">
        <v>147</v>
      </c>
      <c r="B131" t="s">
        <v>1180</v>
      </c>
      <c r="C131"/>
      <c r="D131" t="s">
        <v>1181</v>
      </c>
      <c r="E131"/>
      <c r="F131" t="s">
        <v>1182</v>
      </c>
      <c r="G131"/>
      <c r="H131"/>
      <c r="I131" t="s">
        <v>1183</v>
      </c>
      <c r="J131" t="s">
        <v>1184</v>
      </c>
      <c r="K131" t="s">
        <v>1185</v>
      </c>
      <c r="L131"/>
      <c r="M131"/>
      <c r="N131"/>
      <c r="O131" t="s">
        <v>1186</v>
      </c>
      <c r="P131" t="s">
        <v>1187</v>
      </c>
      <c r="Q131" t="s">
        <v>1188</v>
      </c>
      <c r="R131" t="s">
        <v>1189</v>
      </c>
      <c r="S131"/>
      <c r="T131"/>
      <c r="U131"/>
      <c r="V131"/>
      <c r="W131"/>
      <c r="X131"/>
      <c r="Y131"/>
      <c r="Z131"/>
      <c r="AA131"/>
      <c r="AB131"/>
      <c r="AC131"/>
      <c r="AD131"/>
      <c r="AE131"/>
      <c r="AF131"/>
      <c r="AG131"/>
      <c r="AH131"/>
      <c r="AI131"/>
      <c r="AJ131"/>
      <c r="AK131"/>
      <c r="AL131"/>
      <c r="AM131"/>
      <c r="AN131"/>
      <c r="AO131" t="s">
        <v>1190</v>
      </c>
      <c r="AP131"/>
      <c r="AQ131" t="s">
        <v>1191</v>
      </c>
      <c r="AR131"/>
      <c r="AS131"/>
      <c r="AT131"/>
      <c r="AU131">
        <v>2008</v>
      </c>
      <c r="AV131">
        <v>6936</v>
      </c>
      <c r="AW131"/>
      <c r="AX131"/>
      <c r="AY131"/>
      <c r="AZ131"/>
      <c r="BA131"/>
      <c r="BB131"/>
      <c r="BC131"/>
      <c r="BD131">
        <v>693609</v>
      </c>
      <c r="BE131" t="s">
        <v>1192</v>
      </c>
      <c r="BF131" t="str">
        <f>HYPERLINK("http://dx.doi.org/10.1117/12.783049","http://dx.doi.org/10.1117/12.783049")</f>
        <v>http://dx.doi.org/10.1117/12.783049</v>
      </c>
      <c r="BG131"/>
      <c r="BH131"/>
      <c r="BI131"/>
      <c r="BJ131"/>
      <c r="BK131"/>
      <c r="BL131"/>
      <c r="BM131"/>
      <c r="BN131"/>
      <c r="BO131"/>
      <c r="BP131"/>
      <c r="BQ131"/>
      <c r="BR131"/>
      <c r="BS131" t="s">
        <v>1193</v>
      </c>
      <c r="BT131" t="str">
        <f>HYPERLINK("https%3A%2F%2Fwww.webofscience.com%2Fwos%2Fwoscc%2Ffull-record%2FWOS:000256667200009","View Full Record in Web of Science")</f>
        <v>View Full Record in Web of Science</v>
      </c>
    </row>
    <row r="132" spans="1:75" customHeight="1" ht="12.75">
      <c r="A132" t="s">
        <v>72</v>
      </c>
      <c r="B132" t="s">
        <v>1194</v>
      </c>
      <c r="C132"/>
      <c r="D132"/>
      <c r="E132"/>
      <c r="F132" t="s">
        <v>1195</v>
      </c>
      <c r="G132"/>
      <c r="H132"/>
      <c r="I132" t="s">
        <v>1196</v>
      </c>
      <c r="J132" t="s">
        <v>1197</v>
      </c>
      <c r="K132"/>
      <c r="L132"/>
      <c r="M132"/>
      <c r="N132"/>
      <c r="O132"/>
      <c r="P132"/>
      <c r="Q132"/>
      <c r="R132"/>
      <c r="S132"/>
      <c r="T132"/>
      <c r="U132"/>
      <c r="V132"/>
      <c r="W132"/>
      <c r="X132"/>
      <c r="Y132"/>
      <c r="Z132"/>
      <c r="AA132"/>
      <c r="AB132"/>
      <c r="AC132"/>
      <c r="AD132"/>
      <c r="AE132"/>
      <c r="AF132"/>
      <c r="AG132"/>
      <c r="AH132"/>
      <c r="AI132"/>
      <c r="AJ132"/>
      <c r="AK132"/>
      <c r="AL132"/>
      <c r="AM132"/>
      <c r="AN132"/>
      <c r="AO132" t="s">
        <v>1198</v>
      </c>
      <c r="AP132" t="s">
        <v>1199</v>
      </c>
      <c r="AQ132"/>
      <c r="AR132"/>
      <c r="AS132"/>
      <c r="AT132" t="s">
        <v>1200</v>
      </c>
      <c r="AU132">
        <v>2006</v>
      </c>
      <c r="AV132">
        <v>152</v>
      </c>
      <c r="AW132"/>
      <c r="AX132"/>
      <c r="AY132"/>
      <c r="AZ132"/>
      <c r="BA132"/>
      <c r="BB132">
        <v>70</v>
      </c>
      <c r="BC132">
        <v>77</v>
      </c>
      <c r="BD132"/>
      <c r="BE132" t="s">
        <v>1201</v>
      </c>
      <c r="BF132" t="str">
        <f>HYPERLINK("http://dx.doi.org/10.1016/j.quaint.2006.02.018","http://dx.doi.org/10.1016/j.quaint.2006.02.018")</f>
        <v>http://dx.doi.org/10.1016/j.quaint.2006.02.018</v>
      </c>
      <c r="BG132"/>
      <c r="BH132"/>
      <c r="BI132"/>
      <c r="BJ132"/>
      <c r="BK132"/>
      <c r="BL132"/>
      <c r="BM132"/>
      <c r="BN132"/>
      <c r="BO132"/>
      <c r="BP132"/>
      <c r="BQ132"/>
      <c r="BR132"/>
      <c r="BS132" t="s">
        <v>1202</v>
      </c>
      <c r="BT132" t="str">
        <f>HYPERLINK("https%3A%2F%2Fwww.webofscience.com%2Fwos%2Fwoscc%2Ffull-record%2FWOS:000239755800008","View Full Record in Web of Science")</f>
        <v>View Full Record in Web of Science</v>
      </c>
    </row>
    <row r="133" spans="1:75" customHeight="1" ht="12.75">
      <c r="A133" t="s">
        <v>72</v>
      </c>
      <c r="B133" t="s">
        <v>1203</v>
      </c>
      <c r="C133"/>
      <c r="D133"/>
      <c r="E133"/>
      <c r="F133" t="s">
        <v>1204</v>
      </c>
      <c r="G133"/>
      <c r="H133"/>
      <c r="I133" t="s">
        <v>1205</v>
      </c>
      <c r="J133" t="s">
        <v>1206</v>
      </c>
      <c r="K133"/>
      <c r="L133"/>
      <c r="M133"/>
      <c r="N133"/>
      <c r="O133"/>
      <c r="P133"/>
      <c r="Q133"/>
      <c r="R133"/>
      <c r="S133"/>
      <c r="T133"/>
      <c r="U133"/>
      <c r="V133"/>
      <c r="W133"/>
      <c r="X133"/>
      <c r="Y133"/>
      <c r="Z133"/>
      <c r="AA133"/>
      <c r="AB133"/>
      <c r="AC133"/>
      <c r="AD133"/>
      <c r="AE133"/>
      <c r="AF133"/>
      <c r="AG133"/>
      <c r="AH133"/>
      <c r="AI133"/>
      <c r="AJ133"/>
      <c r="AK133"/>
      <c r="AL133"/>
      <c r="AM133"/>
      <c r="AN133"/>
      <c r="AO133" t="s">
        <v>624</v>
      </c>
      <c r="AP133"/>
      <c r="AQ133"/>
      <c r="AR133"/>
      <c r="AS133"/>
      <c r="AT133" t="s">
        <v>171</v>
      </c>
      <c r="AU133">
        <v>2006</v>
      </c>
      <c r="AV133">
        <v>80</v>
      </c>
      <c r="AW133">
        <v>3</v>
      </c>
      <c r="AX133"/>
      <c r="AY133"/>
      <c r="AZ133"/>
      <c r="BA133"/>
      <c r="BB133">
        <v>449</v>
      </c>
      <c r="BC133">
        <v>452</v>
      </c>
      <c r="BD133"/>
      <c r="BE133" t="s">
        <v>1207</v>
      </c>
      <c r="BF133" t="str">
        <f>HYPERLINK("http://dx.doi.org/10.1134/S0036024406030241","http://dx.doi.org/10.1134/S0036024406030241")</f>
        <v>http://dx.doi.org/10.1134/S0036024406030241</v>
      </c>
      <c r="BG133"/>
      <c r="BH133"/>
      <c r="BI133"/>
      <c r="BJ133"/>
      <c r="BK133"/>
      <c r="BL133"/>
      <c r="BM133"/>
      <c r="BN133"/>
      <c r="BO133"/>
      <c r="BP133"/>
      <c r="BQ133"/>
      <c r="BR133"/>
      <c r="BS133" t="s">
        <v>1208</v>
      </c>
      <c r="BT133" t="str">
        <f>HYPERLINK("https%3A%2F%2Fwww.webofscience.com%2Fwos%2Fwoscc%2Ffull-record%2FWOS:000243768200024","View Full Record in Web of Science")</f>
        <v>View Full Record in Web of Science</v>
      </c>
    </row>
    <row r="134" spans="1:75" customHeight="1" ht="12.75">
      <c r="A134" t="s">
        <v>72</v>
      </c>
      <c r="B134" t="s">
        <v>1209</v>
      </c>
      <c r="C134"/>
      <c r="D134"/>
      <c r="E134"/>
      <c r="F134" t="s">
        <v>1210</v>
      </c>
      <c r="G134"/>
      <c r="H134"/>
      <c r="I134" t="s">
        <v>1211</v>
      </c>
      <c r="J134" t="s">
        <v>141</v>
      </c>
      <c r="K134"/>
      <c r="L134"/>
      <c r="M134"/>
      <c r="N134"/>
      <c r="O134"/>
      <c r="P134"/>
      <c r="Q134"/>
      <c r="R134"/>
      <c r="S134"/>
      <c r="T134"/>
      <c r="U134"/>
      <c r="V134"/>
      <c r="W134"/>
      <c r="X134"/>
      <c r="Y134"/>
      <c r="Z134"/>
      <c r="AA134"/>
      <c r="AB134"/>
      <c r="AC134"/>
      <c r="AD134"/>
      <c r="AE134"/>
      <c r="AF134"/>
      <c r="AG134"/>
      <c r="AH134"/>
      <c r="AI134"/>
      <c r="AJ134"/>
      <c r="AK134"/>
      <c r="AL134"/>
      <c r="AM134"/>
      <c r="AN134"/>
      <c r="AO134" t="s">
        <v>144</v>
      </c>
      <c r="AP134"/>
      <c r="AQ134"/>
      <c r="AR134"/>
      <c r="AS134"/>
      <c r="AT134"/>
      <c r="AU134">
        <v>2021</v>
      </c>
      <c r="AV134"/>
      <c r="AW134">
        <v>4</v>
      </c>
      <c r="AX134"/>
      <c r="AY134"/>
      <c r="AZ134"/>
      <c r="BA134"/>
      <c r="BB134">
        <v>99</v>
      </c>
      <c r="BC134">
        <v>114</v>
      </c>
      <c r="BD134"/>
      <c r="BE134" t="s">
        <v>1212</v>
      </c>
      <c r="BF134" t="str">
        <f>HYPERLINK("http://dx.doi.org/10.52254/1857-0070.2021.4-52.10","http://dx.doi.org/10.52254/1857-0070.2021.4-52.10")</f>
        <v>http://dx.doi.org/10.52254/1857-0070.2021.4-52.10</v>
      </c>
      <c r="BG134"/>
      <c r="BH134"/>
      <c r="BI134"/>
      <c r="BJ134"/>
      <c r="BK134"/>
      <c r="BL134"/>
      <c r="BM134"/>
      <c r="BN134"/>
      <c r="BO134"/>
      <c r="BP134"/>
      <c r="BQ134"/>
      <c r="BR134"/>
      <c r="BS134" t="s">
        <v>1213</v>
      </c>
      <c r="BT134" t="str">
        <f>HYPERLINK("https%3A%2F%2Fwww.webofscience.com%2Fwos%2Fwoscc%2Ffull-record%2FWOS:000734088800009","View Full Record in Web of Science")</f>
        <v>View Full Record in Web of Science</v>
      </c>
    </row>
    <row r="135" spans="1:75" customHeight="1" ht="12.75">
      <c r="A135" t="s">
        <v>147</v>
      </c>
      <c r="B135" t="s">
        <v>1214</v>
      </c>
      <c r="C135"/>
      <c r="D135" t="s">
        <v>1215</v>
      </c>
      <c r="E135"/>
      <c r="F135" t="s">
        <v>1216</v>
      </c>
      <c r="G135"/>
      <c r="H135"/>
      <c r="I135" t="s">
        <v>1217</v>
      </c>
      <c r="J135" t="s">
        <v>1218</v>
      </c>
      <c r="K135" t="s">
        <v>1219</v>
      </c>
      <c r="L135"/>
      <c r="M135"/>
      <c r="N135"/>
      <c r="O135" t="s">
        <v>1220</v>
      </c>
      <c r="P135" t="s">
        <v>1221</v>
      </c>
      <c r="Q135" t="s">
        <v>1222</v>
      </c>
      <c r="R135"/>
      <c r="S135"/>
      <c r="T135"/>
      <c r="U135"/>
      <c r="V135"/>
      <c r="W135"/>
      <c r="X135"/>
      <c r="Y135"/>
      <c r="Z135"/>
      <c r="AA135"/>
      <c r="AB135"/>
      <c r="AC135"/>
      <c r="AD135"/>
      <c r="AE135"/>
      <c r="AF135"/>
      <c r="AG135"/>
      <c r="AH135"/>
      <c r="AI135"/>
      <c r="AJ135"/>
      <c r="AK135"/>
      <c r="AL135"/>
      <c r="AM135"/>
      <c r="AN135"/>
      <c r="AO135" t="s">
        <v>1223</v>
      </c>
      <c r="AP135"/>
      <c r="AQ135"/>
      <c r="AR135"/>
      <c r="AS135"/>
      <c r="AT135"/>
      <c r="AU135">
        <v>2020</v>
      </c>
      <c r="AV135">
        <v>24</v>
      </c>
      <c r="AW135"/>
      <c r="AX135"/>
      <c r="AY135"/>
      <c r="AZ135"/>
      <c r="BA135"/>
      <c r="BB135"/>
      <c r="BC135"/>
      <c r="BD135">
        <v>73</v>
      </c>
      <c r="BE135" t="s">
        <v>1224</v>
      </c>
      <c r="BF135" t="str">
        <f>HYPERLINK("http://dx.doi.org/10.1051/bioconf/20202400073","http://dx.doi.org/10.1051/bioconf/20202400073")</f>
        <v>http://dx.doi.org/10.1051/bioconf/20202400073</v>
      </c>
      <c r="BG135"/>
      <c r="BH135"/>
      <c r="BI135"/>
      <c r="BJ135"/>
      <c r="BK135"/>
      <c r="BL135"/>
      <c r="BM135"/>
      <c r="BN135"/>
      <c r="BO135"/>
      <c r="BP135"/>
      <c r="BQ135"/>
      <c r="BR135"/>
      <c r="BS135" t="s">
        <v>1225</v>
      </c>
      <c r="BT135" t="str">
        <f>HYPERLINK("https%3A%2F%2Fwww.webofscience.com%2Fwos%2Fwoscc%2Ffull-record%2FWOS:000624287900073","View Full Record in Web of Science")</f>
        <v>View Full Record in Web of Science</v>
      </c>
    </row>
    <row r="136" spans="1:75" customHeight="1" ht="12.75">
      <c r="A136" t="s">
        <v>72</v>
      </c>
      <c r="B136" t="s">
        <v>378</v>
      </c>
      <c r="C136"/>
      <c r="D136"/>
      <c r="E136"/>
      <c r="F136" t="s">
        <v>1226</v>
      </c>
      <c r="G136"/>
      <c r="H136"/>
      <c r="I136" t="s">
        <v>1227</v>
      </c>
      <c r="J136" t="s">
        <v>1228</v>
      </c>
      <c r="K136"/>
      <c r="L136"/>
      <c r="M136"/>
      <c r="N136"/>
      <c r="O136"/>
      <c r="P136"/>
      <c r="Q136"/>
      <c r="R136"/>
      <c r="S136"/>
      <c r="T136"/>
      <c r="U136"/>
      <c r="V136"/>
      <c r="W136"/>
      <c r="X136"/>
      <c r="Y136"/>
      <c r="Z136"/>
      <c r="AA136" t="s">
        <v>553</v>
      </c>
      <c r="AB136" t="s">
        <v>554</v>
      </c>
      <c r="AC136"/>
      <c r="AD136"/>
      <c r="AE136"/>
      <c r="AF136"/>
      <c r="AG136"/>
      <c r="AH136"/>
      <c r="AI136"/>
      <c r="AJ136"/>
      <c r="AK136"/>
      <c r="AL136"/>
      <c r="AM136"/>
      <c r="AN136"/>
      <c r="AO136" t="s">
        <v>1229</v>
      </c>
      <c r="AP136"/>
      <c r="AQ136"/>
      <c r="AR136"/>
      <c r="AS136"/>
      <c r="AT136"/>
      <c r="AU136">
        <v>2019</v>
      </c>
      <c r="AV136">
        <v>8</v>
      </c>
      <c r="AW136">
        <v>12</v>
      </c>
      <c r="AX136"/>
      <c r="AY136"/>
      <c r="AZ136"/>
      <c r="BA136"/>
      <c r="BB136">
        <v>41</v>
      </c>
      <c r="BC136">
        <v>45</v>
      </c>
      <c r="BD136"/>
      <c r="BE136"/>
      <c r="BF136"/>
      <c r="BG136"/>
      <c r="BH136"/>
      <c r="BI136"/>
      <c r="BJ136"/>
      <c r="BK136"/>
      <c r="BL136"/>
      <c r="BM136"/>
      <c r="BN136"/>
      <c r="BO136"/>
      <c r="BP136"/>
      <c r="BQ136"/>
      <c r="BR136"/>
      <c r="BS136" t="s">
        <v>1230</v>
      </c>
      <c r="BT136" t="str">
        <f>HYPERLINK("https%3A%2F%2Fwww.webofscience.com%2Fwos%2Fwoscc%2Ffull-record%2FWOS:000514803300005","View Full Record in Web of Science")</f>
        <v>View Full Record in Web of Science</v>
      </c>
    </row>
    <row r="137" spans="1:75" customHeight="1" ht="12.75">
      <c r="A137" t="s">
        <v>147</v>
      </c>
      <c r="B137" t="s">
        <v>1231</v>
      </c>
      <c r="C137" t="s">
        <v>1232</v>
      </c>
      <c r="D137"/>
      <c r="E137"/>
      <c r="F137" t="s">
        <v>1233</v>
      </c>
      <c r="G137" t="s">
        <v>1232</v>
      </c>
      <c r="H137"/>
      <c r="I137" t="s">
        <v>1234</v>
      </c>
      <c r="J137" t="s">
        <v>1235</v>
      </c>
      <c r="K137" t="s">
        <v>1236</v>
      </c>
      <c r="L137"/>
      <c r="M137"/>
      <c r="N137"/>
      <c r="O137" t="s">
        <v>1237</v>
      </c>
      <c r="P137" t="s">
        <v>1238</v>
      </c>
      <c r="Q137" t="s">
        <v>910</v>
      </c>
      <c r="R137" t="s">
        <v>1239</v>
      </c>
      <c r="S137"/>
      <c r="T137"/>
      <c r="U137"/>
      <c r="V137"/>
      <c r="W137"/>
      <c r="X137"/>
      <c r="Y137"/>
      <c r="Z137"/>
      <c r="AA137"/>
      <c r="AB137"/>
      <c r="AC137"/>
      <c r="AD137"/>
      <c r="AE137"/>
      <c r="AF137"/>
      <c r="AG137"/>
      <c r="AH137"/>
      <c r="AI137"/>
      <c r="AJ137"/>
      <c r="AK137"/>
      <c r="AL137"/>
      <c r="AM137"/>
      <c r="AN137"/>
      <c r="AO137" t="s">
        <v>1240</v>
      </c>
      <c r="AP137"/>
      <c r="AQ137"/>
      <c r="AR137"/>
      <c r="AS137"/>
      <c r="AT137"/>
      <c r="AU137">
        <v>2019</v>
      </c>
      <c r="AV137">
        <v>110</v>
      </c>
      <c r="AW137"/>
      <c r="AX137"/>
      <c r="AY137"/>
      <c r="AZ137"/>
      <c r="BA137"/>
      <c r="BB137"/>
      <c r="BC137"/>
      <c r="BD137">
        <v>2026</v>
      </c>
      <c r="BE137" t="s">
        <v>1241</v>
      </c>
      <c r="BF137" t="str">
        <f>HYPERLINK("http://dx.doi.org/10.1051/e3sconf/201911002026","http://dx.doi.org/10.1051/e3sconf/201911002026")</f>
        <v>http://dx.doi.org/10.1051/e3sconf/201911002026</v>
      </c>
      <c r="BG137"/>
      <c r="BH137"/>
      <c r="BI137"/>
      <c r="BJ137"/>
      <c r="BK137"/>
      <c r="BL137"/>
      <c r="BM137"/>
      <c r="BN137"/>
      <c r="BO137"/>
      <c r="BP137"/>
      <c r="BQ137"/>
      <c r="BR137"/>
      <c r="BS137" t="s">
        <v>1242</v>
      </c>
      <c r="BT137" t="str">
        <f>HYPERLINK("https%3A%2F%2Fwww.webofscience.com%2Fwos%2Fwoscc%2Ffull-record%2FWOS:000569050000115","View Full Record in Web of Science")</f>
        <v>View Full Record in Web of Science</v>
      </c>
    </row>
    <row r="138" spans="1:75" customHeight="1" ht="12.75">
      <c r="A138" t="s">
        <v>72</v>
      </c>
      <c r="B138" t="s">
        <v>1243</v>
      </c>
      <c r="C138"/>
      <c r="D138"/>
      <c r="E138"/>
      <c r="F138" t="s">
        <v>1244</v>
      </c>
      <c r="G138"/>
      <c r="H138"/>
      <c r="I138" t="s">
        <v>1245</v>
      </c>
      <c r="J138" t="s">
        <v>166</v>
      </c>
      <c r="K138"/>
      <c r="L138"/>
      <c r="M138"/>
      <c r="N138"/>
      <c r="O138"/>
      <c r="P138"/>
      <c r="Q138"/>
      <c r="R138"/>
      <c r="S138"/>
      <c r="T138"/>
      <c r="U138"/>
      <c r="V138"/>
      <c r="W138"/>
      <c r="X138"/>
      <c r="Y138"/>
      <c r="Z138"/>
      <c r="AA138" t="s">
        <v>1246</v>
      </c>
      <c r="AB138" t="s">
        <v>1247</v>
      </c>
      <c r="AC138"/>
      <c r="AD138"/>
      <c r="AE138"/>
      <c r="AF138"/>
      <c r="AG138"/>
      <c r="AH138"/>
      <c r="AI138"/>
      <c r="AJ138"/>
      <c r="AK138"/>
      <c r="AL138"/>
      <c r="AM138"/>
      <c r="AN138"/>
      <c r="AO138" t="s">
        <v>169</v>
      </c>
      <c r="AP138" t="s">
        <v>170</v>
      </c>
      <c r="AQ138"/>
      <c r="AR138"/>
      <c r="AS138"/>
      <c r="AT138" t="s">
        <v>491</v>
      </c>
      <c r="AU138">
        <v>2018</v>
      </c>
      <c r="AV138">
        <v>7</v>
      </c>
      <c r="AW138">
        <v>2</v>
      </c>
      <c r="AX138"/>
      <c r="AY138"/>
      <c r="AZ138"/>
      <c r="BA138"/>
      <c r="BB138">
        <v>275</v>
      </c>
      <c r="BC138">
        <v>285</v>
      </c>
      <c r="BD138"/>
      <c r="BE138" t="s">
        <v>1248</v>
      </c>
      <c r="BF138" t="str">
        <f>HYPERLINK("http://dx.doi.org/10.13187/ejced.2018.2.275","http://dx.doi.org/10.13187/ejced.2018.2.275")</f>
        <v>http://dx.doi.org/10.13187/ejced.2018.2.275</v>
      </c>
      <c r="BG138"/>
      <c r="BH138"/>
      <c r="BI138"/>
      <c r="BJ138"/>
      <c r="BK138"/>
      <c r="BL138"/>
      <c r="BM138"/>
      <c r="BN138"/>
      <c r="BO138"/>
      <c r="BP138"/>
      <c r="BQ138"/>
      <c r="BR138"/>
      <c r="BS138" t="s">
        <v>1249</v>
      </c>
      <c r="BT138" t="str">
        <f>HYPERLINK("https%3A%2F%2Fwww.webofscience.com%2Fwos%2Fwoscc%2Ffull-record%2FWOS:000434838300005","View Full Record in Web of Science")</f>
        <v>View Full Record in Web of Science</v>
      </c>
    </row>
    <row r="139" spans="1:75" customHeight="1" ht="12.75">
      <c r="A139" t="s">
        <v>147</v>
      </c>
      <c r="B139" t="s">
        <v>568</v>
      </c>
      <c r="C139"/>
      <c r="D139"/>
      <c r="E139" t="s">
        <v>210</v>
      </c>
      <c r="F139" t="s">
        <v>569</v>
      </c>
      <c r="G139"/>
      <c r="H139"/>
      <c r="I139" t="s">
        <v>1250</v>
      </c>
      <c r="J139" t="s">
        <v>419</v>
      </c>
      <c r="K139" t="s">
        <v>420</v>
      </c>
      <c r="L139"/>
      <c r="M139"/>
      <c r="N139"/>
      <c r="O139" t="s">
        <v>421</v>
      </c>
      <c r="P139" t="s">
        <v>422</v>
      </c>
      <c r="Q139" t="s">
        <v>423</v>
      </c>
      <c r="R139" t="s">
        <v>424</v>
      </c>
      <c r="S139"/>
      <c r="T139"/>
      <c r="U139"/>
      <c r="V139"/>
      <c r="W139"/>
      <c r="X139"/>
      <c r="Y139"/>
      <c r="Z139"/>
      <c r="AA139" t="s">
        <v>1251</v>
      </c>
      <c r="AB139" t="s">
        <v>578</v>
      </c>
      <c r="AC139"/>
      <c r="AD139"/>
      <c r="AE139"/>
      <c r="AF139"/>
      <c r="AG139"/>
      <c r="AH139"/>
      <c r="AI139"/>
      <c r="AJ139"/>
      <c r="AK139"/>
      <c r="AL139"/>
      <c r="AM139"/>
      <c r="AN139"/>
      <c r="AO139" t="s">
        <v>427</v>
      </c>
      <c r="AP139" t="s">
        <v>428</v>
      </c>
      <c r="AQ139" t="s">
        <v>429</v>
      </c>
      <c r="AR139"/>
      <c r="AS139"/>
      <c r="AT139"/>
      <c r="AU139">
        <v>2018</v>
      </c>
      <c r="AV139"/>
      <c r="AW139"/>
      <c r="AX139"/>
      <c r="AY139"/>
      <c r="AZ139"/>
      <c r="BA139"/>
      <c r="BB139"/>
      <c r="BC139"/>
      <c r="BD139"/>
      <c r="BE139"/>
      <c r="BF139"/>
      <c r="BG139"/>
      <c r="BH139"/>
      <c r="BI139"/>
      <c r="BJ139"/>
      <c r="BK139"/>
      <c r="BL139"/>
      <c r="BM139"/>
      <c r="BN139"/>
      <c r="BO139"/>
      <c r="BP139"/>
      <c r="BQ139"/>
      <c r="BR139"/>
      <c r="BS139" t="s">
        <v>1252</v>
      </c>
      <c r="BT139" t="str">
        <f>HYPERLINK("https%3A%2F%2Fwww.webofscience.com%2Fwos%2Fwoscc%2Ffull-record%2FWOS:000517795800079","View Full Record in Web of Science")</f>
        <v>View Full Record in Web of Science</v>
      </c>
    </row>
    <row r="140" spans="1:75" customHeight="1" ht="12.75">
      <c r="A140" t="s">
        <v>72</v>
      </c>
      <c r="B140" t="s">
        <v>1253</v>
      </c>
      <c r="C140"/>
      <c r="D140"/>
      <c r="E140"/>
      <c r="F140" t="s">
        <v>1254</v>
      </c>
      <c r="G140"/>
      <c r="H140"/>
      <c r="I140" t="s">
        <v>1255</v>
      </c>
      <c r="J140" t="s">
        <v>95</v>
      </c>
      <c r="K140"/>
      <c r="L140"/>
      <c r="M140"/>
      <c r="N140"/>
      <c r="O140"/>
      <c r="P140"/>
      <c r="Q140"/>
      <c r="R140"/>
      <c r="S140"/>
      <c r="T140"/>
      <c r="U140"/>
      <c r="V140"/>
      <c r="W140"/>
      <c r="X140"/>
      <c r="Y140"/>
      <c r="Z140"/>
      <c r="AA140"/>
      <c r="AB140"/>
      <c r="AC140"/>
      <c r="AD140"/>
      <c r="AE140"/>
      <c r="AF140"/>
      <c r="AG140"/>
      <c r="AH140"/>
      <c r="AI140"/>
      <c r="AJ140"/>
      <c r="AK140"/>
      <c r="AL140"/>
      <c r="AM140"/>
      <c r="AN140"/>
      <c r="AO140" t="s">
        <v>98</v>
      </c>
      <c r="AP140" t="s">
        <v>99</v>
      </c>
      <c r="AQ140"/>
      <c r="AR140"/>
      <c r="AS140"/>
      <c r="AT140"/>
      <c r="AU140">
        <v>2018</v>
      </c>
      <c r="AV140"/>
      <c r="AW140">
        <v>3</v>
      </c>
      <c r="AX140"/>
      <c r="AY140"/>
      <c r="AZ140"/>
      <c r="BA140"/>
      <c r="BB140">
        <v>19</v>
      </c>
      <c r="BC140">
        <v>26</v>
      </c>
      <c r="BD140"/>
      <c r="BE140" t="s">
        <v>1256</v>
      </c>
      <c r="BF140" t="str">
        <f>HYPERLINK("http://dx.doi.org/10.25750/1995-4301-2018-3-019-026","http://dx.doi.org/10.25750/1995-4301-2018-3-019-026")</f>
        <v>http://dx.doi.org/10.25750/1995-4301-2018-3-019-026</v>
      </c>
      <c r="BG140"/>
      <c r="BH140"/>
      <c r="BI140"/>
      <c r="BJ140"/>
      <c r="BK140"/>
      <c r="BL140"/>
      <c r="BM140"/>
      <c r="BN140"/>
      <c r="BO140"/>
      <c r="BP140"/>
      <c r="BQ140"/>
      <c r="BR140"/>
      <c r="BS140" t="s">
        <v>1257</v>
      </c>
      <c r="BT140" t="str">
        <f>HYPERLINK("https%3A%2F%2Fwww.webofscience.com%2Fwos%2Fwoscc%2Ffull-record%2FWOS:000468564900003","View Full Record in Web of Science")</f>
        <v>View Full Record in Web of Science</v>
      </c>
    </row>
    <row r="141" spans="1:75" customHeight="1" ht="12.75">
      <c r="A141" t="s">
        <v>147</v>
      </c>
      <c r="B141" t="s">
        <v>1258</v>
      </c>
      <c r="C141"/>
      <c r="D141"/>
      <c r="E141" t="s">
        <v>210</v>
      </c>
      <c r="F141" t="s">
        <v>1259</v>
      </c>
      <c r="G141"/>
      <c r="H141"/>
      <c r="I141" t="s">
        <v>1260</v>
      </c>
      <c r="J141" t="s">
        <v>1261</v>
      </c>
      <c r="K141"/>
      <c r="L141"/>
      <c r="M141"/>
      <c r="N141"/>
      <c r="O141" t="s">
        <v>214</v>
      </c>
      <c r="P141" t="s">
        <v>909</v>
      </c>
      <c r="Q141" t="s">
        <v>910</v>
      </c>
      <c r="R141" t="s">
        <v>1262</v>
      </c>
      <c r="S141"/>
      <c r="T141"/>
      <c r="U141"/>
      <c r="V141"/>
      <c r="W141"/>
      <c r="X141"/>
      <c r="Y141"/>
      <c r="Z141"/>
      <c r="AA141"/>
      <c r="AB141"/>
      <c r="AC141"/>
      <c r="AD141"/>
      <c r="AE141"/>
      <c r="AF141"/>
      <c r="AG141"/>
      <c r="AH141"/>
      <c r="AI141"/>
      <c r="AJ141"/>
      <c r="AK141"/>
      <c r="AL141"/>
      <c r="AM141"/>
      <c r="AN141"/>
      <c r="AO141"/>
      <c r="AP141"/>
      <c r="AQ141" t="s">
        <v>1263</v>
      </c>
      <c r="AR141"/>
      <c r="AS141"/>
      <c r="AT141"/>
      <c r="AU141">
        <v>2017</v>
      </c>
      <c r="AV141"/>
      <c r="AW141"/>
      <c r="AX141"/>
      <c r="AY141"/>
      <c r="AZ141"/>
      <c r="BA141"/>
      <c r="BB141"/>
      <c r="BC141"/>
      <c r="BD141"/>
      <c r="BE141"/>
      <c r="BF141"/>
      <c r="BG141"/>
      <c r="BH141"/>
      <c r="BI141"/>
      <c r="BJ141"/>
      <c r="BK141"/>
      <c r="BL141"/>
      <c r="BM141"/>
      <c r="BN141"/>
      <c r="BO141"/>
      <c r="BP141"/>
      <c r="BQ141"/>
      <c r="BR141"/>
      <c r="BS141" t="s">
        <v>1264</v>
      </c>
      <c r="BT141" t="str">
        <f>HYPERLINK("https%3A%2F%2Fwww.webofscience.com%2Fwos%2Fwoscc%2Ffull-record%2FWOS:000414282400134","View Full Record in Web of Science")</f>
        <v>View Full Record in Web of Science</v>
      </c>
    </row>
    <row r="142" spans="1:75" customHeight="1" ht="12.75">
      <c r="A142" t="s">
        <v>147</v>
      </c>
      <c r="B142" t="s">
        <v>1265</v>
      </c>
      <c r="C142"/>
      <c r="D142"/>
      <c r="E142" t="s">
        <v>210</v>
      </c>
      <c r="F142" t="s">
        <v>1266</v>
      </c>
      <c r="G142"/>
      <c r="H142"/>
      <c r="I142" t="s">
        <v>1267</v>
      </c>
      <c r="J142" t="s">
        <v>1261</v>
      </c>
      <c r="K142"/>
      <c r="L142"/>
      <c r="M142"/>
      <c r="N142"/>
      <c r="O142" t="s">
        <v>214</v>
      </c>
      <c r="P142" t="s">
        <v>909</v>
      </c>
      <c r="Q142" t="s">
        <v>910</v>
      </c>
      <c r="R142" t="s">
        <v>1262</v>
      </c>
      <c r="S142"/>
      <c r="T142"/>
      <c r="U142"/>
      <c r="V142"/>
      <c r="W142"/>
      <c r="X142"/>
      <c r="Y142"/>
      <c r="Z142"/>
      <c r="AA142" t="s">
        <v>1268</v>
      </c>
      <c r="AB142" t="s">
        <v>1269</v>
      </c>
      <c r="AC142"/>
      <c r="AD142"/>
      <c r="AE142"/>
      <c r="AF142"/>
      <c r="AG142"/>
      <c r="AH142"/>
      <c r="AI142"/>
      <c r="AJ142"/>
      <c r="AK142"/>
      <c r="AL142"/>
      <c r="AM142"/>
      <c r="AN142"/>
      <c r="AO142"/>
      <c r="AP142"/>
      <c r="AQ142" t="s">
        <v>1263</v>
      </c>
      <c r="AR142"/>
      <c r="AS142"/>
      <c r="AT142"/>
      <c r="AU142">
        <v>2017</v>
      </c>
      <c r="AV142"/>
      <c r="AW142"/>
      <c r="AX142"/>
      <c r="AY142"/>
      <c r="AZ142"/>
      <c r="BA142"/>
      <c r="BB142"/>
      <c r="BC142"/>
      <c r="BD142"/>
      <c r="BE142"/>
      <c r="BF142"/>
      <c r="BG142"/>
      <c r="BH142"/>
      <c r="BI142"/>
      <c r="BJ142"/>
      <c r="BK142"/>
      <c r="BL142"/>
      <c r="BM142"/>
      <c r="BN142"/>
      <c r="BO142"/>
      <c r="BP142"/>
      <c r="BQ142"/>
      <c r="BR142"/>
      <c r="BS142" t="s">
        <v>1270</v>
      </c>
      <c r="BT142" t="str">
        <f>HYPERLINK("https%3A%2F%2Fwww.webofscience.com%2Fwos%2Fwoscc%2Ffull-record%2FWOS:000414282400179","View Full Record in Web of Science")</f>
        <v>View Full Record in Web of Science</v>
      </c>
    </row>
    <row r="143" spans="1:75" customHeight="1" ht="12.75">
      <c r="A143" t="s">
        <v>147</v>
      </c>
      <c r="B143" t="s">
        <v>1271</v>
      </c>
      <c r="C143"/>
      <c r="D143" t="s">
        <v>1272</v>
      </c>
      <c r="E143"/>
      <c r="F143" t="s">
        <v>1273</v>
      </c>
      <c r="G143"/>
      <c r="H143"/>
      <c r="I143" t="s">
        <v>1274</v>
      </c>
      <c r="J143" t="s">
        <v>1275</v>
      </c>
      <c r="K143" t="s">
        <v>1276</v>
      </c>
      <c r="L143"/>
      <c r="M143"/>
      <c r="N143"/>
      <c r="O143" t="s">
        <v>1277</v>
      </c>
      <c r="P143" t="s">
        <v>1278</v>
      </c>
      <c r="Q143" t="s">
        <v>772</v>
      </c>
      <c r="R143" t="s">
        <v>1279</v>
      </c>
      <c r="S143"/>
      <c r="T143"/>
      <c r="U143"/>
      <c r="V143"/>
      <c r="W143"/>
      <c r="X143"/>
      <c r="Y143"/>
      <c r="Z143"/>
      <c r="AA143" t="s">
        <v>1280</v>
      </c>
      <c r="AB143" t="s">
        <v>1281</v>
      </c>
      <c r="AC143"/>
      <c r="AD143"/>
      <c r="AE143"/>
      <c r="AF143"/>
      <c r="AG143"/>
      <c r="AH143"/>
      <c r="AI143"/>
      <c r="AJ143"/>
      <c r="AK143"/>
      <c r="AL143"/>
      <c r="AM143"/>
      <c r="AN143"/>
      <c r="AO143" t="s">
        <v>1282</v>
      </c>
      <c r="AP143"/>
      <c r="AQ143"/>
      <c r="AR143"/>
      <c r="AS143"/>
      <c r="AT143"/>
      <c r="AU143">
        <v>2017</v>
      </c>
      <c r="AV143">
        <v>129</v>
      </c>
      <c r="AW143"/>
      <c r="AX143"/>
      <c r="AY143"/>
      <c r="AZ143"/>
      <c r="BA143"/>
      <c r="BB143"/>
      <c r="BC143"/>
      <c r="BD143">
        <v>1013</v>
      </c>
      <c r="BE143" t="s">
        <v>1283</v>
      </c>
      <c r="BF143" t="str">
        <f>HYPERLINK("http://dx.doi.org/10.1051/matecconf/201712901013","http://dx.doi.org/10.1051/matecconf/201712901013")</f>
        <v>http://dx.doi.org/10.1051/matecconf/201712901013</v>
      </c>
      <c r="BG143"/>
      <c r="BH143"/>
      <c r="BI143"/>
      <c r="BJ143"/>
      <c r="BK143"/>
      <c r="BL143"/>
      <c r="BM143"/>
      <c r="BN143"/>
      <c r="BO143"/>
      <c r="BP143"/>
      <c r="BQ143"/>
      <c r="BR143"/>
      <c r="BS143" t="s">
        <v>1284</v>
      </c>
      <c r="BT143" t="str">
        <f>HYPERLINK("https%3A%2F%2Fwww.webofscience.com%2Fwos%2Fwoscc%2Ffull-record%2FWOS:000426431000013","View Full Record in Web of Science")</f>
        <v>View Full Record in Web of Science</v>
      </c>
    </row>
    <row r="144" spans="1:75" customHeight="1" ht="12.75">
      <c r="A144" t="s">
        <v>147</v>
      </c>
      <c r="B144" t="s">
        <v>1285</v>
      </c>
      <c r="C144"/>
      <c r="D144"/>
      <c r="E144" t="s">
        <v>210</v>
      </c>
      <c r="F144" t="s">
        <v>1286</v>
      </c>
      <c r="G144"/>
      <c r="H144"/>
      <c r="I144" t="s">
        <v>1287</v>
      </c>
      <c r="J144" t="s">
        <v>1261</v>
      </c>
      <c r="K144"/>
      <c r="L144"/>
      <c r="M144"/>
      <c r="N144"/>
      <c r="O144" t="s">
        <v>214</v>
      </c>
      <c r="P144" t="s">
        <v>909</v>
      </c>
      <c r="Q144" t="s">
        <v>910</v>
      </c>
      <c r="R144" t="s">
        <v>1262</v>
      </c>
      <c r="S144"/>
      <c r="T144"/>
      <c r="U144"/>
      <c r="V144"/>
      <c r="W144"/>
      <c r="X144"/>
      <c r="Y144"/>
      <c r="Z144"/>
      <c r="AA144" t="s">
        <v>1288</v>
      </c>
      <c r="AB144" t="s">
        <v>1289</v>
      </c>
      <c r="AC144"/>
      <c r="AD144"/>
      <c r="AE144"/>
      <c r="AF144"/>
      <c r="AG144"/>
      <c r="AH144"/>
      <c r="AI144"/>
      <c r="AJ144"/>
      <c r="AK144"/>
      <c r="AL144"/>
      <c r="AM144"/>
      <c r="AN144"/>
      <c r="AO144"/>
      <c r="AP144"/>
      <c r="AQ144" t="s">
        <v>1263</v>
      </c>
      <c r="AR144"/>
      <c r="AS144"/>
      <c r="AT144"/>
      <c r="AU144">
        <v>2017</v>
      </c>
      <c r="AV144"/>
      <c r="AW144"/>
      <c r="AX144"/>
      <c r="AY144"/>
      <c r="AZ144"/>
      <c r="BA144"/>
      <c r="BB144"/>
      <c r="BC144"/>
      <c r="BD144"/>
      <c r="BE144"/>
      <c r="BF144"/>
      <c r="BG144"/>
      <c r="BH144"/>
      <c r="BI144"/>
      <c r="BJ144"/>
      <c r="BK144"/>
      <c r="BL144"/>
      <c r="BM144"/>
      <c r="BN144"/>
      <c r="BO144"/>
      <c r="BP144"/>
      <c r="BQ144"/>
      <c r="BR144"/>
      <c r="BS144" t="s">
        <v>1290</v>
      </c>
      <c r="BT144" t="str">
        <f>HYPERLINK("https%3A%2F%2Fwww.webofscience.com%2Fwos%2Fwoscc%2Ffull-record%2FWOS:000414282400356","View Full Record in Web of Science")</f>
        <v>View Full Record in Web of Science</v>
      </c>
    </row>
    <row r="145" spans="1:75" customHeight="1" ht="12.75">
      <c r="A145" t="s">
        <v>72</v>
      </c>
      <c r="B145" t="s">
        <v>110</v>
      </c>
      <c r="C145"/>
      <c r="D145"/>
      <c r="E145"/>
      <c r="F145" t="s">
        <v>1291</v>
      </c>
      <c r="G145"/>
      <c r="H145"/>
      <c r="I145" t="s">
        <v>1292</v>
      </c>
      <c r="J145" t="s">
        <v>244</v>
      </c>
      <c r="K145"/>
      <c r="L145"/>
      <c r="M145"/>
      <c r="N145"/>
      <c r="O145"/>
      <c r="P145"/>
      <c r="Q145"/>
      <c r="R145"/>
      <c r="S145"/>
      <c r="T145"/>
      <c r="U145"/>
      <c r="V145"/>
      <c r="W145"/>
      <c r="X145"/>
      <c r="Y145"/>
      <c r="Z145"/>
      <c r="AA145" t="s">
        <v>677</v>
      </c>
      <c r="AB145" t="s">
        <v>678</v>
      </c>
      <c r="AC145"/>
      <c r="AD145"/>
      <c r="AE145"/>
      <c r="AF145"/>
      <c r="AG145"/>
      <c r="AH145"/>
      <c r="AI145"/>
      <c r="AJ145"/>
      <c r="AK145"/>
      <c r="AL145"/>
      <c r="AM145"/>
      <c r="AN145"/>
      <c r="AO145" t="s">
        <v>245</v>
      </c>
      <c r="AP145" t="s">
        <v>246</v>
      </c>
      <c r="AQ145"/>
      <c r="AR145"/>
      <c r="AS145"/>
      <c r="AT145"/>
      <c r="AU145">
        <v>2017</v>
      </c>
      <c r="AV145"/>
      <c r="AW145">
        <v>5</v>
      </c>
      <c r="AX145"/>
      <c r="AY145"/>
      <c r="AZ145"/>
      <c r="BA145"/>
      <c r="BB145">
        <v>3</v>
      </c>
      <c r="BC145">
        <v>15</v>
      </c>
      <c r="BD145"/>
      <c r="BE145"/>
      <c r="BF145"/>
      <c r="BG145"/>
      <c r="BH145"/>
      <c r="BI145"/>
      <c r="BJ145"/>
      <c r="BK145"/>
      <c r="BL145"/>
      <c r="BM145"/>
      <c r="BN145"/>
      <c r="BO145"/>
      <c r="BP145"/>
      <c r="BQ145"/>
      <c r="BR145"/>
      <c r="BS145" t="s">
        <v>1293</v>
      </c>
      <c r="BT145" t="str">
        <f>HYPERLINK("https%3A%2F%2Fwww.webofscience.com%2Fwos%2Fwoscc%2Ffull-record%2FWOS:000403853500001","View Full Record in Web of Science")</f>
        <v>View Full Record in Web of Science</v>
      </c>
    </row>
    <row r="146" spans="1:75" customHeight="1" ht="12.75">
      <c r="A146" t="s">
        <v>147</v>
      </c>
      <c r="B146" t="s">
        <v>1294</v>
      </c>
      <c r="C146"/>
      <c r="D146" t="s">
        <v>1295</v>
      </c>
      <c r="E146"/>
      <c r="F146" t="s">
        <v>1296</v>
      </c>
      <c r="G146"/>
      <c r="H146"/>
      <c r="I146" t="s">
        <v>1297</v>
      </c>
      <c r="J146" t="s">
        <v>1298</v>
      </c>
      <c r="K146" t="s">
        <v>1299</v>
      </c>
      <c r="L146"/>
      <c r="M146"/>
      <c r="N146"/>
      <c r="O146" t="s">
        <v>1300</v>
      </c>
      <c r="P146" t="s">
        <v>1301</v>
      </c>
      <c r="Q146" t="s">
        <v>1302</v>
      </c>
      <c r="R146"/>
      <c r="S146"/>
      <c r="T146"/>
      <c r="U146"/>
      <c r="V146"/>
      <c r="W146"/>
      <c r="X146"/>
      <c r="Y146"/>
      <c r="Z146"/>
      <c r="AA146"/>
      <c r="AB146"/>
      <c r="AC146"/>
      <c r="AD146"/>
      <c r="AE146"/>
      <c r="AF146"/>
      <c r="AG146"/>
      <c r="AH146"/>
      <c r="AI146"/>
      <c r="AJ146"/>
      <c r="AK146"/>
      <c r="AL146"/>
      <c r="AM146"/>
      <c r="AN146"/>
      <c r="AO146" t="s">
        <v>1303</v>
      </c>
      <c r="AP146" t="s">
        <v>1304</v>
      </c>
      <c r="AQ146" t="s">
        <v>1305</v>
      </c>
      <c r="AR146"/>
      <c r="AS146"/>
      <c r="AT146"/>
      <c r="AU146">
        <v>2016</v>
      </c>
      <c r="AV146">
        <v>9729</v>
      </c>
      <c r="AW146"/>
      <c r="AX146"/>
      <c r="AY146"/>
      <c r="AZ146"/>
      <c r="BA146"/>
      <c r="BB146">
        <v>155</v>
      </c>
      <c r="BC146">
        <v>169</v>
      </c>
      <c r="BD146"/>
      <c r="BE146" t="s">
        <v>1306</v>
      </c>
      <c r="BF146" t="str">
        <f>HYPERLINK("http://dx.doi.org/10.1007/978-3-319-41920-6_12","http://dx.doi.org/10.1007/978-3-319-41920-6_12")</f>
        <v>http://dx.doi.org/10.1007/978-3-319-41920-6_12</v>
      </c>
      <c r="BG146"/>
      <c r="BH146"/>
      <c r="BI146"/>
      <c r="BJ146"/>
      <c r="BK146"/>
      <c r="BL146"/>
      <c r="BM146"/>
      <c r="BN146"/>
      <c r="BO146"/>
      <c r="BP146"/>
      <c r="BQ146"/>
      <c r="BR146"/>
      <c r="BS146" t="s">
        <v>1307</v>
      </c>
      <c r="BT146" t="str">
        <f>HYPERLINK("https%3A%2F%2Fwww.webofscience.com%2Fwos%2Fwoscc%2Ffull-record%2FWOS:000386510300012","View Full Record in Web of Science")</f>
        <v>View Full Record in Web of Science</v>
      </c>
    </row>
    <row r="147" spans="1:75" customHeight="1" ht="12.75">
      <c r="A147" t="s">
        <v>147</v>
      </c>
      <c r="B147" t="s">
        <v>1308</v>
      </c>
      <c r="C147"/>
      <c r="D147" t="s">
        <v>1309</v>
      </c>
      <c r="E147"/>
      <c r="F147" t="s">
        <v>1310</v>
      </c>
      <c r="G147"/>
      <c r="H147"/>
      <c r="I147" t="s">
        <v>1311</v>
      </c>
      <c r="J147" t="s">
        <v>1312</v>
      </c>
      <c r="K147" t="s">
        <v>1313</v>
      </c>
      <c r="L147"/>
      <c r="M147"/>
      <c r="N147"/>
      <c r="O147" t="s">
        <v>1314</v>
      </c>
      <c r="P147" t="s">
        <v>1315</v>
      </c>
      <c r="Q147" t="s">
        <v>1316</v>
      </c>
      <c r="R147"/>
      <c r="S147"/>
      <c r="T147"/>
      <c r="U147"/>
      <c r="V147"/>
      <c r="W147"/>
      <c r="X147"/>
      <c r="Y147"/>
      <c r="Z147"/>
      <c r="AA147" t="s">
        <v>1317</v>
      </c>
      <c r="AB147" t="s">
        <v>1318</v>
      </c>
      <c r="AC147"/>
      <c r="AD147"/>
      <c r="AE147"/>
      <c r="AF147"/>
      <c r="AG147"/>
      <c r="AH147"/>
      <c r="AI147"/>
      <c r="AJ147"/>
      <c r="AK147"/>
      <c r="AL147"/>
      <c r="AM147"/>
      <c r="AN147"/>
      <c r="AO147" t="s">
        <v>1319</v>
      </c>
      <c r="AP147"/>
      <c r="AQ147" t="s">
        <v>1320</v>
      </c>
      <c r="AR147"/>
      <c r="AS147"/>
      <c r="AT147"/>
      <c r="AU147">
        <v>2016</v>
      </c>
      <c r="AV147">
        <v>464</v>
      </c>
      <c r="AW147"/>
      <c r="AX147"/>
      <c r="AY147"/>
      <c r="AZ147"/>
      <c r="BA147"/>
      <c r="BB147">
        <v>203</v>
      </c>
      <c r="BC147">
        <v>211</v>
      </c>
      <c r="BD147"/>
      <c r="BE147" t="s">
        <v>1321</v>
      </c>
      <c r="BF147" t="str">
        <f>HYPERLINK("http://dx.doi.org/10.1007/978-3-319-33625-1_19","http://dx.doi.org/10.1007/978-3-319-33625-1_19")</f>
        <v>http://dx.doi.org/10.1007/978-3-319-33625-1_19</v>
      </c>
      <c r="BG147"/>
      <c r="BH147"/>
      <c r="BI147"/>
      <c r="BJ147"/>
      <c r="BK147"/>
      <c r="BL147"/>
      <c r="BM147"/>
      <c r="BN147"/>
      <c r="BO147"/>
      <c r="BP147"/>
      <c r="BQ147"/>
      <c r="BR147"/>
      <c r="BS147" t="s">
        <v>1322</v>
      </c>
      <c r="BT147" t="str">
        <f>HYPERLINK("https%3A%2F%2Fwww.webofscience.com%2Fwos%2Fwoscc%2Ffull-record%2FWOS:000385237600019","View Full Record in Web of Science")</f>
        <v>View Full Record in Web of Science</v>
      </c>
    </row>
    <row r="148" spans="1:75" customHeight="1" ht="12.75">
      <c r="A148" t="s">
        <v>147</v>
      </c>
      <c r="B148" t="s">
        <v>1323</v>
      </c>
      <c r="C148"/>
      <c r="D148" t="s">
        <v>739</v>
      </c>
      <c r="E148"/>
      <c r="F148" t="s">
        <v>1324</v>
      </c>
      <c r="G148"/>
      <c r="H148"/>
      <c r="I148" t="s">
        <v>1325</v>
      </c>
      <c r="J148" t="s">
        <v>1326</v>
      </c>
      <c r="K148"/>
      <c r="L148"/>
      <c r="M148"/>
      <c r="N148"/>
      <c r="O148" t="s">
        <v>744</v>
      </c>
      <c r="P148" t="s">
        <v>1327</v>
      </c>
      <c r="Q148" t="s">
        <v>1328</v>
      </c>
      <c r="R148" t="s">
        <v>1329</v>
      </c>
      <c r="S148" t="s">
        <v>1330</v>
      </c>
      <c r="T148"/>
      <c r="U148"/>
      <c r="V148"/>
      <c r="W148"/>
      <c r="X148"/>
      <c r="Y148"/>
      <c r="Z148"/>
      <c r="AA148" t="s">
        <v>1150</v>
      </c>
      <c r="AB148" t="s">
        <v>1151</v>
      </c>
      <c r="AC148"/>
      <c r="AD148"/>
      <c r="AE148"/>
      <c r="AF148"/>
      <c r="AG148"/>
      <c r="AH148"/>
      <c r="AI148"/>
      <c r="AJ148"/>
      <c r="AK148"/>
      <c r="AL148"/>
      <c r="AM148"/>
      <c r="AN148"/>
      <c r="AO148"/>
      <c r="AP148"/>
      <c r="AQ148" t="s">
        <v>1331</v>
      </c>
      <c r="AR148"/>
      <c r="AS148"/>
      <c r="AT148"/>
      <c r="AU148">
        <v>2013</v>
      </c>
      <c r="AV148"/>
      <c r="AW148"/>
      <c r="AX148"/>
      <c r="AY148"/>
      <c r="AZ148"/>
      <c r="BA148"/>
      <c r="BB148"/>
      <c r="BC148"/>
      <c r="BD148"/>
      <c r="BE148"/>
      <c r="BF148"/>
      <c r="BG148"/>
      <c r="BH148"/>
      <c r="BI148"/>
      <c r="BJ148"/>
      <c r="BK148"/>
      <c r="BL148"/>
      <c r="BM148"/>
      <c r="BN148"/>
      <c r="BO148"/>
      <c r="BP148"/>
      <c r="BQ148"/>
      <c r="BR148"/>
      <c r="BS148" t="s">
        <v>1332</v>
      </c>
      <c r="BT148" t="str">
        <f>HYPERLINK("https%3A%2F%2Fwww.webofscience.com%2Fwos%2Fwoscc%2Ffull-record%2FWOS:000331107100053","View Full Record in Web of Science")</f>
        <v>View Full Record in Web of Science</v>
      </c>
    </row>
    <row r="149" spans="1:75" customHeight="1" ht="12.75">
      <c r="A149" t="s">
        <v>72</v>
      </c>
      <c r="B149" t="s">
        <v>611</v>
      </c>
      <c r="C149"/>
      <c r="D149"/>
      <c r="E149"/>
      <c r="F149" t="s">
        <v>612</v>
      </c>
      <c r="G149"/>
      <c r="H149"/>
      <c r="I149" t="s">
        <v>1333</v>
      </c>
      <c r="J149" t="s">
        <v>623</v>
      </c>
      <c r="K149"/>
      <c r="L149"/>
      <c r="M149"/>
      <c r="N149"/>
      <c r="O149"/>
      <c r="P149"/>
      <c r="Q149"/>
      <c r="R149"/>
      <c r="S149"/>
      <c r="T149"/>
      <c r="U149"/>
      <c r="V149"/>
      <c r="W149"/>
      <c r="X149"/>
      <c r="Y149"/>
      <c r="Z149"/>
      <c r="AA149" t="s">
        <v>615</v>
      </c>
      <c r="AB149" t="s">
        <v>616</v>
      </c>
      <c r="AC149"/>
      <c r="AD149"/>
      <c r="AE149"/>
      <c r="AF149"/>
      <c r="AG149"/>
      <c r="AH149"/>
      <c r="AI149"/>
      <c r="AJ149"/>
      <c r="AK149"/>
      <c r="AL149"/>
      <c r="AM149"/>
      <c r="AN149"/>
      <c r="AO149" t="s">
        <v>624</v>
      </c>
      <c r="AP149" t="s">
        <v>1334</v>
      </c>
      <c r="AQ149"/>
      <c r="AR149"/>
      <c r="AS149"/>
      <c r="AT149" t="s">
        <v>171</v>
      </c>
      <c r="AU149">
        <v>2011</v>
      </c>
      <c r="AV149">
        <v>85</v>
      </c>
      <c r="AW149">
        <v>3</v>
      </c>
      <c r="AX149"/>
      <c r="AY149"/>
      <c r="AZ149"/>
      <c r="BA149"/>
      <c r="BB149">
        <v>499</v>
      </c>
      <c r="BC149">
        <v>502</v>
      </c>
      <c r="BD149"/>
      <c r="BE149" t="s">
        <v>1335</v>
      </c>
      <c r="BF149" t="str">
        <f>HYPERLINK("http://dx.doi.org/10.1134/S0036024411030204","http://dx.doi.org/10.1134/S0036024411030204")</f>
        <v>http://dx.doi.org/10.1134/S0036024411030204</v>
      </c>
      <c r="BG149"/>
      <c r="BH149"/>
      <c r="BI149"/>
      <c r="BJ149"/>
      <c r="BK149"/>
      <c r="BL149"/>
      <c r="BM149"/>
      <c r="BN149"/>
      <c r="BO149"/>
      <c r="BP149"/>
      <c r="BQ149"/>
      <c r="BR149"/>
      <c r="BS149" t="s">
        <v>1336</v>
      </c>
      <c r="BT149" t="str">
        <f>HYPERLINK("https%3A%2F%2Fwww.webofscience.com%2Fwos%2Fwoscc%2Ffull-record%2FWOS:000286985400027","View Full Record in Web of Science")</f>
        <v>View Full Record in Web of Science</v>
      </c>
    </row>
    <row r="150" spans="1:75" customHeight="1" ht="12.75">
      <c r="A150" t="s">
        <v>72</v>
      </c>
      <c r="B150" t="s">
        <v>1337</v>
      </c>
      <c r="C150"/>
      <c r="D150"/>
      <c r="E150"/>
      <c r="F150" t="s">
        <v>1338</v>
      </c>
      <c r="G150"/>
      <c r="H150"/>
      <c r="I150" t="s">
        <v>1339</v>
      </c>
      <c r="J150" t="s">
        <v>123</v>
      </c>
      <c r="K150"/>
      <c r="L150"/>
      <c r="M150"/>
      <c r="N150"/>
      <c r="O150"/>
      <c r="P150"/>
      <c r="Q150"/>
      <c r="R150"/>
      <c r="S150"/>
      <c r="T150"/>
      <c r="U150"/>
      <c r="V150"/>
      <c r="W150"/>
      <c r="X150"/>
      <c r="Y150"/>
      <c r="Z150"/>
      <c r="AA150"/>
      <c r="AB150" t="s">
        <v>497</v>
      </c>
      <c r="AC150"/>
      <c r="AD150"/>
      <c r="AE150"/>
      <c r="AF150"/>
      <c r="AG150"/>
      <c r="AH150"/>
      <c r="AI150"/>
      <c r="AJ150"/>
      <c r="AK150"/>
      <c r="AL150"/>
      <c r="AM150"/>
      <c r="AN150"/>
      <c r="AO150" t="s">
        <v>124</v>
      </c>
      <c r="AP150"/>
      <c r="AQ150"/>
      <c r="AR150"/>
      <c r="AS150"/>
      <c r="AT150" t="s">
        <v>491</v>
      </c>
      <c r="AU150">
        <v>2022</v>
      </c>
      <c r="AV150">
        <v>23</v>
      </c>
      <c r="AW150">
        <v>6</v>
      </c>
      <c r="AX150"/>
      <c r="AY150"/>
      <c r="AZ150"/>
      <c r="BA150"/>
      <c r="BB150">
        <v>245</v>
      </c>
      <c r="BC150">
        <v>252</v>
      </c>
      <c r="BD150"/>
      <c r="BE150" t="s">
        <v>1340</v>
      </c>
      <c r="BF150" t="str">
        <f>HYPERLINK("http://dx.doi.org/10.12911/22998993/148148","http://dx.doi.org/10.12911/22998993/148148")</f>
        <v>http://dx.doi.org/10.12911/22998993/148148</v>
      </c>
      <c r="BG150"/>
      <c r="BH150"/>
      <c r="BI150"/>
      <c r="BJ150"/>
      <c r="BK150"/>
      <c r="BL150"/>
      <c r="BM150"/>
      <c r="BN150"/>
      <c r="BO150"/>
      <c r="BP150"/>
      <c r="BQ150"/>
      <c r="BR150"/>
      <c r="BS150" t="s">
        <v>1341</v>
      </c>
      <c r="BT150" t="str">
        <f>HYPERLINK("https%3A%2F%2Fwww.webofscience.com%2Fwos%2Fwoscc%2Ffull-record%2FWOS:000814321000001","View Full Record in Web of Science")</f>
        <v>View Full Record in Web of Science</v>
      </c>
    </row>
    <row r="151" spans="1:75" customHeight="1" ht="12.75">
      <c r="A151" t="s">
        <v>1342</v>
      </c>
      <c r="B151" t="s">
        <v>1343</v>
      </c>
      <c r="C151"/>
      <c r="D151" t="s">
        <v>1344</v>
      </c>
      <c r="E151"/>
      <c r="F151" t="s">
        <v>1345</v>
      </c>
      <c r="G151"/>
      <c r="H151"/>
      <c r="I151" t="s">
        <v>1346</v>
      </c>
      <c r="J151" t="s">
        <v>1347</v>
      </c>
      <c r="K151" t="s">
        <v>1348</v>
      </c>
      <c r="L151"/>
      <c r="M151"/>
      <c r="N151"/>
      <c r="O151"/>
      <c r="P151"/>
      <c r="Q151"/>
      <c r="R151"/>
      <c r="S151"/>
      <c r="T151"/>
      <c r="U151"/>
      <c r="V151"/>
      <c r="W151"/>
      <c r="X151"/>
      <c r="Y151"/>
      <c r="Z151"/>
      <c r="AA151"/>
      <c r="AB151"/>
      <c r="AC151"/>
      <c r="AD151"/>
      <c r="AE151"/>
      <c r="AF151"/>
      <c r="AG151"/>
      <c r="AH151"/>
      <c r="AI151"/>
      <c r="AJ151"/>
      <c r="AK151"/>
      <c r="AL151"/>
      <c r="AM151"/>
      <c r="AN151"/>
      <c r="AO151" t="s">
        <v>1349</v>
      </c>
      <c r="AP151" t="s">
        <v>1350</v>
      </c>
      <c r="AQ151" t="s">
        <v>1351</v>
      </c>
      <c r="AR151"/>
      <c r="AS151"/>
      <c r="AT151"/>
      <c r="AU151">
        <v>2021</v>
      </c>
      <c r="AV151"/>
      <c r="AW151"/>
      <c r="AX151"/>
      <c r="AY151"/>
      <c r="AZ151"/>
      <c r="BA151"/>
      <c r="BB151">
        <v>335</v>
      </c>
      <c r="BC151">
        <v>342</v>
      </c>
      <c r="BD151"/>
      <c r="BE151" t="s">
        <v>1352</v>
      </c>
      <c r="BF151" t="str">
        <f>HYPERLINK("http://dx.doi.org/10.1007/978-3-030-70194-9_33","http://dx.doi.org/10.1007/978-3-030-70194-9_33")</f>
        <v>http://dx.doi.org/10.1007/978-3-030-70194-9_33</v>
      </c>
      <c r="BG151" t="s">
        <v>1353</v>
      </c>
      <c r="BH151"/>
      <c r="BI151"/>
      <c r="BJ151"/>
      <c r="BK151"/>
      <c r="BL151"/>
      <c r="BM151"/>
      <c r="BN151"/>
      <c r="BO151"/>
      <c r="BP151"/>
      <c r="BQ151"/>
      <c r="BR151"/>
      <c r="BS151" t="s">
        <v>1354</v>
      </c>
      <c r="BT151" t="str">
        <f>HYPERLINK("https%3A%2F%2Fwww.webofscience.com%2Fwos%2Fwoscc%2Ffull-record%2FWOS:000849737100032","View Full Record in Web of Science")</f>
        <v>View Full Record in Web of Science</v>
      </c>
    </row>
    <row r="152" spans="1:75" customHeight="1" ht="12.75">
      <c r="A152" t="s">
        <v>72</v>
      </c>
      <c r="B152" t="s">
        <v>1355</v>
      </c>
      <c r="C152"/>
      <c r="D152"/>
      <c r="E152"/>
      <c r="F152" t="s">
        <v>1356</v>
      </c>
      <c r="G152"/>
      <c r="H152"/>
      <c r="I152" t="s">
        <v>1357</v>
      </c>
      <c r="J152" t="s">
        <v>1358</v>
      </c>
      <c r="K152"/>
      <c r="L152"/>
      <c r="M152"/>
      <c r="N152"/>
      <c r="O152"/>
      <c r="P152"/>
      <c r="Q152"/>
      <c r="R152"/>
      <c r="S152"/>
      <c r="T152"/>
      <c r="U152"/>
      <c r="V152"/>
      <c r="W152"/>
      <c r="X152"/>
      <c r="Y152"/>
      <c r="Z152"/>
      <c r="AA152"/>
      <c r="AB152"/>
      <c r="AC152"/>
      <c r="AD152"/>
      <c r="AE152"/>
      <c r="AF152"/>
      <c r="AG152"/>
      <c r="AH152"/>
      <c r="AI152"/>
      <c r="AJ152"/>
      <c r="AK152"/>
      <c r="AL152"/>
      <c r="AM152"/>
      <c r="AN152"/>
      <c r="AO152" t="s">
        <v>1359</v>
      </c>
      <c r="AP152" t="s">
        <v>1360</v>
      </c>
      <c r="AQ152"/>
      <c r="AR152"/>
      <c r="AS152"/>
      <c r="AT152" t="s">
        <v>1173</v>
      </c>
      <c r="AU152">
        <v>2019</v>
      </c>
      <c r="AV152">
        <v>50</v>
      </c>
      <c r="AW152"/>
      <c r="AX152"/>
      <c r="AY152"/>
      <c r="AZ152"/>
      <c r="BA152"/>
      <c r="BB152">
        <v>55</v>
      </c>
      <c r="BC152">
        <v>64</v>
      </c>
      <c r="BD152"/>
      <c r="BE152" t="s">
        <v>1361</v>
      </c>
      <c r="BF152" t="str">
        <f>HYPERLINK("http://dx.doi.org/10.17223/1998863X/50/6","http://dx.doi.org/10.17223/1998863X/50/6")</f>
        <v>http://dx.doi.org/10.17223/1998863X/50/6</v>
      </c>
      <c r="BG152"/>
      <c r="BH152"/>
      <c r="BI152"/>
      <c r="BJ152"/>
      <c r="BK152"/>
      <c r="BL152"/>
      <c r="BM152"/>
      <c r="BN152"/>
      <c r="BO152"/>
      <c r="BP152"/>
      <c r="BQ152"/>
      <c r="BR152"/>
      <c r="BS152" t="s">
        <v>1362</v>
      </c>
      <c r="BT152" t="str">
        <f>HYPERLINK("https%3A%2F%2Fwww.webofscience.com%2Fwos%2Fwoscc%2Ffull-record%2FWOS:000500733100006","View Full Record in Web of Science")</f>
        <v>View Full Record in Web of Science</v>
      </c>
    </row>
    <row r="153" spans="1:75" customHeight="1" ht="12.75">
      <c r="A153" t="s">
        <v>72</v>
      </c>
      <c r="B153" t="s">
        <v>1042</v>
      </c>
      <c r="C153"/>
      <c r="D153"/>
      <c r="E153"/>
      <c r="F153" t="s">
        <v>1363</v>
      </c>
      <c r="G153"/>
      <c r="H153"/>
      <c r="I153" t="s">
        <v>1364</v>
      </c>
      <c r="J153" t="s">
        <v>1045</v>
      </c>
      <c r="K153"/>
      <c r="L153"/>
      <c r="M153"/>
      <c r="N153"/>
      <c r="O153"/>
      <c r="P153"/>
      <c r="Q153"/>
      <c r="R153"/>
      <c r="S153"/>
      <c r="T153"/>
      <c r="U153"/>
      <c r="V153"/>
      <c r="W153"/>
      <c r="X153"/>
      <c r="Y153"/>
      <c r="Z153"/>
      <c r="AA153" t="s">
        <v>1046</v>
      </c>
      <c r="AB153" t="s">
        <v>1365</v>
      </c>
      <c r="AC153"/>
      <c r="AD153"/>
      <c r="AE153"/>
      <c r="AF153"/>
      <c r="AG153"/>
      <c r="AH153"/>
      <c r="AI153"/>
      <c r="AJ153"/>
      <c r="AK153"/>
      <c r="AL153"/>
      <c r="AM153"/>
      <c r="AN153"/>
      <c r="AO153" t="s">
        <v>1048</v>
      </c>
      <c r="AP153" t="s">
        <v>1049</v>
      </c>
      <c r="AQ153"/>
      <c r="AR153"/>
      <c r="AS153"/>
      <c r="AT153" t="s">
        <v>198</v>
      </c>
      <c r="AU153">
        <v>2019</v>
      </c>
      <c r="AV153">
        <v>46</v>
      </c>
      <c r="AW153">
        <v>2</v>
      </c>
      <c r="AX153"/>
      <c r="AY153"/>
      <c r="AZ153"/>
      <c r="BA153"/>
      <c r="BB153">
        <v>110</v>
      </c>
      <c r="BC153">
        <v>116</v>
      </c>
      <c r="BD153"/>
      <c r="BE153" t="s">
        <v>1366</v>
      </c>
      <c r="BF153" t="str">
        <f>HYPERLINK("http://dx.doi.org/10.3103/S0147688219020096","http://dx.doi.org/10.3103/S0147688219020096")</f>
        <v>http://dx.doi.org/10.3103/S0147688219020096</v>
      </c>
      <c r="BG153"/>
      <c r="BH153"/>
      <c r="BI153"/>
      <c r="BJ153"/>
      <c r="BK153"/>
      <c r="BL153"/>
      <c r="BM153"/>
      <c r="BN153"/>
      <c r="BO153"/>
      <c r="BP153"/>
      <c r="BQ153"/>
      <c r="BR153"/>
      <c r="BS153" t="s">
        <v>1367</v>
      </c>
      <c r="BT153" t="str">
        <f>HYPERLINK("https%3A%2F%2Fwww.webofscience.com%2Fwos%2Fwoscc%2Ffull-record%2FWOS:000481530700008","View Full Record in Web of Science")</f>
        <v>View Full Record in Web of Science</v>
      </c>
    </row>
    <row r="154" spans="1:75" customHeight="1" ht="12.75">
      <c r="A154" t="s">
        <v>147</v>
      </c>
      <c r="B154" t="s">
        <v>1368</v>
      </c>
      <c r="C154"/>
      <c r="D154" t="s">
        <v>249</v>
      </c>
      <c r="E154"/>
      <c r="F154" t="s">
        <v>1369</v>
      </c>
      <c r="G154"/>
      <c r="H154"/>
      <c r="I154" t="s">
        <v>1370</v>
      </c>
      <c r="J154" t="s">
        <v>1371</v>
      </c>
      <c r="K154"/>
      <c r="L154"/>
      <c r="M154"/>
      <c r="N154"/>
      <c r="O154" t="s">
        <v>1372</v>
      </c>
      <c r="P154" t="s">
        <v>1373</v>
      </c>
      <c r="Q154" t="s">
        <v>256</v>
      </c>
      <c r="R154"/>
      <c r="S154" t="s">
        <v>257</v>
      </c>
      <c r="T154"/>
      <c r="U154"/>
      <c r="V154"/>
      <c r="W154"/>
      <c r="X154"/>
      <c r="Y154"/>
      <c r="Z154"/>
      <c r="AA154"/>
      <c r="AB154"/>
      <c r="AC154"/>
      <c r="AD154"/>
      <c r="AE154"/>
      <c r="AF154"/>
      <c r="AG154"/>
      <c r="AH154"/>
      <c r="AI154"/>
      <c r="AJ154"/>
      <c r="AK154"/>
      <c r="AL154"/>
      <c r="AM154"/>
      <c r="AN154"/>
      <c r="AO154"/>
      <c r="AP154"/>
      <c r="AQ154" t="s">
        <v>1374</v>
      </c>
      <c r="AR154"/>
      <c r="AS154"/>
      <c r="AT154"/>
      <c r="AU154">
        <v>2019</v>
      </c>
      <c r="AV154"/>
      <c r="AW154"/>
      <c r="AX154"/>
      <c r="AY154"/>
      <c r="AZ154"/>
      <c r="BA154"/>
      <c r="BB154">
        <v>735</v>
      </c>
      <c r="BC154">
        <v>749</v>
      </c>
      <c r="BD154"/>
      <c r="BE154" t="s">
        <v>1375</v>
      </c>
      <c r="BF154" t="str">
        <f>HYPERLINK("http://dx.doi.org/10.3897/ap.1.e0698","http://dx.doi.org/10.3897/ap.1.e0698")</f>
        <v>http://dx.doi.org/10.3897/ap.1.e0698</v>
      </c>
      <c r="BG154"/>
      <c r="BH154"/>
      <c r="BI154"/>
      <c r="BJ154"/>
      <c r="BK154"/>
      <c r="BL154"/>
      <c r="BM154"/>
      <c r="BN154"/>
      <c r="BO154"/>
      <c r="BP154"/>
      <c r="BQ154"/>
      <c r="BR154"/>
      <c r="BS154" t="s">
        <v>1376</v>
      </c>
      <c r="BT154" t="str">
        <f>HYPERLINK("https%3A%2F%2Fwww.webofscience.com%2Fwos%2Fwoscc%2Ffull-record%2FWOS:000520005200072","View Full Record in Web of Science")</f>
        <v>View Full Record in Web of Science</v>
      </c>
    </row>
    <row r="155" spans="1:75" customHeight="1" ht="12.75">
      <c r="A155" t="s">
        <v>72</v>
      </c>
      <c r="B155" t="s">
        <v>1377</v>
      </c>
      <c r="C155"/>
      <c r="D155"/>
      <c r="E155"/>
      <c r="F155" t="s">
        <v>1378</v>
      </c>
      <c r="G155"/>
      <c r="H155"/>
      <c r="I155" t="s">
        <v>1379</v>
      </c>
      <c r="J155" t="s">
        <v>1380</v>
      </c>
      <c r="K155"/>
      <c r="L155"/>
      <c r="M155"/>
      <c r="N155"/>
      <c r="O155"/>
      <c r="P155"/>
      <c r="Q155"/>
      <c r="R155"/>
      <c r="S155"/>
      <c r="T155"/>
      <c r="U155"/>
      <c r="V155"/>
      <c r="W155"/>
      <c r="X155"/>
      <c r="Y155"/>
      <c r="Z155"/>
      <c r="AA155" t="s">
        <v>1381</v>
      </c>
      <c r="AB155" t="s">
        <v>1382</v>
      </c>
      <c r="AC155"/>
      <c r="AD155"/>
      <c r="AE155"/>
      <c r="AF155"/>
      <c r="AG155"/>
      <c r="AH155"/>
      <c r="AI155"/>
      <c r="AJ155"/>
      <c r="AK155"/>
      <c r="AL155"/>
      <c r="AM155"/>
      <c r="AN155"/>
      <c r="AO155" t="s">
        <v>1383</v>
      </c>
      <c r="AP155"/>
      <c r="AQ155"/>
      <c r="AR155"/>
      <c r="AS155"/>
      <c r="AT155" t="s">
        <v>830</v>
      </c>
      <c r="AU155">
        <v>2018</v>
      </c>
      <c r="AV155">
        <v>73</v>
      </c>
      <c r="AW155">
        <v>3</v>
      </c>
      <c r="AX155"/>
      <c r="AY155"/>
      <c r="AZ155"/>
      <c r="BA155"/>
      <c r="BB155">
        <v>28</v>
      </c>
      <c r="BC155" t="s">
        <v>107</v>
      </c>
      <c r="BD155"/>
      <c r="BE155"/>
      <c r="BF155"/>
      <c r="BG155"/>
      <c r="BH155"/>
      <c r="BI155"/>
      <c r="BJ155"/>
      <c r="BK155"/>
      <c r="BL155"/>
      <c r="BM155"/>
      <c r="BN155"/>
      <c r="BO155"/>
      <c r="BP155"/>
      <c r="BQ155"/>
      <c r="BR155"/>
      <c r="BS155" t="s">
        <v>1384</v>
      </c>
      <c r="BT155" t="str">
        <f>HYPERLINK("https%3A%2F%2Fwww.webofscience.com%2Fwos%2Fwoscc%2Ffull-record%2FWOS:000444615300004","View Full Record in Web of Science")</f>
        <v>View Full Record in Web of Science</v>
      </c>
    </row>
    <row r="156" spans="1:75" customHeight="1" ht="12.75">
      <c r="A156" t="s">
        <v>147</v>
      </c>
      <c r="B156" t="s">
        <v>568</v>
      </c>
      <c r="C156"/>
      <c r="D156"/>
      <c r="E156" t="s">
        <v>210</v>
      </c>
      <c r="F156" t="s">
        <v>569</v>
      </c>
      <c r="G156"/>
      <c r="H156"/>
      <c r="I156" t="s">
        <v>1385</v>
      </c>
      <c r="J156" t="s">
        <v>1139</v>
      </c>
      <c r="K156" t="s">
        <v>390</v>
      </c>
      <c r="L156"/>
      <c r="M156"/>
      <c r="N156"/>
      <c r="O156" t="s">
        <v>1140</v>
      </c>
      <c r="P156" t="s">
        <v>1141</v>
      </c>
      <c r="Q156" t="s">
        <v>393</v>
      </c>
      <c r="R156" t="s">
        <v>1142</v>
      </c>
      <c r="S156"/>
      <c r="T156"/>
      <c r="U156"/>
      <c r="V156"/>
      <c r="W156"/>
      <c r="X156"/>
      <c r="Y156"/>
      <c r="Z156"/>
      <c r="AA156" t="s">
        <v>1386</v>
      </c>
      <c r="AB156" t="s">
        <v>1387</v>
      </c>
      <c r="AC156"/>
      <c r="AD156"/>
      <c r="AE156"/>
      <c r="AF156"/>
      <c r="AG156"/>
      <c r="AH156"/>
      <c r="AI156"/>
      <c r="AJ156"/>
      <c r="AK156"/>
      <c r="AL156"/>
      <c r="AM156"/>
      <c r="AN156"/>
      <c r="AO156" t="s">
        <v>395</v>
      </c>
      <c r="AP156"/>
      <c r="AQ156" t="s">
        <v>1145</v>
      </c>
      <c r="AR156"/>
      <c r="AS156"/>
      <c r="AT156"/>
      <c r="AU156">
        <v>2018</v>
      </c>
      <c r="AV156"/>
      <c r="AW156"/>
      <c r="AX156"/>
      <c r="AY156"/>
      <c r="AZ156"/>
      <c r="BA156"/>
      <c r="BB156">
        <v>435</v>
      </c>
      <c r="BC156">
        <v>438</v>
      </c>
      <c r="BD156"/>
      <c r="BE156"/>
      <c r="BF156"/>
      <c r="BG156"/>
      <c r="BH156"/>
      <c r="BI156"/>
      <c r="BJ156"/>
      <c r="BK156"/>
      <c r="BL156"/>
      <c r="BM156"/>
      <c r="BN156"/>
      <c r="BO156"/>
      <c r="BP156"/>
      <c r="BQ156"/>
      <c r="BR156"/>
      <c r="BS156" t="s">
        <v>1388</v>
      </c>
      <c r="BT156" t="str">
        <f>HYPERLINK("https%3A%2F%2Fwww.webofscience.com%2Fwos%2Fwoscc%2Ffull-record%2FWOS:000644432200110","View Full Record in Web of Science")</f>
        <v>View Full Record in Web of Science</v>
      </c>
    </row>
    <row r="157" spans="1:75" customHeight="1" ht="12.75">
      <c r="A157" t="s">
        <v>147</v>
      </c>
      <c r="B157" t="s">
        <v>1389</v>
      </c>
      <c r="C157"/>
      <c r="D157"/>
      <c r="E157" t="s">
        <v>210</v>
      </c>
      <c r="F157" t="s">
        <v>1390</v>
      </c>
      <c r="G157"/>
      <c r="H157"/>
      <c r="I157" t="s">
        <v>1391</v>
      </c>
      <c r="J157" t="s">
        <v>213</v>
      </c>
      <c r="K157"/>
      <c r="L157"/>
      <c r="M157"/>
      <c r="N157"/>
      <c r="O157" t="s">
        <v>214</v>
      </c>
      <c r="P157" t="s">
        <v>215</v>
      </c>
      <c r="Q157" t="s">
        <v>216</v>
      </c>
      <c r="R157"/>
      <c r="S157" t="s">
        <v>217</v>
      </c>
      <c r="T157"/>
      <c r="U157"/>
      <c r="V157"/>
      <c r="W157"/>
      <c r="X157"/>
      <c r="Y157"/>
      <c r="Z157"/>
      <c r="AA157"/>
      <c r="AB157"/>
      <c r="AC157"/>
      <c r="AD157"/>
      <c r="AE157"/>
      <c r="AF157"/>
      <c r="AG157"/>
      <c r="AH157"/>
      <c r="AI157"/>
      <c r="AJ157"/>
      <c r="AK157"/>
      <c r="AL157"/>
      <c r="AM157"/>
      <c r="AN157"/>
      <c r="AO157"/>
      <c r="AP157"/>
      <c r="AQ157" t="s">
        <v>218</v>
      </c>
      <c r="AR157"/>
      <c r="AS157"/>
      <c r="AT157"/>
      <c r="AU157">
        <v>2018</v>
      </c>
      <c r="AV157"/>
      <c r="AW157"/>
      <c r="AX157"/>
      <c r="AY157"/>
      <c r="AZ157"/>
      <c r="BA157"/>
      <c r="BB157"/>
      <c r="BC157"/>
      <c r="BD157"/>
      <c r="BE157"/>
      <c r="BF157"/>
      <c r="BG157"/>
      <c r="BH157"/>
      <c r="BI157"/>
      <c r="BJ157"/>
      <c r="BK157"/>
      <c r="BL157"/>
      <c r="BM157"/>
      <c r="BN157"/>
      <c r="BO157"/>
      <c r="BP157"/>
      <c r="BQ157"/>
      <c r="BR157"/>
      <c r="BS157" t="s">
        <v>1392</v>
      </c>
      <c r="BT157" t="str">
        <f>HYPERLINK("https%3A%2F%2Fwww.webofscience.com%2Fwos%2Fwoscc%2Ffull-record%2FWOS:000478963800186","View Full Record in Web of Science")</f>
        <v>View Full Record in Web of Science</v>
      </c>
    </row>
    <row r="158" spans="1:75" customHeight="1" ht="12.75">
      <c r="A158" t="s">
        <v>72</v>
      </c>
      <c r="B158" t="s">
        <v>1393</v>
      </c>
      <c r="C158"/>
      <c r="D158"/>
      <c r="E158"/>
      <c r="F158" t="s">
        <v>1394</v>
      </c>
      <c r="G158"/>
      <c r="H158"/>
      <c r="I158" t="s">
        <v>1395</v>
      </c>
      <c r="J158" t="s">
        <v>95</v>
      </c>
      <c r="K158"/>
      <c r="L158"/>
      <c r="M158"/>
      <c r="N158"/>
      <c r="O158"/>
      <c r="P158"/>
      <c r="Q158"/>
      <c r="R158"/>
      <c r="S158"/>
      <c r="T158"/>
      <c r="U158"/>
      <c r="V158"/>
      <c r="W158"/>
      <c r="X158"/>
      <c r="Y158"/>
      <c r="Z158"/>
      <c r="AA158"/>
      <c r="AB158"/>
      <c r="AC158"/>
      <c r="AD158"/>
      <c r="AE158"/>
      <c r="AF158"/>
      <c r="AG158"/>
      <c r="AH158"/>
      <c r="AI158"/>
      <c r="AJ158"/>
      <c r="AK158"/>
      <c r="AL158"/>
      <c r="AM158"/>
      <c r="AN158"/>
      <c r="AO158" t="s">
        <v>98</v>
      </c>
      <c r="AP158" t="s">
        <v>99</v>
      </c>
      <c r="AQ158"/>
      <c r="AR158"/>
      <c r="AS158"/>
      <c r="AT158"/>
      <c r="AU158">
        <v>2018</v>
      </c>
      <c r="AV158"/>
      <c r="AW158">
        <v>4</v>
      </c>
      <c r="AX158"/>
      <c r="AY158"/>
      <c r="AZ158"/>
      <c r="BA158"/>
      <c r="BB158">
        <v>108</v>
      </c>
      <c r="BC158">
        <v>113</v>
      </c>
      <c r="BD158"/>
      <c r="BE158" t="s">
        <v>1396</v>
      </c>
      <c r="BF158" t="str">
        <f>HYPERLINK("http://dx.doi.org/10.25750/1995-4301-2018-4-108-113","http://dx.doi.org/10.25750/1995-4301-2018-4-108-113")</f>
        <v>http://dx.doi.org/10.25750/1995-4301-2018-4-108-113</v>
      </c>
      <c r="BG158"/>
      <c r="BH158"/>
      <c r="BI158"/>
      <c r="BJ158"/>
      <c r="BK158"/>
      <c r="BL158"/>
      <c r="BM158"/>
      <c r="BN158"/>
      <c r="BO158"/>
      <c r="BP158"/>
      <c r="BQ158"/>
      <c r="BR158"/>
      <c r="BS158" t="s">
        <v>1397</v>
      </c>
      <c r="BT158" t="str">
        <f>HYPERLINK("https%3A%2F%2Fwww.webofscience.com%2Fwos%2Fwoscc%2Ffull-record%2FWOS:000468565300014","View Full Record in Web of Science")</f>
        <v>View Full Record in Web of Science</v>
      </c>
    </row>
    <row r="159" spans="1:75" customHeight="1" ht="12.75">
      <c r="A159" t="s">
        <v>72</v>
      </c>
      <c r="B159" t="s">
        <v>1398</v>
      </c>
      <c r="C159"/>
      <c r="D159"/>
      <c r="E159"/>
      <c r="F159" t="s">
        <v>1399</v>
      </c>
      <c r="G159"/>
      <c r="H159"/>
      <c r="I159" t="s">
        <v>1400</v>
      </c>
      <c r="J159" t="s">
        <v>1401</v>
      </c>
      <c r="K159"/>
      <c r="L159"/>
      <c r="M159"/>
      <c r="N159"/>
      <c r="O159"/>
      <c r="P159"/>
      <c r="Q159"/>
      <c r="R159"/>
      <c r="S159"/>
      <c r="T159"/>
      <c r="U159"/>
      <c r="V159"/>
      <c r="W159"/>
      <c r="X159"/>
      <c r="Y159"/>
      <c r="Z159"/>
      <c r="AA159" t="s">
        <v>1402</v>
      </c>
      <c r="AB159" t="s">
        <v>1403</v>
      </c>
      <c r="AC159"/>
      <c r="AD159"/>
      <c r="AE159"/>
      <c r="AF159"/>
      <c r="AG159"/>
      <c r="AH159"/>
      <c r="AI159"/>
      <c r="AJ159"/>
      <c r="AK159"/>
      <c r="AL159"/>
      <c r="AM159"/>
      <c r="AN159"/>
      <c r="AO159" t="s">
        <v>1404</v>
      </c>
      <c r="AP159" t="s">
        <v>1405</v>
      </c>
      <c r="AQ159"/>
      <c r="AR159"/>
      <c r="AS159"/>
      <c r="AT159" t="s">
        <v>541</v>
      </c>
      <c r="AU159">
        <v>2016</v>
      </c>
      <c r="AV159">
        <v>55</v>
      </c>
      <c r="AW159">
        <v>1</v>
      </c>
      <c r="AX159"/>
      <c r="AY159"/>
      <c r="AZ159"/>
      <c r="BA159"/>
      <c r="BB159">
        <v>106</v>
      </c>
      <c r="BC159">
        <v>114</v>
      </c>
      <c r="BD159"/>
      <c r="BE159" t="s">
        <v>1406</v>
      </c>
      <c r="BF159" t="str">
        <f>HYPERLINK("http://dx.doi.org/10.1134/S1064230715060106","http://dx.doi.org/10.1134/S1064230715060106")</f>
        <v>http://dx.doi.org/10.1134/S1064230715060106</v>
      </c>
      <c r="BG159"/>
      <c r="BH159"/>
      <c r="BI159"/>
      <c r="BJ159"/>
      <c r="BK159"/>
      <c r="BL159"/>
      <c r="BM159"/>
      <c r="BN159"/>
      <c r="BO159"/>
      <c r="BP159"/>
      <c r="BQ159"/>
      <c r="BR159"/>
      <c r="BS159" t="s">
        <v>1407</v>
      </c>
      <c r="BT159" t="str">
        <f>HYPERLINK("https%3A%2F%2Fwww.webofscience.com%2Fwos%2Fwoscc%2Ffull-record%2FWOS:000373156600007","View Full Record in Web of Science")</f>
        <v>View Full Record in Web of Science</v>
      </c>
    </row>
    <row r="160" spans="1:75" customHeight="1" ht="12.75">
      <c r="A160" t="s">
        <v>147</v>
      </c>
      <c r="B160" t="s">
        <v>1408</v>
      </c>
      <c r="C160"/>
      <c r="D160"/>
      <c r="E160" t="s">
        <v>280</v>
      </c>
      <c r="F160" t="s">
        <v>1409</v>
      </c>
      <c r="G160"/>
      <c r="H160"/>
      <c r="I160" t="s">
        <v>1410</v>
      </c>
      <c r="J160" t="s">
        <v>1411</v>
      </c>
      <c r="K160" t="s">
        <v>284</v>
      </c>
      <c r="L160"/>
      <c r="M160"/>
      <c r="N160"/>
      <c r="O160" t="s">
        <v>285</v>
      </c>
      <c r="P160" t="s">
        <v>286</v>
      </c>
      <c r="Q160" t="s">
        <v>287</v>
      </c>
      <c r="R160" t="s">
        <v>288</v>
      </c>
      <c r="S160"/>
      <c r="T160"/>
      <c r="U160"/>
      <c r="V160"/>
      <c r="W160"/>
      <c r="X160"/>
      <c r="Y160"/>
      <c r="Z160"/>
      <c r="AA160" t="s">
        <v>1412</v>
      </c>
      <c r="AB160" t="s">
        <v>1413</v>
      </c>
      <c r="AC160"/>
      <c r="AD160"/>
      <c r="AE160"/>
      <c r="AF160"/>
      <c r="AG160"/>
      <c r="AH160"/>
      <c r="AI160"/>
      <c r="AJ160"/>
      <c r="AK160"/>
      <c r="AL160"/>
      <c r="AM160"/>
      <c r="AN160"/>
      <c r="AO160" t="s">
        <v>289</v>
      </c>
      <c r="AP160"/>
      <c r="AQ160" t="s">
        <v>1414</v>
      </c>
      <c r="AR160"/>
      <c r="AS160"/>
      <c r="AT160"/>
      <c r="AU160">
        <v>2014</v>
      </c>
      <c r="AV160"/>
      <c r="AW160"/>
      <c r="AX160"/>
      <c r="AY160"/>
      <c r="AZ160"/>
      <c r="BA160"/>
      <c r="BB160">
        <v>187</v>
      </c>
      <c r="BC160">
        <v>194</v>
      </c>
      <c r="BD160"/>
      <c r="BE160"/>
      <c r="BF160"/>
      <c r="BG160"/>
      <c r="BH160"/>
      <c r="BI160"/>
      <c r="BJ160"/>
      <c r="BK160"/>
      <c r="BL160"/>
      <c r="BM160"/>
      <c r="BN160"/>
      <c r="BO160"/>
      <c r="BP160"/>
      <c r="BQ160"/>
      <c r="BR160"/>
      <c r="BS160" t="s">
        <v>1415</v>
      </c>
      <c r="BT160" t="str">
        <f>HYPERLINK("https%3A%2F%2Fwww.webofscience.com%2Fwos%2Fwoscc%2Ffull-record%2FWOS:000357943500021","View Full Record in Web of Science")</f>
        <v>View Full Record in Web of Science</v>
      </c>
    </row>
    <row r="161" spans="1:75" customHeight="1" ht="12.75">
      <c r="A161" t="s">
        <v>72</v>
      </c>
      <c r="B161" t="s">
        <v>1416</v>
      </c>
      <c r="C161"/>
      <c r="D161"/>
      <c r="E161"/>
      <c r="F161" t="s">
        <v>1417</v>
      </c>
      <c r="G161"/>
      <c r="H161"/>
      <c r="I161" t="s">
        <v>1418</v>
      </c>
      <c r="J161" t="s">
        <v>244</v>
      </c>
      <c r="K161"/>
      <c r="L161"/>
      <c r="M161"/>
      <c r="N161"/>
      <c r="O161"/>
      <c r="P161"/>
      <c r="Q161"/>
      <c r="R161"/>
      <c r="S161"/>
      <c r="T161"/>
      <c r="U161"/>
      <c r="V161"/>
      <c r="W161"/>
      <c r="X161"/>
      <c r="Y161"/>
      <c r="Z161"/>
      <c r="AA161" t="s">
        <v>608</v>
      </c>
      <c r="AB161" t="s">
        <v>609</v>
      </c>
      <c r="AC161"/>
      <c r="AD161"/>
      <c r="AE161"/>
      <c r="AF161"/>
      <c r="AG161"/>
      <c r="AH161"/>
      <c r="AI161"/>
      <c r="AJ161"/>
      <c r="AK161"/>
      <c r="AL161"/>
      <c r="AM161"/>
      <c r="AN161"/>
      <c r="AO161" t="s">
        <v>245</v>
      </c>
      <c r="AP161" t="s">
        <v>246</v>
      </c>
      <c r="AQ161"/>
      <c r="AR161"/>
      <c r="AS161"/>
      <c r="AT161"/>
      <c r="AU161">
        <v>2013</v>
      </c>
      <c r="AV161"/>
      <c r="AW161">
        <v>2</v>
      </c>
      <c r="AX161"/>
      <c r="AY161"/>
      <c r="AZ161"/>
      <c r="BA161"/>
      <c r="BB161">
        <v>18</v>
      </c>
      <c r="BC161">
        <v>33</v>
      </c>
      <c r="BD161"/>
      <c r="BE161"/>
      <c r="BF161"/>
      <c r="BG161"/>
      <c r="BH161"/>
      <c r="BI161"/>
      <c r="BJ161"/>
      <c r="BK161"/>
      <c r="BL161"/>
      <c r="BM161"/>
      <c r="BN161"/>
      <c r="BO161"/>
      <c r="BP161"/>
      <c r="BQ161"/>
      <c r="BR161"/>
      <c r="BS161" t="s">
        <v>1419</v>
      </c>
      <c r="BT161" t="str">
        <f>HYPERLINK("https%3A%2F%2Fwww.webofscience.com%2Fwos%2Fwoscc%2Ffull-record%2FWOS:000316525400002","View Full Record in Web of Science")</f>
        <v>View Full Record in Web of Science</v>
      </c>
    </row>
    <row r="162" spans="1:75" customHeight="1" ht="12.75">
      <c r="A162" t="s">
        <v>72</v>
      </c>
      <c r="B162" t="s">
        <v>1420</v>
      </c>
      <c r="C162"/>
      <c r="D162"/>
      <c r="E162"/>
      <c r="F162" t="s">
        <v>1421</v>
      </c>
      <c r="G162"/>
      <c r="H162"/>
      <c r="I162" t="s">
        <v>1422</v>
      </c>
      <c r="J162" t="s">
        <v>409</v>
      </c>
      <c r="K162"/>
      <c r="L162"/>
      <c r="M162"/>
      <c r="N162"/>
      <c r="O162"/>
      <c r="P162"/>
      <c r="Q162"/>
      <c r="R162"/>
      <c r="S162"/>
      <c r="T162"/>
      <c r="U162"/>
      <c r="V162"/>
      <c r="W162"/>
      <c r="X162"/>
      <c r="Y162"/>
      <c r="Z162"/>
      <c r="AA162" t="s">
        <v>480</v>
      </c>
      <c r="AB162" t="s">
        <v>481</v>
      </c>
      <c r="AC162"/>
      <c r="AD162"/>
      <c r="AE162"/>
      <c r="AF162"/>
      <c r="AG162"/>
      <c r="AH162"/>
      <c r="AI162"/>
      <c r="AJ162"/>
      <c r="AK162"/>
      <c r="AL162"/>
      <c r="AM162"/>
      <c r="AN162"/>
      <c r="AO162" t="s">
        <v>412</v>
      </c>
      <c r="AP162"/>
      <c r="AQ162"/>
      <c r="AR162"/>
      <c r="AS162"/>
      <c r="AT162" t="s">
        <v>1173</v>
      </c>
      <c r="AU162">
        <v>2012</v>
      </c>
      <c r="AV162">
        <v>85</v>
      </c>
      <c r="AW162">
        <v>8</v>
      </c>
      <c r="AX162"/>
      <c r="AY162"/>
      <c r="AZ162"/>
      <c r="BA162"/>
      <c r="BB162">
        <v>1197</v>
      </c>
      <c r="BC162">
        <v>1200</v>
      </c>
      <c r="BD162"/>
      <c r="BE162" t="s">
        <v>1423</v>
      </c>
      <c r="BF162" t="str">
        <f>HYPERLINK("http://dx.doi.org/10.1134/S1070427212080101","http://dx.doi.org/10.1134/S1070427212080101")</f>
        <v>http://dx.doi.org/10.1134/S1070427212080101</v>
      </c>
      <c r="BG162"/>
      <c r="BH162"/>
      <c r="BI162"/>
      <c r="BJ162"/>
      <c r="BK162"/>
      <c r="BL162"/>
      <c r="BM162"/>
      <c r="BN162"/>
      <c r="BO162"/>
      <c r="BP162"/>
      <c r="BQ162"/>
      <c r="BR162"/>
      <c r="BS162" t="s">
        <v>1424</v>
      </c>
      <c r="BT162" t="str">
        <f>HYPERLINK("https%3A%2F%2Fwww.webofscience.com%2Fwos%2Fwoscc%2Ffull-record%2FWOS:000308813500010","View Full Record in Web of Science")</f>
        <v>View Full Record in Web of Science</v>
      </c>
    </row>
    <row r="163" spans="1:75" customHeight="1" ht="12.75">
      <c r="A163" t="s">
        <v>72</v>
      </c>
      <c r="B163" t="s">
        <v>1176</v>
      </c>
      <c r="C163"/>
      <c r="D163"/>
      <c r="E163"/>
      <c r="F163" t="s">
        <v>1177</v>
      </c>
      <c r="G163"/>
      <c r="H163"/>
      <c r="I163" t="s">
        <v>1425</v>
      </c>
      <c r="J163" t="s">
        <v>244</v>
      </c>
      <c r="K163"/>
      <c r="L163"/>
      <c r="M163"/>
      <c r="N163"/>
      <c r="O163"/>
      <c r="P163"/>
      <c r="Q163"/>
      <c r="R163"/>
      <c r="S163"/>
      <c r="T163"/>
      <c r="U163"/>
      <c r="V163"/>
      <c r="W163"/>
      <c r="X163"/>
      <c r="Y163"/>
      <c r="Z163"/>
      <c r="AA163"/>
      <c r="AB163"/>
      <c r="AC163"/>
      <c r="AD163"/>
      <c r="AE163"/>
      <c r="AF163"/>
      <c r="AG163"/>
      <c r="AH163"/>
      <c r="AI163"/>
      <c r="AJ163"/>
      <c r="AK163"/>
      <c r="AL163"/>
      <c r="AM163"/>
      <c r="AN163"/>
      <c r="AO163" t="s">
        <v>245</v>
      </c>
      <c r="AP163"/>
      <c r="AQ163"/>
      <c r="AR163"/>
      <c r="AS163"/>
      <c r="AT163"/>
      <c r="AU163">
        <v>2007</v>
      </c>
      <c r="AV163"/>
      <c r="AW163">
        <v>5</v>
      </c>
      <c r="AX163"/>
      <c r="AY163"/>
      <c r="AZ163"/>
      <c r="BA163"/>
      <c r="BB163">
        <v>175</v>
      </c>
      <c r="BC163">
        <v>175</v>
      </c>
      <c r="BD163"/>
      <c r="BE163"/>
      <c r="BF163"/>
      <c r="BG163"/>
      <c r="BH163"/>
      <c r="BI163"/>
      <c r="BJ163"/>
      <c r="BK163"/>
      <c r="BL163"/>
      <c r="BM163"/>
      <c r="BN163"/>
      <c r="BO163"/>
      <c r="BP163"/>
      <c r="BQ163"/>
      <c r="BR163"/>
      <c r="BS163" t="s">
        <v>1426</v>
      </c>
      <c r="BT163" t="str">
        <f>HYPERLINK("https%3A%2F%2Fwww.webofscience.com%2Fwos%2Fwoscc%2Ffull-record%2FWOS:000247859600017","View Full Record in Web of Science")</f>
        <v>View Full Record in Web of Science</v>
      </c>
    </row>
    <row r="164" spans="1:75" customHeight="1" ht="12.75">
      <c r="A164" t="s">
        <v>72</v>
      </c>
      <c r="B164" t="s">
        <v>1427</v>
      </c>
      <c r="C164"/>
      <c r="D164"/>
      <c r="E164"/>
      <c r="F164" t="s">
        <v>1428</v>
      </c>
      <c r="G164"/>
      <c r="H164"/>
      <c r="I164" t="s">
        <v>1429</v>
      </c>
      <c r="J164" t="s">
        <v>304</v>
      </c>
      <c r="K164"/>
      <c r="L164"/>
      <c r="M164"/>
      <c r="N164"/>
      <c r="O164"/>
      <c r="P164"/>
      <c r="Q164"/>
      <c r="R164"/>
      <c r="S164"/>
      <c r="T164"/>
      <c r="U164"/>
      <c r="V164"/>
      <c r="W164"/>
      <c r="X164"/>
      <c r="Y164"/>
      <c r="Z164"/>
      <c r="AA164"/>
      <c r="AB164"/>
      <c r="AC164"/>
      <c r="AD164"/>
      <c r="AE164"/>
      <c r="AF164"/>
      <c r="AG164"/>
      <c r="AH164"/>
      <c r="AI164"/>
      <c r="AJ164"/>
      <c r="AK164"/>
      <c r="AL164"/>
      <c r="AM164"/>
      <c r="AN164"/>
      <c r="AO164" t="s">
        <v>77</v>
      </c>
      <c r="AP164"/>
      <c r="AQ164"/>
      <c r="AR164"/>
      <c r="AS164"/>
      <c r="AT164" t="s">
        <v>1012</v>
      </c>
      <c r="AU164">
        <v>2006</v>
      </c>
      <c r="AV164"/>
      <c r="AW164">
        <v>5</v>
      </c>
      <c r="AX164"/>
      <c r="AY164"/>
      <c r="AZ164"/>
      <c r="BA164"/>
      <c r="BB164">
        <v>39</v>
      </c>
      <c r="BC164">
        <v>49</v>
      </c>
      <c r="BD164"/>
      <c r="BE164"/>
      <c r="BF164"/>
      <c r="BG164"/>
      <c r="BH164"/>
      <c r="BI164"/>
      <c r="BJ164"/>
      <c r="BK164"/>
      <c r="BL164"/>
      <c r="BM164"/>
      <c r="BN164"/>
      <c r="BO164"/>
      <c r="BP164"/>
      <c r="BQ164"/>
      <c r="BR164"/>
      <c r="BS164" t="s">
        <v>1430</v>
      </c>
      <c r="BT164" t="str">
        <f>HYPERLINK("https%3A%2F%2Fwww.webofscience.com%2Fwos%2Fwoscc%2Ffull-record%2FWOS:000241086700004","View Full Record in Web of Science")</f>
        <v>View Full Record in Web of Science</v>
      </c>
    </row>
    <row r="165" spans="1:75" customHeight="1" ht="12.75">
      <c r="A165" t="s">
        <v>72</v>
      </c>
      <c r="B165" t="s">
        <v>1431</v>
      </c>
      <c r="C165"/>
      <c r="D165"/>
      <c r="E165"/>
      <c r="F165" t="s">
        <v>1431</v>
      </c>
      <c r="G165"/>
      <c r="H165"/>
      <c r="I165" t="s">
        <v>1432</v>
      </c>
      <c r="J165" t="s">
        <v>1433</v>
      </c>
      <c r="K165"/>
      <c r="L165"/>
      <c r="M165"/>
      <c r="N165"/>
      <c r="O165"/>
      <c r="P165"/>
      <c r="Q165"/>
      <c r="R165"/>
      <c r="S165"/>
      <c r="T165"/>
      <c r="U165"/>
      <c r="V165"/>
      <c r="W165"/>
      <c r="X165"/>
      <c r="Y165"/>
      <c r="Z165"/>
      <c r="AA165"/>
      <c r="AB165"/>
      <c r="AC165"/>
      <c r="AD165"/>
      <c r="AE165"/>
      <c r="AF165"/>
      <c r="AG165"/>
      <c r="AH165"/>
      <c r="AI165"/>
      <c r="AJ165"/>
      <c r="AK165"/>
      <c r="AL165"/>
      <c r="AM165"/>
      <c r="AN165"/>
      <c r="AO165" t="s">
        <v>1434</v>
      </c>
      <c r="AP165"/>
      <c r="AQ165"/>
      <c r="AR165"/>
      <c r="AS165"/>
      <c r="AT165" t="s">
        <v>655</v>
      </c>
      <c r="AU165">
        <v>1997</v>
      </c>
      <c r="AV165">
        <v>61</v>
      </c>
      <c r="AW165">
        <v>2</v>
      </c>
      <c r="AX165"/>
      <c r="AY165"/>
      <c r="AZ165"/>
      <c r="BA165"/>
      <c r="BB165">
        <v>246</v>
      </c>
      <c r="BC165">
        <v>248</v>
      </c>
      <c r="BD165"/>
      <c r="BE165"/>
      <c r="BF165"/>
      <c r="BG165"/>
      <c r="BH165"/>
      <c r="BI165"/>
      <c r="BJ165"/>
      <c r="BK165"/>
      <c r="BL165"/>
      <c r="BM165"/>
      <c r="BN165"/>
      <c r="BO165"/>
      <c r="BP165"/>
      <c r="BQ165"/>
      <c r="BR165"/>
      <c r="BS165" t="s">
        <v>1435</v>
      </c>
      <c r="BT165" t="str">
        <f>HYPERLINK("https%3A%2F%2Fwww.webofscience.com%2Fwos%2Fwoscc%2Ffull-record%2FWOS:A1997WU95900007","View Full Record in Web of Science")</f>
        <v>View Full Record in Web of Science</v>
      </c>
    </row>
    <row r="166" spans="1:75" customHeight="1" ht="12.75">
      <c r="A166" t="s">
        <v>72</v>
      </c>
      <c r="B166" t="s">
        <v>1436</v>
      </c>
      <c r="C166"/>
      <c r="D166"/>
      <c r="E166"/>
      <c r="F166" t="s">
        <v>1436</v>
      </c>
      <c r="G166"/>
      <c r="H166"/>
      <c r="I166" t="s">
        <v>1437</v>
      </c>
      <c r="J166" t="s">
        <v>244</v>
      </c>
      <c r="K166"/>
      <c r="L166"/>
      <c r="M166"/>
      <c r="N166"/>
      <c r="O166"/>
      <c r="P166"/>
      <c r="Q166"/>
      <c r="R166"/>
      <c r="S166"/>
      <c r="T166"/>
      <c r="U166"/>
      <c r="V166"/>
      <c r="W166"/>
      <c r="X166"/>
      <c r="Y166"/>
      <c r="Z166"/>
      <c r="AA166"/>
      <c r="AB166"/>
      <c r="AC166"/>
      <c r="AD166"/>
      <c r="AE166"/>
      <c r="AF166"/>
      <c r="AG166"/>
      <c r="AH166"/>
      <c r="AI166"/>
      <c r="AJ166"/>
      <c r="AK166"/>
      <c r="AL166"/>
      <c r="AM166"/>
      <c r="AN166"/>
      <c r="AO166" t="s">
        <v>245</v>
      </c>
      <c r="AP166"/>
      <c r="AQ166"/>
      <c r="AR166"/>
      <c r="AS166"/>
      <c r="AT166"/>
      <c r="AU166">
        <v>1997</v>
      </c>
      <c r="AV166"/>
      <c r="AW166">
        <v>5</v>
      </c>
      <c r="AX166"/>
      <c r="AY166"/>
      <c r="AZ166"/>
      <c r="BA166"/>
      <c r="BB166">
        <v>38</v>
      </c>
      <c r="BC166">
        <v>48</v>
      </c>
      <c r="BD166"/>
      <c r="BE166"/>
      <c r="BF166"/>
      <c r="BG166"/>
      <c r="BH166"/>
      <c r="BI166"/>
      <c r="BJ166"/>
      <c r="BK166"/>
      <c r="BL166"/>
      <c r="BM166"/>
      <c r="BN166"/>
      <c r="BO166"/>
      <c r="BP166"/>
      <c r="BQ166"/>
      <c r="BR166"/>
      <c r="BS166" t="s">
        <v>1438</v>
      </c>
      <c r="BT166" t="str">
        <f>HYPERLINK("https%3A%2F%2Fwww.webofscience.com%2Fwos%2Fwoscc%2Ffull-record%2FWOS:A1997XG33200003","View Full Record in Web of Science")</f>
        <v>View Full Record in Web of Science</v>
      </c>
    </row>
    <row r="167" spans="1:75" customHeight="1" ht="12.75">
      <c r="A167" t="s">
        <v>72</v>
      </c>
      <c r="B167" t="s">
        <v>1439</v>
      </c>
      <c r="C167"/>
      <c r="D167"/>
      <c r="E167"/>
      <c r="F167" t="s">
        <v>1440</v>
      </c>
      <c r="G167"/>
      <c r="H167"/>
      <c r="I167" t="s">
        <v>1441</v>
      </c>
      <c r="J167" t="s">
        <v>244</v>
      </c>
      <c r="K167"/>
      <c r="L167"/>
      <c r="M167"/>
      <c r="N167"/>
      <c r="O167"/>
      <c r="P167"/>
      <c r="Q167"/>
      <c r="R167"/>
      <c r="S167"/>
      <c r="T167"/>
      <c r="U167"/>
      <c r="V167"/>
      <c r="W167"/>
      <c r="X167"/>
      <c r="Y167"/>
      <c r="Z167"/>
      <c r="AA167" t="s">
        <v>1442</v>
      </c>
      <c r="AB167" t="s">
        <v>1443</v>
      </c>
      <c r="AC167"/>
      <c r="AD167"/>
      <c r="AE167"/>
      <c r="AF167"/>
      <c r="AG167"/>
      <c r="AH167"/>
      <c r="AI167"/>
      <c r="AJ167"/>
      <c r="AK167"/>
      <c r="AL167"/>
      <c r="AM167"/>
      <c r="AN167"/>
      <c r="AO167" t="s">
        <v>245</v>
      </c>
      <c r="AP167" t="s">
        <v>246</v>
      </c>
      <c r="AQ167"/>
      <c r="AR167"/>
      <c r="AS167"/>
      <c r="AT167"/>
      <c r="AU167">
        <v>2021</v>
      </c>
      <c r="AV167">
        <v>6</v>
      </c>
      <c r="AW167">
        <v>2</v>
      </c>
      <c r="AX167"/>
      <c r="AY167"/>
      <c r="AZ167"/>
      <c r="BA167"/>
      <c r="BB167">
        <v>139</v>
      </c>
      <c r="BC167">
        <v>151</v>
      </c>
      <c r="BD167"/>
      <c r="BE167" t="s">
        <v>1444</v>
      </c>
      <c r="BF167" t="str">
        <f>HYPERLINK("http://dx.doi.org/10.31166/VoprosyIstorii202106Statyi39","http://dx.doi.org/10.31166/VoprosyIstorii202106Statyi39")</f>
        <v>http://dx.doi.org/10.31166/VoprosyIstorii202106Statyi39</v>
      </c>
      <c r="BG167"/>
      <c r="BH167"/>
      <c r="BI167"/>
      <c r="BJ167"/>
      <c r="BK167"/>
      <c r="BL167"/>
      <c r="BM167"/>
      <c r="BN167"/>
      <c r="BO167"/>
      <c r="BP167"/>
      <c r="BQ167"/>
      <c r="BR167"/>
      <c r="BS167" t="s">
        <v>1445</v>
      </c>
      <c r="BT167" t="str">
        <f>HYPERLINK("https%3A%2F%2Fwww.webofscience.com%2Fwos%2Fwoscc%2Ffull-record%2FWOS:000729816200015","View Full Record in Web of Science")</f>
        <v>View Full Record in Web of Science</v>
      </c>
    </row>
    <row r="168" spans="1:75" customHeight="1" ht="12.75">
      <c r="A168" t="s">
        <v>72</v>
      </c>
      <c r="B168" t="s">
        <v>581</v>
      </c>
      <c r="C168"/>
      <c r="D168"/>
      <c r="E168"/>
      <c r="F168" t="s">
        <v>582</v>
      </c>
      <c r="G168"/>
      <c r="H168"/>
      <c r="I168" t="s">
        <v>1446</v>
      </c>
      <c r="J168" t="s">
        <v>584</v>
      </c>
      <c r="K168"/>
      <c r="L168"/>
      <c r="M168"/>
      <c r="N168"/>
      <c r="O168"/>
      <c r="P168"/>
      <c r="Q168"/>
      <c r="R168"/>
      <c r="S168"/>
      <c r="T168"/>
      <c r="U168"/>
      <c r="V168"/>
      <c r="W168"/>
      <c r="X168"/>
      <c r="Y168"/>
      <c r="Z168"/>
      <c r="AA168" t="s">
        <v>1447</v>
      </c>
      <c r="AB168" t="s">
        <v>1448</v>
      </c>
      <c r="AC168"/>
      <c r="AD168"/>
      <c r="AE168"/>
      <c r="AF168"/>
      <c r="AG168"/>
      <c r="AH168"/>
      <c r="AI168"/>
      <c r="AJ168"/>
      <c r="AK168"/>
      <c r="AL168"/>
      <c r="AM168"/>
      <c r="AN168"/>
      <c r="AO168" t="s">
        <v>1449</v>
      </c>
      <c r="AP168" t="s">
        <v>588</v>
      </c>
      <c r="AQ168"/>
      <c r="AR168"/>
      <c r="AS168"/>
      <c r="AT168"/>
      <c r="AU168">
        <v>2021</v>
      </c>
      <c r="AV168">
        <v>107</v>
      </c>
      <c r="AW168">
        <v>7</v>
      </c>
      <c r="AX168"/>
      <c r="AY168"/>
      <c r="AZ168"/>
      <c r="BA168"/>
      <c r="BB168"/>
      <c r="BC168"/>
      <c r="BD168">
        <v>10707</v>
      </c>
      <c r="BE168" t="s">
        <v>1450</v>
      </c>
      <c r="BF168" t="str">
        <f>HYPERLINK("http://dx.doi.org/10.34910/MCE.107.7","http://dx.doi.org/10.34910/MCE.107.7")</f>
        <v>http://dx.doi.org/10.34910/MCE.107.7</v>
      </c>
      <c r="BG168"/>
      <c r="BH168"/>
      <c r="BI168"/>
      <c r="BJ168"/>
      <c r="BK168"/>
      <c r="BL168"/>
      <c r="BM168"/>
      <c r="BN168"/>
      <c r="BO168"/>
      <c r="BP168"/>
      <c r="BQ168"/>
      <c r="BR168"/>
      <c r="BS168" t="s">
        <v>1451</v>
      </c>
      <c r="BT168" t="str">
        <f>HYPERLINK("https%3A%2F%2Fwww.webofscience.com%2Fwos%2Fwoscc%2Ffull-record%2FWOS:000730911700005","View Full Record in Web of Science")</f>
        <v>View Full Record in Web of Science</v>
      </c>
    </row>
    <row r="169" spans="1:75" customHeight="1" ht="12.75">
      <c r="A169" t="s">
        <v>147</v>
      </c>
      <c r="B169" t="s">
        <v>1452</v>
      </c>
      <c r="C169"/>
      <c r="D169" t="s">
        <v>149</v>
      </c>
      <c r="E169"/>
      <c r="F169" t="s">
        <v>1453</v>
      </c>
      <c r="G169"/>
      <c r="H169"/>
      <c r="I169" t="s">
        <v>1454</v>
      </c>
      <c r="J169" t="s">
        <v>152</v>
      </c>
      <c r="K169" t="s">
        <v>153</v>
      </c>
      <c r="L169"/>
      <c r="M169"/>
      <c r="N169"/>
      <c r="O169" t="s">
        <v>154</v>
      </c>
      <c r="P169" t="s">
        <v>155</v>
      </c>
      <c r="Q169" t="s">
        <v>156</v>
      </c>
      <c r="R169" t="s">
        <v>157</v>
      </c>
      <c r="S169"/>
      <c r="T169"/>
      <c r="U169"/>
      <c r="V169"/>
      <c r="W169"/>
      <c r="X169"/>
      <c r="Y169"/>
      <c r="Z169"/>
      <c r="AA169"/>
      <c r="AB169"/>
      <c r="AC169"/>
      <c r="AD169"/>
      <c r="AE169"/>
      <c r="AF169"/>
      <c r="AG169"/>
      <c r="AH169"/>
      <c r="AI169"/>
      <c r="AJ169"/>
      <c r="AK169"/>
      <c r="AL169"/>
      <c r="AM169"/>
      <c r="AN169"/>
      <c r="AO169" t="s">
        <v>158</v>
      </c>
      <c r="AP169" t="s">
        <v>159</v>
      </c>
      <c r="AQ169" t="s">
        <v>160</v>
      </c>
      <c r="AR169"/>
      <c r="AS169"/>
      <c r="AT169"/>
      <c r="AU169">
        <v>2020</v>
      </c>
      <c r="AV169">
        <v>641</v>
      </c>
      <c r="AW169"/>
      <c r="AX169"/>
      <c r="AY169"/>
      <c r="AZ169"/>
      <c r="BA169"/>
      <c r="BB169">
        <v>596</v>
      </c>
      <c r="BC169">
        <v>605</v>
      </c>
      <c r="BD169"/>
      <c r="BE169" t="s">
        <v>1455</v>
      </c>
      <c r="BF169" t="str">
        <f>HYPERLINK("http://dx.doi.org/10.1007/978-3-030-39225-3_65","http://dx.doi.org/10.1007/978-3-030-39225-3_65")</f>
        <v>http://dx.doi.org/10.1007/978-3-030-39225-3_65</v>
      </c>
      <c r="BG169"/>
      <c r="BH169"/>
      <c r="BI169"/>
      <c r="BJ169"/>
      <c r="BK169"/>
      <c r="BL169"/>
      <c r="BM169"/>
      <c r="BN169"/>
      <c r="BO169"/>
      <c r="BP169"/>
      <c r="BQ169"/>
      <c r="BR169"/>
      <c r="BS169" t="s">
        <v>1456</v>
      </c>
      <c r="BT169" t="str">
        <f>HYPERLINK("https%3A%2F%2Fwww.webofscience.com%2Fwos%2Fwoscc%2Ffull-record%2FWOS:000675525300065","View Full Record in Web of Science")</f>
        <v>View Full Record in Web of Science</v>
      </c>
    </row>
    <row r="170" spans="1:75" customHeight="1" ht="12.75">
      <c r="A170" t="s">
        <v>72</v>
      </c>
      <c r="B170" t="s">
        <v>1457</v>
      </c>
      <c r="C170"/>
      <c r="D170"/>
      <c r="E170"/>
      <c r="F170" t="s">
        <v>1458</v>
      </c>
      <c r="G170"/>
      <c r="H170"/>
      <c r="I170" t="s">
        <v>1459</v>
      </c>
      <c r="J170" t="s">
        <v>244</v>
      </c>
      <c r="K170"/>
      <c r="L170"/>
      <c r="M170"/>
      <c r="N170"/>
      <c r="O170"/>
      <c r="P170"/>
      <c r="Q170"/>
      <c r="R170"/>
      <c r="S170"/>
      <c r="T170"/>
      <c r="U170"/>
      <c r="V170"/>
      <c r="W170"/>
      <c r="X170"/>
      <c r="Y170"/>
      <c r="Z170"/>
      <c r="AA170" t="s">
        <v>1460</v>
      </c>
      <c r="AB170" t="s">
        <v>1461</v>
      </c>
      <c r="AC170"/>
      <c r="AD170"/>
      <c r="AE170"/>
      <c r="AF170"/>
      <c r="AG170"/>
      <c r="AH170"/>
      <c r="AI170"/>
      <c r="AJ170"/>
      <c r="AK170"/>
      <c r="AL170"/>
      <c r="AM170"/>
      <c r="AN170"/>
      <c r="AO170" t="s">
        <v>245</v>
      </c>
      <c r="AP170" t="s">
        <v>246</v>
      </c>
      <c r="AQ170"/>
      <c r="AR170"/>
      <c r="AS170"/>
      <c r="AT170"/>
      <c r="AU170">
        <v>2020</v>
      </c>
      <c r="AV170"/>
      <c r="AW170">
        <v>6</v>
      </c>
      <c r="AX170"/>
      <c r="AY170"/>
      <c r="AZ170"/>
      <c r="BA170"/>
      <c r="BB170">
        <v>129</v>
      </c>
      <c r="BC170">
        <v>140</v>
      </c>
      <c r="BD170"/>
      <c r="BE170" t="s">
        <v>1462</v>
      </c>
      <c r="BF170" t="str">
        <f>HYPERLINK("http://dx.doi.org/10.31166/VoprosyIstorii202006Statyi08","http://dx.doi.org/10.31166/VoprosyIstorii202006Statyi08")</f>
        <v>http://dx.doi.org/10.31166/VoprosyIstorii202006Statyi08</v>
      </c>
      <c r="BG170"/>
      <c r="BH170"/>
      <c r="BI170"/>
      <c r="BJ170"/>
      <c r="BK170"/>
      <c r="BL170"/>
      <c r="BM170"/>
      <c r="BN170"/>
      <c r="BO170"/>
      <c r="BP170"/>
      <c r="BQ170"/>
      <c r="BR170"/>
      <c r="BS170" t="s">
        <v>1463</v>
      </c>
      <c r="BT170" t="str">
        <f>HYPERLINK("https%3A%2F%2Fwww.webofscience.com%2Fwos%2Fwoscc%2Ffull-record%2FWOS:000657722200008","View Full Record in Web of Science")</f>
        <v>View Full Record in Web of Science</v>
      </c>
    </row>
    <row r="171" spans="1:75" customHeight="1" ht="12.75">
      <c r="A171" t="s">
        <v>147</v>
      </c>
      <c r="B171" t="s">
        <v>1464</v>
      </c>
      <c r="C171"/>
      <c r="D171"/>
      <c r="E171" t="s">
        <v>1465</v>
      </c>
      <c r="F171" t="s">
        <v>1466</v>
      </c>
      <c r="G171"/>
      <c r="H171"/>
      <c r="I171" t="s">
        <v>1467</v>
      </c>
      <c r="J171" t="s">
        <v>1468</v>
      </c>
      <c r="K171" t="s">
        <v>1469</v>
      </c>
      <c r="L171"/>
      <c r="M171"/>
      <c r="N171"/>
      <c r="O171" t="s">
        <v>1277</v>
      </c>
      <c r="P171" t="s">
        <v>771</v>
      </c>
      <c r="Q171" t="s">
        <v>1470</v>
      </c>
      <c r="R171" t="s">
        <v>1471</v>
      </c>
      <c r="S171"/>
      <c r="T171"/>
      <c r="U171"/>
      <c r="V171"/>
      <c r="W171"/>
      <c r="X171"/>
      <c r="Y171"/>
      <c r="Z171"/>
      <c r="AA171"/>
      <c r="AB171" t="s">
        <v>774</v>
      </c>
      <c r="AC171"/>
      <c r="AD171"/>
      <c r="AE171"/>
      <c r="AF171"/>
      <c r="AG171"/>
      <c r="AH171"/>
      <c r="AI171"/>
      <c r="AJ171"/>
      <c r="AK171"/>
      <c r="AL171"/>
      <c r="AM171"/>
      <c r="AN171"/>
      <c r="AO171" t="s">
        <v>1472</v>
      </c>
      <c r="AP171"/>
      <c r="AQ171"/>
      <c r="AR171"/>
      <c r="AS171"/>
      <c r="AT171"/>
      <c r="AU171">
        <v>2020</v>
      </c>
      <c r="AV171">
        <v>971</v>
      </c>
      <c r="AW171"/>
      <c r="AX171"/>
      <c r="AY171"/>
      <c r="AZ171"/>
      <c r="BA171"/>
      <c r="BB171"/>
      <c r="BC171"/>
      <c r="BD171">
        <v>32024</v>
      </c>
      <c r="BE171" t="s">
        <v>1473</v>
      </c>
      <c r="BF171" t="str">
        <f>HYPERLINK("http://dx.doi.org/10.1088/1757-899X/971/3/032024","http://dx.doi.org/10.1088/1757-899X/971/3/032024")</f>
        <v>http://dx.doi.org/10.1088/1757-899X/971/3/032024</v>
      </c>
      <c r="BG171"/>
      <c r="BH171"/>
      <c r="BI171"/>
      <c r="BJ171"/>
      <c r="BK171"/>
      <c r="BL171"/>
      <c r="BM171"/>
      <c r="BN171"/>
      <c r="BO171"/>
      <c r="BP171"/>
      <c r="BQ171"/>
      <c r="BR171"/>
      <c r="BS171" t="s">
        <v>1474</v>
      </c>
      <c r="BT171" t="str">
        <f>HYPERLINK("https%3A%2F%2Fwww.webofscience.com%2Fwos%2Fwoscc%2Ffull-record%2FWOS:000646359100125","View Full Record in Web of Science")</f>
        <v>View Full Record in Web of Science</v>
      </c>
    </row>
    <row r="172" spans="1:75" customHeight="1" ht="12.75">
      <c r="A172" t="s">
        <v>72</v>
      </c>
      <c r="B172" t="s">
        <v>1475</v>
      </c>
      <c r="C172"/>
      <c r="D172"/>
      <c r="E172"/>
      <c r="F172" t="s">
        <v>1476</v>
      </c>
      <c r="G172"/>
      <c r="H172"/>
      <c r="I172" t="s">
        <v>1477</v>
      </c>
      <c r="J172" t="s">
        <v>1478</v>
      </c>
      <c r="K172"/>
      <c r="L172"/>
      <c r="M172"/>
      <c r="N172"/>
      <c r="O172"/>
      <c r="P172"/>
      <c r="Q172"/>
      <c r="R172"/>
      <c r="S172"/>
      <c r="T172"/>
      <c r="U172"/>
      <c r="V172"/>
      <c r="W172"/>
      <c r="X172"/>
      <c r="Y172"/>
      <c r="Z172"/>
      <c r="AA172" t="s">
        <v>608</v>
      </c>
      <c r="AB172" t="s">
        <v>609</v>
      </c>
      <c r="AC172"/>
      <c r="AD172"/>
      <c r="AE172"/>
      <c r="AF172"/>
      <c r="AG172"/>
      <c r="AH172"/>
      <c r="AI172"/>
      <c r="AJ172"/>
      <c r="AK172"/>
      <c r="AL172"/>
      <c r="AM172"/>
      <c r="AN172"/>
      <c r="AO172" t="s">
        <v>1479</v>
      </c>
      <c r="AP172"/>
      <c r="AQ172"/>
      <c r="AR172"/>
      <c r="AS172"/>
      <c r="AT172"/>
      <c r="AU172">
        <v>2020</v>
      </c>
      <c r="AV172"/>
      <c r="AW172">
        <v>4</v>
      </c>
      <c r="AX172"/>
      <c r="AY172"/>
      <c r="AZ172"/>
      <c r="BA172"/>
      <c r="BB172">
        <v>98</v>
      </c>
      <c r="BC172">
        <v>118</v>
      </c>
      <c r="BD172"/>
      <c r="BE172" t="s">
        <v>1480</v>
      </c>
      <c r="BF172" t="str">
        <f>HYPERLINK("http://dx.doi.org/10.24411/2500-2872-2020-10030","http://dx.doi.org/10.24411/2500-2872-2020-10030")</f>
        <v>http://dx.doi.org/10.24411/2500-2872-2020-10030</v>
      </c>
      <c r="BG172"/>
      <c r="BH172"/>
      <c r="BI172"/>
      <c r="BJ172"/>
      <c r="BK172"/>
      <c r="BL172"/>
      <c r="BM172"/>
      <c r="BN172"/>
      <c r="BO172"/>
      <c r="BP172"/>
      <c r="BQ172"/>
      <c r="BR172"/>
      <c r="BS172" t="s">
        <v>1481</v>
      </c>
      <c r="BT172" t="str">
        <f>HYPERLINK("https%3A%2F%2Fwww.webofscience.com%2Fwos%2Fwoscc%2Ffull-record%2FWOS:000604555300006","View Full Record in Web of Science")</f>
        <v>View Full Record in Web of Science</v>
      </c>
    </row>
    <row r="173" spans="1:75" customHeight="1" ht="12.75">
      <c r="A173" t="s">
        <v>72</v>
      </c>
      <c r="B173" t="s">
        <v>1482</v>
      </c>
      <c r="C173"/>
      <c r="D173"/>
      <c r="E173"/>
      <c r="F173" t="s">
        <v>1483</v>
      </c>
      <c r="G173"/>
      <c r="H173"/>
      <c r="I173" t="s">
        <v>1484</v>
      </c>
      <c r="J173" t="s">
        <v>166</v>
      </c>
      <c r="K173"/>
      <c r="L173"/>
      <c r="M173"/>
      <c r="N173"/>
      <c r="O173"/>
      <c r="P173"/>
      <c r="Q173"/>
      <c r="R173"/>
      <c r="S173"/>
      <c r="T173"/>
      <c r="U173"/>
      <c r="V173"/>
      <c r="W173"/>
      <c r="X173"/>
      <c r="Y173"/>
      <c r="Z173"/>
      <c r="AA173" t="s">
        <v>1485</v>
      </c>
      <c r="AB173" t="s">
        <v>1486</v>
      </c>
      <c r="AC173"/>
      <c r="AD173"/>
      <c r="AE173"/>
      <c r="AF173"/>
      <c r="AG173"/>
      <c r="AH173"/>
      <c r="AI173"/>
      <c r="AJ173"/>
      <c r="AK173"/>
      <c r="AL173"/>
      <c r="AM173"/>
      <c r="AN173"/>
      <c r="AO173" t="s">
        <v>169</v>
      </c>
      <c r="AP173" t="s">
        <v>170</v>
      </c>
      <c r="AQ173"/>
      <c r="AR173"/>
      <c r="AS173"/>
      <c r="AT173" t="s">
        <v>491</v>
      </c>
      <c r="AU173">
        <v>2019</v>
      </c>
      <c r="AV173">
        <v>8</v>
      </c>
      <c r="AW173">
        <v>2</v>
      </c>
      <c r="AX173"/>
      <c r="AY173"/>
      <c r="AZ173"/>
      <c r="BA173"/>
      <c r="BB173">
        <v>357</v>
      </c>
      <c r="BC173">
        <v>369</v>
      </c>
      <c r="BD173"/>
      <c r="BE173" t="s">
        <v>1487</v>
      </c>
      <c r="BF173" t="str">
        <f>HYPERLINK("http://dx.doi.org/10.13187/ejced.2019.2.357","http://dx.doi.org/10.13187/ejced.2019.2.357")</f>
        <v>http://dx.doi.org/10.13187/ejced.2019.2.357</v>
      </c>
      <c r="BG173"/>
      <c r="BH173"/>
      <c r="BI173"/>
      <c r="BJ173"/>
      <c r="BK173"/>
      <c r="BL173"/>
      <c r="BM173"/>
      <c r="BN173"/>
      <c r="BO173"/>
      <c r="BP173"/>
      <c r="BQ173"/>
      <c r="BR173"/>
      <c r="BS173" t="s">
        <v>1488</v>
      </c>
      <c r="BT173" t="str">
        <f>HYPERLINK("https%3A%2F%2Fwww.webofscience.com%2Fwos%2Fwoscc%2Ffull-record%2FWOS:000471936000009","View Full Record in Web of Science")</f>
        <v>View Full Record in Web of Science</v>
      </c>
    </row>
    <row r="174" spans="1:75" customHeight="1" ht="12.75">
      <c r="A174" t="s">
        <v>147</v>
      </c>
      <c r="B174" t="s">
        <v>1489</v>
      </c>
      <c r="C174"/>
      <c r="D174" t="s">
        <v>1490</v>
      </c>
      <c r="E174"/>
      <c r="F174" t="s">
        <v>1491</v>
      </c>
      <c r="G174"/>
      <c r="H174"/>
      <c r="I174" t="s">
        <v>1492</v>
      </c>
      <c r="J174" t="s">
        <v>1493</v>
      </c>
      <c r="K174" t="s">
        <v>1494</v>
      </c>
      <c r="L174"/>
      <c r="M174"/>
      <c r="N174"/>
      <c r="O174" t="s">
        <v>1495</v>
      </c>
      <c r="P174" t="s">
        <v>1496</v>
      </c>
      <c r="Q174" t="s">
        <v>256</v>
      </c>
      <c r="R174" t="s">
        <v>1497</v>
      </c>
      <c r="S174" t="s">
        <v>257</v>
      </c>
      <c r="T174"/>
      <c r="U174"/>
      <c r="V174"/>
      <c r="W174"/>
      <c r="X174"/>
      <c r="Y174"/>
      <c r="Z174"/>
      <c r="AA174" t="s">
        <v>1498</v>
      </c>
      <c r="AB174" t="s">
        <v>1499</v>
      </c>
      <c r="AC174"/>
      <c r="AD174"/>
      <c r="AE174"/>
      <c r="AF174"/>
      <c r="AG174"/>
      <c r="AH174"/>
      <c r="AI174"/>
      <c r="AJ174"/>
      <c r="AK174"/>
      <c r="AL174"/>
      <c r="AM174"/>
      <c r="AN174"/>
      <c r="AO174" t="s">
        <v>1500</v>
      </c>
      <c r="AP174" t="s">
        <v>1304</v>
      </c>
      <c r="AQ174" t="s">
        <v>1501</v>
      </c>
      <c r="AR174"/>
      <c r="AS174"/>
      <c r="AT174"/>
      <c r="AU174">
        <v>2019</v>
      </c>
      <c r="AV174">
        <v>11832</v>
      </c>
      <c r="AW174"/>
      <c r="AX174"/>
      <c r="AY174"/>
      <c r="AZ174"/>
      <c r="BA174"/>
      <c r="BB174">
        <v>134</v>
      </c>
      <c r="BC174">
        <v>144</v>
      </c>
      <c r="BD174"/>
      <c r="BE174" t="s">
        <v>1502</v>
      </c>
      <c r="BF174" t="str">
        <f>HYPERLINK("http://dx.doi.org/10.1007/978-3-030-37334-4_12","http://dx.doi.org/10.1007/978-3-030-37334-4_12")</f>
        <v>http://dx.doi.org/10.1007/978-3-030-37334-4_12</v>
      </c>
      <c r="BG174"/>
      <c r="BH174"/>
      <c r="BI174"/>
      <c r="BJ174"/>
      <c r="BK174"/>
      <c r="BL174"/>
      <c r="BM174"/>
      <c r="BN174"/>
      <c r="BO174"/>
      <c r="BP174"/>
      <c r="BQ174"/>
      <c r="BR174"/>
      <c r="BS174" t="s">
        <v>1503</v>
      </c>
      <c r="BT174" t="str">
        <f>HYPERLINK("https%3A%2F%2Fwww.webofscience.com%2Fwos%2Fwoscc%2Ffull-record%2FWOS:000611787800012","View Full Record in Web of Science")</f>
        <v>View Full Record in Web of Science</v>
      </c>
    </row>
    <row r="175" spans="1:75" customHeight="1" ht="12.75">
      <c r="A175" t="s">
        <v>72</v>
      </c>
      <c r="B175" t="s">
        <v>1504</v>
      </c>
      <c r="C175"/>
      <c r="D175"/>
      <c r="E175"/>
      <c r="F175" t="s">
        <v>1505</v>
      </c>
      <c r="G175"/>
      <c r="H175"/>
      <c r="I175" t="s">
        <v>1506</v>
      </c>
      <c r="J175" t="s">
        <v>561</v>
      </c>
      <c r="K175"/>
      <c r="L175"/>
      <c r="M175"/>
      <c r="N175"/>
      <c r="O175"/>
      <c r="P175"/>
      <c r="Q175"/>
      <c r="R175"/>
      <c r="S175"/>
      <c r="T175"/>
      <c r="U175"/>
      <c r="V175"/>
      <c r="W175"/>
      <c r="X175"/>
      <c r="Y175"/>
      <c r="Z175"/>
      <c r="AA175" t="s">
        <v>562</v>
      </c>
      <c r="AB175" t="s">
        <v>563</v>
      </c>
      <c r="AC175"/>
      <c r="AD175"/>
      <c r="AE175"/>
      <c r="AF175"/>
      <c r="AG175"/>
      <c r="AH175"/>
      <c r="AI175"/>
      <c r="AJ175"/>
      <c r="AK175"/>
      <c r="AL175"/>
      <c r="AM175"/>
      <c r="AN175"/>
      <c r="AO175" t="s">
        <v>564</v>
      </c>
      <c r="AP175" t="s">
        <v>565</v>
      </c>
      <c r="AQ175"/>
      <c r="AR175"/>
      <c r="AS175"/>
      <c r="AT175" t="s">
        <v>541</v>
      </c>
      <c r="AU175">
        <v>2019</v>
      </c>
      <c r="AV175">
        <v>26</v>
      </c>
      <c r="AW175">
        <v>1</v>
      </c>
      <c r="AX175"/>
      <c r="AY175"/>
      <c r="AZ175"/>
      <c r="BA175"/>
      <c r="BB175">
        <v>69</v>
      </c>
      <c r="BC175">
        <v>77</v>
      </c>
      <c r="BD175"/>
      <c r="BE175" t="s">
        <v>1507</v>
      </c>
      <c r="BF175" t="str">
        <f>HYPERLINK("http://dx.doi.org/10.1134/S0869864319010074","http://dx.doi.org/10.1134/S0869864319010074")</f>
        <v>http://dx.doi.org/10.1134/S0869864319010074</v>
      </c>
      <c r="BG175"/>
      <c r="BH175"/>
      <c r="BI175"/>
      <c r="BJ175"/>
      <c r="BK175"/>
      <c r="BL175"/>
      <c r="BM175"/>
      <c r="BN175"/>
      <c r="BO175"/>
      <c r="BP175"/>
      <c r="BQ175"/>
      <c r="BR175"/>
      <c r="BS175" t="s">
        <v>1508</v>
      </c>
      <c r="BT175" t="str">
        <f>HYPERLINK("https%3A%2F%2Fwww.webofscience.com%2Fwos%2Fwoscc%2Ffull-record%2FWOS:000465534000008","View Full Record in Web of Science")</f>
        <v>View Full Record in Web of Science</v>
      </c>
    </row>
    <row r="176" spans="1:75" customHeight="1" ht="12.75">
      <c r="A176" t="s">
        <v>231</v>
      </c>
      <c r="B176" t="s">
        <v>1509</v>
      </c>
      <c r="C176"/>
      <c r="D176" t="s">
        <v>1510</v>
      </c>
      <c r="E176"/>
      <c r="F176" t="s">
        <v>1511</v>
      </c>
      <c r="G176"/>
      <c r="H176"/>
      <c r="I176" t="s">
        <v>1512</v>
      </c>
      <c r="J176" t="s">
        <v>1513</v>
      </c>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t="s">
        <v>1514</v>
      </c>
      <c r="AR176"/>
      <c r="AS176"/>
      <c r="AT176"/>
      <c r="AU176">
        <v>2019</v>
      </c>
      <c r="AV176"/>
      <c r="AW176"/>
      <c r="AX176"/>
      <c r="AY176"/>
      <c r="AZ176"/>
      <c r="BA176"/>
      <c r="BB176">
        <v>136</v>
      </c>
      <c r="BC176">
        <v>149</v>
      </c>
      <c r="BD176"/>
      <c r="BE176"/>
      <c r="BF176"/>
      <c r="BG176"/>
      <c r="BH176"/>
      <c r="BI176"/>
      <c r="BJ176"/>
      <c r="BK176"/>
      <c r="BL176"/>
      <c r="BM176"/>
      <c r="BN176"/>
      <c r="BO176"/>
      <c r="BP176"/>
      <c r="BQ176"/>
      <c r="BR176"/>
      <c r="BS176" t="s">
        <v>1515</v>
      </c>
      <c r="BT176" t="str">
        <f>HYPERLINK("https%3A%2F%2Fwww.webofscience.com%2Fwos%2Fwoscc%2Ffull-record%2FWOS:000739878500009","View Full Record in Web of Science")</f>
        <v>View Full Record in Web of Science</v>
      </c>
    </row>
    <row r="177" spans="1:75" customHeight="1" ht="12.75">
      <c r="A177" t="s">
        <v>72</v>
      </c>
      <c r="B177" t="s">
        <v>1516</v>
      </c>
      <c r="C177"/>
      <c r="D177"/>
      <c r="E177"/>
      <c r="F177" t="s">
        <v>1517</v>
      </c>
      <c r="G177"/>
      <c r="H177"/>
      <c r="I177" t="s">
        <v>1518</v>
      </c>
      <c r="J177" t="s">
        <v>650</v>
      </c>
      <c r="K177"/>
      <c r="L177"/>
      <c r="M177"/>
      <c r="N177"/>
      <c r="O177"/>
      <c r="P177"/>
      <c r="Q177"/>
      <c r="R177"/>
      <c r="S177"/>
      <c r="T177"/>
      <c r="U177"/>
      <c r="V177"/>
      <c r="W177"/>
      <c r="X177"/>
      <c r="Y177"/>
      <c r="Z177"/>
      <c r="AA177" t="s">
        <v>1519</v>
      </c>
      <c r="AB177" t="s">
        <v>1520</v>
      </c>
      <c r="AC177"/>
      <c r="AD177"/>
      <c r="AE177"/>
      <c r="AF177"/>
      <c r="AG177"/>
      <c r="AH177"/>
      <c r="AI177"/>
      <c r="AJ177"/>
      <c r="AK177"/>
      <c r="AL177"/>
      <c r="AM177"/>
      <c r="AN177"/>
      <c r="AO177" t="s">
        <v>653</v>
      </c>
      <c r="AP177" t="s">
        <v>654</v>
      </c>
      <c r="AQ177"/>
      <c r="AR177"/>
      <c r="AS177"/>
      <c r="AT177" t="s">
        <v>1173</v>
      </c>
      <c r="AU177">
        <v>2018</v>
      </c>
      <c r="AV177"/>
      <c r="AW177">
        <v>8</v>
      </c>
      <c r="AX177"/>
      <c r="AY177"/>
      <c r="AZ177"/>
      <c r="BA177"/>
      <c r="BB177">
        <v>771</v>
      </c>
      <c r="BC177">
        <v>776</v>
      </c>
      <c r="BD177"/>
      <c r="BE177" t="s">
        <v>1521</v>
      </c>
      <c r="BF177" t="str">
        <f>HYPERLINK("http://dx.doi.org/10.1134/S0036029518080049","http://dx.doi.org/10.1134/S0036029518080049")</f>
        <v>http://dx.doi.org/10.1134/S0036029518080049</v>
      </c>
      <c r="BG177"/>
      <c r="BH177"/>
      <c r="BI177"/>
      <c r="BJ177"/>
      <c r="BK177"/>
      <c r="BL177"/>
      <c r="BM177"/>
      <c r="BN177"/>
      <c r="BO177"/>
      <c r="BP177"/>
      <c r="BQ177"/>
      <c r="BR177"/>
      <c r="BS177" t="s">
        <v>1522</v>
      </c>
      <c r="BT177" t="str">
        <f>HYPERLINK("https%3A%2F%2Fwww.webofscience.com%2Fwos%2Fwoscc%2Ffull-record%2FWOS:000454273600015","View Full Record in Web of Science")</f>
        <v>View Full Record in Web of Science</v>
      </c>
    </row>
    <row r="178" spans="1:75" customHeight="1" ht="12.75">
      <c r="A178" t="s">
        <v>72</v>
      </c>
      <c r="B178" t="s">
        <v>698</v>
      </c>
      <c r="C178"/>
      <c r="D178"/>
      <c r="E178"/>
      <c r="F178" t="s">
        <v>699</v>
      </c>
      <c r="G178"/>
      <c r="H178"/>
      <c r="I178" t="s">
        <v>1523</v>
      </c>
      <c r="J178" t="s">
        <v>1524</v>
      </c>
      <c r="K178"/>
      <c r="L178"/>
      <c r="M178"/>
      <c r="N178"/>
      <c r="O178"/>
      <c r="P178"/>
      <c r="Q178"/>
      <c r="R178"/>
      <c r="S178"/>
      <c r="T178"/>
      <c r="U178"/>
      <c r="V178"/>
      <c r="W178"/>
      <c r="X178"/>
      <c r="Y178"/>
      <c r="Z178"/>
      <c r="AA178"/>
      <c r="AB178"/>
      <c r="AC178"/>
      <c r="AD178"/>
      <c r="AE178"/>
      <c r="AF178"/>
      <c r="AG178"/>
      <c r="AH178"/>
      <c r="AI178"/>
      <c r="AJ178"/>
      <c r="AK178"/>
      <c r="AL178"/>
      <c r="AM178"/>
      <c r="AN178"/>
      <c r="AO178" t="s">
        <v>1525</v>
      </c>
      <c r="AP178"/>
      <c r="AQ178"/>
      <c r="AR178"/>
      <c r="AS178"/>
      <c r="AT178" t="s">
        <v>491</v>
      </c>
      <c r="AU178">
        <v>2018</v>
      </c>
      <c r="AV178">
        <v>7</v>
      </c>
      <c r="AW178">
        <v>2</v>
      </c>
      <c r="AX178"/>
      <c r="AY178"/>
      <c r="AZ178"/>
      <c r="BA178"/>
      <c r="BB178">
        <v>26</v>
      </c>
      <c r="BC178">
        <v>31</v>
      </c>
      <c r="BD178"/>
      <c r="BE178" t="s">
        <v>1526</v>
      </c>
      <c r="BF178" t="str">
        <f>HYPERLINK("http://dx.doi.org/10.22631/ijaep.v7i2.268","http://dx.doi.org/10.22631/ijaep.v7i2.268")</f>
        <v>http://dx.doi.org/10.22631/ijaep.v7i2.268</v>
      </c>
      <c r="BG178"/>
      <c r="BH178"/>
      <c r="BI178"/>
      <c r="BJ178"/>
      <c r="BK178"/>
      <c r="BL178"/>
      <c r="BM178"/>
      <c r="BN178"/>
      <c r="BO178"/>
      <c r="BP178"/>
      <c r="BQ178"/>
      <c r="BR178"/>
      <c r="BS178" t="s">
        <v>1527</v>
      </c>
      <c r="BT178" t="str">
        <f>HYPERLINK("https%3A%2F%2Fwww.webofscience.com%2Fwos%2Fwoscc%2Ffull-record%2FWOS:000435602100004","View Full Record in Web of Science")</f>
        <v>View Full Record in Web of Science</v>
      </c>
    </row>
    <row r="179" spans="1:75" customHeight="1" ht="12.75">
      <c r="A179" t="s">
        <v>72</v>
      </c>
      <c r="B179" t="s">
        <v>1528</v>
      </c>
      <c r="C179"/>
      <c r="D179"/>
      <c r="E179"/>
      <c r="F179" t="s">
        <v>1529</v>
      </c>
      <c r="G179"/>
      <c r="H179"/>
      <c r="I179" t="s">
        <v>1530</v>
      </c>
      <c r="J179" t="s">
        <v>1531</v>
      </c>
      <c r="K179"/>
      <c r="L179"/>
      <c r="M179"/>
      <c r="N179"/>
      <c r="O179"/>
      <c r="P179"/>
      <c r="Q179"/>
      <c r="R179"/>
      <c r="S179"/>
      <c r="T179"/>
      <c r="U179"/>
      <c r="V179"/>
      <c r="W179"/>
      <c r="X179"/>
      <c r="Y179"/>
      <c r="Z179"/>
      <c r="AA179" t="s">
        <v>1532</v>
      </c>
      <c r="AB179" t="s">
        <v>1533</v>
      </c>
      <c r="AC179"/>
      <c r="AD179"/>
      <c r="AE179"/>
      <c r="AF179"/>
      <c r="AG179"/>
      <c r="AH179"/>
      <c r="AI179"/>
      <c r="AJ179"/>
      <c r="AK179"/>
      <c r="AL179"/>
      <c r="AM179"/>
      <c r="AN179"/>
      <c r="AO179" t="s">
        <v>1534</v>
      </c>
      <c r="AP179" t="s">
        <v>1535</v>
      </c>
      <c r="AQ179"/>
      <c r="AR179"/>
      <c r="AS179"/>
      <c r="AT179" t="s">
        <v>171</v>
      </c>
      <c r="AU179">
        <v>2018</v>
      </c>
      <c r="AV179"/>
      <c r="AW179">
        <v>1</v>
      </c>
      <c r="AX179"/>
      <c r="AY179"/>
      <c r="AZ179"/>
      <c r="BA179"/>
      <c r="BB179">
        <v>117</v>
      </c>
      <c r="BC179">
        <v>124</v>
      </c>
      <c r="BD179"/>
      <c r="BE179" t="s">
        <v>1536</v>
      </c>
      <c r="BF179" t="str">
        <f>HYPERLINK("http://dx.doi.org/10.17223/2312461X/19/9","http://dx.doi.org/10.17223/2312461X/19/9")</f>
        <v>http://dx.doi.org/10.17223/2312461X/19/9</v>
      </c>
      <c r="BG179"/>
      <c r="BH179"/>
      <c r="BI179"/>
      <c r="BJ179"/>
      <c r="BK179"/>
      <c r="BL179"/>
      <c r="BM179"/>
      <c r="BN179"/>
      <c r="BO179"/>
      <c r="BP179"/>
      <c r="BQ179"/>
      <c r="BR179"/>
      <c r="BS179" t="s">
        <v>1537</v>
      </c>
      <c r="BT179" t="str">
        <f>HYPERLINK("https%3A%2F%2Fwww.webofscience.com%2Fwos%2Fwoscc%2Ffull-record%2FWOS:000429668400009","View Full Record in Web of Science")</f>
        <v>View Full Record in Web of Science</v>
      </c>
    </row>
    <row r="180" spans="1:75" customHeight="1" ht="12.75">
      <c r="A180" t="s">
        <v>147</v>
      </c>
      <c r="B180" t="s">
        <v>1452</v>
      </c>
      <c r="C180"/>
      <c r="D180"/>
      <c r="E180" t="s">
        <v>210</v>
      </c>
      <c r="F180" t="s">
        <v>1453</v>
      </c>
      <c r="G180"/>
      <c r="H180"/>
      <c r="I180" t="s">
        <v>1538</v>
      </c>
      <c r="J180" t="s">
        <v>1539</v>
      </c>
      <c r="K180"/>
      <c r="L180"/>
      <c r="M180"/>
      <c r="N180"/>
      <c r="O180" t="s">
        <v>1540</v>
      </c>
      <c r="P180" t="s">
        <v>1541</v>
      </c>
      <c r="Q180" t="s">
        <v>1542</v>
      </c>
      <c r="R180" t="s">
        <v>1543</v>
      </c>
      <c r="S180"/>
      <c r="T180"/>
      <c r="U180"/>
      <c r="V180"/>
      <c r="W180"/>
      <c r="X180"/>
      <c r="Y180"/>
      <c r="Z180"/>
      <c r="AA180" t="s">
        <v>1268</v>
      </c>
      <c r="AB180" t="s">
        <v>1269</v>
      </c>
      <c r="AC180"/>
      <c r="AD180"/>
      <c r="AE180"/>
      <c r="AF180"/>
      <c r="AG180"/>
      <c r="AH180"/>
      <c r="AI180"/>
      <c r="AJ180"/>
      <c r="AK180"/>
      <c r="AL180"/>
      <c r="AM180"/>
      <c r="AN180"/>
      <c r="AO180"/>
      <c r="AP180"/>
      <c r="AQ180" t="s">
        <v>1544</v>
      </c>
      <c r="AR180"/>
      <c r="AS180"/>
      <c r="AT180"/>
      <c r="AU180">
        <v>2016</v>
      </c>
      <c r="AV180"/>
      <c r="AW180"/>
      <c r="AX180"/>
      <c r="AY180"/>
      <c r="AZ180"/>
      <c r="BA180"/>
      <c r="BB180"/>
      <c r="BC180"/>
      <c r="BD180"/>
      <c r="BE180"/>
      <c r="BF180"/>
      <c r="BG180"/>
      <c r="BH180"/>
      <c r="BI180"/>
      <c r="BJ180"/>
      <c r="BK180"/>
      <c r="BL180"/>
      <c r="BM180"/>
      <c r="BN180"/>
      <c r="BO180"/>
      <c r="BP180"/>
      <c r="BQ180"/>
      <c r="BR180"/>
      <c r="BS180" t="s">
        <v>1545</v>
      </c>
      <c r="BT180" t="str">
        <f>HYPERLINK("https%3A%2F%2Fwww.webofscience.com%2Fwos%2Fwoscc%2Ffull-record%2FWOS:000403604400156","View Full Record in Web of Science")</f>
        <v>View Full Record in Web of Science</v>
      </c>
    </row>
    <row r="181" spans="1:75" customHeight="1" ht="12.75">
      <c r="A181" t="s">
        <v>147</v>
      </c>
      <c r="B181" t="s">
        <v>1546</v>
      </c>
      <c r="C181"/>
      <c r="D181" t="s">
        <v>1547</v>
      </c>
      <c r="E181"/>
      <c r="F181" t="s">
        <v>1548</v>
      </c>
      <c r="G181"/>
      <c r="H181"/>
      <c r="I181" t="s">
        <v>1549</v>
      </c>
      <c r="J181" t="s">
        <v>1550</v>
      </c>
      <c r="K181" t="s">
        <v>390</v>
      </c>
      <c r="L181"/>
      <c r="M181"/>
      <c r="N181"/>
      <c r="O181" t="s">
        <v>1551</v>
      </c>
      <c r="P181" t="s">
        <v>1552</v>
      </c>
      <c r="Q181" t="s">
        <v>1553</v>
      </c>
      <c r="R181" t="s">
        <v>1554</v>
      </c>
      <c r="S181"/>
      <c r="T181"/>
      <c r="U181"/>
      <c r="V181"/>
      <c r="W181"/>
      <c r="X181"/>
      <c r="Y181"/>
      <c r="Z181"/>
      <c r="AA181" t="s">
        <v>1555</v>
      </c>
      <c r="AB181" t="s">
        <v>1556</v>
      </c>
      <c r="AC181"/>
      <c r="AD181"/>
      <c r="AE181"/>
      <c r="AF181"/>
      <c r="AG181"/>
      <c r="AH181"/>
      <c r="AI181"/>
      <c r="AJ181"/>
      <c r="AK181"/>
      <c r="AL181"/>
      <c r="AM181"/>
      <c r="AN181"/>
      <c r="AO181" t="s">
        <v>395</v>
      </c>
      <c r="AP181"/>
      <c r="AQ181" t="s">
        <v>1557</v>
      </c>
      <c r="AR181"/>
      <c r="AS181"/>
      <c r="AT181"/>
      <c r="AU181">
        <v>2016</v>
      </c>
      <c r="AV181"/>
      <c r="AW181"/>
      <c r="AX181"/>
      <c r="AY181"/>
      <c r="AZ181"/>
      <c r="BA181"/>
      <c r="BB181">
        <v>124</v>
      </c>
      <c r="BC181">
        <v>127</v>
      </c>
      <c r="BD181"/>
      <c r="BE181"/>
      <c r="BF181"/>
      <c r="BG181"/>
      <c r="BH181"/>
      <c r="BI181"/>
      <c r="BJ181"/>
      <c r="BK181"/>
      <c r="BL181"/>
      <c r="BM181"/>
      <c r="BN181"/>
      <c r="BO181"/>
      <c r="BP181"/>
      <c r="BQ181"/>
      <c r="BR181"/>
      <c r="BS181" t="s">
        <v>1558</v>
      </c>
      <c r="BT181" t="str">
        <f>HYPERLINK("https%3A%2F%2Fwww.webofscience.com%2Fwos%2Fwoscc%2Ffull-record%2FWOS:000387159800034","View Full Record in Web of Science")</f>
        <v>View Full Record in Web of Science</v>
      </c>
    </row>
    <row r="182" spans="1:75" customHeight="1" ht="12.75">
      <c r="A182" t="s">
        <v>147</v>
      </c>
      <c r="B182" t="s">
        <v>1559</v>
      </c>
      <c r="C182"/>
      <c r="D182"/>
      <c r="E182" t="s">
        <v>1560</v>
      </c>
      <c r="F182" t="s">
        <v>1561</v>
      </c>
      <c r="G182"/>
      <c r="H182"/>
      <c r="I182" t="s">
        <v>1562</v>
      </c>
      <c r="J182" t="s">
        <v>1563</v>
      </c>
      <c r="K182"/>
      <c r="L182"/>
      <c r="M182"/>
      <c r="N182"/>
      <c r="O182" t="s">
        <v>1564</v>
      </c>
      <c r="P182" t="s">
        <v>1565</v>
      </c>
      <c r="Q182" t="s">
        <v>1566</v>
      </c>
      <c r="R182"/>
      <c r="S182"/>
      <c r="T182"/>
      <c r="U182"/>
      <c r="V182"/>
      <c r="W182"/>
      <c r="X182"/>
      <c r="Y182"/>
      <c r="Z182"/>
      <c r="AA182" t="s">
        <v>1567</v>
      </c>
      <c r="AB182" t="s">
        <v>1568</v>
      </c>
      <c r="AC182"/>
      <c r="AD182"/>
      <c r="AE182"/>
      <c r="AF182"/>
      <c r="AG182"/>
      <c r="AH182"/>
      <c r="AI182"/>
      <c r="AJ182"/>
      <c r="AK182"/>
      <c r="AL182"/>
      <c r="AM182"/>
      <c r="AN182"/>
      <c r="AO182"/>
      <c r="AP182"/>
      <c r="AQ182" t="s">
        <v>1569</v>
      </c>
      <c r="AR182"/>
      <c r="AS182"/>
      <c r="AT182"/>
      <c r="AU182">
        <v>2016</v>
      </c>
      <c r="AV182"/>
      <c r="AW182"/>
      <c r="AX182"/>
      <c r="AY182"/>
      <c r="AZ182"/>
      <c r="BA182"/>
      <c r="BB182">
        <v>1</v>
      </c>
      <c r="BC182">
        <v>7</v>
      </c>
      <c r="BD182"/>
      <c r="BE182"/>
      <c r="BF182"/>
      <c r="BG182"/>
      <c r="BH182"/>
      <c r="BI182"/>
      <c r="BJ182"/>
      <c r="BK182"/>
      <c r="BL182"/>
      <c r="BM182"/>
      <c r="BN182"/>
      <c r="BO182"/>
      <c r="BP182"/>
      <c r="BQ182"/>
      <c r="BR182"/>
      <c r="BS182" t="s">
        <v>1570</v>
      </c>
      <c r="BT182" t="str">
        <f>HYPERLINK("https%3A%2F%2Fwww.webofscience.com%2Fwos%2Fwoscc%2Ffull-record%2FWOS:000387945700001","View Full Record in Web of Science")</f>
        <v>View Full Record in Web of Science</v>
      </c>
    </row>
    <row r="183" spans="1:75" customHeight="1" ht="12.75">
      <c r="A183" t="s">
        <v>147</v>
      </c>
      <c r="B183" t="s">
        <v>1571</v>
      </c>
      <c r="C183"/>
      <c r="D183" t="s">
        <v>1572</v>
      </c>
      <c r="E183"/>
      <c r="F183" t="s">
        <v>1573</v>
      </c>
      <c r="G183"/>
      <c r="H183"/>
      <c r="I183" t="s">
        <v>1574</v>
      </c>
      <c r="J183" t="s">
        <v>1575</v>
      </c>
      <c r="K183" t="s">
        <v>1576</v>
      </c>
      <c r="L183"/>
      <c r="M183"/>
      <c r="N183"/>
      <c r="O183" t="s">
        <v>1577</v>
      </c>
      <c r="P183" t="s">
        <v>1578</v>
      </c>
      <c r="Q183" t="s">
        <v>1566</v>
      </c>
      <c r="R183"/>
      <c r="S183"/>
      <c r="T183"/>
      <c r="U183"/>
      <c r="V183"/>
      <c r="W183"/>
      <c r="X183"/>
      <c r="Y183"/>
      <c r="Z183"/>
      <c r="AA183" t="s">
        <v>1579</v>
      </c>
      <c r="AB183" t="s">
        <v>1580</v>
      </c>
      <c r="AC183"/>
      <c r="AD183"/>
      <c r="AE183"/>
      <c r="AF183"/>
      <c r="AG183"/>
      <c r="AH183"/>
      <c r="AI183"/>
      <c r="AJ183"/>
      <c r="AK183"/>
      <c r="AL183"/>
      <c r="AM183"/>
      <c r="AN183"/>
      <c r="AO183" t="s">
        <v>1581</v>
      </c>
      <c r="AP183"/>
      <c r="AQ183"/>
      <c r="AR183"/>
      <c r="AS183"/>
      <c r="AT183"/>
      <c r="AU183">
        <v>2016</v>
      </c>
      <c r="AV183">
        <v>41</v>
      </c>
      <c r="AW183"/>
      <c r="AX183"/>
      <c r="AY183"/>
      <c r="AZ183"/>
      <c r="BA183"/>
      <c r="BB183"/>
      <c r="BC183"/>
      <c r="BD183">
        <v>12024</v>
      </c>
      <c r="BE183" t="s">
        <v>1582</v>
      </c>
      <c r="BF183" t="str">
        <f>HYPERLINK("http://dx.doi.org/10.1088/1755-1315/41/1/012024","http://dx.doi.org/10.1088/1755-1315/41/1/012024")</f>
        <v>http://dx.doi.org/10.1088/1755-1315/41/1/012024</v>
      </c>
      <c r="BG183"/>
      <c r="BH183"/>
      <c r="BI183"/>
      <c r="BJ183"/>
      <c r="BK183"/>
      <c r="BL183"/>
      <c r="BM183"/>
      <c r="BN183"/>
      <c r="BO183"/>
      <c r="BP183"/>
      <c r="BQ183"/>
      <c r="BR183"/>
      <c r="BS183" t="s">
        <v>1583</v>
      </c>
      <c r="BT183" t="str">
        <f>HYPERLINK("https%3A%2F%2Fwww.webofscience.com%2Fwos%2Fwoscc%2Ffull-record%2FWOS:000389919500024","View Full Record in Web of Science")</f>
        <v>View Full Record in Web of Science</v>
      </c>
    </row>
    <row r="184" spans="1:75" customHeight="1" ht="12.75">
      <c r="A184" t="s">
        <v>147</v>
      </c>
      <c r="B184" t="s">
        <v>373</v>
      </c>
      <c r="C184"/>
      <c r="D184"/>
      <c r="E184" t="s">
        <v>210</v>
      </c>
      <c r="F184" t="s">
        <v>1584</v>
      </c>
      <c r="G184"/>
      <c r="H184"/>
      <c r="I184" t="s">
        <v>1585</v>
      </c>
      <c r="J184" t="s">
        <v>1539</v>
      </c>
      <c r="K184"/>
      <c r="L184"/>
      <c r="M184"/>
      <c r="N184"/>
      <c r="O184" t="s">
        <v>1540</v>
      </c>
      <c r="P184" t="s">
        <v>1541</v>
      </c>
      <c r="Q184" t="s">
        <v>1542</v>
      </c>
      <c r="R184" t="s">
        <v>1543</v>
      </c>
      <c r="S184"/>
      <c r="T184"/>
      <c r="U184"/>
      <c r="V184"/>
      <c r="W184"/>
      <c r="X184"/>
      <c r="Y184"/>
      <c r="Z184"/>
      <c r="AA184" t="s">
        <v>1586</v>
      </c>
      <c r="AB184" t="s">
        <v>1289</v>
      </c>
      <c r="AC184"/>
      <c r="AD184"/>
      <c r="AE184"/>
      <c r="AF184"/>
      <c r="AG184"/>
      <c r="AH184"/>
      <c r="AI184"/>
      <c r="AJ184"/>
      <c r="AK184"/>
      <c r="AL184"/>
      <c r="AM184"/>
      <c r="AN184"/>
      <c r="AO184"/>
      <c r="AP184"/>
      <c r="AQ184" t="s">
        <v>1544</v>
      </c>
      <c r="AR184"/>
      <c r="AS184"/>
      <c r="AT184"/>
      <c r="AU184">
        <v>2016</v>
      </c>
      <c r="AV184"/>
      <c r="AW184"/>
      <c r="AX184"/>
      <c r="AY184"/>
      <c r="AZ184"/>
      <c r="BA184"/>
      <c r="BB184"/>
      <c r="BC184"/>
      <c r="BD184"/>
      <c r="BE184"/>
      <c r="BF184"/>
      <c r="BG184"/>
      <c r="BH184"/>
      <c r="BI184"/>
      <c r="BJ184"/>
      <c r="BK184"/>
      <c r="BL184"/>
      <c r="BM184"/>
      <c r="BN184"/>
      <c r="BO184"/>
      <c r="BP184"/>
      <c r="BQ184"/>
      <c r="BR184"/>
      <c r="BS184" t="s">
        <v>1587</v>
      </c>
      <c r="BT184" t="str">
        <f>HYPERLINK("https%3A%2F%2Fwww.webofscience.com%2Fwos%2Fwoscc%2Ffull-record%2FWOS:000403604400281","View Full Record in Web of Science")</f>
        <v>View Full Record in Web of Science</v>
      </c>
    </row>
    <row r="185" spans="1:75" customHeight="1" ht="12.75">
      <c r="A185" t="s">
        <v>72</v>
      </c>
      <c r="B185" t="s">
        <v>1588</v>
      </c>
      <c r="C185"/>
      <c r="D185"/>
      <c r="E185"/>
      <c r="F185" t="s">
        <v>1589</v>
      </c>
      <c r="G185"/>
      <c r="H185"/>
      <c r="I185" t="s">
        <v>1590</v>
      </c>
      <c r="J185" t="s">
        <v>623</v>
      </c>
      <c r="K185"/>
      <c r="L185"/>
      <c r="M185"/>
      <c r="N185"/>
      <c r="O185"/>
      <c r="P185"/>
      <c r="Q185"/>
      <c r="R185"/>
      <c r="S185"/>
      <c r="T185"/>
      <c r="U185"/>
      <c r="V185"/>
      <c r="W185"/>
      <c r="X185"/>
      <c r="Y185"/>
      <c r="Z185"/>
      <c r="AA185"/>
      <c r="AB185"/>
      <c r="AC185"/>
      <c r="AD185"/>
      <c r="AE185"/>
      <c r="AF185"/>
      <c r="AG185"/>
      <c r="AH185"/>
      <c r="AI185"/>
      <c r="AJ185"/>
      <c r="AK185"/>
      <c r="AL185"/>
      <c r="AM185"/>
      <c r="AN185"/>
      <c r="AO185" t="s">
        <v>624</v>
      </c>
      <c r="AP185" t="s">
        <v>1334</v>
      </c>
      <c r="AQ185"/>
      <c r="AR185"/>
      <c r="AS185"/>
      <c r="AT185" t="s">
        <v>171</v>
      </c>
      <c r="AU185">
        <v>2009</v>
      </c>
      <c r="AV185">
        <v>83</v>
      </c>
      <c r="AW185">
        <v>3</v>
      </c>
      <c r="AX185"/>
      <c r="AY185"/>
      <c r="AZ185"/>
      <c r="BA185"/>
      <c r="BB185">
        <v>412</v>
      </c>
      <c r="BC185">
        <v>417</v>
      </c>
      <c r="BD185"/>
      <c r="BE185" t="s">
        <v>1591</v>
      </c>
      <c r="BF185" t="str">
        <f>HYPERLINK("http://dx.doi.org/10.1134/S0036024409030169","http://dx.doi.org/10.1134/S0036024409030169")</f>
        <v>http://dx.doi.org/10.1134/S0036024409030169</v>
      </c>
      <c r="BG185"/>
      <c r="BH185"/>
      <c r="BI185"/>
      <c r="BJ185"/>
      <c r="BK185"/>
      <c r="BL185"/>
      <c r="BM185"/>
      <c r="BN185"/>
      <c r="BO185"/>
      <c r="BP185"/>
      <c r="BQ185"/>
      <c r="BR185"/>
      <c r="BS185" t="s">
        <v>1592</v>
      </c>
      <c r="BT185" t="str">
        <f>HYPERLINK("https%3A%2F%2Fwww.webofscience.com%2Fwos%2Fwoscc%2Ffull-record%2FWOS:000263675600016","View Full Record in Web of Science")</f>
        <v>View Full Record in Web of Science</v>
      </c>
    </row>
    <row r="186" spans="1:75" customHeight="1" ht="12.75">
      <c r="A186" t="s">
        <v>72</v>
      </c>
      <c r="B186" t="s">
        <v>705</v>
      </c>
      <c r="C186"/>
      <c r="D186"/>
      <c r="E186"/>
      <c r="F186" t="s">
        <v>706</v>
      </c>
      <c r="G186"/>
      <c r="H186"/>
      <c r="I186" t="s">
        <v>1593</v>
      </c>
      <c r="J186" t="s">
        <v>940</v>
      </c>
      <c r="K186"/>
      <c r="L186"/>
      <c r="M186"/>
      <c r="N186"/>
      <c r="O186"/>
      <c r="P186"/>
      <c r="Q186"/>
      <c r="R186"/>
      <c r="S186"/>
      <c r="T186"/>
      <c r="U186"/>
      <c r="V186"/>
      <c r="W186"/>
      <c r="X186"/>
      <c r="Y186"/>
      <c r="Z186"/>
      <c r="AA186" t="s">
        <v>941</v>
      </c>
      <c r="AB186" t="s">
        <v>942</v>
      </c>
      <c r="AC186"/>
      <c r="AD186"/>
      <c r="AE186"/>
      <c r="AF186"/>
      <c r="AG186"/>
      <c r="AH186"/>
      <c r="AI186"/>
      <c r="AJ186"/>
      <c r="AK186"/>
      <c r="AL186"/>
      <c r="AM186"/>
      <c r="AN186"/>
      <c r="AO186" t="s">
        <v>943</v>
      </c>
      <c r="AP186"/>
      <c r="AQ186"/>
      <c r="AR186"/>
      <c r="AS186"/>
      <c r="AT186" t="s">
        <v>1012</v>
      </c>
      <c r="AU186">
        <v>2006</v>
      </c>
      <c r="AV186">
        <v>48</v>
      </c>
      <c r="AW186" t="s">
        <v>1594</v>
      </c>
      <c r="AX186"/>
      <c r="AY186"/>
      <c r="AZ186"/>
      <c r="BA186"/>
      <c r="BB186">
        <v>437</v>
      </c>
      <c r="BC186">
        <v>442</v>
      </c>
      <c r="BD186"/>
      <c r="BE186" t="s">
        <v>1595</v>
      </c>
      <c r="BF186" t="str">
        <f>HYPERLINK("http://dx.doi.org/10.1007/s11041-006-0113-z","http://dx.doi.org/10.1007/s11041-006-0113-z")</f>
        <v>http://dx.doi.org/10.1007/s11041-006-0113-z</v>
      </c>
      <c r="BG186"/>
      <c r="BH186"/>
      <c r="BI186"/>
      <c r="BJ186"/>
      <c r="BK186"/>
      <c r="BL186"/>
      <c r="BM186"/>
      <c r="BN186"/>
      <c r="BO186"/>
      <c r="BP186"/>
      <c r="BQ186"/>
      <c r="BR186"/>
      <c r="BS186" t="s">
        <v>1596</v>
      </c>
      <c r="BT186" t="str">
        <f>HYPERLINK("https%3A%2F%2Fwww.webofscience.com%2Fwos%2Fwoscc%2Ffull-record%2FWOS:000245753200011","View Full Record in Web of Science")</f>
        <v>View Full Record in Web of Science</v>
      </c>
    </row>
    <row r="187" spans="1:75" customHeight="1" ht="12.75">
      <c r="A187" t="s">
        <v>72</v>
      </c>
      <c r="B187" t="s">
        <v>1597</v>
      </c>
      <c r="C187"/>
      <c r="D187"/>
      <c r="E187"/>
      <c r="F187" t="s">
        <v>1597</v>
      </c>
      <c r="G187"/>
      <c r="H187"/>
      <c r="I187" t="s">
        <v>1598</v>
      </c>
      <c r="J187" t="s">
        <v>244</v>
      </c>
      <c r="K187"/>
      <c r="L187"/>
      <c r="M187"/>
      <c r="N187"/>
      <c r="O187"/>
      <c r="P187"/>
      <c r="Q187"/>
      <c r="R187"/>
      <c r="S187"/>
      <c r="T187"/>
      <c r="U187"/>
      <c r="V187"/>
      <c r="W187"/>
      <c r="X187"/>
      <c r="Y187"/>
      <c r="Z187"/>
      <c r="AA187"/>
      <c r="AB187"/>
      <c r="AC187"/>
      <c r="AD187"/>
      <c r="AE187"/>
      <c r="AF187"/>
      <c r="AG187"/>
      <c r="AH187"/>
      <c r="AI187"/>
      <c r="AJ187"/>
      <c r="AK187"/>
      <c r="AL187"/>
      <c r="AM187"/>
      <c r="AN187"/>
      <c r="AO187" t="s">
        <v>245</v>
      </c>
      <c r="AP187"/>
      <c r="AQ187"/>
      <c r="AR187"/>
      <c r="AS187"/>
      <c r="AT187"/>
      <c r="AU187">
        <v>2004</v>
      </c>
      <c r="AV187"/>
      <c r="AW187">
        <v>6</v>
      </c>
      <c r="AX187"/>
      <c r="AY187"/>
      <c r="AZ187"/>
      <c r="BA187"/>
      <c r="BB187">
        <v>134</v>
      </c>
      <c r="BC187">
        <v>138</v>
      </c>
      <c r="BD187"/>
      <c r="BE187"/>
      <c r="BF187"/>
      <c r="BG187"/>
      <c r="BH187"/>
      <c r="BI187"/>
      <c r="BJ187"/>
      <c r="BK187"/>
      <c r="BL187"/>
      <c r="BM187"/>
      <c r="BN187"/>
      <c r="BO187"/>
      <c r="BP187"/>
      <c r="BQ187"/>
      <c r="BR187"/>
      <c r="BS187" t="s">
        <v>1599</v>
      </c>
      <c r="BT187" t="str">
        <f>HYPERLINK("https%3A%2F%2Fwww.webofscience.com%2Fwos%2Fwoscc%2Ffull-record%2FWOS:000223263200010","View Full Record in Web of Science")</f>
        <v>View Full Record in Web of Science</v>
      </c>
    </row>
    <row r="188" spans="1:75" customHeight="1" ht="12.75">
      <c r="A188" t="s">
        <v>72</v>
      </c>
      <c r="B188" t="s">
        <v>1600</v>
      </c>
      <c r="C188"/>
      <c r="D188"/>
      <c r="E188"/>
      <c r="F188" t="s">
        <v>1600</v>
      </c>
      <c r="G188"/>
      <c r="H188"/>
      <c r="I188" t="s">
        <v>1601</v>
      </c>
      <c r="J188" t="s">
        <v>1602</v>
      </c>
      <c r="K188"/>
      <c r="L188"/>
      <c r="M188"/>
      <c r="N188"/>
      <c r="O188"/>
      <c r="P188"/>
      <c r="Q188"/>
      <c r="R188"/>
      <c r="S188"/>
      <c r="T188"/>
      <c r="U188"/>
      <c r="V188"/>
      <c r="W188"/>
      <c r="X188"/>
      <c r="Y188"/>
      <c r="Z188"/>
      <c r="AA188"/>
      <c r="AB188"/>
      <c r="AC188"/>
      <c r="AD188"/>
      <c r="AE188"/>
      <c r="AF188"/>
      <c r="AG188"/>
      <c r="AH188"/>
      <c r="AI188"/>
      <c r="AJ188"/>
      <c r="AK188"/>
      <c r="AL188"/>
      <c r="AM188"/>
      <c r="AN188"/>
      <c r="AO188" t="s">
        <v>1603</v>
      </c>
      <c r="AP188"/>
      <c r="AQ188"/>
      <c r="AR188"/>
      <c r="AS188"/>
      <c r="AT188" t="s">
        <v>319</v>
      </c>
      <c r="AU188">
        <v>1998</v>
      </c>
      <c r="AV188">
        <v>40</v>
      </c>
      <c r="AW188">
        <v>11</v>
      </c>
      <c r="AX188"/>
      <c r="AY188"/>
      <c r="AZ188"/>
      <c r="BA188"/>
      <c r="BB188">
        <v>1876</v>
      </c>
      <c r="BC188">
        <v>1880</v>
      </c>
      <c r="BD188"/>
      <c r="BE188"/>
      <c r="BF188"/>
      <c r="BG188"/>
      <c r="BH188"/>
      <c r="BI188"/>
      <c r="BJ188"/>
      <c r="BK188"/>
      <c r="BL188"/>
      <c r="BM188"/>
      <c r="BN188"/>
      <c r="BO188"/>
      <c r="BP188"/>
      <c r="BQ188"/>
      <c r="BR188"/>
      <c r="BS188" t="s">
        <v>1604</v>
      </c>
      <c r="BT188" t="str">
        <f>HYPERLINK("https%3A%2F%2Fwww.webofscience.com%2Fwos%2Fwoscc%2Ffull-record%2FWOS:000077454300020","View Full Record in Web of Science")</f>
        <v>View Full Record in Web of Science</v>
      </c>
    </row>
    <row r="189" spans="1:75" customHeight="1" ht="12.75">
      <c r="A189" t="s">
        <v>72</v>
      </c>
      <c r="B189" t="s">
        <v>1605</v>
      </c>
      <c r="C189"/>
      <c r="D189"/>
      <c r="E189"/>
      <c r="F189" t="s">
        <v>1606</v>
      </c>
      <c r="G189"/>
      <c r="H189"/>
      <c r="I189" t="s">
        <v>1607</v>
      </c>
      <c r="J189" t="s">
        <v>1608</v>
      </c>
      <c r="K189"/>
      <c r="L189"/>
      <c r="M189"/>
      <c r="N189"/>
      <c r="O189"/>
      <c r="P189"/>
      <c r="Q189"/>
      <c r="R189"/>
      <c r="S189"/>
      <c r="T189"/>
      <c r="U189"/>
      <c r="V189"/>
      <c r="W189"/>
      <c r="X189"/>
      <c r="Y189"/>
      <c r="Z189"/>
      <c r="AA189" t="s">
        <v>1609</v>
      </c>
      <c r="AB189" t="s">
        <v>1610</v>
      </c>
      <c r="AC189"/>
      <c r="AD189"/>
      <c r="AE189"/>
      <c r="AF189"/>
      <c r="AG189"/>
      <c r="AH189"/>
      <c r="AI189"/>
      <c r="AJ189"/>
      <c r="AK189"/>
      <c r="AL189"/>
      <c r="AM189"/>
      <c r="AN189"/>
      <c r="AO189" t="s">
        <v>1611</v>
      </c>
      <c r="AP189" t="s">
        <v>1612</v>
      </c>
      <c r="AQ189"/>
      <c r="AR189"/>
      <c r="AS189"/>
      <c r="AT189"/>
      <c r="AU189">
        <v>2021</v>
      </c>
      <c r="AV189">
        <v>31</v>
      </c>
      <c r="AW189">
        <v>3</v>
      </c>
      <c r="AX189"/>
      <c r="AY189"/>
      <c r="AZ189"/>
      <c r="BA189"/>
      <c r="BB189">
        <v>349</v>
      </c>
      <c r="BC189">
        <v>363</v>
      </c>
      <c r="BD189"/>
      <c r="BE189" t="s">
        <v>1613</v>
      </c>
      <c r="BF189" t="str">
        <f>HYPERLINK("http://dx.doi.org/10.15507/2658-4123.031.202103.349-363","http://dx.doi.org/10.15507/2658-4123.031.202103.349-363")</f>
        <v>http://dx.doi.org/10.15507/2658-4123.031.202103.349-363</v>
      </c>
      <c r="BG189"/>
      <c r="BH189"/>
      <c r="BI189"/>
      <c r="BJ189"/>
      <c r="BK189"/>
      <c r="BL189"/>
      <c r="BM189"/>
      <c r="BN189"/>
      <c r="BO189"/>
      <c r="BP189"/>
      <c r="BQ189"/>
      <c r="BR189"/>
      <c r="BS189" t="s">
        <v>1614</v>
      </c>
      <c r="BT189" t="str">
        <f>HYPERLINK("https%3A%2F%2Fwww.webofscience.com%2Fwos%2Fwoscc%2Ffull-record%2FWOS:000698672500002","View Full Record in Web of Science")</f>
        <v>View Full Record in Web of Science</v>
      </c>
    </row>
    <row r="190" spans="1:75" customHeight="1" ht="12.75">
      <c r="A190" t="s">
        <v>147</v>
      </c>
      <c r="B190" t="s">
        <v>1615</v>
      </c>
      <c r="C190"/>
      <c r="D190"/>
      <c r="E190" t="s">
        <v>1465</v>
      </c>
      <c r="F190" t="s">
        <v>1616</v>
      </c>
      <c r="G190"/>
      <c r="H190"/>
      <c r="I190" t="s">
        <v>1617</v>
      </c>
      <c r="J190" t="s">
        <v>1618</v>
      </c>
      <c r="K190" t="s">
        <v>1469</v>
      </c>
      <c r="L190"/>
      <c r="M190"/>
      <c r="N190"/>
      <c r="O190" t="s">
        <v>1619</v>
      </c>
      <c r="P190" t="s">
        <v>1620</v>
      </c>
      <c r="Q190" t="s">
        <v>156</v>
      </c>
      <c r="R190" t="s">
        <v>1621</v>
      </c>
      <c r="S190"/>
      <c r="T190"/>
      <c r="U190"/>
      <c r="V190"/>
      <c r="W190"/>
      <c r="X190"/>
      <c r="Y190"/>
      <c r="Z190"/>
      <c r="AA190"/>
      <c r="AB190"/>
      <c r="AC190"/>
      <c r="AD190"/>
      <c r="AE190"/>
      <c r="AF190"/>
      <c r="AG190"/>
      <c r="AH190"/>
      <c r="AI190"/>
      <c r="AJ190"/>
      <c r="AK190"/>
      <c r="AL190"/>
      <c r="AM190"/>
      <c r="AN190"/>
      <c r="AO190" t="s">
        <v>1472</v>
      </c>
      <c r="AP190"/>
      <c r="AQ190"/>
      <c r="AR190"/>
      <c r="AS190"/>
      <c r="AT190"/>
      <c r="AU190">
        <v>2020</v>
      </c>
      <c r="AV190">
        <v>962</v>
      </c>
      <c r="AW190"/>
      <c r="AX190"/>
      <c r="AY190"/>
      <c r="AZ190"/>
      <c r="BA190"/>
      <c r="BB190"/>
      <c r="BC190"/>
      <c r="BD190">
        <v>22047</v>
      </c>
      <c r="BE190" t="s">
        <v>1622</v>
      </c>
      <c r="BF190" t="str">
        <f>HYPERLINK("http://dx.doi.org/10.1088/1757-899X/962/2/022047","http://dx.doi.org/10.1088/1757-899X/962/2/022047")</f>
        <v>http://dx.doi.org/10.1088/1757-899X/962/2/022047</v>
      </c>
      <c r="BG190"/>
      <c r="BH190"/>
      <c r="BI190"/>
      <c r="BJ190"/>
      <c r="BK190"/>
      <c r="BL190"/>
      <c r="BM190"/>
      <c r="BN190"/>
      <c r="BO190"/>
      <c r="BP190"/>
      <c r="BQ190"/>
      <c r="BR190"/>
      <c r="BS190" t="s">
        <v>1623</v>
      </c>
      <c r="BT190" t="str">
        <f>HYPERLINK("https%3A%2F%2Fwww.webofscience.com%2Fwos%2Fwoscc%2Ffull-record%2FWOS:000648432000047","View Full Record in Web of Science")</f>
        <v>View Full Record in Web of Science</v>
      </c>
    </row>
    <row r="191" spans="1:75" customHeight="1" ht="12.75">
      <c r="A191" t="s">
        <v>147</v>
      </c>
      <c r="B191" t="s">
        <v>568</v>
      </c>
      <c r="C191"/>
      <c r="D191"/>
      <c r="E191" t="s">
        <v>210</v>
      </c>
      <c r="F191" t="s">
        <v>569</v>
      </c>
      <c r="G191"/>
      <c r="H191"/>
      <c r="I191" t="s">
        <v>1624</v>
      </c>
      <c r="J191" t="s">
        <v>1625</v>
      </c>
      <c r="K191"/>
      <c r="L191"/>
      <c r="M191"/>
      <c r="N191"/>
      <c r="O191" t="s">
        <v>1626</v>
      </c>
      <c r="P191" t="s">
        <v>1627</v>
      </c>
      <c r="Q191" t="s">
        <v>1628</v>
      </c>
      <c r="R191" t="s">
        <v>1629</v>
      </c>
      <c r="S191"/>
      <c r="T191"/>
      <c r="U191"/>
      <c r="V191"/>
      <c r="W191"/>
      <c r="X191"/>
      <c r="Y191"/>
      <c r="Z191"/>
      <c r="AA191" t="s">
        <v>1056</v>
      </c>
      <c r="AB191" t="s">
        <v>1057</v>
      </c>
      <c r="AC191"/>
      <c r="AD191"/>
      <c r="AE191"/>
      <c r="AF191"/>
      <c r="AG191"/>
      <c r="AH191"/>
      <c r="AI191"/>
      <c r="AJ191"/>
      <c r="AK191"/>
      <c r="AL191"/>
      <c r="AM191"/>
      <c r="AN191"/>
      <c r="AO191"/>
      <c r="AP191"/>
      <c r="AQ191" t="s">
        <v>1630</v>
      </c>
      <c r="AR191"/>
      <c r="AS191"/>
      <c r="AT191"/>
      <c r="AU191">
        <v>2020</v>
      </c>
      <c r="AV191"/>
      <c r="AW191"/>
      <c r="AX191"/>
      <c r="AY191"/>
      <c r="AZ191"/>
      <c r="BA191"/>
      <c r="BB191">
        <v>110</v>
      </c>
      <c r="BC191">
        <v>115</v>
      </c>
      <c r="BD191"/>
      <c r="BE191"/>
      <c r="BF191"/>
      <c r="BG191"/>
      <c r="BH191"/>
      <c r="BI191"/>
      <c r="BJ191"/>
      <c r="BK191"/>
      <c r="BL191"/>
      <c r="BM191"/>
      <c r="BN191"/>
      <c r="BO191"/>
      <c r="BP191"/>
      <c r="BQ191"/>
      <c r="BR191"/>
      <c r="BS191" t="s">
        <v>1631</v>
      </c>
      <c r="BT191" t="str">
        <f>HYPERLINK("https%3A%2F%2Fwww.webofscience.com%2Fwos%2Fwoscc%2Ffull-record%2FWOS:000610803200022","View Full Record in Web of Science")</f>
        <v>View Full Record in Web of Science</v>
      </c>
    </row>
    <row r="192" spans="1:75" customHeight="1" ht="12.75">
      <c r="A192" t="s">
        <v>72</v>
      </c>
      <c r="B192" t="s">
        <v>1632</v>
      </c>
      <c r="C192"/>
      <c r="D192"/>
      <c r="E192"/>
      <c r="F192" t="s">
        <v>1633</v>
      </c>
      <c r="G192"/>
      <c r="H192"/>
      <c r="I192" t="s">
        <v>1634</v>
      </c>
      <c r="J192" t="s">
        <v>1635</v>
      </c>
      <c r="K192"/>
      <c r="L192"/>
      <c r="M192"/>
      <c r="N192"/>
      <c r="O192"/>
      <c r="P192"/>
      <c r="Q192"/>
      <c r="R192"/>
      <c r="S192"/>
      <c r="T192"/>
      <c r="U192"/>
      <c r="V192"/>
      <c r="W192"/>
      <c r="X192"/>
      <c r="Y192"/>
      <c r="Z192"/>
      <c r="AA192"/>
      <c r="AB192"/>
      <c r="AC192"/>
      <c r="AD192"/>
      <c r="AE192"/>
      <c r="AF192"/>
      <c r="AG192"/>
      <c r="AH192"/>
      <c r="AI192"/>
      <c r="AJ192"/>
      <c r="AK192"/>
      <c r="AL192"/>
      <c r="AM192"/>
      <c r="AN192"/>
      <c r="AO192" t="s">
        <v>1636</v>
      </c>
      <c r="AP192" t="s">
        <v>1637</v>
      </c>
      <c r="AQ192"/>
      <c r="AR192"/>
      <c r="AS192"/>
      <c r="AT192" t="s">
        <v>1638</v>
      </c>
      <c r="AU192">
        <v>2019</v>
      </c>
      <c r="AV192">
        <v>27</v>
      </c>
      <c r="AW192" t="s">
        <v>1639</v>
      </c>
      <c r="AX192"/>
      <c r="AY192"/>
      <c r="AZ192" t="s">
        <v>339</v>
      </c>
      <c r="BA192"/>
      <c r="BB192">
        <v>159</v>
      </c>
      <c r="BC192">
        <v>165</v>
      </c>
      <c r="BD192"/>
      <c r="BE192" t="s">
        <v>1640</v>
      </c>
      <c r="BF192" t="str">
        <f>HYPERLINK("http://dx.doi.org/10.1108/OTH-07-2019-0041","http://dx.doi.org/10.1108/OTH-07-2019-0041")</f>
        <v>http://dx.doi.org/10.1108/OTH-07-2019-0041</v>
      </c>
      <c r="BG192"/>
      <c r="BH192"/>
      <c r="BI192"/>
      <c r="BJ192"/>
      <c r="BK192"/>
      <c r="BL192"/>
      <c r="BM192"/>
      <c r="BN192"/>
      <c r="BO192"/>
      <c r="BP192"/>
      <c r="BQ192"/>
      <c r="BR192"/>
      <c r="BS192" t="s">
        <v>1641</v>
      </c>
      <c r="BT192" t="str">
        <f>HYPERLINK("https%3A%2F%2Fwww.webofscience.com%2Fwos%2Fwoscc%2Ffull-record%2FWOS:000491196500005","View Full Record in Web of Science")</f>
        <v>View Full Record in Web of Science</v>
      </c>
    </row>
    <row r="193" spans="1:75" customHeight="1" ht="12.75">
      <c r="A193" t="s">
        <v>72</v>
      </c>
      <c r="B193" t="s">
        <v>1642</v>
      </c>
      <c r="C193"/>
      <c r="D193"/>
      <c r="E193"/>
      <c r="F193" t="s">
        <v>1643</v>
      </c>
      <c r="G193"/>
      <c r="H193"/>
      <c r="I193" t="s">
        <v>1644</v>
      </c>
      <c r="J193" t="s">
        <v>1645</v>
      </c>
      <c r="K193"/>
      <c r="L193"/>
      <c r="M193"/>
      <c r="N193"/>
      <c r="O193"/>
      <c r="P193"/>
      <c r="Q193"/>
      <c r="R193"/>
      <c r="S193"/>
      <c r="T193"/>
      <c r="U193"/>
      <c r="V193"/>
      <c r="W193"/>
      <c r="X193"/>
      <c r="Y193"/>
      <c r="Z193"/>
      <c r="AA193" t="s">
        <v>1646</v>
      </c>
      <c r="AB193" t="s">
        <v>1647</v>
      </c>
      <c r="AC193"/>
      <c r="AD193"/>
      <c r="AE193"/>
      <c r="AF193"/>
      <c r="AG193"/>
      <c r="AH193"/>
      <c r="AI193"/>
      <c r="AJ193"/>
      <c r="AK193"/>
      <c r="AL193"/>
      <c r="AM193"/>
      <c r="AN193"/>
      <c r="AO193" t="s">
        <v>1648</v>
      </c>
      <c r="AP193"/>
      <c r="AQ193"/>
      <c r="AR193"/>
      <c r="AS193"/>
      <c r="AT193"/>
      <c r="AU193">
        <v>2019</v>
      </c>
      <c r="AV193"/>
      <c r="AW193">
        <v>12</v>
      </c>
      <c r="AX193"/>
      <c r="AY193"/>
      <c r="AZ193"/>
      <c r="BA193"/>
      <c r="BB193">
        <v>100</v>
      </c>
      <c r="BC193">
        <v>119</v>
      </c>
      <c r="BD193"/>
      <c r="BE193" t="s">
        <v>1649</v>
      </c>
      <c r="BF193" t="str">
        <f>HYPERLINK("http://dx.doi.org/10.33186/1027-3689-2019-12-100-119","http://dx.doi.org/10.33186/1027-3689-2019-12-100-119")</f>
        <v>http://dx.doi.org/10.33186/1027-3689-2019-12-100-119</v>
      </c>
      <c r="BG193"/>
      <c r="BH193"/>
      <c r="BI193"/>
      <c r="BJ193"/>
      <c r="BK193"/>
      <c r="BL193"/>
      <c r="BM193"/>
      <c r="BN193"/>
      <c r="BO193"/>
      <c r="BP193"/>
      <c r="BQ193"/>
      <c r="BR193"/>
      <c r="BS193" t="s">
        <v>1650</v>
      </c>
      <c r="BT193" t="str">
        <f>HYPERLINK("https%3A%2F%2Fwww.webofscience.com%2Fwos%2Fwoscc%2Ffull-record%2FWOS:000502575300009","View Full Record in Web of Science")</f>
        <v>View Full Record in Web of Science</v>
      </c>
    </row>
    <row r="194" spans="1:75" customHeight="1" ht="12.75">
      <c r="A194" t="s">
        <v>72</v>
      </c>
      <c r="B194" t="s">
        <v>378</v>
      </c>
      <c r="C194"/>
      <c r="D194"/>
      <c r="E194"/>
      <c r="F194" t="s">
        <v>1226</v>
      </c>
      <c r="G194"/>
      <c r="H194"/>
      <c r="I194" t="s">
        <v>1651</v>
      </c>
      <c r="J194" t="s">
        <v>1652</v>
      </c>
      <c r="K194"/>
      <c r="L194"/>
      <c r="M194"/>
      <c r="N194"/>
      <c r="O194"/>
      <c r="P194"/>
      <c r="Q194"/>
      <c r="R194"/>
      <c r="S194"/>
      <c r="T194"/>
      <c r="U194"/>
      <c r="V194"/>
      <c r="W194"/>
      <c r="X194"/>
      <c r="Y194"/>
      <c r="Z194"/>
      <c r="AA194" t="s">
        <v>553</v>
      </c>
      <c r="AB194" t="s">
        <v>554</v>
      </c>
      <c r="AC194"/>
      <c r="AD194"/>
      <c r="AE194"/>
      <c r="AF194"/>
      <c r="AG194"/>
      <c r="AH194"/>
      <c r="AI194"/>
      <c r="AJ194"/>
      <c r="AK194"/>
      <c r="AL194"/>
      <c r="AM194"/>
      <c r="AN194"/>
      <c r="AO194" t="s">
        <v>1653</v>
      </c>
      <c r="AP194"/>
      <c r="AQ194"/>
      <c r="AR194"/>
      <c r="AS194"/>
      <c r="AT194" t="s">
        <v>703</v>
      </c>
      <c r="AU194">
        <v>2018</v>
      </c>
      <c r="AV194">
        <v>12</v>
      </c>
      <c r="AW194">
        <v>4</v>
      </c>
      <c r="AX194"/>
      <c r="AY194"/>
      <c r="AZ194"/>
      <c r="BA194"/>
      <c r="BB194">
        <v>1804</v>
      </c>
      <c r="BC194">
        <v>1806</v>
      </c>
      <c r="BD194"/>
      <c r="BE194"/>
      <c r="BF194"/>
      <c r="BG194"/>
      <c r="BH194"/>
      <c r="BI194"/>
      <c r="BJ194"/>
      <c r="BK194"/>
      <c r="BL194"/>
      <c r="BM194"/>
      <c r="BN194"/>
      <c r="BO194"/>
      <c r="BP194"/>
      <c r="BQ194"/>
      <c r="BR194"/>
      <c r="BS194" t="s">
        <v>1654</v>
      </c>
      <c r="BT194" t="str">
        <f>HYPERLINK("https%3A%2F%2Fwww.webofscience.com%2Fwos%2Fwoscc%2Ffull-record%2FWOS:000468146000153","View Full Record in Web of Science")</f>
        <v>View Full Record in Web of Science</v>
      </c>
    </row>
    <row r="195" spans="1:75" customHeight="1" ht="12.75">
      <c r="A195" t="s">
        <v>72</v>
      </c>
      <c r="B195" t="s">
        <v>1655</v>
      </c>
      <c r="C195"/>
      <c r="D195"/>
      <c r="E195"/>
      <c r="F195" t="s">
        <v>1656</v>
      </c>
      <c r="G195"/>
      <c r="H195"/>
      <c r="I195" t="s">
        <v>1657</v>
      </c>
      <c r="J195" t="s">
        <v>716</v>
      </c>
      <c r="K195"/>
      <c r="L195"/>
      <c r="M195"/>
      <c r="N195"/>
      <c r="O195"/>
      <c r="P195"/>
      <c r="Q195"/>
      <c r="R195"/>
      <c r="S195"/>
      <c r="T195"/>
      <c r="U195"/>
      <c r="V195"/>
      <c r="W195"/>
      <c r="X195"/>
      <c r="Y195"/>
      <c r="Z195"/>
      <c r="AA195" t="s">
        <v>1442</v>
      </c>
      <c r="AB195" t="s">
        <v>1443</v>
      </c>
      <c r="AC195"/>
      <c r="AD195"/>
      <c r="AE195"/>
      <c r="AF195"/>
      <c r="AG195"/>
      <c r="AH195"/>
      <c r="AI195"/>
      <c r="AJ195"/>
      <c r="AK195"/>
      <c r="AL195"/>
      <c r="AM195"/>
      <c r="AN195"/>
      <c r="AO195" t="s">
        <v>719</v>
      </c>
      <c r="AP195" t="s">
        <v>720</v>
      </c>
      <c r="AQ195"/>
      <c r="AR195"/>
      <c r="AS195"/>
      <c r="AT195" t="s">
        <v>830</v>
      </c>
      <c r="AU195">
        <v>2018</v>
      </c>
      <c r="AV195"/>
      <c r="AW195">
        <v>434</v>
      </c>
      <c r="AX195"/>
      <c r="AY195"/>
      <c r="AZ195"/>
      <c r="BA195"/>
      <c r="BB195">
        <v>193</v>
      </c>
      <c r="BC195">
        <v>198</v>
      </c>
      <c r="BD195"/>
      <c r="BE195" t="s">
        <v>1658</v>
      </c>
      <c r="BF195" t="str">
        <f>HYPERLINK("http://dx.doi.org/10.17223/15617793/434/26","http://dx.doi.org/10.17223/15617793/434/26")</f>
        <v>http://dx.doi.org/10.17223/15617793/434/26</v>
      </c>
      <c r="BG195"/>
      <c r="BH195"/>
      <c r="BI195"/>
      <c r="BJ195"/>
      <c r="BK195"/>
      <c r="BL195"/>
      <c r="BM195"/>
      <c r="BN195"/>
      <c r="BO195"/>
      <c r="BP195"/>
      <c r="BQ195"/>
      <c r="BR195"/>
      <c r="BS195" t="s">
        <v>1659</v>
      </c>
      <c r="BT195" t="str">
        <f>HYPERLINK("https%3A%2F%2Fwww.webofscience.com%2Fwos%2Fwoscc%2Ffull-record%2FWOS:000451260400026","View Full Record in Web of Science")</f>
        <v>View Full Record in Web of Science</v>
      </c>
    </row>
    <row r="196" spans="1:75" customHeight="1" ht="12.75">
      <c r="A196" t="s">
        <v>72</v>
      </c>
      <c r="B196" t="s">
        <v>1660</v>
      </c>
      <c r="C196"/>
      <c r="D196"/>
      <c r="E196"/>
      <c r="F196" t="s">
        <v>1661</v>
      </c>
      <c r="G196"/>
      <c r="H196"/>
      <c r="I196" t="s">
        <v>1662</v>
      </c>
      <c r="J196" t="s">
        <v>244</v>
      </c>
      <c r="K196"/>
      <c r="L196"/>
      <c r="M196"/>
      <c r="N196"/>
      <c r="O196"/>
      <c r="P196"/>
      <c r="Q196"/>
      <c r="R196"/>
      <c r="S196"/>
      <c r="T196"/>
      <c r="U196"/>
      <c r="V196"/>
      <c r="W196"/>
      <c r="X196"/>
      <c r="Y196"/>
      <c r="Z196"/>
      <c r="AA196" t="s">
        <v>1460</v>
      </c>
      <c r="AB196" t="s">
        <v>1461</v>
      </c>
      <c r="AC196"/>
      <c r="AD196"/>
      <c r="AE196"/>
      <c r="AF196"/>
      <c r="AG196"/>
      <c r="AH196"/>
      <c r="AI196"/>
      <c r="AJ196"/>
      <c r="AK196"/>
      <c r="AL196"/>
      <c r="AM196"/>
      <c r="AN196"/>
      <c r="AO196" t="s">
        <v>245</v>
      </c>
      <c r="AP196" t="s">
        <v>246</v>
      </c>
      <c r="AQ196"/>
      <c r="AR196"/>
      <c r="AS196"/>
      <c r="AT196"/>
      <c r="AU196">
        <v>2018</v>
      </c>
      <c r="AV196"/>
      <c r="AW196">
        <v>7</v>
      </c>
      <c r="AX196"/>
      <c r="AY196"/>
      <c r="AZ196"/>
      <c r="BA196"/>
      <c r="BB196">
        <v>94</v>
      </c>
      <c r="BC196">
        <v>98</v>
      </c>
      <c r="BD196"/>
      <c r="BE196"/>
      <c r="BF196"/>
      <c r="BG196"/>
      <c r="BH196"/>
      <c r="BI196"/>
      <c r="BJ196"/>
      <c r="BK196"/>
      <c r="BL196"/>
      <c r="BM196"/>
      <c r="BN196"/>
      <c r="BO196"/>
      <c r="BP196"/>
      <c r="BQ196"/>
      <c r="BR196"/>
      <c r="BS196" t="s">
        <v>1663</v>
      </c>
      <c r="BT196" t="str">
        <f>HYPERLINK("https%3A%2F%2Fwww.webofscience.com%2Fwos%2Fwoscc%2Ffull-record%2FWOS:000443793600009","View Full Record in Web of Science")</f>
        <v>View Full Record in Web of Science</v>
      </c>
    </row>
    <row r="197" spans="1:75" customHeight="1" ht="12.75">
      <c r="A197" t="s">
        <v>147</v>
      </c>
      <c r="B197" t="s">
        <v>1664</v>
      </c>
      <c r="C197"/>
      <c r="D197" t="s">
        <v>1665</v>
      </c>
      <c r="E197"/>
      <c r="F197" t="s">
        <v>1666</v>
      </c>
      <c r="G197"/>
      <c r="H197"/>
      <c r="I197" t="s">
        <v>1667</v>
      </c>
      <c r="J197" t="s">
        <v>1668</v>
      </c>
      <c r="K197" t="s">
        <v>1669</v>
      </c>
      <c r="L197"/>
      <c r="M197"/>
      <c r="N197"/>
      <c r="O197" t="s">
        <v>1670</v>
      </c>
      <c r="P197" t="s">
        <v>1671</v>
      </c>
      <c r="Q197" t="s">
        <v>910</v>
      </c>
      <c r="R197" t="s">
        <v>1672</v>
      </c>
      <c r="S197"/>
      <c r="T197"/>
      <c r="U197"/>
      <c r="V197"/>
      <c r="W197"/>
      <c r="X197"/>
      <c r="Y197"/>
      <c r="Z197"/>
      <c r="AA197" t="s">
        <v>1673</v>
      </c>
      <c r="AB197" t="s">
        <v>1674</v>
      </c>
      <c r="AC197"/>
      <c r="AD197"/>
      <c r="AE197"/>
      <c r="AF197"/>
      <c r="AG197"/>
      <c r="AH197"/>
      <c r="AI197"/>
      <c r="AJ197"/>
      <c r="AK197"/>
      <c r="AL197"/>
      <c r="AM197"/>
      <c r="AN197"/>
      <c r="AO197" t="s">
        <v>1675</v>
      </c>
      <c r="AP197" t="s">
        <v>1676</v>
      </c>
      <c r="AQ197" t="s">
        <v>1677</v>
      </c>
      <c r="AR197"/>
      <c r="AS197"/>
      <c r="AT197"/>
      <c r="AU197">
        <v>2018</v>
      </c>
      <c r="AV197">
        <v>930</v>
      </c>
      <c r="AW197"/>
      <c r="AX197"/>
      <c r="AY197"/>
      <c r="AZ197"/>
      <c r="BA197"/>
      <c r="BB197">
        <v>139</v>
      </c>
      <c r="BC197">
        <v>151</v>
      </c>
      <c r="BD197"/>
      <c r="BE197" t="s">
        <v>1678</v>
      </c>
      <c r="BF197" t="str">
        <f>HYPERLINK("http://dx.doi.org/10.1007/978-3-030-01204-5_14","http://dx.doi.org/10.1007/978-3-030-01204-5_14")</f>
        <v>http://dx.doi.org/10.1007/978-3-030-01204-5_14</v>
      </c>
      <c r="BG197"/>
      <c r="BH197"/>
      <c r="BI197"/>
      <c r="BJ197"/>
      <c r="BK197"/>
      <c r="BL197"/>
      <c r="BM197"/>
      <c r="BN197"/>
      <c r="BO197"/>
      <c r="BP197"/>
      <c r="BQ197"/>
      <c r="BR197"/>
      <c r="BS197" t="s">
        <v>1679</v>
      </c>
      <c r="BT197" t="str">
        <f>HYPERLINK("https%3A%2F%2Fwww.webofscience.com%2Fwos%2Fwoscc%2Ffull-record%2FWOS:000460557600014","View Full Record in Web of Science")</f>
        <v>View Full Record in Web of Science</v>
      </c>
    </row>
    <row r="198" spans="1:75" customHeight="1" ht="12.75">
      <c r="A198" t="s">
        <v>72</v>
      </c>
      <c r="B198" t="s">
        <v>1680</v>
      </c>
      <c r="C198"/>
      <c r="D198"/>
      <c r="E198"/>
      <c r="F198" t="s">
        <v>1681</v>
      </c>
      <c r="G198"/>
      <c r="H198"/>
      <c r="I198" t="s">
        <v>1682</v>
      </c>
      <c r="J198" t="s">
        <v>861</v>
      </c>
      <c r="K198"/>
      <c r="L198"/>
      <c r="M198"/>
      <c r="N198"/>
      <c r="O198"/>
      <c r="P198"/>
      <c r="Q198"/>
      <c r="R198"/>
      <c r="S198"/>
      <c r="T198"/>
      <c r="U198"/>
      <c r="V198"/>
      <c r="W198"/>
      <c r="X198"/>
      <c r="Y198"/>
      <c r="Z198"/>
      <c r="AA198" t="s">
        <v>1683</v>
      </c>
      <c r="AB198" t="s">
        <v>1684</v>
      </c>
      <c r="AC198"/>
      <c r="AD198"/>
      <c r="AE198"/>
      <c r="AF198"/>
      <c r="AG198"/>
      <c r="AH198"/>
      <c r="AI198"/>
      <c r="AJ198"/>
      <c r="AK198"/>
      <c r="AL198"/>
      <c r="AM198"/>
      <c r="AN198"/>
      <c r="AO198" t="s">
        <v>864</v>
      </c>
      <c r="AP198" t="s">
        <v>865</v>
      </c>
      <c r="AQ198"/>
      <c r="AR198"/>
      <c r="AS198"/>
      <c r="AT198"/>
      <c r="AU198">
        <v>2018</v>
      </c>
      <c r="AV198">
        <v>61</v>
      </c>
      <c r="AW198" t="s">
        <v>1685</v>
      </c>
      <c r="AX198"/>
      <c r="AY198"/>
      <c r="AZ198"/>
      <c r="BA198"/>
      <c r="BB198">
        <v>76</v>
      </c>
      <c r="BC198">
        <v>83</v>
      </c>
      <c r="BD198"/>
      <c r="BE198" t="s">
        <v>1686</v>
      </c>
      <c r="BF198" t="str">
        <f>HYPERLINK("http://dx.doi.org/10.6060/tcct.20186104-05.5596","http://dx.doi.org/10.6060/tcct.20186104-05.5596")</f>
        <v>http://dx.doi.org/10.6060/tcct.20186104-05.5596</v>
      </c>
      <c r="BG198"/>
      <c r="BH198"/>
      <c r="BI198"/>
      <c r="BJ198"/>
      <c r="BK198"/>
      <c r="BL198"/>
      <c r="BM198"/>
      <c r="BN198"/>
      <c r="BO198"/>
      <c r="BP198"/>
      <c r="BQ198"/>
      <c r="BR198"/>
      <c r="BS198" t="s">
        <v>1687</v>
      </c>
      <c r="BT198" t="str">
        <f>HYPERLINK("https%3A%2F%2Fwww.webofscience.com%2Fwos%2Fwoscc%2Ffull-record%2FWOS:000435584400009","View Full Record in Web of Science")</f>
        <v>View Full Record in Web of Science</v>
      </c>
    </row>
    <row r="199" spans="1:75" customHeight="1" ht="12.75">
      <c r="A199" t="s">
        <v>1342</v>
      </c>
      <c r="B199" t="s">
        <v>1688</v>
      </c>
      <c r="C199"/>
      <c r="D199" t="s">
        <v>1689</v>
      </c>
      <c r="E199"/>
      <c r="F199" t="s">
        <v>1690</v>
      </c>
      <c r="G199"/>
      <c r="H199"/>
      <c r="I199" t="s">
        <v>1691</v>
      </c>
      <c r="J199" t="s">
        <v>1692</v>
      </c>
      <c r="K199" t="s">
        <v>1693</v>
      </c>
      <c r="L199"/>
      <c r="M199"/>
      <c r="N199"/>
      <c r="O199"/>
      <c r="P199"/>
      <c r="Q199"/>
      <c r="R199"/>
      <c r="S199"/>
      <c r="T199"/>
      <c r="U199"/>
      <c r="V199"/>
      <c r="W199"/>
      <c r="X199"/>
      <c r="Y199"/>
      <c r="Z199"/>
      <c r="AA199" t="s">
        <v>1694</v>
      </c>
      <c r="AB199" t="s">
        <v>1695</v>
      </c>
      <c r="AC199"/>
      <c r="AD199"/>
      <c r="AE199"/>
      <c r="AF199"/>
      <c r="AG199"/>
      <c r="AH199"/>
      <c r="AI199"/>
      <c r="AJ199"/>
      <c r="AK199"/>
      <c r="AL199"/>
      <c r="AM199"/>
      <c r="AN199"/>
      <c r="AO199" t="s">
        <v>1696</v>
      </c>
      <c r="AP199"/>
      <c r="AQ199" t="s">
        <v>1697</v>
      </c>
      <c r="AR199"/>
      <c r="AS199"/>
      <c r="AT199"/>
      <c r="AU199">
        <v>2018</v>
      </c>
      <c r="AV199">
        <v>135</v>
      </c>
      <c r="AW199"/>
      <c r="AX199"/>
      <c r="AY199"/>
      <c r="AZ199"/>
      <c r="BA199"/>
      <c r="BB199">
        <v>97</v>
      </c>
      <c r="BC199">
        <v>118</v>
      </c>
      <c r="BD199"/>
      <c r="BE199" t="s">
        <v>1698</v>
      </c>
      <c r="BF199" t="str">
        <f>HYPERLINK("http://dx.doi.org/10.1007/978-3-319-67516-9_4","http://dx.doi.org/10.1007/978-3-319-67516-9_4")</f>
        <v>http://dx.doi.org/10.1007/978-3-319-67516-9_4</v>
      </c>
      <c r="BG199" t="s">
        <v>1699</v>
      </c>
      <c r="BH199"/>
      <c r="BI199"/>
      <c r="BJ199"/>
      <c r="BK199"/>
      <c r="BL199"/>
      <c r="BM199"/>
      <c r="BN199"/>
      <c r="BO199"/>
      <c r="BP199"/>
      <c r="BQ199"/>
      <c r="BR199"/>
      <c r="BS199" t="s">
        <v>1700</v>
      </c>
      <c r="BT199" t="str">
        <f>HYPERLINK("https%3A%2F%2Fwww.webofscience.com%2Fwos%2Fwoscc%2Ffull-record%2FWOS:000440661000005","View Full Record in Web of Science")</f>
        <v>View Full Record in Web of Science</v>
      </c>
    </row>
    <row r="200" spans="1:75" customHeight="1" ht="12.75">
      <c r="A200" t="s">
        <v>147</v>
      </c>
      <c r="B200" t="s">
        <v>581</v>
      </c>
      <c r="C200"/>
      <c r="D200"/>
      <c r="E200" t="s">
        <v>175</v>
      </c>
      <c r="F200" t="s">
        <v>582</v>
      </c>
      <c r="G200"/>
      <c r="H200"/>
      <c r="I200" t="s">
        <v>1701</v>
      </c>
      <c r="J200" t="s">
        <v>1702</v>
      </c>
      <c r="K200" t="s">
        <v>1469</v>
      </c>
      <c r="L200"/>
      <c r="M200"/>
      <c r="N200"/>
      <c r="O200" t="s">
        <v>1619</v>
      </c>
      <c r="P200" t="s">
        <v>1703</v>
      </c>
      <c r="Q200" t="s">
        <v>1704</v>
      </c>
      <c r="R200" t="s">
        <v>1705</v>
      </c>
      <c r="S200" t="s">
        <v>157</v>
      </c>
      <c r="T200"/>
      <c r="U200"/>
      <c r="V200"/>
      <c r="W200"/>
      <c r="X200"/>
      <c r="Y200"/>
      <c r="Z200"/>
      <c r="AA200" t="s">
        <v>585</v>
      </c>
      <c r="AB200" t="s">
        <v>586</v>
      </c>
      <c r="AC200"/>
      <c r="AD200"/>
      <c r="AE200"/>
      <c r="AF200"/>
      <c r="AG200"/>
      <c r="AH200"/>
      <c r="AI200"/>
      <c r="AJ200"/>
      <c r="AK200"/>
      <c r="AL200"/>
      <c r="AM200"/>
      <c r="AN200"/>
      <c r="AO200" t="s">
        <v>1472</v>
      </c>
      <c r="AP200"/>
      <c r="AQ200"/>
      <c r="AR200"/>
      <c r="AS200"/>
      <c r="AT200"/>
      <c r="AU200">
        <v>2018</v>
      </c>
      <c r="AV200">
        <v>451</v>
      </c>
      <c r="AW200"/>
      <c r="AX200"/>
      <c r="AY200"/>
      <c r="AZ200"/>
      <c r="BA200"/>
      <c r="BB200"/>
      <c r="BC200"/>
      <c r="BD200">
        <v>12046</v>
      </c>
      <c r="BE200" t="s">
        <v>1706</v>
      </c>
      <c r="BF200" t="str">
        <f>HYPERLINK("http://dx.doi.org/10.1088/1757-899X/451/1/012046","http://dx.doi.org/10.1088/1757-899X/451/1/012046")</f>
        <v>http://dx.doi.org/10.1088/1757-899X/451/1/012046</v>
      </c>
      <c r="BG200"/>
      <c r="BH200"/>
      <c r="BI200"/>
      <c r="BJ200"/>
      <c r="BK200"/>
      <c r="BL200"/>
      <c r="BM200"/>
      <c r="BN200"/>
      <c r="BO200"/>
      <c r="BP200"/>
      <c r="BQ200"/>
      <c r="BR200"/>
      <c r="BS200" t="s">
        <v>1707</v>
      </c>
      <c r="BT200" t="str">
        <f>HYPERLINK("https%3A%2F%2Fwww.webofscience.com%2Fwos%2Fwoscc%2Ffull-record%2FWOS:000648426900046","View Full Record in Web of Science")</f>
        <v>View Full Record in Web of Science</v>
      </c>
    </row>
    <row r="201" spans="1:75" customHeight="1" ht="12.75">
      <c r="A201" t="s">
        <v>72</v>
      </c>
      <c r="B201" t="s">
        <v>1708</v>
      </c>
      <c r="C201"/>
      <c r="D201"/>
      <c r="E201"/>
      <c r="F201" t="s">
        <v>1709</v>
      </c>
      <c r="G201"/>
      <c r="H201"/>
      <c r="I201" t="s">
        <v>1710</v>
      </c>
      <c r="J201" t="s">
        <v>244</v>
      </c>
      <c r="K201"/>
      <c r="L201"/>
      <c r="M201"/>
      <c r="N201"/>
      <c r="O201"/>
      <c r="P201"/>
      <c r="Q201"/>
      <c r="R201"/>
      <c r="S201"/>
      <c r="T201"/>
      <c r="U201"/>
      <c r="V201"/>
      <c r="W201"/>
      <c r="X201"/>
      <c r="Y201"/>
      <c r="Z201"/>
      <c r="AA201" t="s">
        <v>782</v>
      </c>
      <c r="AB201" t="s">
        <v>783</v>
      </c>
      <c r="AC201"/>
      <c r="AD201"/>
      <c r="AE201"/>
      <c r="AF201"/>
      <c r="AG201"/>
      <c r="AH201"/>
      <c r="AI201"/>
      <c r="AJ201"/>
      <c r="AK201"/>
      <c r="AL201"/>
      <c r="AM201"/>
      <c r="AN201"/>
      <c r="AO201" t="s">
        <v>245</v>
      </c>
      <c r="AP201" t="s">
        <v>246</v>
      </c>
      <c r="AQ201"/>
      <c r="AR201"/>
      <c r="AS201"/>
      <c r="AT201"/>
      <c r="AU201">
        <v>2017</v>
      </c>
      <c r="AV201"/>
      <c r="AW201">
        <v>12</v>
      </c>
      <c r="AX201"/>
      <c r="AY201"/>
      <c r="AZ201"/>
      <c r="BA201"/>
      <c r="BB201">
        <v>137</v>
      </c>
      <c r="BC201">
        <v>144</v>
      </c>
      <c r="BD201"/>
      <c r="BE201"/>
      <c r="BF201"/>
      <c r="BG201"/>
      <c r="BH201"/>
      <c r="BI201"/>
      <c r="BJ201"/>
      <c r="BK201"/>
      <c r="BL201"/>
      <c r="BM201"/>
      <c r="BN201"/>
      <c r="BO201"/>
      <c r="BP201"/>
      <c r="BQ201"/>
      <c r="BR201"/>
      <c r="BS201" t="s">
        <v>1711</v>
      </c>
      <c r="BT201" t="str">
        <f>HYPERLINK("https%3A%2F%2Fwww.webofscience.com%2Fwos%2Fwoscc%2Ffull-record%2FWOS:000423138700013","View Full Record in Web of Science")</f>
        <v>View Full Record in Web of Science</v>
      </c>
    </row>
    <row r="202" spans="1:75" customHeight="1" ht="12.75">
      <c r="A202" t="s">
        <v>72</v>
      </c>
      <c r="B202" t="s">
        <v>977</v>
      </c>
      <c r="C202"/>
      <c r="D202"/>
      <c r="E202"/>
      <c r="F202" t="s">
        <v>1712</v>
      </c>
      <c r="G202"/>
      <c r="H202"/>
      <c r="I202" t="s">
        <v>1713</v>
      </c>
      <c r="J202" t="s">
        <v>244</v>
      </c>
      <c r="K202"/>
      <c r="L202"/>
      <c r="M202"/>
      <c r="N202"/>
      <c r="O202"/>
      <c r="P202"/>
      <c r="Q202"/>
      <c r="R202"/>
      <c r="S202"/>
      <c r="T202"/>
      <c r="U202"/>
      <c r="V202"/>
      <c r="W202"/>
      <c r="X202"/>
      <c r="Y202"/>
      <c r="Z202"/>
      <c r="AA202" t="s">
        <v>782</v>
      </c>
      <c r="AB202" t="s">
        <v>783</v>
      </c>
      <c r="AC202"/>
      <c r="AD202"/>
      <c r="AE202"/>
      <c r="AF202"/>
      <c r="AG202"/>
      <c r="AH202"/>
      <c r="AI202"/>
      <c r="AJ202"/>
      <c r="AK202"/>
      <c r="AL202"/>
      <c r="AM202"/>
      <c r="AN202"/>
      <c r="AO202" t="s">
        <v>245</v>
      </c>
      <c r="AP202" t="s">
        <v>246</v>
      </c>
      <c r="AQ202"/>
      <c r="AR202"/>
      <c r="AS202"/>
      <c r="AT202"/>
      <c r="AU202">
        <v>2016</v>
      </c>
      <c r="AV202"/>
      <c r="AW202">
        <v>2</v>
      </c>
      <c r="AX202"/>
      <c r="AY202"/>
      <c r="AZ202"/>
      <c r="BA202"/>
      <c r="BB202">
        <v>150</v>
      </c>
      <c r="BC202">
        <v>159</v>
      </c>
      <c r="BD202"/>
      <c r="BE202"/>
      <c r="BF202"/>
      <c r="BG202"/>
      <c r="BH202"/>
      <c r="BI202"/>
      <c r="BJ202"/>
      <c r="BK202"/>
      <c r="BL202"/>
      <c r="BM202"/>
      <c r="BN202"/>
      <c r="BO202"/>
      <c r="BP202"/>
      <c r="BQ202"/>
      <c r="BR202"/>
      <c r="BS202" t="s">
        <v>1714</v>
      </c>
      <c r="BT202" t="str">
        <f>HYPERLINK("https%3A%2F%2Fwww.webofscience.com%2Fwos%2Fwoscc%2Ffull-record%2FWOS:000372373000011","View Full Record in Web of Science")</f>
        <v>View Full Record in Web of Science</v>
      </c>
    </row>
    <row r="203" spans="1:75" customHeight="1" ht="12.75">
      <c r="A203" t="s">
        <v>72</v>
      </c>
      <c r="B203" t="s">
        <v>1715</v>
      </c>
      <c r="C203"/>
      <c r="D203"/>
      <c r="E203"/>
      <c r="F203" t="s">
        <v>1716</v>
      </c>
      <c r="G203"/>
      <c r="H203"/>
      <c r="I203" t="s">
        <v>1717</v>
      </c>
      <c r="J203" t="s">
        <v>614</v>
      </c>
      <c r="K203"/>
      <c r="L203"/>
      <c r="M203"/>
      <c r="N203"/>
      <c r="O203"/>
      <c r="P203"/>
      <c r="Q203"/>
      <c r="R203"/>
      <c r="S203"/>
      <c r="T203"/>
      <c r="U203"/>
      <c r="V203"/>
      <c r="W203"/>
      <c r="X203"/>
      <c r="Y203"/>
      <c r="Z203"/>
      <c r="AA203" t="s">
        <v>1718</v>
      </c>
      <c r="AB203" t="s">
        <v>1719</v>
      </c>
      <c r="AC203"/>
      <c r="AD203"/>
      <c r="AE203"/>
      <c r="AF203"/>
      <c r="AG203"/>
      <c r="AH203"/>
      <c r="AI203"/>
      <c r="AJ203"/>
      <c r="AK203"/>
      <c r="AL203"/>
      <c r="AM203"/>
      <c r="AN203"/>
      <c r="AO203" t="s">
        <v>617</v>
      </c>
      <c r="AP203" t="s">
        <v>1720</v>
      </c>
      <c r="AQ203"/>
      <c r="AR203"/>
      <c r="AS203"/>
      <c r="AT203" t="s">
        <v>88</v>
      </c>
      <c r="AU203">
        <v>2015</v>
      </c>
      <c r="AV203">
        <v>51</v>
      </c>
      <c r="AW203">
        <v>5</v>
      </c>
      <c r="AX203"/>
      <c r="AY203"/>
      <c r="AZ203"/>
      <c r="BA203"/>
      <c r="BB203">
        <v>473</v>
      </c>
      <c r="BC203">
        <v>477</v>
      </c>
      <c r="BD203"/>
      <c r="BE203" t="s">
        <v>1721</v>
      </c>
      <c r="BF203" t="str">
        <f>HYPERLINK("http://dx.doi.org/10.1134/S102319351505002X","http://dx.doi.org/10.1134/S102319351505002X")</f>
        <v>http://dx.doi.org/10.1134/S102319351505002X</v>
      </c>
      <c r="BG203"/>
      <c r="BH203"/>
      <c r="BI203"/>
      <c r="BJ203"/>
      <c r="BK203"/>
      <c r="BL203"/>
      <c r="BM203"/>
      <c r="BN203"/>
      <c r="BO203"/>
      <c r="BP203"/>
      <c r="BQ203"/>
      <c r="BR203"/>
      <c r="BS203" t="s">
        <v>1722</v>
      </c>
      <c r="BT203" t="str">
        <f>HYPERLINK("https%3A%2F%2Fwww.webofscience.com%2Fwos%2Fwoscc%2Ffull-record%2FWOS:000355411900015","View Full Record in Web of Science")</f>
        <v>View Full Record in Web of Science</v>
      </c>
    </row>
    <row r="204" spans="1:75" customHeight="1" ht="12.75">
      <c r="A204" t="s">
        <v>147</v>
      </c>
      <c r="B204" t="s">
        <v>948</v>
      </c>
      <c r="C204"/>
      <c r="D204"/>
      <c r="E204" t="s">
        <v>210</v>
      </c>
      <c r="F204" t="s">
        <v>950</v>
      </c>
      <c r="G204"/>
      <c r="H204"/>
      <c r="I204" t="s">
        <v>1723</v>
      </c>
      <c r="J204" t="s">
        <v>1724</v>
      </c>
      <c r="K204"/>
      <c r="L204"/>
      <c r="M204"/>
      <c r="N204"/>
      <c r="O204" t="s">
        <v>421</v>
      </c>
      <c r="P204" t="s">
        <v>1725</v>
      </c>
      <c r="Q204" t="s">
        <v>1726</v>
      </c>
      <c r="R204" t="s">
        <v>1727</v>
      </c>
      <c r="S204"/>
      <c r="T204"/>
      <c r="U204"/>
      <c r="V204"/>
      <c r="W204"/>
      <c r="X204"/>
      <c r="Y204"/>
      <c r="Z204"/>
      <c r="AA204" t="s">
        <v>957</v>
      </c>
      <c r="AB204" t="s">
        <v>958</v>
      </c>
      <c r="AC204"/>
      <c r="AD204"/>
      <c r="AE204"/>
      <c r="AF204"/>
      <c r="AG204"/>
      <c r="AH204"/>
      <c r="AI204"/>
      <c r="AJ204"/>
      <c r="AK204"/>
      <c r="AL204"/>
      <c r="AM204"/>
      <c r="AN204"/>
      <c r="AO204"/>
      <c r="AP204"/>
      <c r="AQ204" t="s">
        <v>1728</v>
      </c>
      <c r="AR204"/>
      <c r="AS204"/>
      <c r="AT204"/>
      <c r="AU204">
        <v>2015</v>
      </c>
      <c r="AV204"/>
      <c r="AW204"/>
      <c r="AX204"/>
      <c r="AY204"/>
      <c r="AZ204"/>
      <c r="BA204"/>
      <c r="BB204"/>
      <c r="BC204"/>
      <c r="BD204"/>
      <c r="BE204"/>
      <c r="BF204"/>
      <c r="BG204"/>
      <c r="BH204"/>
      <c r="BI204"/>
      <c r="BJ204"/>
      <c r="BK204"/>
      <c r="BL204"/>
      <c r="BM204"/>
      <c r="BN204"/>
      <c r="BO204"/>
      <c r="BP204"/>
      <c r="BQ204"/>
      <c r="BR204"/>
      <c r="BS204" t="s">
        <v>1729</v>
      </c>
      <c r="BT204" t="str">
        <f>HYPERLINK("https%3A%2F%2Fwww.webofscience.com%2Fwos%2Fwoscc%2Ffull-record%2FWOS:000382527700042","View Full Record in Web of Science")</f>
        <v>View Full Record in Web of Science</v>
      </c>
    </row>
    <row r="205" spans="1:75" customHeight="1" ht="12.75">
      <c r="A205" t="s">
        <v>72</v>
      </c>
      <c r="B205" t="s">
        <v>1730</v>
      </c>
      <c r="C205"/>
      <c r="D205"/>
      <c r="E205"/>
      <c r="F205" t="s">
        <v>1731</v>
      </c>
      <c r="G205"/>
      <c r="H205"/>
      <c r="I205" t="s">
        <v>1732</v>
      </c>
      <c r="J205" t="s">
        <v>409</v>
      </c>
      <c r="K205"/>
      <c r="L205"/>
      <c r="M205"/>
      <c r="N205"/>
      <c r="O205"/>
      <c r="P205"/>
      <c r="Q205"/>
      <c r="R205"/>
      <c r="S205"/>
      <c r="T205"/>
      <c r="U205"/>
      <c r="V205"/>
      <c r="W205"/>
      <c r="X205"/>
      <c r="Y205"/>
      <c r="Z205"/>
      <c r="AA205" t="s">
        <v>1733</v>
      </c>
      <c r="AB205"/>
      <c r="AC205"/>
      <c r="AD205"/>
      <c r="AE205"/>
      <c r="AF205"/>
      <c r="AG205"/>
      <c r="AH205"/>
      <c r="AI205"/>
      <c r="AJ205"/>
      <c r="AK205"/>
      <c r="AL205"/>
      <c r="AM205"/>
      <c r="AN205"/>
      <c r="AO205" t="s">
        <v>412</v>
      </c>
      <c r="AP205" t="s">
        <v>413</v>
      </c>
      <c r="AQ205"/>
      <c r="AR205"/>
      <c r="AS205"/>
      <c r="AT205" t="s">
        <v>1173</v>
      </c>
      <c r="AU205">
        <v>2014</v>
      </c>
      <c r="AV205">
        <v>87</v>
      </c>
      <c r="AW205">
        <v>8</v>
      </c>
      <c r="AX205"/>
      <c r="AY205"/>
      <c r="AZ205"/>
      <c r="BA205"/>
      <c r="BB205">
        <v>1077</v>
      </c>
      <c r="BC205">
        <v>1084</v>
      </c>
      <c r="BD205"/>
      <c r="BE205" t="s">
        <v>1734</v>
      </c>
      <c r="BF205" t="str">
        <f>HYPERLINK("http://dx.doi.org/10.1134/S1070427214080126","http://dx.doi.org/10.1134/S1070427214080126")</f>
        <v>http://dx.doi.org/10.1134/S1070427214080126</v>
      </c>
      <c r="BG205"/>
      <c r="BH205"/>
      <c r="BI205"/>
      <c r="BJ205"/>
      <c r="BK205"/>
      <c r="BL205"/>
      <c r="BM205"/>
      <c r="BN205"/>
      <c r="BO205"/>
      <c r="BP205"/>
      <c r="BQ205"/>
      <c r="BR205"/>
      <c r="BS205" t="s">
        <v>1735</v>
      </c>
      <c r="BT205" t="str">
        <f>HYPERLINK("https%3A%2F%2Fwww.webofscience.com%2Fwos%2Fwoscc%2Ffull-record%2FWOS:000345395800012","View Full Record in Web of Science")</f>
        <v>View Full Record in Web of Science</v>
      </c>
    </row>
    <row r="206" spans="1:75" customHeight="1" ht="12.75">
      <c r="A206" t="s">
        <v>72</v>
      </c>
      <c r="B206" t="s">
        <v>1736</v>
      </c>
      <c r="C206"/>
      <c r="D206"/>
      <c r="E206"/>
      <c r="F206" t="s">
        <v>1737</v>
      </c>
      <c r="G206"/>
      <c r="H206"/>
      <c r="I206" t="s">
        <v>1738</v>
      </c>
      <c r="J206" t="s">
        <v>409</v>
      </c>
      <c r="K206"/>
      <c r="L206"/>
      <c r="M206"/>
      <c r="N206"/>
      <c r="O206"/>
      <c r="P206"/>
      <c r="Q206"/>
      <c r="R206"/>
      <c r="S206"/>
      <c r="T206"/>
      <c r="U206"/>
      <c r="V206"/>
      <c r="W206"/>
      <c r="X206"/>
      <c r="Y206"/>
      <c r="Z206"/>
      <c r="AA206" t="s">
        <v>1739</v>
      </c>
      <c r="AB206"/>
      <c r="AC206"/>
      <c r="AD206"/>
      <c r="AE206"/>
      <c r="AF206"/>
      <c r="AG206"/>
      <c r="AH206"/>
      <c r="AI206"/>
      <c r="AJ206"/>
      <c r="AK206"/>
      <c r="AL206"/>
      <c r="AM206"/>
      <c r="AN206"/>
      <c r="AO206" t="s">
        <v>412</v>
      </c>
      <c r="AP206"/>
      <c r="AQ206"/>
      <c r="AR206"/>
      <c r="AS206"/>
      <c r="AT206" t="s">
        <v>1173</v>
      </c>
      <c r="AU206">
        <v>2008</v>
      </c>
      <c r="AV206">
        <v>81</v>
      </c>
      <c r="AW206">
        <v>8</v>
      </c>
      <c r="AX206"/>
      <c r="AY206"/>
      <c r="AZ206"/>
      <c r="BA206"/>
      <c r="BB206">
        <v>1423</v>
      </c>
      <c r="BC206">
        <v>1426</v>
      </c>
      <c r="BD206"/>
      <c r="BE206" t="s">
        <v>1740</v>
      </c>
      <c r="BF206" t="str">
        <f>HYPERLINK("http://dx.doi.org/10.1134/S107042720808020X","http://dx.doi.org/10.1134/S107042720808020X")</f>
        <v>http://dx.doi.org/10.1134/S107042720808020X</v>
      </c>
      <c r="BG206"/>
      <c r="BH206"/>
      <c r="BI206"/>
      <c r="BJ206"/>
      <c r="BK206"/>
      <c r="BL206"/>
      <c r="BM206"/>
      <c r="BN206"/>
      <c r="BO206"/>
      <c r="BP206"/>
      <c r="BQ206"/>
      <c r="BR206"/>
      <c r="BS206" t="s">
        <v>1741</v>
      </c>
      <c r="BT206" t="str">
        <f>HYPERLINK("https%3A%2F%2Fwww.webofscience.com%2Fwos%2Fwoscc%2Ffull-record%2FWOS:000259579700020","View Full Record in Web of Science")</f>
        <v>View Full Record in Web of Science</v>
      </c>
    </row>
    <row r="207" spans="1:75" customHeight="1" ht="12.75">
      <c r="A207" t="s">
        <v>72</v>
      </c>
      <c r="B207" t="s">
        <v>1170</v>
      </c>
      <c r="C207"/>
      <c r="D207"/>
      <c r="E207"/>
      <c r="F207" t="s">
        <v>1171</v>
      </c>
      <c r="G207"/>
      <c r="H207"/>
      <c r="I207" t="s">
        <v>1742</v>
      </c>
      <c r="J207" t="s">
        <v>311</v>
      </c>
      <c r="K207"/>
      <c r="L207"/>
      <c r="M207"/>
      <c r="N207"/>
      <c r="O207"/>
      <c r="P207"/>
      <c r="Q207"/>
      <c r="R207"/>
      <c r="S207"/>
      <c r="T207"/>
      <c r="U207"/>
      <c r="V207"/>
      <c r="W207"/>
      <c r="X207"/>
      <c r="Y207"/>
      <c r="Z207"/>
      <c r="AA207"/>
      <c r="AB207"/>
      <c r="AC207"/>
      <c r="AD207"/>
      <c r="AE207"/>
      <c r="AF207"/>
      <c r="AG207"/>
      <c r="AH207"/>
      <c r="AI207"/>
      <c r="AJ207"/>
      <c r="AK207"/>
      <c r="AL207"/>
      <c r="AM207"/>
      <c r="AN207"/>
      <c r="AO207" t="s">
        <v>312</v>
      </c>
      <c r="AP207"/>
      <c r="AQ207"/>
      <c r="AR207"/>
      <c r="AS207"/>
      <c r="AT207" t="s">
        <v>491</v>
      </c>
      <c r="AU207">
        <v>2008</v>
      </c>
      <c r="AV207">
        <v>42</v>
      </c>
      <c r="AW207">
        <v>3</v>
      </c>
      <c r="AX207"/>
      <c r="AY207"/>
      <c r="AZ207"/>
      <c r="BA207"/>
      <c r="BB207">
        <v>271</v>
      </c>
      <c r="BC207">
        <v>277</v>
      </c>
      <c r="BD207"/>
      <c r="BE207" t="s">
        <v>1743</v>
      </c>
      <c r="BF207" t="str">
        <f>HYPERLINK("http://dx.doi.org/10.1134/S004057950803007X","http://dx.doi.org/10.1134/S004057950803007X")</f>
        <v>http://dx.doi.org/10.1134/S004057950803007X</v>
      </c>
      <c r="BG207"/>
      <c r="BH207"/>
      <c r="BI207"/>
      <c r="BJ207"/>
      <c r="BK207"/>
      <c r="BL207"/>
      <c r="BM207"/>
      <c r="BN207"/>
      <c r="BO207"/>
      <c r="BP207"/>
      <c r="BQ207"/>
      <c r="BR207"/>
      <c r="BS207" t="s">
        <v>1744</v>
      </c>
      <c r="BT207" t="str">
        <f>HYPERLINK("https%3A%2F%2Fwww.webofscience.com%2Fwos%2Fwoscc%2Ffull-record%2FWOS:000257394200007","View Full Record in Web of Science")</f>
        <v>View Full Record in Web of Science</v>
      </c>
    </row>
    <row r="208" spans="1:75" customHeight="1" ht="12.75">
      <c r="A208" t="s">
        <v>72</v>
      </c>
      <c r="B208" t="s">
        <v>1745</v>
      </c>
      <c r="C208"/>
      <c r="D208"/>
      <c r="E208"/>
      <c r="F208" t="s">
        <v>1745</v>
      </c>
      <c r="G208"/>
      <c r="H208"/>
      <c r="I208" t="s">
        <v>1746</v>
      </c>
      <c r="J208" t="s">
        <v>614</v>
      </c>
      <c r="K208"/>
      <c r="L208"/>
      <c r="M208"/>
      <c r="N208"/>
      <c r="O208" t="s">
        <v>1747</v>
      </c>
      <c r="P208" t="s">
        <v>1748</v>
      </c>
      <c r="Q208" t="s">
        <v>1749</v>
      </c>
      <c r="R208"/>
      <c r="S208" t="s">
        <v>1750</v>
      </c>
      <c r="T208"/>
      <c r="U208"/>
      <c r="V208"/>
      <c r="W208"/>
      <c r="X208"/>
      <c r="Y208"/>
      <c r="Z208"/>
      <c r="AA208"/>
      <c r="AB208"/>
      <c r="AC208"/>
      <c r="AD208"/>
      <c r="AE208"/>
      <c r="AF208"/>
      <c r="AG208"/>
      <c r="AH208"/>
      <c r="AI208"/>
      <c r="AJ208"/>
      <c r="AK208"/>
      <c r="AL208"/>
      <c r="AM208"/>
      <c r="AN208"/>
      <c r="AO208" t="s">
        <v>617</v>
      </c>
      <c r="AP208"/>
      <c r="AQ208"/>
      <c r="AR208"/>
      <c r="AS208"/>
      <c r="AT208" t="s">
        <v>88</v>
      </c>
      <c r="AU208">
        <v>2003</v>
      </c>
      <c r="AV208">
        <v>39</v>
      </c>
      <c r="AW208">
        <v>5</v>
      </c>
      <c r="AX208"/>
      <c r="AY208"/>
      <c r="AZ208"/>
      <c r="BA208"/>
      <c r="BB208">
        <v>542</v>
      </c>
      <c r="BC208">
        <v>548</v>
      </c>
      <c r="BD208"/>
      <c r="BE208" t="s">
        <v>1751</v>
      </c>
      <c r="BF208" t="str">
        <f>HYPERLINK("http://dx.doi.org/10.1023/A:1023833111833","http://dx.doi.org/10.1023/A:1023833111833")</f>
        <v>http://dx.doi.org/10.1023/A:1023833111833</v>
      </c>
      <c r="BG208"/>
      <c r="BH208"/>
      <c r="BI208"/>
      <c r="BJ208"/>
      <c r="BK208"/>
      <c r="BL208"/>
      <c r="BM208"/>
      <c r="BN208"/>
      <c r="BO208"/>
      <c r="BP208"/>
      <c r="BQ208"/>
      <c r="BR208"/>
      <c r="BS208" t="s">
        <v>1752</v>
      </c>
      <c r="BT208" t="str">
        <f>HYPERLINK("https%3A%2F%2Fwww.webofscience.com%2Fwos%2Fwoscc%2Ffull-record%2FWOS:000183347900016","View Full Record in Web of Science")</f>
        <v>View Full Record in Web of Science</v>
      </c>
    </row>
    <row r="209" spans="1:75" customHeight="1" ht="12.75">
      <c r="A209" t="s">
        <v>72</v>
      </c>
      <c r="B209" t="s">
        <v>1753</v>
      </c>
      <c r="C209"/>
      <c r="D209"/>
      <c r="E209"/>
      <c r="F209" t="s">
        <v>1753</v>
      </c>
      <c r="G209"/>
      <c r="H209"/>
      <c r="I209" t="s">
        <v>1754</v>
      </c>
      <c r="J209" t="s">
        <v>244</v>
      </c>
      <c r="K209"/>
      <c r="L209"/>
      <c r="M209"/>
      <c r="N209"/>
      <c r="O209"/>
      <c r="P209"/>
      <c r="Q209"/>
      <c r="R209"/>
      <c r="S209"/>
      <c r="T209"/>
      <c r="U209"/>
      <c r="V209"/>
      <c r="W209"/>
      <c r="X209"/>
      <c r="Y209"/>
      <c r="Z209"/>
      <c r="AA209"/>
      <c r="AB209"/>
      <c r="AC209"/>
      <c r="AD209"/>
      <c r="AE209"/>
      <c r="AF209"/>
      <c r="AG209"/>
      <c r="AH209"/>
      <c r="AI209"/>
      <c r="AJ209"/>
      <c r="AK209"/>
      <c r="AL209"/>
      <c r="AM209"/>
      <c r="AN209"/>
      <c r="AO209" t="s">
        <v>245</v>
      </c>
      <c r="AP209"/>
      <c r="AQ209"/>
      <c r="AR209"/>
      <c r="AS209"/>
      <c r="AT209"/>
      <c r="AU209">
        <v>1996</v>
      </c>
      <c r="AV209"/>
      <c r="AW209">
        <v>9</v>
      </c>
      <c r="AX209"/>
      <c r="AY209"/>
      <c r="AZ209"/>
      <c r="BA209"/>
      <c r="BB209">
        <v>158</v>
      </c>
      <c r="BC209">
        <v>163</v>
      </c>
      <c r="BD209"/>
      <c r="BE209"/>
      <c r="BF209"/>
      <c r="BG209"/>
      <c r="BH209"/>
      <c r="BI209"/>
      <c r="BJ209"/>
      <c r="BK209"/>
      <c r="BL209"/>
      <c r="BM209"/>
      <c r="BN209"/>
      <c r="BO209"/>
      <c r="BP209"/>
      <c r="BQ209"/>
      <c r="BR209"/>
      <c r="BS209" t="s">
        <v>1755</v>
      </c>
      <c r="BT209" t="str">
        <f>HYPERLINK("https%3A%2F%2Fwww.webofscience.com%2Fwos%2Fwoscc%2Ffull-record%2FWOS:A1996VT67800011","View Full Record in Web of Science")</f>
        <v>View Full Record in Web of Science</v>
      </c>
    </row>
    <row r="210" spans="1:75" customHeight="1" ht="12.75">
      <c r="A210" t="s">
        <v>72</v>
      </c>
      <c r="B210" t="s">
        <v>1756</v>
      </c>
      <c r="C210"/>
      <c r="D210"/>
      <c r="E210"/>
      <c r="F210" t="s">
        <v>1757</v>
      </c>
      <c r="G210"/>
      <c r="H210"/>
      <c r="I210" t="s">
        <v>1758</v>
      </c>
      <c r="J210" t="s">
        <v>989</v>
      </c>
      <c r="K210"/>
      <c r="L210"/>
      <c r="M210"/>
      <c r="N210"/>
      <c r="O210"/>
      <c r="P210"/>
      <c r="Q210"/>
      <c r="R210"/>
      <c r="S210"/>
      <c r="T210"/>
      <c r="U210"/>
      <c r="V210"/>
      <c r="W210"/>
      <c r="X210"/>
      <c r="Y210"/>
      <c r="Z210"/>
      <c r="AA210" t="s">
        <v>1759</v>
      </c>
      <c r="AB210" t="s">
        <v>1760</v>
      </c>
      <c r="AC210"/>
      <c r="AD210"/>
      <c r="AE210"/>
      <c r="AF210"/>
      <c r="AG210"/>
      <c r="AH210"/>
      <c r="AI210"/>
      <c r="AJ210"/>
      <c r="AK210"/>
      <c r="AL210"/>
      <c r="AM210"/>
      <c r="AN210"/>
      <c r="AO210" t="s">
        <v>992</v>
      </c>
      <c r="AP210" t="s">
        <v>993</v>
      </c>
      <c r="AQ210"/>
      <c r="AR210"/>
      <c r="AS210"/>
      <c r="AT210" t="s">
        <v>1167</v>
      </c>
      <c r="AU210">
        <v>2022</v>
      </c>
      <c r="AV210">
        <v>112</v>
      </c>
      <c r="AW210" t="s">
        <v>1639</v>
      </c>
      <c r="AX210"/>
      <c r="AY210"/>
      <c r="AZ210"/>
      <c r="BA210"/>
      <c r="BB210">
        <v>382</v>
      </c>
      <c r="BC210">
        <v>387</v>
      </c>
      <c r="BD210"/>
      <c r="BE210" t="s">
        <v>1761</v>
      </c>
      <c r="BF210" t="str">
        <f>HYPERLINK("http://dx.doi.org/10.1134/S0001434622090061","http://dx.doi.org/10.1134/S0001434622090061")</f>
        <v>http://dx.doi.org/10.1134/S0001434622090061</v>
      </c>
      <c r="BG210"/>
      <c r="BH210"/>
      <c r="BI210"/>
      <c r="BJ210"/>
      <c r="BK210"/>
      <c r="BL210"/>
      <c r="BM210"/>
      <c r="BN210"/>
      <c r="BO210"/>
      <c r="BP210"/>
      <c r="BQ210"/>
      <c r="BR210"/>
      <c r="BS210" t="s">
        <v>1762</v>
      </c>
      <c r="BT210" t="str">
        <f>HYPERLINK("https%3A%2F%2Fwww.webofscience.com%2Fwos%2Fwoscc%2Ffull-record%2FWOS:000871088800006","View Full Record in Web of Science")</f>
        <v>View Full Record in Web of Science</v>
      </c>
    </row>
    <row r="211" spans="1:75" customHeight="1" ht="12.75">
      <c r="A211" t="s">
        <v>147</v>
      </c>
      <c r="B211" t="s">
        <v>1763</v>
      </c>
      <c r="C211"/>
      <c r="D211" t="s">
        <v>233</v>
      </c>
      <c r="E211"/>
      <c r="F211" t="s">
        <v>1764</v>
      </c>
      <c r="G211"/>
      <c r="H211"/>
      <c r="I211" t="s">
        <v>1765</v>
      </c>
      <c r="J211" t="s">
        <v>1766</v>
      </c>
      <c r="K211" t="s">
        <v>1767</v>
      </c>
      <c r="L211"/>
      <c r="M211"/>
      <c r="N211"/>
      <c r="O211" t="s">
        <v>1768</v>
      </c>
      <c r="P211" t="s">
        <v>1769</v>
      </c>
      <c r="Q211" t="s">
        <v>1770</v>
      </c>
      <c r="R211"/>
      <c r="S211" t="s">
        <v>1771</v>
      </c>
      <c r="T211"/>
      <c r="U211"/>
      <c r="V211"/>
      <c r="W211"/>
      <c r="X211"/>
      <c r="Y211"/>
      <c r="Z211"/>
      <c r="AA211" t="s">
        <v>238</v>
      </c>
      <c r="AB211" t="s">
        <v>239</v>
      </c>
      <c r="AC211"/>
      <c r="AD211"/>
      <c r="AE211"/>
      <c r="AF211"/>
      <c r="AG211"/>
      <c r="AH211"/>
      <c r="AI211"/>
      <c r="AJ211"/>
      <c r="AK211"/>
      <c r="AL211"/>
      <c r="AM211"/>
      <c r="AN211"/>
      <c r="AO211" t="s">
        <v>1772</v>
      </c>
      <c r="AP211" t="s">
        <v>1773</v>
      </c>
      <c r="AQ211" t="s">
        <v>1774</v>
      </c>
      <c r="AR211"/>
      <c r="AS211"/>
      <c r="AT211"/>
      <c r="AU211">
        <v>2022</v>
      </c>
      <c r="AV211">
        <v>368</v>
      </c>
      <c r="AW211"/>
      <c r="AX211"/>
      <c r="AY211"/>
      <c r="AZ211"/>
      <c r="BA211"/>
      <c r="BB211">
        <v>723</v>
      </c>
      <c r="BC211">
        <v>733</v>
      </c>
      <c r="BD211"/>
      <c r="BE211" t="s">
        <v>1775</v>
      </c>
      <c r="BF211" t="str">
        <f>HYPERLINK("http://dx.doi.org/10.1007/978-3-030-93244-2_78","http://dx.doi.org/10.1007/978-3-030-93244-2_78")</f>
        <v>http://dx.doi.org/10.1007/978-3-030-93244-2_78</v>
      </c>
      <c r="BG211"/>
      <c r="BH211"/>
      <c r="BI211"/>
      <c r="BJ211"/>
      <c r="BK211"/>
      <c r="BL211"/>
      <c r="BM211"/>
      <c r="BN211"/>
      <c r="BO211"/>
      <c r="BP211"/>
      <c r="BQ211"/>
      <c r="BR211"/>
      <c r="BS211" t="s">
        <v>1776</v>
      </c>
      <c r="BT211" t="str">
        <f>HYPERLINK("https%3A%2F%2Fwww.webofscience.com%2Fwos%2Fwoscc%2Ffull-record%2FWOS:000759460600078","View Full Record in Web of Science")</f>
        <v>View Full Record in Web of Science</v>
      </c>
    </row>
    <row r="212" spans="1:75" customHeight="1" ht="12.75">
      <c r="A212" t="s">
        <v>72</v>
      </c>
      <c r="B212" t="s">
        <v>1777</v>
      </c>
      <c r="C212"/>
      <c r="D212"/>
      <c r="E212"/>
      <c r="F212" t="s">
        <v>1778</v>
      </c>
      <c r="G212"/>
      <c r="H212"/>
      <c r="I212" t="s">
        <v>1779</v>
      </c>
      <c r="J212" t="s">
        <v>1780</v>
      </c>
      <c r="K212"/>
      <c r="L212"/>
      <c r="M212"/>
      <c r="N212"/>
      <c r="O212"/>
      <c r="P212"/>
      <c r="Q212"/>
      <c r="R212"/>
      <c r="S212"/>
      <c r="T212"/>
      <c r="U212"/>
      <c r="V212"/>
      <c r="W212"/>
      <c r="X212"/>
      <c r="Y212"/>
      <c r="Z212"/>
      <c r="AA212" t="s">
        <v>1781</v>
      </c>
      <c r="AB212" t="s">
        <v>1782</v>
      </c>
      <c r="AC212"/>
      <c r="AD212"/>
      <c r="AE212"/>
      <c r="AF212"/>
      <c r="AG212"/>
      <c r="AH212"/>
      <c r="AI212"/>
      <c r="AJ212"/>
      <c r="AK212"/>
      <c r="AL212"/>
      <c r="AM212"/>
      <c r="AN212"/>
      <c r="AO212" t="s">
        <v>1783</v>
      </c>
      <c r="AP212"/>
      <c r="AQ212"/>
      <c r="AR212"/>
      <c r="AS212"/>
      <c r="AT212" t="s">
        <v>78</v>
      </c>
      <c r="AU212">
        <v>2021</v>
      </c>
      <c r="AV212"/>
      <c r="AW212">
        <v>3</v>
      </c>
      <c r="AX212"/>
      <c r="AY212"/>
      <c r="AZ212"/>
      <c r="BA212"/>
      <c r="BB212">
        <v>27</v>
      </c>
      <c r="BC212">
        <v>37</v>
      </c>
      <c r="BD212"/>
      <c r="BE212" t="s">
        <v>1784</v>
      </c>
      <c r="BF212" t="str">
        <f>HYPERLINK("http://dx.doi.org/10.15211/soveurope320212737","http://dx.doi.org/10.15211/soveurope320212737")</f>
        <v>http://dx.doi.org/10.15211/soveurope320212737</v>
      </c>
      <c r="BG212"/>
      <c r="BH212"/>
      <c r="BI212"/>
      <c r="BJ212"/>
      <c r="BK212"/>
      <c r="BL212"/>
      <c r="BM212"/>
      <c r="BN212"/>
      <c r="BO212"/>
      <c r="BP212"/>
      <c r="BQ212"/>
      <c r="BR212"/>
      <c r="BS212" t="s">
        <v>1785</v>
      </c>
      <c r="BT212" t="str">
        <f>HYPERLINK("https%3A%2F%2Fwww.webofscience.com%2Fwos%2Fwoscc%2Ffull-record%2FWOS:000708406300003","View Full Record in Web of Science")</f>
        <v>View Full Record in Web of Science</v>
      </c>
    </row>
    <row r="213" spans="1:75" customHeight="1" ht="12.75">
      <c r="A213" t="s">
        <v>72</v>
      </c>
      <c r="B213" t="s">
        <v>102</v>
      </c>
      <c r="C213"/>
      <c r="D213"/>
      <c r="E213"/>
      <c r="F213" t="s">
        <v>1786</v>
      </c>
      <c r="G213"/>
      <c r="H213"/>
      <c r="I213" t="s">
        <v>1787</v>
      </c>
      <c r="J213" t="s">
        <v>1788</v>
      </c>
      <c r="K213"/>
      <c r="L213"/>
      <c r="M213"/>
      <c r="N213"/>
      <c r="O213"/>
      <c r="P213"/>
      <c r="Q213"/>
      <c r="R213"/>
      <c r="S213"/>
      <c r="T213"/>
      <c r="U213"/>
      <c r="V213"/>
      <c r="W213"/>
      <c r="X213"/>
      <c r="Y213"/>
      <c r="Z213"/>
      <c r="AA213"/>
      <c r="AB213"/>
      <c r="AC213"/>
      <c r="AD213"/>
      <c r="AE213"/>
      <c r="AF213"/>
      <c r="AG213"/>
      <c r="AH213"/>
      <c r="AI213"/>
      <c r="AJ213"/>
      <c r="AK213"/>
      <c r="AL213"/>
      <c r="AM213"/>
      <c r="AN213"/>
      <c r="AO213" t="s">
        <v>1789</v>
      </c>
      <c r="AP213" t="s">
        <v>1790</v>
      </c>
      <c r="AQ213"/>
      <c r="AR213"/>
      <c r="AS213"/>
      <c r="AT213" t="s">
        <v>655</v>
      </c>
      <c r="AU213">
        <v>2021</v>
      </c>
      <c r="AV213">
        <v>20</v>
      </c>
      <c r="AW213">
        <v>1</v>
      </c>
      <c r="AX213"/>
      <c r="AY213"/>
      <c r="AZ213"/>
      <c r="BA213"/>
      <c r="BB213">
        <v>108</v>
      </c>
      <c r="BC213">
        <v>124</v>
      </c>
      <c r="BD213"/>
      <c r="BE213" t="s">
        <v>1791</v>
      </c>
      <c r="BF213" t="str">
        <f>HYPERLINK("http://dx.doi.org/10.22363/2312-8674-2021-20-1-108-124","http://dx.doi.org/10.22363/2312-8674-2021-20-1-108-124")</f>
        <v>http://dx.doi.org/10.22363/2312-8674-2021-20-1-108-124</v>
      </c>
      <c r="BG213"/>
      <c r="BH213"/>
      <c r="BI213"/>
      <c r="BJ213"/>
      <c r="BK213"/>
      <c r="BL213"/>
      <c r="BM213"/>
      <c r="BN213"/>
      <c r="BO213"/>
      <c r="BP213"/>
      <c r="BQ213"/>
      <c r="BR213"/>
      <c r="BS213" t="s">
        <v>1792</v>
      </c>
      <c r="BT213" t="str">
        <f>HYPERLINK("https%3A%2F%2Fwww.webofscience.com%2Fwos%2Fwoscc%2Ffull-record%2FWOS:000624911700007","View Full Record in Web of Science")</f>
        <v>View Full Record in Web of Science</v>
      </c>
    </row>
    <row r="214" spans="1:75" customHeight="1" ht="12.75">
      <c r="A214" t="s">
        <v>72</v>
      </c>
      <c r="B214" t="s">
        <v>1793</v>
      </c>
      <c r="C214"/>
      <c r="D214"/>
      <c r="E214"/>
      <c r="F214" t="s">
        <v>1794</v>
      </c>
      <c r="G214"/>
      <c r="H214"/>
      <c r="I214" t="s">
        <v>1795</v>
      </c>
      <c r="J214" t="s">
        <v>95</v>
      </c>
      <c r="K214"/>
      <c r="L214"/>
      <c r="M214"/>
      <c r="N214"/>
      <c r="O214"/>
      <c r="P214"/>
      <c r="Q214"/>
      <c r="R214"/>
      <c r="S214"/>
      <c r="T214"/>
      <c r="U214"/>
      <c r="V214"/>
      <c r="W214"/>
      <c r="X214"/>
      <c r="Y214"/>
      <c r="Z214"/>
      <c r="AA214" t="s">
        <v>1796</v>
      </c>
      <c r="AB214" t="s">
        <v>1797</v>
      </c>
      <c r="AC214"/>
      <c r="AD214"/>
      <c r="AE214"/>
      <c r="AF214"/>
      <c r="AG214"/>
      <c r="AH214"/>
      <c r="AI214"/>
      <c r="AJ214"/>
      <c r="AK214"/>
      <c r="AL214"/>
      <c r="AM214"/>
      <c r="AN214"/>
      <c r="AO214" t="s">
        <v>98</v>
      </c>
      <c r="AP214" t="s">
        <v>99</v>
      </c>
      <c r="AQ214"/>
      <c r="AR214"/>
      <c r="AS214"/>
      <c r="AT214"/>
      <c r="AU214">
        <v>2021</v>
      </c>
      <c r="AV214"/>
      <c r="AW214">
        <v>1</v>
      </c>
      <c r="AX214"/>
      <c r="AY214"/>
      <c r="AZ214"/>
      <c r="BA214"/>
      <c r="BB214">
        <v>181</v>
      </c>
      <c r="BC214">
        <v>187</v>
      </c>
      <c r="BD214"/>
      <c r="BE214" t="s">
        <v>1798</v>
      </c>
      <c r="BF214" t="str">
        <f>HYPERLINK("http://dx.doi.org/10.25750/1995-4301-2021-1-181-187","http://dx.doi.org/10.25750/1995-4301-2021-1-181-187")</f>
        <v>http://dx.doi.org/10.25750/1995-4301-2021-1-181-187</v>
      </c>
      <c r="BG214"/>
      <c r="BH214"/>
      <c r="BI214"/>
      <c r="BJ214"/>
      <c r="BK214"/>
      <c r="BL214"/>
      <c r="BM214"/>
      <c r="BN214"/>
      <c r="BO214"/>
      <c r="BP214"/>
      <c r="BQ214"/>
      <c r="BR214"/>
      <c r="BS214" t="s">
        <v>1799</v>
      </c>
      <c r="BT214" t="str">
        <f>HYPERLINK("https%3A%2F%2Fwww.webofscience.com%2Fwos%2Fwoscc%2Ffull-record%2FWOS:000632219100024","View Full Record in Web of Science")</f>
        <v>View Full Record in Web of Science</v>
      </c>
    </row>
    <row r="215" spans="1:75" customHeight="1" ht="12.75">
      <c r="A215" t="s">
        <v>147</v>
      </c>
      <c r="B215" t="s">
        <v>1800</v>
      </c>
      <c r="C215"/>
      <c r="D215" t="s">
        <v>1801</v>
      </c>
      <c r="E215"/>
      <c r="F215" t="s">
        <v>1802</v>
      </c>
      <c r="G215"/>
      <c r="H215"/>
      <c r="I215" t="s">
        <v>1803</v>
      </c>
      <c r="J215" t="s">
        <v>1804</v>
      </c>
      <c r="K215" t="s">
        <v>1805</v>
      </c>
      <c r="L215"/>
      <c r="M215"/>
      <c r="N215"/>
      <c r="O215" t="s">
        <v>1806</v>
      </c>
      <c r="P215" t="s">
        <v>1807</v>
      </c>
      <c r="Q215" t="s">
        <v>1808</v>
      </c>
      <c r="R215"/>
      <c r="S215" t="s">
        <v>257</v>
      </c>
      <c r="T215"/>
      <c r="U215"/>
      <c r="V215"/>
      <c r="W215"/>
      <c r="X215"/>
      <c r="Y215"/>
      <c r="Z215"/>
      <c r="AA215"/>
      <c r="AB215"/>
      <c r="AC215"/>
      <c r="AD215"/>
      <c r="AE215"/>
      <c r="AF215"/>
      <c r="AG215"/>
      <c r="AH215"/>
      <c r="AI215"/>
      <c r="AJ215"/>
      <c r="AK215"/>
      <c r="AL215"/>
      <c r="AM215"/>
      <c r="AN215"/>
      <c r="AO215" t="s">
        <v>1809</v>
      </c>
      <c r="AP215"/>
      <c r="AQ215" t="s">
        <v>1810</v>
      </c>
      <c r="AR215"/>
      <c r="AS215"/>
      <c r="AT215"/>
      <c r="AU215">
        <v>2020</v>
      </c>
      <c r="AV215"/>
      <c r="AW215"/>
      <c r="AX215"/>
      <c r="AY215"/>
      <c r="AZ215"/>
      <c r="BA215"/>
      <c r="BB215">
        <v>1227</v>
      </c>
      <c r="BC215">
        <v>1239</v>
      </c>
      <c r="BD215"/>
      <c r="BE215" t="s">
        <v>1811</v>
      </c>
      <c r="BF215" t="str">
        <f>HYPERLINK("http://dx.doi.org/10.3897/ap.2.e1227","http://dx.doi.org/10.3897/ap.2.e1227")</f>
        <v>http://dx.doi.org/10.3897/ap.2.e1227</v>
      </c>
      <c r="BG215"/>
      <c r="BH215"/>
      <c r="BI215"/>
      <c r="BJ215"/>
      <c r="BK215"/>
      <c r="BL215"/>
      <c r="BM215"/>
      <c r="BN215"/>
      <c r="BO215"/>
      <c r="BP215"/>
      <c r="BQ215"/>
      <c r="BR215"/>
      <c r="BS215" t="s">
        <v>1812</v>
      </c>
      <c r="BT215" t="str">
        <f>HYPERLINK("https%3A%2F%2Fwww.webofscience.com%2Fwos%2Fwoscc%2Ffull-record%2FWOS:000671896200095","View Full Record in Web of Science")</f>
        <v>View Full Record in Web of Science</v>
      </c>
    </row>
    <row r="216" spans="1:75" customHeight="1" ht="12.75">
      <c r="A216" t="s">
        <v>72</v>
      </c>
      <c r="B216" t="s">
        <v>1813</v>
      </c>
      <c r="C216"/>
      <c r="D216"/>
      <c r="E216"/>
      <c r="F216" t="s">
        <v>1814</v>
      </c>
      <c r="G216"/>
      <c r="H216"/>
      <c r="I216" t="s">
        <v>1815</v>
      </c>
      <c r="J216" t="s">
        <v>325</v>
      </c>
      <c r="K216"/>
      <c r="L216"/>
      <c r="M216"/>
      <c r="N216"/>
      <c r="O216"/>
      <c r="P216"/>
      <c r="Q216"/>
      <c r="R216"/>
      <c r="S216"/>
      <c r="T216"/>
      <c r="U216"/>
      <c r="V216"/>
      <c r="W216"/>
      <c r="X216"/>
      <c r="Y216"/>
      <c r="Z216"/>
      <c r="AA216" t="s">
        <v>1816</v>
      </c>
      <c r="AB216" t="s">
        <v>1817</v>
      </c>
      <c r="AC216"/>
      <c r="AD216"/>
      <c r="AE216"/>
      <c r="AF216"/>
      <c r="AG216"/>
      <c r="AH216"/>
      <c r="AI216"/>
      <c r="AJ216"/>
      <c r="AK216"/>
      <c r="AL216"/>
      <c r="AM216"/>
      <c r="AN216"/>
      <c r="AO216" t="s">
        <v>328</v>
      </c>
      <c r="AP216" t="s">
        <v>329</v>
      </c>
      <c r="AQ216"/>
      <c r="AR216"/>
      <c r="AS216"/>
      <c r="AT216"/>
      <c r="AU216">
        <v>2020</v>
      </c>
      <c r="AV216">
        <v>14</v>
      </c>
      <c r="AW216">
        <v>1</v>
      </c>
      <c r="AX216"/>
      <c r="AY216"/>
      <c r="AZ216"/>
      <c r="BA216"/>
      <c r="BB216">
        <v>93</v>
      </c>
      <c r="BC216">
        <v>110</v>
      </c>
      <c r="BD216"/>
      <c r="BE216" t="s">
        <v>1818</v>
      </c>
      <c r="BF216" t="str">
        <f>HYPERLINK("http://dx.doi.org/10.24874/IJQR14.01-07","http://dx.doi.org/10.24874/IJQR14.01-07")</f>
        <v>http://dx.doi.org/10.24874/IJQR14.01-07</v>
      </c>
      <c r="BG216"/>
      <c r="BH216"/>
      <c r="BI216"/>
      <c r="BJ216"/>
      <c r="BK216"/>
      <c r="BL216"/>
      <c r="BM216"/>
      <c r="BN216"/>
      <c r="BO216"/>
      <c r="BP216"/>
      <c r="BQ216"/>
      <c r="BR216"/>
      <c r="BS216" t="s">
        <v>1819</v>
      </c>
      <c r="BT216" t="str">
        <f>HYPERLINK("https%3A%2F%2Fwww.webofscience.com%2Fwos%2Fwoscc%2Ffull-record%2FWOS:000518417300007","View Full Record in Web of Science")</f>
        <v>View Full Record in Web of Science</v>
      </c>
    </row>
    <row r="217" spans="1:75" customHeight="1" ht="12.75">
      <c r="A217" t="s">
        <v>72</v>
      </c>
      <c r="B217" t="s">
        <v>1820</v>
      </c>
      <c r="C217"/>
      <c r="D217"/>
      <c r="E217"/>
      <c r="F217" t="s">
        <v>1821</v>
      </c>
      <c r="G217"/>
      <c r="H217"/>
      <c r="I217" t="s">
        <v>1822</v>
      </c>
      <c r="J217" t="s">
        <v>1635</v>
      </c>
      <c r="K217"/>
      <c r="L217"/>
      <c r="M217"/>
      <c r="N217"/>
      <c r="O217"/>
      <c r="P217"/>
      <c r="Q217"/>
      <c r="R217"/>
      <c r="S217"/>
      <c r="T217"/>
      <c r="U217"/>
      <c r="V217"/>
      <c r="W217"/>
      <c r="X217"/>
      <c r="Y217"/>
      <c r="Z217"/>
      <c r="AA217" t="s">
        <v>1823</v>
      </c>
      <c r="AB217" t="s">
        <v>1824</v>
      </c>
      <c r="AC217"/>
      <c r="AD217"/>
      <c r="AE217"/>
      <c r="AF217"/>
      <c r="AG217"/>
      <c r="AH217"/>
      <c r="AI217"/>
      <c r="AJ217"/>
      <c r="AK217"/>
      <c r="AL217"/>
      <c r="AM217"/>
      <c r="AN217"/>
      <c r="AO217" t="s">
        <v>1636</v>
      </c>
      <c r="AP217" t="s">
        <v>1637</v>
      </c>
      <c r="AQ217"/>
      <c r="AR217"/>
      <c r="AS217"/>
      <c r="AT217" t="s">
        <v>1638</v>
      </c>
      <c r="AU217">
        <v>2019</v>
      </c>
      <c r="AV217">
        <v>27</v>
      </c>
      <c r="AW217" t="s">
        <v>1639</v>
      </c>
      <c r="AX217"/>
      <c r="AY217"/>
      <c r="AZ217" t="s">
        <v>339</v>
      </c>
      <c r="BA217"/>
      <c r="BB217">
        <v>239</v>
      </c>
      <c r="BC217">
        <v>244</v>
      </c>
      <c r="BD217"/>
      <c r="BE217" t="s">
        <v>1825</v>
      </c>
      <c r="BF217" t="str">
        <f>HYPERLINK("http://dx.doi.org/10.1108/OTH-07-2019-0042","http://dx.doi.org/10.1108/OTH-07-2019-0042")</f>
        <v>http://dx.doi.org/10.1108/OTH-07-2019-0042</v>
      </c>
      <c r="BG217"/>
      <c r="BH217"/>
      <c r="BI217"/>
      <c r="BJ217"/>
      <c r="BK217"/>
      <c r="BL217"/>
      <c r="BM217"/>
      <c r="BN217"/>
      <c r="BO217"/>
      <c r="BP217"/>
      <c r="BQ217"/>
      <c r="BR217"/>
      <c r="BS217" t="s">
        <v>1826</v>
      </c>
      <c r="BT217" t="str">
        <f>HYPERLINK("https%3A%2F%2Fwww.webofscience.com%2Fwos%2Fwoscc%2Ffull-record%2FWOS:000491196500016","View Full Record in Web of Science")</f>
        <v>View Full Record in Web of Science</v>
      </c>
    </row>
    <row r="218" spans="1:75" customHeight="1" ht="12.75">
      <c r="A218" t="s">
        <v>147</v>
      </c>
      <c r="B218" t="s">
        <v>1827</v>
      </c>
      <c r="C218"/>
      <c r="D218"/>
      <c r="E218" t="s">
        <v>210</v>
      </c>
      <c r="F218" t="s">
        <v>1828</v>
      </c>
      <c r="G218"/>
      <c r="H218"/>
      <c r="I218" t="s">
        <v>1829</v>
      </c>
      <c r="J218" t="s">
        <v>571</v>
      </c>
      <c r="K218" t="s">
        <v>362</v>
      </c>
      <c r="L218"/>
      <c r="M218"/>
      <c r="N218"/>
      <c r="O218" t="s">
        <v>572</v>
      </c>
      <c r="P218" t="s">
        <v>573</v>
      </c>
      <c r="Q218" t="s">
        <v>574</v>
      </c>
      <c r="R218" t="s">
        <v>575</v>
      </c>
      <c r="S218" t="s">
        <v>576</v>
      </c>
      <c r="T218"/>
      <c r="U218"/>
      <c r="V218"/>
      <c r="W218"/>
      <c r="X218"/>
      <c r="Y218"/>
      <c r="Z218"/>
      <c r="AA218" t="s">
        <v>367</v>
      </c>
      <c r="AB218" t="s">
        <v>368</v>
      </c>
      <c r="AC218"/>
      <c r="AD218"/>
      <c r="AE218"/>
      <c r="AF218"/>
      <c r="AG218"/>
      <c r="AH218"/>
      <c r="AI218"/>
      <c r="AJ218"/>
      <c r="AK218"/>
      <c r="AL218"/>
      <c r="AM218"/>
      <c r="AN218"/>
      <c r="AO218" t="s">
        <v>369</v>
      </c>
      <c r="AP218"/>
      <c r="AQ218" t="s">
        <v>579</v>
      </c>
      <c r="AR218"/>
      <c r="AS218"/>
      <c r="AT218"/>
      <c r="AU218">
        <v>2019</v>
      </c>
      <c r="AV218"/>
      <c r="AW218"/>
      <c r="AX218"/>
      <c r="AY218"/>
      <c r="AZ218"/>
      <c r="BA218"/>
      <c r="BB218">
        <v>249</v>
      </c>
      <c r="BC218">
        <v>254</v>
      </c>
      <c r="BD218"/>
      <c r="BE218"/>
      <c r="BF218"/>
      <c r="BG218"/>
      <c r="BH218"/>
      <c r="BI218"/>
      <c r="BJ218"/>
      <c r="BK218"/>
      <c r="BL218"/>
      <c r="BM218"/>
      <c r="BN218"/>
      <c r="BO218"/>
      <c r="BP218"/>
      <c r="BQ218"/>
      <c r="BR218"/>
      <c r="BS218" t="s">
        <v>1830</v>
      </c>
      <c r="BT218" t="str">
        <f>HYPERLINK("https%3A%2F%2Fwww.webofscience.com%2Fwos%2Fwoscc%2Ffull-record%2FWOS:000469999300035","View Full Record in Web of Science")</f>
        <v>View Full Record in Web of Science</v>
      </c>
    </row>
    <row r="219" spans="1:75" customHeight="1" ht="12.75">
      <c r="A219" t="s">
        <v>147</v>
      </c>
      <c r="B219" t="s">
        <v>1831</v>
      </c>
      <c r="C219"/>
      <c r="D219" t="s">
        <v>739</v>
      </c>
      <c r="E219"/>
      <c r="F219" t="s">
        <v>1832</v>
      </c>
      <c r="G219"/>
      <c r="H219"/>
      <c r="I219" t="s">
        <v>1833</v>
      </c>
      <c r="J219" t="s">
        <v>1834</v>
      </c>
      <c r="K219" t="s">
        <v>743</v>
      </c>
      <c r="L219"/>
      <c r="M219"/>
      <c r="N219"/>
      <c r="O219" t="s">
        <v>744</v>
      </c>
      <c r="P219" t="s">
        <v>1835</v>
      </c>
      <c r="Q219" t="s">
        <v>1836</v>
      </c>
      <c r="R219" t="s">
        <v>1837</v>
      </c>
      <c r="S219" t="s">
        <v>1838</v>
      </c>
      <c r="T219"/>
      <c r="U219"/>
      <c r="V219"/>
      <c r="W219"/>
      <c r="X219"/>
      <c r="Y219"/>
      <c r="Z219"/>
      <c r="AA219"/>
      <c r="AB219"/>
      <c r="AC219"/>
      <c r="AD219"/>
      <c r="AE219"/>
      <c r="AF219"/>
      <c r="AG219"/>
      <c r="AH219"/>
      <c r="AI219"/>
      <c r="AJ219"/>
      <c r="AK219"/>
      <c r="AL219"/>
      <c r="AM219"/>
      <c r="AN219"/>
      <c r="AO219" t="s">
        <v>748</v>
      </c>
      <c r="AP219"/>
      <c r="AQ219" t="s">
        <v>1839</v>
      </c>
      <c r="AR219"/>
      <c r="AS219"/>
      <c r="AT219"/>
      <c r="AU219">
        <v>2019</v>
      </c>
      <c r="AV219"/>
      <c r="AW219"/>
      <c r="AX219"/>
      <c r="AY219"/>
      <c r="AZ219"/>
      <c r="BA219"/>
      <c r="BB219"/>
      <c r="BC219"/>
      <c r="BD219"/>
      <c r="BE219"/>
      <c r="BF219"/>
      <c r="BG219"/>
      <c r="BH219"/>
      <c r="BI219"/>
      <c r="BJ219"/>
      <c r="BK219"/>
      <c r="BL219"/>
      <c r="BM219"/>
      <c r="BN219"/>
      <c r="BO219"/>
      <c r="BP219"/>
      <c r="BQ219"/>
      <c r="BR219"/>
      <c r="BS219" t="s">
        <v>1840</v>
      </c>
      <c r="BT219" t="str">
        <f>HYPERLINK("https%3A%2F%2Fwww.webofscience.com%2Fwos%2Fwoscc%2Ffull-record%2FWOS:000477706200026","View Full Record in Web of Science")</f>
        <v>View Full Record in Web of Science</v>
      </c>
    </row>
    <row r="220" spans="1:75" customHeight="1" ht="12.75">
      <c r="A220" t="s">
        <v>72</v>
      </c>
      <c r="B220" t="s">
        <v>581</v>
      </c>
      <c r="C220"/>
      <c r="D220"/>
      <c r="E220"/>
      <c r="F220" t="s">
        <v>582</v>
      </c>
      <c r="G220"/>
      <c r="H220"/>
      <c r="I220" t="s">
        <v>1841</v>
      </c>
      <c r="J220" t="s">
        <v>584</v>
      </c>
      <c r="K220"/>
      <c r="L220"/>
      <c r="M220"/>
      <c r="N220"/>
      <c r="O220"/>
      <c r="P220"/>
      <c r="Q220"/>
      <c r="R220"/>
      <c r="S220"/>
      <c r="T220"/>
      <c r="U220"/>
      <c r="V220"/>
      <c r="W220"/>
      <c r="X220"/>
      <c r="Y220"/>
      <c r="Z220"/>
      <c r="AA220" t="s">
        <v>1842</v>
      </c>
      <c r="AB220" t="s">
        <v>1843</v>
      </c>
      <c r="AC220"/>
      <c r="AD220"/>
      <c r="AE220"/>
      <c r="AF220"/>
      <c r="AG220"/>
      <c r="AH220"/>
      <c r="AI220"/>
      <c r="AJ220"/>
      <c r="AK220"/>
      <c r="AL220"/>
      <c r="AM220"/>
      <c r="AN220"/>
      <c r="AO220" t="s">
        <v>587</v>
      </c>
      <c r="AP220" t="s">
        <v>588</v>
      </c>
      <c r="AQ220"/>
      <c r="AR220"/>
      <c r="AS220"/>
      <c r="AT220"/>
      <c r="AU220">
        <v>2019</v>
      </c>
      <c r="AV220">
        <v>91</v>
      </c>
      <c r="AW220">
        <v>7</v>
      </c>
      <c r="AX220"/>
      <c r="AY220"/>
      <c r="AZ220"/>
      <c r="BA220"/>
      <c r="BB220">
        <v>80</v>
      </c>
      <c r="BC220">
        <v>97</v>
      </c>
      <c r="BD220"/>
      <c r="BE220" t="s">
        <v>1844</v>
      </c>
      <c r="BF220" t="str">
        <f>HYPERLINK("http://dx.doi.org/10.18720/MCE.91.8","http://dx.doi.org/10.18720/MCE.91.8")</f>
        <v>http://dx.doi.org/10.18720/MCE.91.8</v>
      </c>
      <c r="BG220"/>
      <c r="BH220"/>
      <c r="BI220"/>
      <c r="BJ220"/>
      <c r="BK220"/>
      <c r="BL220"/>
      <c r="BM220"/>
      <c r="BN220"/>
      <c r="BO220"/>
      <c r="BP220"/>
      <c r="BQ220"/>
      <c r="BR220"/>
      <c r="BS220" t="s">
        <v>1845</v>
      </c>
      <c r="BT220" t="str">
        <f>HYPERLINK("https%3A%2F%2Fwww.webofscience.com%2Fwos%2Fwoscc%2Ffull-record%2FWOS:000593141100008","View Full Record in Web of Science")</f>
        <v>View Full Record in Web of Science</v>
      </c>
    </row>
    <row r="221" spans="1:75" customHeight="1" ht="12.75">
      <c r="A221" t="s">
        <v>72</v>
      </c>
      <c r="B221" t="s">
        <v>1846</v>
      </c>
      <c r="C221"/>
      <c r="D221"/>
      <c r="E221"/>
      <c r="F221" t="s">
        <v>1847</v>
      </c>
      <c r="G221"/>
      <c r="H221"/>
      <c r="I221" t="s">
        <v>1848</v>
      </c>
      <c r="J221" t="s">
        <v>594</v>
      </c>
      <c r="K221"/>
      <c r="L221"/>
      <c r="M221"/>
      <c r="N221"/>
      <c r="O221"/>
      <c r="P221"/>
      <c r="Q221"/>
      <c r="R221"/>
      <c r="S221"/>
      <c r="T221"/>
      <c r="U221"/>
      <c r="V221"/>
      <c r="W221"/>
      <c r="X221"/>
      <c r="Y221"/>
      <c r="Z221"/>
      <c r="AA221" t="s">
        <v>1849</v>
      </c>
      <c r="AB221" t="s">
        <v>1850</v>
      </c>
      <c r="AC221"/>
      <c r="AD221"/>
      <c r="AE221"/>
      <c r="AF221"/>
      <c r="AG221"/>
      <c r="AH221"/>
      <c r="AI221"/>
      <c r="AJ221"/>
      <c r="AK221"/>
      <c r="AL221"/>
      <c r="AM221"/>
      <c r="AN221"/>
      <c r="AO221" t="s">
        <v>597</v>
      </c>
      <c r="AP221"/>
      <c r="AQ221"/>
      <c r="AR221"/>
      <c r="AS221"/>
      <c r="AT221" t="s">
        <v>491</v>
      </c>
      <c r="AU221">
        <v>2018</v>
      </c>
      <c r="AV221">
        <v>8</v>
      </c>
      <c r="AW221">
        <v>6</v>
      </c>
      <c r="AX221"/>
      <c r="AY221"/>
      <c r="AZ221"/>
      <c r="BA221"/>
      <c r="BB221">
        <v>356</v>
      </c>
      <c r="BC221">
        <v>362</v>
      </c>
      <c r="BD221"/>
      <c r="BE221"/>
      <c r="BF221"/>
      <c r="BG221"/>
      <c r="BH221"/>
      <c r="BI221"/>
      <c r="BJ221"/>
      <c r="BK221"/>
      <c r="BL221"/>
      <c r="BM221"/>
      <c r="BN221"/>
      <c r="BO221"/>
      <c r="BP221"/>
      <c r="BQ221"/>
      <c r="BR221"/>
      <c r="BS221" t="s">
        <v>1851</v>
      </c>
      <c r="BT221" t="str">
        <f>HYPERLINK("https%3A%2F%2Fwww.webofscience.com%2Fwos%2Fwoscc%2Ffull-record%2FWOS:000443674500037","View Full Record in Web of Science")</f>
        <v>View Full Record in Web of Science</v>
      </c>
    </row>
    <row r="222" spans="1:75" customHeight="1" ht="12.75">
      <c r="A222" t="s">
        <v>147</v>
      </c>
      <c r="B222" t="s">
        <v>1852</v>
      </c>
      <c r="C222"/>
      <c r="D222"/>
      <c r="E222" t="s">
        <v>210</v>
      </c>
      <c r="F222" t="s">
        <v>1853</v>
      </c>
      <c r="G222"/>
      <c r="H222"/>
      <c r="I222" t="s">
        <v>1854</v>
      </c>
      <c r="J222" t="s">
        <v>213</v>
      </c>
      <c r="K222"/>
      <c r="L222"/>
      <c r="M222"/>
      <c r="N222"/>
      <c r="O222" t="s">
        <v>214</v>
      </c>
      <c r="P222" t="s">
        <v>215</v>
      </c>
      <c r="Q222" t="s">
        <v>216</v>
      </c>
      <c r="R222"/>
      <c r="S222" t="s">
        <v>217</v>
      </c>
      <c r="T222"/>
      <c r="U222"/>
      <c r="V222"/>
      <c r="W222"/>
      <c r="X222"/>
      <c r="Y222"/>
      <c r="Z222"/>
      <c r="AA222" t="s">
        <v>142</v>
      </c>
      <c r="AB222" t="s">
        <v>143</v>
      </c>
      <c r="AC222"/>
      <c r="AD222"/>
      <c r="AE222"/>
      <c r="AF222"/>
      <c r="AG222"/>
      <c r="AH222"/>
      <c r="AI222"/>
      <c r="AJ222"/>
      <c r="AK222"/>
      <c r="AL222"/>
      <c r="AM222"/>
      <c r="AN222"/>
      <c r="AO222"/>
      <c r="AP222"/>
      <c r="AQ222" t="s">
        <v>218</v>
      </c>
      <c r="AR222"/>
      <c r="AS222"/>
      <c r="AT222"/>
      <c r="AU222">
        <v>2018</v>
      </c>
      <c r="AV222"/>
      <c r="AW222"/>
      <c r="AX222"/>
      <c r="AY222"/>
      <c r="AZ222"/>
      <c r="BA222"/>
      <c r="BB222"/>
      <c r="BC222"/>
      <c r="BD222"/>
      <c r="BE222"/>
      <c r="BF222"/>
      <c r="BG222"/>
      <c r="BH222"/>
      <c r="BI222"/>
      <c r="BJ222"/>
      <c r="BK222"/>
      <c r="BL222"/>
      <c r="BM222"/>
      <c r="BN222"/>
      <c r="BO222"/>
      <c r="BP222"/>
      <c r="BQ222"/>
      <c r="BR222"/>
      <c r="BS222" t="s">
        <v>1855</v>
      </c>
      <c r="BT222" t="str">
        <f>HYPERLINK("https%3A%2F%2Fwww.webofscience.com%2Fwos%2Fwoscc%2Ffull-record%2FWOS:000478963800033","View Full Record in Web of Science")</f>
        <v>View Full Record in Web of Science</v>
      </c>
    </row>
    <row r="223" spans="1:75" customHeight="1" ht="12.75">
      <c r="A223" t="s">
        <v>147</v>
      </c>
      <c r="B223" t="s">
        <v>1856</v>
      </c>
      <c r="C223"/>
      <c r="D223"/>
      <c r="E223" t="s">
        <v>210</v>
      </c>
      <c r="F223" t="s">
        <v>1857</v>
      </c>
      <c r="G223"/>
      <c r="H223"/>
      <c r="I223" t="s">
        <v>1858</v>
      </c>
      <c r="J223" t="s">
        <v>213</v>
      </c>
      <c r="K223"/>
      <c r="L223"/>
      <c r="M223"/>
      <c r="N223"/>
      <c r="O223" t="s">
        <v>214</v>
      </c>
      <c r="P223" t="s">
        <v>215</v>
      </c>
      <c r="Q223" t="s">
        <v>216</v>
      </c>
      <c r="R223"/>
      <c r="S223" t="s">
        <v>217</v>
      </c>
      <c r="T223"/>
      <c r="U223"/>
      <c r="V223"/>
      <c r="W223"/>
      <c r="X223"/>
      <c r="Y223"/>
      <c r="Z223"/>
      <c r="AA223"/>
      <c r="AB223"/>
      <c r="AC223"/>
      <c r="AD223"/>
      <c r="AE223"/>
      <c r="AF223"/>
      <c r="AG223"/>
      <c r="AH223"/>
      <c r="AI223"/>
      <c r="AJ223"/>
      <c r="AK223"/>
      <c r="AL223"/>
      <c r="AM223"/>
      <c r="AN223"/>
      <c r="AO223"/>
      <c r="AP223"/>
      <c r="AQ223" t="s">
        <v>218</v>
      </c>
      <c r="AR223"/>
      <c r="AS223"/>
      <c r="AT223"/>
      <c r="AU223">
        <v>2018</v>
      </c>
      <c r="AV223"/>
      <c r="AW223"/>
      <c r="AX223"/>
      <c r="AY223"/>
      <c r="AZ223"/>
      <c r="BA223"/>
      <c r="BB223"/>
      <c r="BC223"/>
      <c r="BD223"/>
      <c r="BE223"/>
      <c r="BF223"/>
      <c r="BG223"/>
      <c r="BH223"/>
      <c r="BI223"/>
      <c r="BJ223"/>
      <c r="BK223"/>
      <c r="BL223"/>
      <c r="BM223"/>
      <c r="BN223"/>
      <c r="BO223"/>
      <c r="BP223"/>
      <c r="BQ223"/>
      <c r="BR223"/>
      <c r="BS223" t="s">
        <v>1859</v>
      </c>
      <c r="BT223" t="str">
        <f>HYPERLINK("https%3A%2F%2Fwww.webofscience.com%2Fwos%2Fwoscc%2Ffull-record%2FWOS:000478963800234","View Full Record in Web of Science")</f>
        <v>View Full Record in Web of Science</v>
      </c>
    </row>
    <row r="224" spans="1:75" customHeight="1" ht="12.75">
      <c r="A224" t="s">
        <v>72</v>
      </c>
      <c r="B224" t="s">
        <v>110</v>
      </c>
      <c r="C224"/>
      <c r="D224"/>
      <c r="E224"/>
      <c r="F224" t="s">
        <v>1860</v>
      </c>
      <c r="G224"/>
      <c r="H224"/>
      <c r="I224" t="s">
        <v>1861</v>
      </c>
      <c r="J224" t="s">
        <v>1862</v>
      </c>
      <c r="K224"/>
      <c r="L224"/>
      <c r="M224"/>
      <c r="N224"/>
      <c r="O224"/>
      <c r="P224"/>
      <c r="Q224"/>
      <c r="R224"/>
      <c r="S224"/>
      <c r="T224"/>
      <c r="U224"/>
      <c r="V224"/>
      <c r="W224"/>
      <c r="X224"/>
      <c r="Y224"/>
      <c r="Z224"/>
      <c r="AA224" t="s">
        <v>677</v>
      </c>
      <c r="AB224" t="s">
        <v>678</v>
      </c>
      <c r="AC224"/>
      <c r="AD224"/>
      <c r="AE224"/>
      <c r="AF224"/>
      <c r="AG224"/>
      <c r="AH224"/>
      <c r="AI224"/>
      <c r="AJ224"/>
      <c r="AK224"/>
      <c r="AL224"/>
      <c r="AM224"/>
      <c r="AN224"/>
      <c r="AO224" t="s">
        <v>1863</v>
      </c>
      <c r="AP224"/>
      <c r="AQ224"/>
      <c r="AR224"/>
      <c r="AS224"/>
      <c r="AT224"/>
      <c r="AU224">
        <v>2018</v>
      </c>
      <c r="AV224">
        <v>43</v>
      </c>
      <c r="AW224">
        <v>4</v>
      </c>
      <c r="AX224"/>
      <c r="AY224"/>
      <c r="AZ224"/>
      <c r="BA224"/>
      <c r="BB224">
        <v>107</v>
      </c>
      <c r="BC224">
        <v>116</v>
      </c>
      <c r="BD224"/>
      <c r="BE224" t="s">
        <v>1864</v>
      </c>
      <c r="BF224" t="str">
        <f>HYPERLINK("http://dx.doi.org/10.17072/2219-3111-2018-4-107-116","http://dx.doi.org/10.17072/2219-3111-2018-4-107-116")</f>
        <v>http://dx.doi.org/10.17072/2219-3111-2018-4-107-116</v>
      </c>
      <c r="BG224"/>
      <c r="BH224"/>
      <c r="BI224"/>
      <c r="BJ224"/>
      <c r="BK224"/>
      <c r="BL224"/>
      <c r="BM224"/>
      <c r="BN224"/>
      <c r="BO224"/>
      <c r="BP224"/>
      <c r="BQ224"/>
      <c r="BR224"/>
      <c r="BS224" t="s">
        <v>1865</v>
      </c>
      <c r="BT224" t="str">
        <f>HYPERLINK("https%3A%2F%2Fwww.webofscience.com%2Fwos%2Fwoscc%2Ffull-record%2FWOS:000456115100012","View Full Record in Web of Science")</f>
        <v>View Full Record in Web of Science</v>
      </c>
    </row>
    <row r="225" spans="1:75" customHeight="1" ht="12.75">
      <c r="A225" t="s">
        <v>147</v>
      </c>
      <c r="B225" t="s">
        <v>1866</v>
      </c>
      <c r="C225"/>
      <c r="D225"/>
      <c r="E225" t="s">
        <v>210</v>
      </c>
      <c r="F225" t="s">
        <v>1867</v>
      </c>
      <c r="G225"/>
      <c r="H225"/>
      <c r="I225" t="s">
        <v>1868</v>
      </c>
      <c r="J225" t="s">
        <v>1261</v>
      </c>
      <c r="K225"/>
      <c r="L225"/>
      <c r="M225"/>
      <c r="N225"/>
      <c r="O225" t="s">
        <v>214</v>
      </c>
      <c r="P225" t="s">
        <v>909</v>
      </c>
      <c r="Q225" t="s">
        <v>910</v>
      </c>
      <c r="R225" t="s">
        <v>1262</v>
      </c>
      <c r="S225"/>
      <c r="T225"/>
      <c r="U225"/>
      <c r="V225"/>
      <c r="W225"/>
      <c r="X225"/>
      <c r="Y225"/>
      <c r="Z225"/>
      <c r="AA225" t="s">
        <v>142</v>
      </c>
      <c r="AB225" t="s">
        <v>143</v>
      </c>
      <c r="AC225"/>
      <c r="AD225"/>
      <c r="AE225"/>
      <c r="AF225"/>
      <c r="AG225"/>
      <c r="AH225"/>
      <c r="AI225"/>
      <c r="AJ225"/>
      <c r="AK225"/>
      <c r="AL225"/>
      <c r="AM225"/>
      <c r="AN225"/>
      <c r="AO225"/>
      <c r="AP225"/>
      <c r="AQ225" t="s">
        <v>1263</v>
      </c>
      <c r="AR225"/>
      <c r="AS225"/>
      <c r="AT225"/>
      <c r="AU225">
        <v>2017</v>
      </c>
      <c r="AV225"/>
      <c r="AW225"/>
      <c r="AX225"/>
      <c r="AY225"/>
      <c r="AZ225"/>
      <c r="BA225"/>
      <c r="BB225"/>
      <c r="BC225"/>
      <c r="BD225"/>
      <c r="BE225"/>
      <c r="BF225"/>
      <c r="BG225"/>
      <c r="BH225"/>
      <c r="BI225"/>
      <c r="BJ225"/>
      <c r="BK225"/>
      <c r="BL225"/>
      <c r="BM225"/>
      <c r="BN225"/>
      <c r="BO225"/>
      <c r="BP225"/>
      <c r="BQ225"/>
      <c r="BR225"/>
      <c r="BS225" t="s">
        <v>1869</v>
      </c>
      <c r="BT225" t="str">
        <f>HYPERLINK("https%3A%2F%2Fwww.webofscience.com%2Fwos%2Fwoscc%2Ffull-record%2FWOS:000414282400171","View Full Record in Web of Science")</f>
        <v>View Full Record in Web of Science</v>
      </c>
    </row>
    <row r="226" spans="1:75" customHeight="1" ht="12.75">
      <c r="A226" t="s">
        <v>147</v>
      </c>
      <c r="B226" t="s">
        <v>1870</v>
      </c>
      <c r="C226"/>
      <c r="D226"/>
      <c r="E226" t="s">
        <v>210</v>
      </c>
      <c r="F226" t="s">
        <v>1871</v>
      </c>
      <c r="G226"/>
      <c r="H226"/>
      <c r="I226" t="s">
        <v>1872</v>
      </c>
      <c r="J226" t="s">
        <v>1261</v>
      </c>
      <c r="K226"/>
      <c r="L226"/>
      <c r="M226"/>
      <c r="N226"/>
      <c r="O226" t="s">
        <v>214</v>
      </c>
      <c r="P226" t="s">
        <v>909</v>
      </c>
      <c r="Q226" t="s">
        <v>910</v>
      </c>
      <c r="R226" t="s">
        <v>1262</v>
      </c>
      <c r="S226"/>
      <c r="T226"/>
      <c r="U226"/>
      <c r="V226"/>
      <c r="W226"/>
      <c r="X226"/>
      <c r="Y226"/>
      <c r="Z226"/>
      <c r="AA226"/>
      <c r="AB226" t="s">
        <v>1873</v>
      </c>
      <c r="AC226"/>
      <c r="AD226"/>
      <c r="AE226"/>
      <c r="AF226"/>
      <c r="AG226"/>
      <c r="AH226"/>
      <c r="AI226"/>
      <c r="AJ226"/>
      <c r="AK226"/>
      <c r="AL226"/>
      <c r="AM226"/>
      <c r="AN226"/>
      <c r="AO226"/>
      <c r="AP226"/>
      <c r="AQ226" t="s">
        <v>1263</v>
      </c>
      <c r="AR226"/>
      <c r="AS226"/>
      <c r="AT226"/>
      <c r="AU226">
        <v>2017</v>
      </c>
      <c r="AV226"/>
      <c r="AW226"/>
      <c r="AX226"/>
      <c r="AY226"/>
      <c r="AZ226"/>
      <c r="BA226"/>
      <c r="BB226"/>
      <c r="BC226"/>
      <c r="BD226"/>
      <c r="BE226"/>
      <c r="BF226"/>
      <c r="BG226"/>
      <c r="BH226"/>
      <c r="BI226"/>
      <c r="BJ226"/>
      <c r="BK226"/>
      <c r="BL226"/>
      <c r="BM226"/>
      <c r="BN226"/>
      <c r="BO226"/>
      <c r="BP226"/>
      <c r="BQ226"/>
      <c r="BR226"/>
      <c r="BS226" t="s">
        <v>1874</v>
      </c>
      <c r="BT226" t="str">
        <f>HYPERLINK("https%3A%2F%2Fwww.webofscience.com%2Fwos%2Fwoscc%2Ffull-record%2FWOS:000414282400175","View Full Record in Web of Science")</f>
        <v>View Full Record in Web of Science</v>
      </c>
    </row>
    <row r="227" spans="1:75" customHeight="1" ht="12.75">
      <c r="A227" t="s">
        <v>147</v>
      </c>
      <c r="B227" t="s">
        <v>1875</v>
      </c>
      <c r="C227"/>
      <c r="D227" t="s">
        <v>1876</v>
      </c>
      <c r="E227"/>
      <c r="F227" t="s">
        <v>1877</v>
      </c>
      <c r="G227"/>
      <c r="H227"/>
      <c r="I227" t="s">
        <v>1878</v>
      </c>
      <c r="J227" t="s">
        <v>1879</v>
      </c>
      <c r="K227" t="s">
        <v>1276</v>
      </c>
      <c r="L227"/>
      <c r="M227"/>
      <c r="N227"/>
      <c r="O227" t="s">
        <v>1880</v>
      </c>
      <c r="P227" t="s">
        <v>1881</v>
      </c>
      <c r="Q227" t="s">
        <v>1882</v>
      </c>
      <c r="R227" t="s">
        <v>1883</v>
      </c>
      <c r="S227" t="s">
        <v>1884</v>
      </c>
      <c r="T227"/>
      <c r="U227"/>
      <c r="V227"/>
      <c r="W227"/>
      <c r="X227"/>
      <c r="Y227"/>
      <c r="Z227"/>
      <c r="AA227" t="s">
        <v>1885</v>
      </c>
      <c r="AB227" t="s">
        <v>1886</v>
      </c>
      <c r="AC227"/>
      <c r="AD227"/>
      <c r="AE227"/>
      <c r="AF227"/>
      <c r="AG227"/>
      <c r="AH227"/>
      <c r="AI227"/>
      <c r="AJ227"/>
      <c r="AK227"/>
      <c r="AL227"/>
      <c r="AM227"/>
      <c r="AN227"/>
      <c r="AO227" t="s">
        <v>1282</v>
      </c>
      <c r="AP227"/>
      <c r="AQ227"/>
      <c r="AR227"/>
      <c r="AS227"/>
      <c r="AT227"/>
      <c r="AU227">
        <v>2017</v>
      </c>
      <c r="AV227">
        <v>106</v>
      </c>
      <c r="AW227"/>
      <c r="AX227"/>
      <c r="AY227"/>
      <c r="AZ227"/>
      <c r="BA227"/>
      <c r="BB227"/>
      <c r="BC227"/>
      <c r="BD227">
        <v>8012</v>
      </c>
      <c r="BE227" t="s">
        <v>1887</v>
      </c>
      <c r="BF227" t="str">
        <f>HYPERLINK("http://dx.doi.org/10.1051/matecconf/201710608012","http://dx.doi.org/10.1051/matecconf/201710608012")</f>
        <v>http://dx.doi.org/10.1051/matecconf/201710608012</v>
      </c>
      <c r="BG227"/>
      <c r="BH227"/>
      <c r="BI227"/>
      <c r="BJ227"/>
      <c r="BK227"/>
      <c r="BL227"/>
      <c r="BM227"/>
      <c r="BN227"/>
      <c r="BO227"/>
      <c r="BP227"/>
      <c r="BQ227"/>
      <c r="BR227"/>
      <c r="BS227" t="s">
        <v>1888</v>
      </c>
      <c r="BT227" t="str">
        <f>HYPERLINK("https%3A%2F%2Fwww.webofscience.com%2Fwos%2Fwoscc%2Ffull-record%2FWOS:000426426600197","View Full Record in Web of Science")</f>
        <v>View Full Record in Web of Science</v>
      </c>
    </row>
    <row r="228" spans="1:75" customHeight="1" ht="12.75">
      <c r="A228" t="s">
        <v>147</v>
      </c>
      <c r="B228" t="s">
        <v>1889</v>
      </c>
      <c r="C228"/>
      <c r="D228" t="s">
        <v>249</v>
      </c>
      <c r="E228"/>
      <c r="F228" t="s">
        <v>1890</v>
      </c>
      <c r="G228"/>
      <c r="H228"/>
      <c r="I228" t="s">
        <v>1891</v>
      </c>
      <c r="J228" t="s">
        <v>252</v>
      </c>
      <c r="K228" t="s">
        <v>253</v>
      </c>
      <c r="L228"/>
      <c r="M228"/>
      <c r="N228"/>
      <c r="O228" t="s">
        <v>254</v>
      </c>
      <c r="P228" t="s">
        <v>255</v>
      </c>
      <c r="Q228" t="s">
        <v>256</v>
      </c>
      <c r="R228"/>
      <c r="S228" t="s">
        <v>257</v>
      </c>
      <c r="T228"/>
      <c r="U228"/>
      <c r="V228"/>
      <c r="W228"/>
      <c r="X228"/>
      <c r="Y228"/>
      <c r="Z228"/>
      <c r="AA228" t="s">
        <v>1892</v>
      </c>
      <c r="AB228" t="s">
        <v>1893</v>
      </c>
      <c r="AC228"/>
      <c r="AD228"/>
      <c r="AE228"/>
      <c r="AF228"/>
      <c r="AG228"/>
      <c r="AH228"/>
      <c r="AI228"/>
      <c r="AJ228"/>
      <c r="AK228"/>
      <c r="AL228"/>
      <c r="AM228"/>
      <c r="AN228"/>
      <c r="AO228" t="s">
        <v>259</v>
      </c>
      <c r="AP228"/>
      <c r="AQ228"/>
      <c r="AR228"/>
      <c r="AS228"/>
      <c r="AT228"/>
      <c r="AU228">
        <v>2017</v>
      </c>
      <c r="AV228">
        <v>29</v>
      </c>
      <c r="AW228"/>
      <c r="AX228"/>
      <c r="AY228"/>
      <c r="AZ228"/>
      <c r="BA228"/>
      <c r="BB228">
        <v>554</v>
      </c>
      <c r="BC228">
        <v>562</v>
      </c>
      <c r="BD228"/>
      <c r="BE228" t="s">
        <v>1894</v>
      </c>
      <c r="BF228" t="str">
        <f>HYPERLINK("http://dx.doi.org/10.15405/epsbs.2017.08.02.64","http://dx.doi.org/10.15405/epsbs.2017.08.02.64")</f>
        <v>http://dx.doi.org/10.15405/epsbs.2017.08.02.64</v>
      </c>
      <c r="BG228"/>
      <c r="BH228"/>
      <c r="BI228"/>
      <c r="BJ228"/>
      <c r="BK228"/>
      <c r="BL228"/>
      <c r="BM228"/>
      <c r="BN228"/>
      <c r="BO228"/>
      <c r="BP228"/>
      <c r="BQ228"/>
      <c r="BR228"/>
      <c r="BS228" t="s">
        <v>1895</v>
      </c>
      <c r="BT228" t="str">
        <f>HYPERLINK("https%3A%2F%2Fwww.webofscience.com%2Fwos%2Fwoscc%2Ffull-record%2FWOS:000432421300064","View Full Record in Web of Science")</f>
        <v>View Full Record in Web of Science</v>
      </c>
    </row>
    <row r="229" spans="1:75" customHeight="1" ht="12.75">
      <c r="A229" t="s">
        <v>147</v>
      </c>
      <c r="B229" t="s">
        <v>1896</v>
      </c>
      <c r="C229"/>
      <c r="D229"/>
      <c r="E229" t="s">
        <v>210</v>
      </c>
      <c r="F229" t="s">
        <v>1897</v>
      </c>
      <c r="G229"/>
      <c r="H229"/>
      <c r="I229" t="s">
        <v>1898</v>
      </c>
      <c r="J229" t="s">
        <v>1261</v>
      </c>
      <c r="K229"/>
      <c r="L229"/>
      <c r="M229"/>
      <c r="N229"/>
      <c r="O229" t="s">
        <v>214</v>
      </c>
      <c r="P229" t="s">
        <v>909</v>
      </c>
      <c r="Q229" t="s">
        <v>910</v>
      </c>
      <c r="R229" t="s">
        <v>1262</v>
      </c>
      <c r="S229"/>
      <c r="T229"/>
      <c r="U229"/>
      <c r="V229"/>
      <c r="W229"/>
      <c r="X229"/>
      <c r="Y229"/>
      <c r="Z229"/>
      <c r="AA229" t="s">
        <v>1899</v>
      </c>
      <c r="AB229" t="s">
        <v>1900</v>
      </c>
      <c r="AC229"/>
      <c r="AD229"/>
      <c r="AE229"/>
      <c r="AF229"/>
      <c r="AG229"/>
      <c r="AH229"/>
      <c r="AI229"/>
      <c r="AJ229"/>
      <c r="AK229"/>
      <c r="AL229"/>
      <c r="AM229"/>
      <c r="AN229"/>
      <c r="AO229"/>
      <c r="AP229"/>
      <c r="AQ229" t="s">
        <v>1263</v>
      </c>
      <c r="AR229"/>
      <c r="AS229"/>
      <c r="AT229"/>
      <c r="AU229">
        <v>2017</v>
      </c>
      <c r="AV229"/>
      <c r="AW229"/>
      <c r="AX229"/>
      <c r="AY229"/>
      <c r="AZ229"/>
      <c r="BA229"/>
      <c r="BB229"/>
      <c r="BC229"/>
      <c r="BD229"/>
      <c r="BE229"/>
      <c r="BF229"/>
      <c r="BG229"/>
      <c r="BH229"/>
      <c r="BI229"/>
      <c r="BJ229"/>
      <c r="BK229"/>
      <c r="BL229"/>
      <c r="BM229"/>
      <c r="BN229"/>
      <c r="BO229"/>
      <c r="BP229"/>
      <c r="BQ229"/>
      <c r="BR229"/>
      <c r="BS229" t="s">
        <v>1901</v>
      </c>
      <c r="BT229" t="str">
        <f>HYPERLINK("https%3A%2F%2Fwww.webofscience.com%2Fwos%2Fwoscc%2Ffull-record%2FWOS:000414282400176","View Full Record in Web of Science")</f>
        <v>View Full Record in Web of Science</v>
      </c>
    </row>
    <row r="230" spans="1:75" customHeight="1" ht="12.75">
      <c r="A230" t="s">
        <v>72</v>
      </c>
      <c r="B230" t="s">
        <v>1902</v>
      </c>
      <c r="C230"/>
      <c r="D230"/>
      <c r="E230"/>
      <c r="F230" t="s">
        <v>1903</v>
      </c>
      <c r="G230"/>
      <c r="H230"/>
      <c r="I230" t="s">
        <v>1904</v>
      </c>
      <c r="J230" t="s">
        <v>1905</v>
      </c>
      <c r="K230"/>
      <c r="L230"/>
      <c r="M230"/>
      <c r="N230"/>
      <c r="O230"/>
      <c r="P230"/>
      <c r="Q230"/>
      <c r="R230"/>
      <c r="S230"/>
      <c r="T230"/>
      <c r="U230"/>
      <c r="V230"/>
      <c r="W230"/>
      <c r="X230"/>
      <c r="Y230"/>
      <c r="Z230"/>
      <c r="AA230" t="s">
        <v>1718</v>
      </c>
      <c r="AB230" t="s">
        <v>1719</v>
      </c>
      <c r="AC230"/>
      <c r="AD230"/>
      <c r="AE230"/>
      <c r="AF230"/>
      <c r="AG230"/>
      <c r="AH230"/>
      <c r="AI230"/>
      <c r="AJ230"/>
      <c r="AK230"/>
      <c r="AL230"/>
      <c r="AM230"/>
      <c r="AN230"/>
      <c r="AO230" t="s">
        <v>1906</v>
      </c>
      <c r="AP230"/>
      <c r="AQ230"/>
      <c r="AR230"/>
      <c r="AS230"/>
      <c r="AT230" t="s">
        <v>125</v>
      </c>
      <c r="AU230">
        <v>2012</v>
      </c>
      <c r="AV230">
        <v>38</v>
      </c>
      <c r="AW230">
        <v>4</v>
      </c>
      <c r="AX230"/>
      <c r="AY230"/>
      <c r="AZ230"/>
      <c r="BA230"/>
      <c r="BB230">
        <v>402</v>
      </c>
      <c r="BC230">
        <v>412</v>
      </c>
      <c r="BD230"/>
      <c r="BE230" t="s">
        <v>1907</v>
      </c>
      <c r="BF230" t="str">
        <f>HYPERLINK("http://dx.doi.org/10.1134/S1087659612040025","http://dx.doi.org/10.1134/S1087659612040025")</f>
        <v>http://dx.doi.org/10.1134/S1087659612040025</v>
      </c>
      <c r="BG230"/>
      <c r="BH230"/>
      <c r="BI230"/>
      <c r="BJ230"/>
      <c r="BK230"/>
      <c r="BL230"/>
      <c r="BM230"/>
      <c r="BN230"/>
      <c r="BO230"/>
      <c r="BP230"/>
      <c r="BQ230"/>
      <c r="BR230"/>
      <c r="BS230" t="s">
        <v>1908</v>
      </c>
      <c r="BT230" t="str">
        <f>HYPERLINK("https%3A%2F%2Fwww.webofscience.com%2Fwos%2Fwoscc%2Ffull-record%2FWOS:000307556900009","View Full Record in Web of Science")</f>
        <v>View Full Record in Web of Science</v>
      </c>
    </row>
    <row r="231" spans="1:75" customHeight="1" ht="12.75">
      <c r="A231" t="s">
        <v>72</v>
      </c>
      <c r="B231" t="s">
        <v>1909</v>
      </c>
      <c r="C231"/>
      <c r="D231"/>
      <c r="E231"/>
      <c r="F231" t="s">
        <v>1910</v>
      </c>
      <c r="G231"/>
      <c r="H231"/>
      <c r="I231" t="s">
        <v>1911</v>
      </c>
      <c r="J231" t="s">
        <v>1905</v>
      </c>
      <c r="K231"/>
      <c r="L231"/>
      <c r="M231"/>
      <c r="N231"/>
      <c r="O231"/>
      <c r="P231"/>
      <c r="Q231"/>
      <c r="R231"/>
      <c r="S231"/>
      <c r="T231"/>
      <c r="U231"/>
      <c r="V231"/>
      <c r="W231"/>
      <c r="X231"/>
      <c r="Y231"/>
      <c r="Z231"/>
      <c r="AA231" t="s">
        <v>1718</v>
      </c>
      <c r="AB231" t="s">
        <v>1719</v>
      </c>
      <c r="AC231"/>
      <c r="AD231"/>
      <c r="AE231"/>
      <c r="AF231"/>
      <c r="AG231"/>
      <c r="AH231"/>
      <c r="AI231"/>
      <c r="AJ231"/>
      <c r="AK231"/>
      <c r="AL231"/>
      <c r="AM231"/>
      <c r="AN231"/>
      <c r="AO231" t="s">
        <v>1906</v>
      </c>
      <c r="AP231" t="s">
        <v>1912</v>
      </c>
      <c r="AQ231"/>
      <c r="AR231"/>
      <c r="AS231"/>
      <c r="AT231" t="s">
        <v>403</v>
      </c>
      <c r="AU231">
        <v>2011</v>
      </c>
      <c r="AV231">
        <v>37</v>
      </c>
      <c r="AW231">
        <v>6</v>
      </c>
      <c r="AX231"/>
      <c r="AY231"/>
      <c r="AZ231"/>
      <c r="BA231"/>
      <c r="BB231">
        <v>640</v>
      </c>
      <c r="BC231">
        <v>649</v>
      </c>
      <c r="BD231"/>
      <c r="BE231" t="s">
        <v>1913</v>
      </c>
      <c r="BF231" t="str">
        <f>HYPERLINK("http://dx.doi.org/10.1134/S1087659611060095","http://dx.doi.org/10.1134/S1087659611060095")</f>
        <v>http://dx.doi.org/10.1134/S1087659611060095</v>
      </c>
      <c r="BG231"/>
      <c r="BH231"/>
      <c r="BI231"/>
      <c r="BJ231"/>
      <c r="BK231"/>
      <c r="BL231"/>
      <c r="BM231"/>
      <c r="BN231"/>
      <c r="BO231"/>
      <c r="BP231"/>
      <c r="BQ231"/>
      <c r="BR231"/>
      <c r="BS231" t="s">
        <v>1914</v>
      </c>
      <c r="BT231" t="str">
        <f>HYPERLINK("https%3A%2F%2Fwww.webofscience.com%2Fwos%2Fwoscc%2Ffull-record%2FWOS:000298396000009","View Full Record in Web of Science")</f>
        <v>View Full Record in Web of Science</v>
      </c>
    </row>
    <row r="232" spans="1:75" customHeight="1" ht="12.75">
      <c r="A232" t="s">
        <v>72</v>
      </c>
      <c r="B232" t="s">
        <v>1588</v>
      </c>
      <c r="C232"/>
      <c r="D232"/>
      <c r="E232"/>
      <c r="F232" t="s">
        <v>1589</v>
      </c>
      <c r="G232"/>
      <c r="H232"/>
      <c r="I232" t="s">
        <v>1915</v>
      </c>
      <c r="J232" t="s">
        <v>623</v>
      </c>
      <c r="K232"/>
      <c r="L232"/>
      <c r="M232"/>
      <c r="N232"/>
      <c r="O232"/>
      <c r="P232"/>
      <c r="Q232"/>
      <c r="R232"/>
      <c r="S232"/>
      <c r="T232"/>
      <c r="U232"/>
      <c r="V232"/>
      <c r="W232"/>
      <c r="X232"/>
      <c r="Y232"/>
      <c r="Z232"/>
      <c r="AA232"/>
      <c r="AB232"/>
      <c r="AC232"/>
      <c r="AD232"/>
      <c r="AE232"/>
      <c r="AF232"/>
      <c r="AG232"/>
      <c r="AH232"/>
      <c r="AI232"/>
      <c r="AJ232"/>
      <c r="AK232"/>
      <c r="AL232"/>
      <c r="AM232"/>
      <c r="AN232"/>
      <c r="AO232" t="s">
        <v>624</v>
      </c>
      <c r="AP232"/>
      <c r="AQ232"/>
      <c r="AR232"/>
      <c r="AS232"/>
      <c r="AT232" t="s">
        <v>171</v>
      </c>
      <c r="AU232">
        <v>2009</v>
      </c>
      <c r="AV232">
        <v>83</v>
      </c>
      <c r="AW232">
        <v>3</v>
      </c>
      <c r="AX232"/>
      <c r="AY232"/>
      <c r="AZ232"/>
      <c r="BA232"/>
      <c r="BB232">
        <v>418</v>
      </c>
      <c r="BC232">
        <v>423</v>
      </c>
      <c r="BD232"/>
      <c r="BE232" t="s">
        <v>1916</v>
      </c>
      <c r="BF232" t="str">
        <f>HYPERLINK("http://dx.doi.org/10.1134/S0036024409030170","http://dx.doi.org/10.1134/S0036024409030170")</f>
        <v>http://dx.doi.org/10.1134/S0036024409030170</v>
      </c>
      <c r="BG232"/>
      <c r="BH232"/>
      <c r="BI232"/>
      <c r="BJ232"/>
      <c r="BK232"/>
      <c r="BL232"/>
      <c r="BM232"/>
      <c r="BN232"/>
      <c r="BO232"/>
      <c r="BP232"/>
      <c r="BQ232"/>
      <c r="BR232"/>
      <c r="BS232" t="s">
        <v>1917</v>
      </c>
      <c r="BT232" t="str">
        <f>HYPERLINK("https%3A%2F%2Fwww.webofscience.com%2Fwos%2Fwoscc%2Ffull-record%2FWOS:000263675600017","View Full Record in Web of Science")</f>
        <v>View Full Record in Web of Science</v>
      </c>
    </row>
    <row r="233" spans="1:75" customHeight="1" ht="12.75">
      <c r="A233" t="s">
        <v>72</v>
      </c>
      <c r="B233" t="s">
        <v>1918</v>
      </c>
      <c r="C233"/>
      <c r="D233"/>
      <c r="E233"/>
      <c r="F233" t="s">
        <v>1919</v>
      </c>
      <c r="G233"/>
      <c r="H233"/>
      <c r="I233" t="s">
        <v>1920</v>
      </c>
      <c r="J233" t="s">
        <v>409</v>
      </c>
      <c r="K233"/>
      <c r="L233"/>
      <c r="M233"/>
      <c r="N233"/>
      <c r="O233"/>
      <c r="P233"/>
      <c r="Q233"/>
      <c r="R233"/>
      <c r="S233"/>
      <c r="T233"/>
      <c r="U233"/>
      <c r="V233"/>
      <c r="W233"/>
      <c r="X233"/>
      <c r="Y233"/>
      <c r="Z233"/>
      <c r="AA233"/>
      <c r="AB233"/>
      <c r="AC233"/>
      <c r="AD233"/>
      <c r="AE233"/>
      <c r="AF233"/>
      <c r="AG233"/>
      <c r="AH233"/>
      <c r="AI233"/>
      <c r="AJ233"/>
      <c r="AK233"/>
      <c r="AL233"/>
      <c r="AM233"/>
      <c r="AN233"/>
      <c r="AO233" t="s">
        <v>412</v>
      </c>
      <c r="AP233"/>
      <c r="AQ233"/>
      <c r="AR233"/>
      <c r="AS233"/>
      <c r="AT233" t="s">
        <v>655</v>
      </c>
      <c r="AU233">
        <v>2008</v>
      </c>
      <c r="AV233">
        <v>81</v>
      </c>
      <c r="AW233">
        <v>2</v>
      </c>
      <c r="AX233"/>
      <c r="AY233"/>
      <c r="AZ233"/>
      <c r="BA233"/>
      <c r="BB233">
        <v>202</v>
      </c>
      <c r="BC233">
        <v>206</v>
      </c>
      <c r="BD233"/>
      <c r="BE233" t="s">
        <v>1921</v>
      </c>
      <c r="BF233" t="str">
        <f>HYPERLINK("http://dx.doi.org/10.1134/S1070427208020080","http://dx.doi.org/10.1134/S1070427208020080")</f>
        <v>http://dx.doi.org/10.1134/S1070427208020080</v>
      </c>
      <c r="BG233"/>
      <c r="BH233"/>
      <c r="BI233"/>
      <c r="BJ233"/>
      <c r="BK233"/>
      <c r="BL233"/>
      <c r="BM233"/>
      <c r="BN233"/>
      <c r="BO233"/>
      <c r="BP233"/>
      <c r="BQ233"/>
      <c r="BR233"/>
      <c r="BS233" t="s">
        <v>1922</v>
      </c>
      <c r="BT233" t="str">
        <f>HYPERLINK("https%3A%2F%2Fwww.webofscience.com%2Fwos%2Fwoscc%2Ffull-record%2FWOS:000254752400008","View Full Record in Web of Science")</f>
        <v>View Full Record in Web of Science</v>
      </c>
    </row>
    <row r="234" spans="1:75" customHeight="1" ht="12.75">
      <c r="A234" t="s">
        <v>72</v>
      </c>
      <c r="B234" t="s">
        <v>1923</v>
      </c>
      <c r="C234"/>
      <c r="D234"/>
      <c r="E234"/>
      <c r="F234" t="s">
        <v>1923</v>
      </c>
      <c r="G234"/>
      <c r="H234"/>
      <c r="I234" t="s">
        <v>1924</v>
      </c>
      <c r="J234" t="s">
        <v>311</v>
      </c>
      <c r="K234"/>
      <c r="L234"/>
      <c r="M234"/>
      <c r="N234"/>
      <c r="O234"/>
      <c r="P234"/>
      <c r="Q234"/>
      <c r="R234"/>
      <c r="S234"/>
      <c r="T234"/>
      <c r="U234"/>
      <c r="V234"/>
      <c r="W234"/>
      <c r="X234"/>
      <c r="Y234"/>
      <c r="Z234"/>
      <c r="AA234"/>
      <c r="AB234"/>
      <c r="AC234"/>
      <c r="AD234"/>
      <c r="AE234"/>
      <c r="AF234"/>
      <c r="AG234"/>
      <c r="AH234"/>
      <c r="AI234"/>
      <c r="AJ234"/>
      <c r="AK234"/>
      <c r="AL234"/>
      <c r="AM234"/>
      <c r="AN234"/>
      <c r="AO234" t="s">
        <v>312</v>
      </c>
      <c r="AP234"/>
      <c r="AQ234"/>
      <c r="AR234"/>
      <c r="AS234"/>
      <c r="AT234" t="s">
        <v>307</v>
      </c>
      <c r="AU234">
        <v>2001</v>
      </c>
      <c r="AV234">
        <v>35</v>
      </c>
      <c r="AW234">
        <v>1</v>
      </c>
      <c r="AX234"/>
      <c r="AY234"/>
      <c r="AZ234"/>
      <c r="BA234"/>
      <c r="BB234">
        <v>97</v>
      </c>
      <c r="BC234">
        <v>100</v>
      </c>
      <c r="BD234"/>
      <c r="BE234"/>
      <c r="BF234"/>
      <c r="BG234"/>
      <c r="BH234"/>
      <c r="BI234"/>
      <c r="BJ234"/>
      <c r="BK234"/>
      <c r="BL234"/>
      <c r="BM234"/>
      <c r="BN234"/>
      <c r="BO234"/>
      <c r="BP234"/>
      <c r="BQ234"/>
      <c r="BR234"/>
      <c r="BS234" t="s">
        <v>1925</v>
      </c>
      <c r="BT234" t="str">
        <f>HYPERLINK("https%3A%2F%2Fwww.webofscience.com%2Fwos%2Fwoscc%2Ffull-record%2FWOS:000167436400016","View Full Record in Web of Science")</f>
        <v>View Full Record in Web of Science</v>
      </c>
    </row>
    <row r="235" spans="1:75" customHeight="1" ht="12.75">
      <c r="A235" t="s">
        <v>72</v>
      </c>
      <c r="B235" t="s">
        <v>1416</v>
      </c>
      <c r="C235"/>
      <c r="D235"/>
      <c r="E235"/>
      <c r="F235" t="s">
        <v>1416</v>
      </c>
      <c r="G235"/>
      <c r="H235"/>
      <c r="I235" t="s">
        <v>1926</v>
      </c>
      <c r="J235" t="s">
        <v>244</v>
      </c>
      <c r="K235"/>
      <c r="L235"/>
      <c r="M235"/>
      <c r="N235"/>
      <c r="O235"/>
      <c r="P235"/>
      <c r="Q235"/>
      <c r="R235"/>
      <c r="S235"/>
      <c r="T235"/>
      <c r="U235"/>
      <c r="V235"/>
      <c r="W235"/>
      <c r="X235"/>
      <c r="Y235"/>
      <c r="Z235"/>
      <c r="AA235" t="s">
        <v>608</v>
      </c>
      <c r="AB235" t="s">
        <v>609</v>
      </c>
      <c r="AC235"/>
      <c r="AD235"/>
      <c r="AE235"/>
      <c r="AF235"/>
      <c r="AG235"/>
      <c r="AH235"/>
      <c r="AI235"/>
      <c r="AJ235"/>
      <c r="AK235"/>
      <c r="AL235"/>
      <c r="AM235"/>
      <c r="AN235"/>
      <c r="AO235" t="s">
        <v>245</v>
      </c>
      <c r="AP235"/>
      <c r="AQ235"/>
      <c r="AR235"/>
      <c r="AS235"/>
      <c r="AT235"/>
      <c r="AU235">
        <v>1996</v>
      </c>
      <c r="AV235"/>
      <c r="AW235" t="s">
        <v>945</v>
      </c>
      <c r="AX235"/>
      <c r="AY235"/>
      <c r="AZ235"/>
      <c r="BA235"/>
      <c r="BB235">
        <v>54</v>
      </c>
      <c r="BC235">
        <v>72</v>
      </c>
      <c r="BD235"/>
      <c r="BE235"/>
      <c r="BF235"/>
      <c r="BG235"/>
      <c r="BH235"/>
      <c r="BI235"/>
      <c r="BJ235"/>
      <c r="BK235"/>
      <c r="BL235"/>
      <c r="BM235"/>
      <c r="BN235"/>
      <c r="BO235"/>
      <c r="BP235"/>
      <c r="BQ235"/>
      <c r="BR235"/>
      <c r="BS235" t="s">
        <v>1927</v>
      </c>
      <c r="BT235" t="str">
        <f>HYPERLINK("https%3A%2F%2Fwww.webofscience.com%2Fwos%2Fwoscc%2Ffull-record%2FWOS:A1996WH88100004","View Full Record in Web of Science")</f>
        <v>View Full Record in Web of Science</v>
      </c>
    </row>
    <row r="236" spans="1:75" customHeight="1" ht="12.75">
      <c r="A236" t="s">
        <v>72</v>
      </c>
      <c r="B236" t="s">
        <v>1928</v>
      </c>
      <c r="C236"/>
      <c r="D236"/>
      <c r="E236"/>
      <c r="F236" t="s">
        <v>1929</v>
      </c>
      <c r="G236"/>
      <c r="H236"/>
      <c r="I236" t="s">
        <v>1930</v>
      </c>
      <c r="J236" t="s">
        <v>244</v>
      </c>
      <c r="K236"/>
      <c r="L236"/>
      <c r="M236"/>
      <c r="N236"/>
      <c r="O236"/>
      <c r="P236"/>
      <c r="Q236"/>
      <c r="R236"/>
      <c r="S236"/>
      <c r="T236"/>
      <c r="U236"/>
      <c r="V236"/>
      <c r="W236"/>
      <c r="X236"/>
      <c r="Y236"/>
      <c r="Z236"/>
      <c r="AA236" t="s">
        <v>1460</v>
      </c>
      <c r="AB236" t="s">
        <v>1461</v>
      </c>
      <c r="AC236"/>
      <c r="AD236"/>
      <c r="AE236"/>
      <c r="AF236"/>
      <c r="AG236"/>
      <c r="AH236"/>
      <c r="AI236"/>
      <c r="AJ236"/>
      <c r="AK236"/>
      <c r="AL236"/>
      <c r="AM236"/>
      <c r="AN236"/>
      <c r="AO236" t="s">
        <v>245</v>
      </c>
      <c r="AP236" t="s">
        <v>246</v>
      </c>
      <c r="AQ236"/>
      <c r="AR236"/>
      <c r="AS236"/>
      <c r="AT236"/>
      <c r="AU236">
        <v>2022</v>
      </c>
      <c r="AV236">
        <v>12</v>
      </c>
      <c r="AW236">
        <v>1</v>
      </c>
      <c r="AX236"/>
      <c r="AY236"/>
      <c r="AZ236"/>
      <c r="BA236"/>
      <c r="BB236">
        <v>40</v>
      </c>
      <c r="BC236">
        <v>49</v>
      </c>
      <c r="BD236"/>
      <c r="BE236" t="s">
        <v>1931</v>
      </c>
      <c r="BF236" t="str">
        <f>HYPERLINK("http://dx.doi.org/10.31166/VoprosyIstorii202212Statyi52","http://dx.doi.org/10.31166/VoprosyIstorii202212Statyi52")</f>
        <v>http://dx.doi.org/10.31166/VoprosyIstorii202212Statyi52</v>
      </c>
      <c r="BG236"/>
      <c r="BH236"/>
      <c r="BI236"/>
      <c r="BJ236"/>
      <c r="BK236"/>
      <c r="BL236"/>
      <c r="BM236"/>
      <c r="BN236"/>
      <c r="BO236"/>
      <c r="BP236"/>
      <c r="BQ236"/>
      <c r="BR236"/>
      <c r="BS236" t="s">
        <v>1932</v>
      </c>
      <c r="BT236" t="str">
        <f>HYPERLINK("https%3A%2F%2Fwww.webofscience.com%2Fwos%2Fwoscc%2Ffull-record%2FWOS:000904073900003","View Full Record in Web of Science")</f>
        <v>View Full Record in Web of Science</v>
      </c>
    </row>
    <row r="237" spans="1:75" customHeight="1" ht="12.75">
      <c r="A237" t="s">
        <v>72</v>
      </c>
      <c r="B237" t="s">
        <v>1933</v>
      </c>
      <c r="C237"/>
      <c r="D237"/>
      <c r="E237"/>
      <c r="F237" t="s">
        <v>1934</v>
      </c>
      <c r="G237"/>
      <c r="H237"/>
      <c r="I237" t="s">
        <v>1935</v>
      </c>
      <c r="J237" t="s">
        <v>95</v>
      </c>
      <c r="K237"/>
      <c r="L237"/>
      <c r="M237"/>
      <c r="N237"/>
      <c r="O237"/>
      <c r="P237"/>
      <c r="Q237"/>
      <c r="R237"/>
      <c r="S237"/>
      <c r="T237"/>
      <c r="U237"/>
      <c r="V237"/>
      <c r="W237"/>
      <c r="X237"/>
      <c r="Y237"/>
      <c r="Z237"/>
      <c r="AA237" t="s">
        <v>1796</v>
      </c>
      <c r="AB237" t="s">
        <v>1936</v>
      </c>
      <c r="AC237"/>
      <c r="AD237"/>
      <c r="AE237"/>
      <c r="AF237"/>
      <c r="AG237"/>
      <c r="AH237"/>
      <c r="AI237"/>
      <c r="AJ237"/>
      <c r="AK237"/>
      <c r="AL237"/>
      <c r="AM237"/>
      <c r="AN237"/>
      <c r="AO237" t="s">
        <v>98</v>
      </c>
      <c r="AP237" t="s">
        <v>99</v>
      </c>
      <c r="AQ237"/>
      <c r="AR237"/>
      <c r="AS237"/>
      <c r="AT237"/>
      <c r="AU237">
        <v>2022</v>
      </c>
      <c r="AV237"/>
      <c r="AW237">
        <v>2</v>
      </c>
      <c r="AX237"/>
      <c r="AY237"/>
      <c r="AZ237"/>
      <c r="BA237"/>
      <c r="BB237">
        <v>165</v>
      </c>
      <c r="BC237">
        <v>172</v>
      </c>
      <c r="BD237"/>
      <c r="BE237" t="s">
        <v>1937</v>
      </c>
      <c r="BF237" t="str">
        <f>HYPERLINK("http://dx.doi.org/10.25750/1995-4301-2022-2-165-172","http://dx.doi.org/10.25750/1995-4301-2022-2-165-172")</f>
        <v>http://dx.doi.org/10.25750/1995-4301-2022-2-165-172</v>
      </c>
      <c r="BG237"/>
      <c r="BH237"/>
      <c r="BI237"/>
      <c r="BJ237"/>
      <c r="BK237"/>
      <c r="BL237"/>
      <c r="BM237"/>
      <c r="BN237"/>
      <c r="BO237"/>
      <c r="BP237"/>
      <c r="BQ237"/>
      <c r="BR237"/>
      <c r="BS237" t="s">
        <v>1938</v>
      </c>
      <c r="BT237" t="str">
        <f>HYPERLINK("https%3A%2F%2Fwww.webofscience.com%2Fwos%2Fwoscc%2Ffull-record%2FWOS:000820802000021","View Full Record in Web of Science")</f>
        <v>View Full Record in Web of Science</v>
      </c>
    </row>
    <row r="238" spans="1:75" customHeight="1" ht="12.75">
      <c r="A238" t="s">
        <v>72</v>
      </c>
      <c r="B238" t="s">
        <v>751</v>
      </c>
      <c r="C238"/>
      <c r="D238"/>
      <c r="E238"/>
      <c r="F238" t="s">
        <v>1939</v>
      </c>
      <c r="G238"/>
      <c r="H238"/>
      <c r="I238" t="s">
        <v>1940</v>
      </c>
      <c r="J238" t="s">
        <v>668</v>
      </c>
      <c r="K238"/>
      <c r="L238"/>
      <c r="M238"/>
      <c r="N238"/>
      <c r="O238"/>
      <c r="P238"/>
      <c r="Q238"/>
      <c r="R238"/>
      <c r="S238"/>
      <c r="T238"/>
      <c r="U238"/>
      <c r="V238"/>
      <c r="W238"/>
      <c r="X238"/>
      <c r="Y238"/>
      <c r="Z238"/>
      <c r="AA238"/>
      <c r="AB238"/>
      <c r="AC238"/>
      <c r="AD238"/>
      <c r="AE238"/>
      <c r="AF238"/>
      <c r="AG238"/>
      <c r="AH238"/>
      <c r="AI238"/>
      <c r="AJ238"/>
      <c r="AK238"/>
      <c r="AL238"/>
      <c r="AM238"/>
      <c r="AN238"/>
      <c r="AO238" t="s">
        <v>669</v>
      </c>
      <c r="AP238" t="s">
        <v>670</v>
      </c>
      <c r="AQ238"/>
      <c r="AR238"/>
      <c r="AS238"/>
      <c r="AT238"/>
      <c r="AU238">
        <v>2021</v>
      </c>
      <c r="AV238"/>
      <c r="AW238">
        <v>12</v>
      </c>
      <c r="AX238"/>
      <c r="AY238"/>
      <c r="AZ238"/>
      <c r="BA238"/>
      <c r="BB238">
        <v>396</v>
      </c>
      <c r="BC238">
        <v>412</v>
      </c>
      <c r="BD238"/>
      <c r="BE238" t="s">
        <v>1941</v>
      </c>
      <c r="BF238" t="str">
        <f>HYPERLINK("http://dx.doi.org/10.24224/2227-1295-2021-12-396-412","http://dx.doi.org/10.24224/2227-1295-2021-12-396-412")</f>
        <v>http://dx.doi.org/10.24224/2227-1295-2021-12-396-412</v>
      </c>
      <c r="BG238"/>
      <c r="BH238"/>
      <c r="BI238"/>
      <c r="BJ238"/>
      <c r="BK238"/>
      <c r="BL238"/>
      <c r="BM238"/>
      <c r="BN238"/>
      <c r="BO238"/>
      <c r="BP238"/>
      <c r="BQ238"/>
      <c r="BR238"/>
      <c r="BS238" t="s">
        <v>1942</v>
      </c>
      <c r="BT238" t="str">
        <f>HYPERLINK("https%3A%2F%2Fwww.webofscience.com%2Fwos%2Fwoscc%2Ffull-record%2FWOS:000751642500022","View Full Record in Web of Science")</f>
        <v>View Full Record in Web of Science</v>
      </c>
    </row>
    <row r="239" spans="1:75" customHeight="1" ht="12.75">
      <c r="A239" t="s">
        <v>72</v>
      </c>
      <c r="B239" t="s">
        <v>1475</v>
      </c>
      <c r="C239"/>
      <c r="D239"/>
      <c r="E239"/>
      <c r="F239" t="s">
        <v>1476</v>
      </c>
      <c r="G239"/>
      <c r="H239"/>
      <c r="I239" t="s">
        <v>1943</v>
      </c>
      <c r="J239" t="s">
        <v>1944</v>
      </c>
      <c r="K239"/>
      <c r="L239"/>
      <c r="M239"/>
      <c r="N239"/>
      <c r="O239"/>
      <c r="P239"/>
      <c r="Q239"/>
      <c r="R239"/>
      <c r="S239"/>
      <c r="T239"/>
      <c r="U239"/>
      <c r="V239"/>
      <c r="W239"/>
      <c r="X239"/>
      <c r="Y239"/>
      <c r="Z239"/>
      <c r="AA239" t="s">
        <v>1945</v>
      </c>
      <c r="AB239" t="s">
        <v>1946</v>
      </c>
      <c r="AC239"/>
      <c r="AD239"/>
      <c r="AE239"/>
      <c r="AF239"/>
      <c r="AG239"/>
      <c r="AH239"/>
      <c r="AI239"/>
      <c r="AJ239"/>
      <c r="AK239"/>
      <c r="AL239"/>
      <c r="AM239"/>
      <c r="AN239"/>
      <c r="AO239" t="s">
        <v>1947</v>
      </c>
      <c r="AP239"/>
      <c r="AQ239"/>
      <c r="AR239"/>
      <c r="AS239"/>
      <c r="AT239"/>
      <c r="AU239">
        <v>2021</v>
      </c>
      <c r="AV239">
        <v>66</v>
      </c>
      <c r="AW239">
        <v>1</v>
      </c>
      <c r="AX239"/>
      <c r="AY239"/>
      <c r="AZ239"/>
      <c r="BA239"/>
      <c r="BB239">
        <v>226</v>
      </c>
      <c r="BC239">
        <v>244</v>
      </c>
      <c r="BD239"/>
      <c r="BE239" t="s">
        <v>1948</v>
      </c>
      <c r="BF239" t="str">
        <f>HYPERLINK("http://dx.doi.org/10.21638/11701/spbu02.2021.114","http://dx.doi.org/10.21638/11701/spbu02.2021.114")</f>
        <v>http://dx.doi.org/10.21638/11701/spbu02.2021.114</v>
      </c>
      <c r="BG239"/>
      <c r="BH239"/>
      <c r="BI239"/>
      <c r="BJ239"/>
      <c r="BK239"/>
      <c r="BL239"/>
      <c r="BM239"/>
      <c r="BN239"/>
      <c r="BO239"/>
      <c r="BP239"/>
      <c r="BQ239"/>
      <c r="BR239"/>
      <c r="BS239" t="s">
        <v>1949</v>
      </c>
      <c r="BT239" t="str">
        <f>HYPERLINK("https%3A%2F%2Fwww.webofscience.com%2Fwos%2Fwoscc%2Ffull-record%2FWOS:000637851800014","View Full Record in Web of Science")</f>
        <v>View Full Record in Web of Science</v>
      </c>
    </row>
    <row r="240" spans="1:75" customHeight="1" ht="12.75">
      <c r="A240" t="s">
        <v>72</v>
      </c>
      <c r="B240" t="s">
        <v>639</v>
      </c>
      <c r="C240"/>
      <c r="D240"/>
      <c r="E240"/>
      <c r="F240" t="s">
        <v>640</v>
      </c>
      <c r="G240"/>
      <c r="H240"/>
      <c r="I240" t="s">
        <v>1950</v>
      </c>
      <c r="J240" t="s">
        <v>642</v>
      </c>
      <c r="K240"/>
      <c r="L240"/>
      <c r="M240"/>
      <c r="N240"/>
      <c r="O240"/>
      <c r="P240"/>
      <c r="Q240"/>
      <c r="R240"/>
      <c r="S240"/>
      <c r="T240"/>
      <c r="U240"/>
      <c r="V240"/>
      <c r="W240"/>
      <c r="X240"/>
      <c r="Y240"/>
      <c r="Z240"/>
      <c r="AA240" t="s">
        <v>608</v>
      </c>
      <c r="AB240" t="s">
        <v>609</v>
      </c>
      <c r="AC240"/>
      <c r="AD240"/>
      <c r="AE240"/>
      <c r="AF240"/>
      <c r="AG240"/>
      <c r="AH240"/>
      <c r="AI240"/>
      <c r="AJ240"/>
      <c r="AK240"/>
      <c r="AL240"/>
      <c r="AM240"/>
      <c r="AN240"/>
      <c r="AO240" t="s">
        <v>643</v>
      </c>
      <c r="AP240" t="s">
        <v>644</v>
      </c>
      <c r="AQ240"/>
      <c r="AR240"/>
      <c r="AS240"/>
      <c r="AT240"/>
      <c r="AU240">
        <v>2021</v>
      </c>
      <c r="AV240">
        <v>9</v>
      </c>
      <c r="AW240">
        <v>4</v>
      </c>
      <c r="AX240"/>
      <c r="AY240"/>
      <c r="AZ240"/>
      <c r="BA240"/>
      <c r="BB240">
        <v>1490</v>
      </c>
      <c r="BC240">
        <v>1502</v>
      </c>
      <c r="BD240"/>
      <c r="BE240" t="s">
        <v>1951</v>
      </c>
      <c r="BF240" t="str">
        <f>HYPERLINK("http://dx.doi.org/10.15826/qr.2021.4.651","http://dx.doi.org/10.15826/qr.2021.4.651")</f>
        <v>http://dx.doi.org/10.15826/qr.2021.4.651</v>
      </c>
      <c r="BG240"/>
      <c r="BH240"/>
      <c r="BI240"/>
      <c r="BJ240"/>
      <c r="BK240"/>
      <c r="BL240"/>
      <c r="BM240"/>
      <c r="BN240"/>
      <c r="BO240"/>
      <c r="BP240"/>
      <c r="BQ240"/>
      <c r="BR240"/>
      <c r="BS240" t="s">
        <v>1952</v>
      </c>
      <c r="BT240" t="str">
        <f>HYPERLINK("https%3A%2F%2Fwww.webofscience.com%2Fwos%2Fwoscc%2Ffull-record%2FWOS:000757029100020","View Full Record in Web of Science")</f>
        <v>View Full Record in Web of Science</v>
      </c>
    </row>
    <row r="241" spans="1:75" customHeight="1" ht="12.75">
      <c r="A241" t="s">
        <v>72</v>
      </c>
      <c r="B241" t="s">
        <v>1953</v>
      </c>
      <c r="C241"/>
      <c r="D241"/>
      <c r="E241"/>
      <c r="F241" t="s">
        <v>1954</v>
      </c>
      <c r="G241"/>
      <c r="H241"/>
      <c r="I241" t="s">
        <v>1955</v>
      </c>
      <c r="J241" t="s">
        <v>676</v>
      </c>
      <c r="K241"/>
      <c r="L241"/>
      <c r="M241"/>
      <c r="N241"/>
      <c r="O241"/>
      <c r="P241"/>
      <c r="Q241"/>
      <c r="R241"/>
      <c r="S241"/>
      <c r="T241"/>
      <c r="U241"/>
      <c r="V241"/>
      <c r="W241"/>
      <c r="X241"/>
      <c r="Y241"/>
      <c r="Z241"/>
      <c r="AA241" t="s">
        <v>608</v>
      </c>
      <c r="AB241" t="s">
        <v>609</v>
      </c>
      <c r="AC241"/>
      <c r="AD241"/>
      <c r="AE241"/>
      <c r="AF241"/>
      <c r="AG241"/>
      <c r="AH241"/>
      <c r="AI241"/>
      <c r="AJ241"/>
      <c r="AK241"/>
      <c r="AL241"/>
      <c r="AM241"/>
      <c r="AN241"/>
      <c r="AO241" t="s">
        <v>679</v>
      </c>
      <c r="AP241"/>
      <c r="AQ241"/>
      <c r="AR241"/>
      <c r="AS241"/>
      <c r="AT241"/>
      <c r="AU241">
        <v>2021</v>
      </c>
      <c r="AV241">
        <v>12</v>
      </c>
      <c r="AW241">
        <v>12</v>
      </c>
      <c r="AX241">
        <v>2</v>
      </c>
      <c r="AY241"/>
      <c r="AZ241"/>
      <c r="BA241"/>
      <c r="BB241"/>
      <c r="BC241"/>
      <c r="BD241" t="s">
        <v>1956</v>
      </c>
      <c r="BE241" t="s">
        <v>1957</v>
      </c>
      <c r="BF241" t="str">
        <f>HYPERLINK("http://dx.doi.org/10.18254/S207987840017862-7","http://dx.doi.org/10.18254/S207987840017862-7")</f>
        <v>http://dx.doi.org/10.18254/S207987840017862-7</v>
      </c>
      <c r="BG241"/>
      <c r="BH241"/>
      <c r="BI241"/>
      <c r="BJ241"/>
      <c r="BK241"/>
      <c r="BL241"/>
      <c r="BM241"/>
      <c r="BN241"/>
      <c r="BO241"/>
      <c r="BP241"/>
      <c r="BQ241"/>
      <c r="BR241"/>
      <c r="BS241" t="s">
        <v>1958</v>
      </c>
      <c r="BT241" t="str">
        <f>HYPERLINK("https%3A%2F%2Fwww.webofscience.com%2Fwos%2Fwoscc%2Ffull-record%2FWOS:000773993800016","View Full Record in Web of Science")</f>
        <v>View Full Record in Web of Science</v>
      </c>
    </row>
    <row r="242" spans="1:75" customHeight="1" ht="12.75">
      <c r="A242" t="s">
        <v>72</v>
      </c>
      <c r="B242" t="s">
        <v>1959</v>
      </c>
      <c r="C242"/>
      <c r="D242"/>
      <c r="E242"/>
      <c r="F242" t="s">
        <v>1960</v>
      </c>
      <c r="G242"/>
      <c r="H242"/>
      <c r="I242" t="s">
        <v>1961</v>
      </c>
      <c r="J242" t="s">
        <v>668</v>
      </c>
      <c r="K242"/>
      <c r="L242"/>
      <c r="M242"/>
      <c r="N242"/>
      <c r="O242"/>
      <c r="P242"/>
      <c r="Q242"/>
      <c r="R242"/>
      <c r="S242"/>
      <c r="T242"/>
      <c r="U242"/>
      <c r="V242"/>
      <c r="W242"/>
      <c r="X242"/>
      <c r="Y242"/>
      <c r="Z242"/>
      <c r="AA242" t="s">
        <v>1962</v>
      </c>
      <c r="AB242" t="s">
        <v>1963</v>
      </c>
      <c r="AC242"/>
      <c r="AD242"/>
      <c r="AE242"/>
      <c r="AF242"/>
      <c r="AG242"/>
      <c r="AH242"/>
      <c r="AI242"/>
      <c r="AJ242"/>
      <c r="AK242"/>
      <c r="AL242"/>
      <c r="AM242"/>
      <c r="AN242"/>
      <c r="AO242" t="s">
        <v>669</v>
      </c>
      <c r="AP242" t="s">
        <v>670</v>
      </c>
      <c r="AQ242"/>
      <c r="AR242"/>
      <c r="AS242"/>
      <c r="AT242"/>
      <c r="AU242">
        <v>2020</v>
      </c>
      <c r="AV242"/>
      <c r="AW242">
        <v>5</v>
      </c>
      <c r="AX242"/>
      <c r="AY242"/>
      <c r="AZ242"/>
      <c r="BA242"/>
      <c r="BB242">
        <v>171</v>
      </c>
      <c r="BC242">
        <v>191</v>
      </c>
      <c r="BD242"/>
      <c r="BE242" t="s">
        <v>1964</v>
      </c>
      <c r="BF242" t="str">
        <f>HYPERLINK("http://dx.doi.org/10.24224/2227-1295-2020-5-171-191","http://dx.doi.org/10.24224/2227-1295-2020-5-171-191")</f>
        <v>http://dx.doi.org/10.24224/2227-1295-2020-5-171-191</v>
      </c>
      <c r="BG242"/>
      <c r="BH242"/>
      <c r="BI242"/>
      <c r="BJ242"/>
      <c r="BK242"/>
      <c r="BL242"/>
      <c r="BM242"/>
      <c r="BN242"/>
      <c r="BO242"/>
      <c r="BP242"/>
      <c r="BQ242"/>
      <c r="BR242"/>
      <c r="BS242" t="s">
        <v>1965</v>
      </c>
      <c r="BT242" t="str">
        <f>HYPERLINK("https%3A%2F%2Fwww.webofscience.com%2Fwos%2Fwoscc%2Ffull-record%2FWOS:000538093300011","View Full Record in Web of Science")</f>
        <v>View Full Record in Web of Science</v>
      </c>
    </row>
    <row r="243" spans="1:75" customHeight="1" ht="12.75">
      <c r="A243" t="s">
        <v>72</v>
      </c>
      <c r="B243" t="s">
        <v>1966</v>
      </c>
      <c r="C243"/>
      <c r="D243"/>
      <c r="E243"/>
      <c r="F243" t="s">
        <v>1967</v>
      </c>
      <c r="G243"/>
      <c r="H243"/>
      <c r="I243" t="s">
        <v>1968</v>
      </c>
      <c r="J243" t="s">
        <v>1862</v>
      </c>
      <c r="K243"/>
      <c r="L243"/>
      <c r="M243"/>
      <c r="N243"/>
      <c r="O243"/>
      <c r="P243"/>
      <c r="Q243"/>
      <c r="R243"/>
      <c r="S243"/>
      <c r="T243"/>
      <c r="U243"/>
      <c r="V243"/>
      <c r="W243"/>
      <c r="X243"/>
      <c r="Y243"/>
      <c r="Z243"/>
      <c r="AA243" t="s">
        <v>608</v>
      </c>
      <c r="AB243" t="s">
        <v>609</v>
      </c>
      <c r="AC243"/>
      <c r="AD243"/>
      <c r="AE243"/>
      <c r="AF243"/>
      <c r="AG243"/>
      <c r="AH243"/>
      <c r="AI243"/>
      <c r="AJ243"/>
      <c r="AK243"/>
      <c r="AL243"/>
      <c r="AM243"/>
      <c r="AN243"/>
      <c r="AO243" t="s">
        <v>1863</v>
      </c>
      <c r="AP243"/>
      <c r="AQ243"/>
      <c r="AR243"/>
      <c r="AS243"/>
      <c r="AT243"/>
      <c r="AU243">
        <v>2020</v>
      </c>
      <c r="AV243">
        <v>50</v>
      </c>
      <c r="AW243">
        <v>3</v>
      </c>
      <c r="AX243"/>
      <c r="AY243"/>
      <c r="AZ243"/>
      <c r="BA243"/>
      <c r="BB243">
        <v>118</v>
      </c>
      <c r="BC243">
        <v>127</v>
      </c>
      <c r="BD243"/>
      <c r="BE243" t="s">
        <v>1969</v>
      </c>
      <c r="BF243" t="str">
        <f>HYPERLINK("http://dx.doi.org/10.17072/2219-3111-2020-3-118-127","http://dx.doi.org/10.17072/2219-3111-2020-3-118-127")</f>
        <v>http://dx.doi.org/10.17072/2219-3111-2020-3-118-127</v>
      </c>
      <c r="BG243"/>
      <c r="BH243"/>
      <c r="BI243"/>
      <c r="BJ243"/>
      <c r="BK243"/>
      <c r="BL243"/>
      <c r="BM243"/>
      <c r="BN243"/>
      <c r="BO243"/>
      <c r="BP243"/>
      <c r="BQ243"/>
      <c r="BR243"/>
      <c r="BS243" t="s">
        <v>1970</v>
      </c>
      <c r="BT243" t="str">
        <f>HYPERLINK("https%3A%2F%2Fwww.webofscience.com%2Fwos%2Fwoscc%2Ffull-record%2FWOS:000591510800011","View Full Record in Web of Science")</f>
        <v>View Full Record in Web of Science</v>
      </c>
    </row>
    <row r="244" spans="1:75" customHeight="1" ht="12.75">
      <c r="A244" t="s">
        <v>72</v>
      </c>
      <c r="B244" t="s">
        <v>1971</v>
      </c>
      <c r="C244"/>
      <c r="D244"/>
      <c r="E244"/>
      <c r="F244" t="s">
        <v>1972</v>
      </c>
      <c r="G244"/>
      <c r="H244"/>
      <c r="I244" t="s">
        <v>1973</v>
      </c>
      <c r="J244" t="s">
        <v>1635</v>
      </c>
      <c r="K244"/>
      <c r="L244"/>
      <c r="M244"/>
      <c r="N244"/>
      <c r="O244"/>
      <c r="P244"/>
      <c r="Q244"/>
      <c r="R244"/>
      <c r="S244"/>
      <c r="T244"/>
      <c r="U244"/>
      <c r="V244"/>
      <c r="W244"/>
      <c r="X244"/>
      <c r="Y244"/>
      <c r="Z244"/>
      <c r="AA244" t="s">
        <v>1974</v>
      </c>
      <c r="AB244" t="s">
        <v>1975</v>
      </c>
      <c r="AC244"/>
      <c r="AD244"/>
      <c r="AE244"/>
      <c r="AF244"/>
      <c r="AG244"/>
      <c r="AH244"/>
      <c r="AI244"/>
      <c r="AJ244"/>
      <c r="AK244"/>
      <c r="AL244"/>
      <c r="AM244"/>
      <c r="AN244"/>
      <c r="AO244" t="s">
        <v>1636</v>
      </c>
      <c r="AP244" t="s">
        <v>1637</v>
      </c>
      <c r="AQ244"/>
      <c r="AR244"/>
      <c r="AS244"/>
      <c r="AT244" t="s">
        <v>1638</v>
      </c>
      <c r="AU244">
        <v>2019</v>
      </c>
      <c r="AV244">
        <v>27</v>
      </c>
      <c r="AW244" t="s">
        <v>1639</v>
      </c>
      <c r="AX244"/>
      <c r="AY244"/>
      <c r="AZ244" t="s">
        <v>339</v>
      </c>
      <c r="BA244"/>
      <c r="BB244">
        <v>245</v>
      </c>
      <c r="BC244">
        <v>251</v>
      </c>
      <c r="BD244"/>
      <c r="BE244" t="s">
        <v>1976</v>
      </c>
      <c r="BF244" t="str">
        <f>HYPERLINK("http://dx.doi.org/10.1108/OTH-07-2019-0039","http://dx.doi.org/10.1108/OTH-07-2019-0039")</f>
        <v>http://dx.doi.org/10.1108/OTH-07-2019-0039</v>
      </c>
      <c r="BG244"/>
      <c r="BH244"/>
      <c r="BI244"/>
      <c r="BJ244"/>
      <c r="BK244"/>
      <c r="BL244"/>
      <c r="BM244"/>
      <c r="BN244"/>
      <c r="BO244"/>
      <c r="BP244"/>
      <c r="BQ244"/>
      <c r="BR244"/>
      <c r="BS244" t="s">
        <v>1977</v>
      </c>
      <c r="BT244" t="str">
        <f>HYPERLINK("https%3A%2F%2Fwww.webofscience.com%2Fwos%2Fwoscc%2Ffull-record%2FWOS:000491196500017","View Full Record in Web of Science")</f>
        <v>View Full Record in Web of Science</v>
      </c>
    </row>
    <row r="245" spans="1:75" customHeight="1" ht="12.75">
      <c r="A245" t="s">
        <v>72</v>
      </c>
      <c r="B245" t="s">
        <v>698</v>
      </c>
      <c r="C245"/>
      <c r="D245"/>
      <c r="E245"/>
      <c r="F245" t="s">
        <v>699</v>
      </c>
      <c r="G245"/>
      <c r="H245"/>
      <c r="I245" t="s">
        <v>1978</v>
      </c>
      <c r="J245" t="s">
        <v>1524</v>
      </c>
      <c r="K245"/>
      <c r="L245"/>
      <c r="M245"/>
      <c r="N245"/>
      <c r="O245"/>
      <c r="P245"/>
      <c r="Q245"/>
      <c r="R245"/>
      <c r="S245"/>
      <c r="T245"/>
      <c r="U245"/>
      <c r="V245"/>
      <c r="W245"/>
      <c r="X245"/>
      <c r="Y245"/>
      <c r="Z245"/>
      <c r="AA245"/>
      <c r="AB245"/>
      <c r="AC245"/>
      <c r="AD245"/>
      <c r="AE245"/>
      <c r="AF245"/>
      <c r="AG245"/>
      <c r="AH245"/>
      <c r="AI245"/>
      <c r="AJ245"/>
      <c r="AK245"/>
      <c r="AL245"/>
      <c r="AM245"/>
      <c r="AN245"/>
      <c r="AO245" t="s">
        <v>1525</v>
      </c>
      <c r="AP245"/>
      <c r="AQ245"/>
      <c r="AR245"/>
      <c r="AS245"/>
      <c r="AT245" t="s">
        <v>541</v>
      </c>
      <c r="AU245">
        <v>2019</v>
      </c>
      <c r="AV245">
        <v>8</v>
      </c>
      <c r="AW245">
        <v>1</v>
      </c>
      <c r="AX245"/>
      <c r="AY245"/>
      <c r="AZ245"/>
      <c r="BA245"/>
      <c r="BB245">
        <v>92</v>
      </c>
      <c r="BC245">
        <v>97</v>
      </c>
      <c r="BD245"/>
      <c r="BE245" t="s">
        <v>1979</v>
      </c>
      <c r="BF245" t="str">
        <f>HYPERLINK("http://dx.doi.org/10.30472/ijaep.v8i1.303","http://dx.doi.org/10.30472/ijaep.v8i1.303")</f>
        <v>http://dx.doi.org/10.30472/ijaep.v8i1.303</v>
      </c>
      <c r="BG245"/>
      <c r="BH245"/>
      <c r="BI245"/>
      <c r="BJ245"/>
      <c r="BK245"/>
      <c r="BL245"/>
      <c r="BM245"/>
      <c r="BN245"/>
      <c r="BO245"/>
      <c r="BP245"/>
      <c r="BQ245"/>
      <c r="BR245"/>
      <c r="BS245" t="s">
        <v>1980</v>
      </c>
      <c r="BT245" t="str">
        <f>HYPERLINK("https%3A%2F%2Fwww.webofscience.com%2Fwos%2Fwoscc%2Ffull-record%2FWOS:000457011900011","View Full Record in Web of Science")</f>
        <v>View Full Record in Web of Science</v>
      </c>
    </row>
    <row r="246" spans="1:75" customHeight="1" ht="12.75">
      <c r="A246" t="s">
        <v>72</v>
      </c>
      <c r="B246" t="s">
        <v>102</v>
      </c>
      <c r="C246"/>
      <c r="D246"/>
      <c r="E246"/>
      <c r="F246" t="s">
        <v>1786</v>
      </c>
      <c r="G246"/>
      <c r="H246"/>
      <c r="I246" t="s">
        <v>1981</v>
      </c>
      <c r="J246" t="s">
        <v>105</v>
      </c>
      <c r="K246"/>
      <c r="L246"/>
      <c r="M246"/>
      <c r="N246"/>
      <c r="O246"/>
      <c r="P246"/>
      <c r="Q246"/>
      <c r="R246"/>
      <c r="S246"/>
      <c r="T246"/>
      <c r="U246"/>
      <c r="V246"/>
      <c r="W246"/>
      <c r="X246"/>
      <c r="Y246"/>
      <c r="Z246"/>
      <c r="AA246"/>
      <c r="AB246"/>
      <c r="AC246"/>
      <c r="AD246"/>
      <c r="AE246"/>
      <c r="AF246"/>
      <c r="AG246"/>
      <c r="AH246"/>
      <c r="AI246"/>
      <c r="AJ246"/>
      <c r="AK246"/>
      <c r="AL246"/>
      <c r="AM246"/>
      <c r="AN246"/>
      <c r="AO246" t="s">
        <v>106</v>
      </c>
      <c r="AP246"/>
      <c r="AQ246"/>
      <c r="AR246"/>
      <c r="AS246"/>
      <c r="AT246"/>
      <c r="AU246">
        <v>2019</v>
      </c>
      <c r="AV246"/>
      <c r="AW246">
        <v>2</v>
      </c>
      <c r="AX246"/>
      <c r="AY246"/>
      <c r="AZ246"/>
      <c r="BA246"/>
      <c r="BB246">
        <v>458</v>
      </c>
      <c r="BC246">
        <v>466</v>
      </c>
      <c r="BD246"/>
      <c r="BE246" t="s">
        <v>1982</v>
      </c>
      <c r="BF246" t="str">
        <f>HYPERLINK("http://dx.doi.org/10.28995/2073-0101-2019-2-458-466","http://dx.doi.org/10.28995/2073-0101-2019-2-458-466")</f>
        <v>http://dx.doi.org/10.28995/2073-0101-2019-2-458-466</v>
      </c>
      <c r="BG246"/>
      <c r="BH246"/>
      <c r="BI246"/>
      <c r="BJ246"/>
      <c r="BK246"/>
      <c r="BL246"/>
      <c r="BM246"/>
      <c r="BN246"/>
      <c r="BO246"/>
      <c r="BP246"/>
      <c r="BQ246"/>
      <c r="BR246"/>
      <c r="BS246" t="s">
        <v>1983</v>
      </c>
      <c r="BT246" t="str">
        <f>HYPERLINK("https%3A%2F%2Fwww.webofscience.com%2Fwos%2Fwoscc%2Ffull-record%2FWOS:000473803800012","View Full Record in Web of Science")</f>
        <v>View Full Record in Web of Science</v>
      </c>
    </row>
    <row r="247" spans="1:75" customHeight="1" ht="12.75">
      <c r="A247" t="s">
        <v>72</v>
      </c>
      <c r="B247" t="s">
        <v>1984</v>
      </c>
      <c r="C247"/>
      <c r="D247"/>
      <c r="E247"/>
      <c r="F247" t="s">
        <v>1985</v>
      </c>
      <c r="G247"/>
      <c r="H247"/>
      <c r="I247" t="s">
        <v>1986</v>
      </c>
      <c r="J247" t="s">
        <v>1987</v>
      </c>
      <c r="K247"/>
      <c r="L247"/>
      <c r="M247"/>
      <c r="N247"/>
      <c r="O247"/>
      <c r="P247"/>
      <c r="Q247"/>
      <c r="R247"/>
      <c r="S247"/>
      <c r="T247"/>
      <c r="U247"/>
      <c r="V247"/>
      <c r="W247"/>
      <c r="X247"/>
      <c r="Y247"/>
      <c r="Z247"/>
      <c r="AA247" t="s">
        <v>1988</v>
      </c>
      <c r="AB247" t="s">
        <v>1989</v>
      </c>
      <c r="AC247"/>
      <c r="AD247"/>
      <c r="AE247"/>
      <c r="AF247"/>
      <c r="AG247"/>
      <c r="AH247"/>
      <c r="AI247"/>
      <c r="AJ247"/>
      <c r="AK247"/>
      <c r="AL247"/>
      <c r="AM247"/>
      <c r="AN247"/>
      <c r="AO247" t="s">
        <v>1990</v>
      </c>
      <c r="AP247" t="s">
        <v>1991</v>
      </c>
      <c r="AQ247"/>
      <c r="AR247"/>
      <c r="AS247"/>
      <c r="AT247" t="s">
        <v>655</v>
      </c>
      <c r="AU247">
        <v>2018</v>
      </c>
      <c r="AV247">
        <v>51</v>
      </c>
      <c r="AW247"/>
      <c r="AX247"/>
      <c r="AY247"/>
      <c r="AZ247"/>
      <c r="BA247"/>
      <c r="BB247">
        <v>162</v>
      </c>
      <c r="BC247">
        <v>176</v>
      </c>
      <c r="BD247"/>
      <c r="BE247" t="s">
        <v>1992</v>
      </c>
      <c r="BF247" t="str">
        <f>HYPERLINK("http://dx.doi.org/10.17223/19986645/51/13","http://dx.doi.org/10.17223/19986645/51/13")</f>
        <v>http://dx.doi.org/10.17223/19986645/51/13</v>
      </c>
      <c r="BG247"/>
      <c r="BH247"/>
      <c r="BI247"/>
      <c r="BJ247"/>
      <c r="BK247"/>
      <c r="BL247"/>
      <c r="BM247"/>
      <c r="BN247"/>
      <c r="BO247"/>
      <c r="BP247"/>
      <c r="BQ247"/>
      <c r="BR247"/>
      <c r="BS247" t="s">
        <v>1993</v>
      </c>
      <c r="BT247" t="str">
        <f>HYPERLINK("https%3A%2F%2Fwww.webofscience.com%2Fwos%2Fwoscc%2Ffull-record%2FWOS:000436334100013","View Full Record in Web of Science")</f>
        <v>View Full Record in Web of Science</v>
      </c>
    </row>
    <row r="248" spans="1:75" customHeight="1" ht="12.75">
      <c r="A248" t="s">
        <v>72</v>
      </c>
      <c r="B248" t="s">
        <v>1994</v>
      </c>
      <c r="C248"/>
      <c r="D248"/>
      <c r="E248"/>
      <c r="F248" t="s">
        <v>1995</v>
      </c>
      <c r="G248"/>
      <c r="H248"/>
      <c r="I248" t="s">
        <v>1996</v>
      </c>
      <c r="J248" t="s">
        <v>1997</v>
      </c>
      <c r="K248"/>
      <c r="L248"/>
      <c r="M248"/>
      <c r="N248"/>
      <c r="O248"/>
      <c r="P248"/>
      <c r="Q248"/>
      <c r="R248"/>
      <c r="S248"/>
      <c r="T248"/>
      <c r="U248"/>
      <c r="V248"/>
      <c r="W248"/>
      <c r="X248"/>
      <c r="Y248"/>
      <c r="Z248"/>
      <c r="AA248" t="s">
        <v>507</v>
      </c>
      <c r="AB248" t="s">
        <v>508</v>
      </c>
      <c r="AC248"/>
      <c r="AD248"/>
      <c r="AE248"/>
      <c r="AF248"/>
      <c r="AG248"/>
      <c r="AH248"/>
      <c r="AI248"/>
      <c r="AJ248"/>
      <c r="AK248"/>
      <c r="AL248"/>
      <c r="AM248"/>
      <c r="AN248"/>
      <c r="AO248" t="s">
        <v>1998</v>
      </c>
      <c r="AP248"/>
      <c r="AQ248"/>
      <c r="AR248"/>
      <c r="AS248"/>
      <c r="AT248"/>
      <c r="AU248">
        <v>2018</v>
      </c>
      <c r="AV248"/>
      <c r="AW248">
        <v>4</v>
      </c>
      <c r="AX248"/>
      <c r="AY248"/>
      <c r="AZ248"/>
      <c r="BA248"/>
      <c r="BB248">
        <v>196</v>
      </c>
      <c r="BC248">
        <v>215</v>
      </c>
      <c r="BD248"/>
      <c r="BE248" t="s">
        <v>1999</v>
      </c>
      <c r="BF248" t="str">
        <f>HYPERLINK("http://dx.doi.org/10.17323/2072-8166.2018.4.196.215","http://dx.doi.org/10.17323/2072-8166.2018.4.196.215")</f>
        <v>http://dx.doi.org/10.17323/2072-8166.2018.4.196.215</v>
      </c>
      <c r="BG248"/>
      <c r="BH248"/>
      <c r="BI248"/>
      <c r="BJ248"/>
      <c r="BK248"/>
      <c r="BL248"/>
      <c r="BM248"/>
      <c r="BN248"/>
      <c r="BO248"/>
      <c r="BP248"/>
      <c r="BQ248"/>
      <c r="BR248"/>
      <c r="BS248" t="s">
        <v>2000</v>
      </c>
      <c r="BT248" t="str">
        <f>HYPERLINK("https%3A%2F%2Fwww.webofscience.com%2Fwos%2Fwoscc%2Ffull-record%2FWOS:000455584700011","View Full Record in Web of Science")</f>
        <v>View Full Record in Web of Science</v>
      </c>
    </row>
    <row r="249" spans="1:75" customHeight="1" ht="12.75">
      <c r="A249" t="s">
        <v>72</v>
      </c>
      <c r="B249" t="s">
        <v>2001</v>
      </c>
      <c r="C249"/>
      <c r="D249"/>
      <c r="E249"/>
      <c r="F249" t="s">
        <v>2002</v>
      </c>
      <c r="G249"/>
      <c r="H249"/>
      <c r="I249" t="s">
        <v>2003</v>
      </c>
      <c r="J249" t="s">
        <v>2004</v>
      </c>
      <c r="K249"/>
      <c r="L249"/>
      <c r="M249"/>
      <c r="N249"/>
      <c r="O249"/>
      <c r="P249"/>
      <c r="Q249"/>
      <c r="R249"/>
      <c r="S249"/>
      <c r="T249"/>
      <c r="U249"/>
      <c r="V249"/>
      <c r="W249"/>
      <c r="X249"/>
      <c r="Y249"/>
      <c r="Z249"/>
      <c r="AA249" t="s">
        <v>2005</v>
      </c>
      <c r="AB249" t="s">
        <v>2006</v>
      </c>
      <c r="AC249"/>
      <c r="AD249"/>
      <c r="AE249"/>
      <c r="AF249"/>
      <c r="AG249"/>
      <c r="AH249"/>
      <c r="AI249"/>
      <c r="AJ249"/>
      <c r="AK249"/>
      <c r="AL249"/>
      <c r="AM249"/>
      <c r="AN249"/>
      <c r="AO249" t="s">
        <v>2007</v>
      </c>
      <c r="AP249" t="s">
        <v>2008</v>
      </c>
      <c r="AQ249"/>
      <c r="AR249"/>
      <c r="AS249"/>
      <c r="AT249" t="s">
        <v>319</v>
      </c>
      <c r="AU249">
        <v>2017</v>
      </c>
      <c r="AV249">
        <v>57</v>
      </c>
      <c r="AW249">
        <v>11</v>
      </c>
      <c r="AX249"/>
      <c r="AY249"/>
      <c r="AZ249"/>
      <c r="BA249"/>
      <c r="BB249">
        <v>947</v>
      </c>
      <c r="BC249">
        <v>953</v>
      </c>
      <c r="BD249"/>
      <c r="BE249" t="s">
        <v>2009</v>
      </c>
      <c r="BF249" t="str">
        <f>HYPERLINK("http://dx.doi.org/10.1134/S0965544117110068","http://dx.doi.org/10.1134/S0965544117110068")</f>
        <v>http://dx.doi.org/10.1134/S0965544117110068</v>
      </c>
      <c r="BG249"/>
      <c r="BH249"/>
      <c r="BI249"/>
      <c r="BJ249"/>
      <c r="BK249"/>
      <c r="BL249"/>
      <c r="BM249"/>
      <c r="BN249"/>
      <c r="BO249"/>
      <c r="BP249"/>
      <c r="BQ249"/>
      <c r="BR249"/>
      <c r="BS249" t="s">
        <v>2010</v>
      </c>
      <c r="BT249" t="str">
        <f>HYPERLINK("https%3A%2F%2Fwww.webofscience.com%2Fwos%2Fwoscc%2Ffull-record%2FWOS:000412901200004","View Full Record in Web of Science")</f>
        <v>View Full Record in Web of Science</v>
      </c>
    </row>
    <row r="250" spans="1:75" customHeight="1" ht="12.75">
      <c r="A250" t="s">
        <v>147</v>
      </c>
      <c r="B250" t="s">
        <v>568</v>
      </c>
      <c r="C250"/>
      <c r="D250" t="s">
        <v>2011</v>
      </c>
      <c r="E250"/>
      <c r="F250" t="s">
        <v>2012</v>
      </c>
      <c r="G250"/>
      <c r="H250"/>
      <c r="I250" t="s">
        <v>2013</v>
      </c>
      <c r="J250" t="s">
        <v>2014</v>
      </c>
      <c r="K250" t="s">
        <v>390</v>
      </c>
      <c r="L250"/>
      <c r="M250"/>
      <c r="N250"/>
      <c r="O250" t="s">
        <v>2015</v>
      </c>
      <c r="P250" t="s">
        <v>2016</v>
      </c>
      <c r="Q250" t="s">
        <v>1553</v>
      </c>
      <c r="R250"/>
      <c r="S250"/>
      <c r="T250"/>
      <c r="U250"/>
      <c r="V250"/>
      <c r="W250"/>
      <c r="X250"/>
      <c r="Y250"/>
      <c r="Z250"/>
      <c r="AA250" t="s">
        <v>2017</v>
      </c>
      <c r="AB250" t="s">
        <v>2018</v>
      </c>
      <c r="AC250"/>
      <c r="AD250"/>
      <c r="AE250"/>
      <c r="AF250"/>
      <c r="AG250"/>
      <c r="AH250"/>
      <c r="AI250"/>
      <c r="AJ250"/>
      <c r="AK250"/>
      <c r="AL250"/>
      <c r="AM250"/>
      <c r="AN250"/>
      <c r="AO250" t="s">
        <v>395</v>
      </c>
      <c r="AP250"/>
      <c r="AQ250" t="s">
        <v>2019</v>
      </c>
      <c r="AR250"/>
      <c r="AS250"/>
      <c r="AT250"/>
      <c r="AU250">
        <v>2017</v>
      </c>
      <c r="AV250"/>
      <c r="AW250"/>
      <c r="AX250"/>
      <c r="AY250"/>
      <c r="AZ250"/>
      <c r="BA250"/>
      <c r="BB250">
        <v>445</v>
      </c>
      <c r="BC250">
        <v>448</v>
      </c>
      <c r="BD250"/>
      <c r="BE250"/>
      <c r="BF250"/>
      <c r="BG250"/>
      <c r="BH250"/>
      <c r="BI250"/>
      <c r="BJ250"/>
      <c r="BK250"/>
      <c r="BL250"/>
      <c r="BM250"/>
      <c r="BN250"/>
      <c r="BO250"/>
      <c r="BP250"/>
      <c r="BQ250"/>
      <c r="BR250"/>
      <c r="BS250" t="s">
        <v>2020</v>
      </c>
      <c r="BT250" t="str">
        <f>HYPERLINK("https%3A%2F%2Fwww.webofscience.com%2Fwos%2Fwoscc%2Ffull-record%2FWOS:000428759500110","View Full Record in Web of Science")</f>
        <v>View Full Record in Web of Science</v>
      </c>
    </row>
    <row r="251" spans="1:75" customHeight="1" ht="12.75">
      <c r="A251" t="s">
        <v>147</v>
      </c>
      <c r="B251" t="s">
        <v>2021</v>
      </c>
      <c r="C251"/>
      <c r="D251"/>
      <c r="E251" t="s">
        <v>210</v>
      </c>
      <c r="F251" t="s">
        <v>2022</v>
      </c>
      <c r="G251"/>
      <c r="H251"/>
      <c r="I251" t="s">
        <v>2023</v>
      </c>
      <c r="J251" t="s">
        <v>1261</v>
      </c>
      <c r="K251"/>
      <c r="L251"/>
      <c r="M251"/>
      <c r="N251"/>
      <c r="O251" t="s">
        <v>214</v>
      </c>
      <c r="P251" t="s">
        <v>909</v>
      </c>
      <c r="Q251" t="s">
        <v>910</v>
      </c>
      <c r="R251" t="s">
        <v>1262</v>
      </c>
      <c r="S251"/>
      <c r="T251"/>
      <c r="U251"/>
      <c r="V251"/>
      <c r="W251"/>
      <c r="X251"/>
      <c r="Y251"/>
      <c r="Z251"/>
      <c r="AA251" t="s">
        <v>2024</v>
      </c>
      <c r="AB251" t="s">
        <v>2025</v>
      </c>
      <c r="AC251"/>
      <c r="AD251"/>
      <c r="AE251"/>
      <c r="AF251"/>
      <c r="AG251"/>
      <c r="AH251"/>
      <c r="AI251"/>
      <c r="AJ251"/>
      <c r="AK251"/>
      <c r="AL251"/>
      <c r="AM251"/>
      <c r="AN251"/>
      <c r="AO251"/>
      <c r="AP251"/>
      <c r="AQ251" t="s">
        <v>1263</v>
      </c>
      <c r="AR251"/>
      <c r="AS251"/>
      <c r="AT251"/>
      <c r="AU251">
        <v>2017</v>
      </c>
      <c r="AV251"/>
      <c r="AW251"/>
      <c r="AX251"/>
      <c r="AY251"/>
      <c r="AZ251"/>
      <c r="BA251"/>
      <c r="BB251"/>
      <c r="BC251"/>
      <c r="BD251"/>
      <c r="BE251"/>
      <c r="BF251"/>
      <c r="BG251"/>
      <c r="BH251"/>
      <c r="BI251"/>
      <c r="BJ251"/>
      <c r="BK251"/>
      <c r="BL251"/>
      <c r="BM251"/>
      <c r="BN251"/>
      <c r="BO251"/>
      <c r="BP251"/>
      <c r="BQ251"/>
      <c r="BR251"/>
      <c r="BS251" t="s">
        <v>2026</v>
      </c>
      <c r="BT251" t="str">
        <f>HYPERLINK("https%3A%2F%2Fwww.webofscience.com%2Fwos%2Fwoscc%2Ffull-record%2FWOS:000414282400348","View Full Record in Web of Science")</f>
        <v>View Full Record in Web of Science</v>
      </c>
    </row>
    <row r="252" spans="1:75" customHeight="1" ht="12.75">
      <c r="A252" t="s">
        <v>147</v>
      </c>
      <c r="B252" t="s">
        <v>2027</v>
      </c>
      <c r="C252"/>
      <c r="D252" t="s">
        <v>739</v>
      </c>
      <c r="E252"/>
      <c r="F252" t="s">
        <v>2028</v>
      </c>
      <c r="G252"/>
      <c r="H252"/>
      <c r="I252" t="s">
        <v>2029</v>
      </c>
      <c r="J252" t="s">
        <v>742</v>
      </c>
      <c r="K252" t="s">
        <v>743</v>
      </c>
      <c r="L252"/>
      <c r="M252"/>
      <c r="N252"/>
      <c r="O252" t="s">
        <v>744</v>
      </c>
      <c r="P252" t="s">
        <v>745</v>
      </c>
      <c r="Q252" t="s">
        <v>746</v>
      </c>
      <c r="R252" t="s">
        <v>747</v>
      </c>
      <c r="S252"/>
      <c r="T252"/>
      <c r="U252"/>
      <c r="V252"/>
      <c r="W252"/>
      <c r="X252"/>
      <c r="Y252"/>
      <c r="Z252"/>
      <c r="AA252"/>
      <c r="AB252"/>
      <c r="AC252"/>
      <c r="AD252"/>
      <c r="AE252"/>
      <c r="AF252"/>
      <c r="AG252"/>
      <c r="AH252"/>
      <c r="AI252"/>
      <c r="AJ252"/>
      <c r="AK252"/>
      <c r="AL252"/>
      <c r="AM252"/>
      <c r="AN252"/>
      <c r="AO252" t="s">
        <v>748</v>
      </c>
      <c r="AP252"/>
      <c r="AQ252" t="s">
        <v>749</v>
      </c>
      <c r="AR252"/>
      <c r="AS252"/>
      <c r="AT252"/>
      <c r="AU252">
        <v>2016</v>
      </c>
      <c r="AV252"/>
      <c r="AW252"/>
      <c r="AX252"/>
      <c r="AY252"/>
      <c r="AZ252"/>
      <c r="BA252"/>
      <c r="BB252"/>
      <c r="BC252"/>
      <c r="BD252"/>
      <c r="BE252"/>
      <c r="BF252"/>
      <c r="BG252"/>
      <c r="BH252"/>
      <c r="BI252"/>
      <c r="BJ252"/>
      <c r="BK252"/>
      <c r="BL252"/>
      <c r="BM252"/>
      <c r="BN252"/>
      <c r="BO252"/>
      <c r="BP252"/>
      <c r="BQ252"/>
      <c r="BR252"/>
      <c r="BS252" t="s">
        <v>2030</v>
      </c>
      <c r="BT252" t="str">
        <f>HYPERLINK("https%3A%2F%2Fwww.webofscience.com%2Fwos%2Fwoscc%2Ffull-record%2FWOS:000383090900124","View Full Record in Web of Science")</f>
        <v>View Full Record in Web of Science</v>
      </c>
    </row>
    <row r="253" spans="1:75" customHeight="1" ht="12.75">
      <c r="A253" t="s">
        <v>147</v>
      </c>
      <c r="B253" t="s">
        <v>962</v>
      </c>
      <c r="C253"/>
      <c r="D253"/>
      <c r="E253" t="s">
        <v>280</v>
      </c>
      <c r="F253" t="s">
        <v>2031</v>
      </c>
      <c r="G253"/>
      <c r="H253"/>
      <c r="I253" t="s">
        <v>2032</v>
      </c>
      <c r="J253" t="s">
        <v>283</v>
      </c>
      <c r="K253" t="s">
        <v>284</v>
      </c>
      <c r="L253"/>
      <c r="M253"/>
      <c r="N253"/>
      <c r="O253" t="s">
        <v>285</v>
      </c>
      <c r="P253" t="s">
        <v>286</v>
      </c>
      <c r="Q253" t="s">
        <v>287</v>
      </c>
      <c r="R253" t="s">
        <v>288</v>
      </c>
      <c r="S253"/>
      <c r="T253"/>
      <c r="U253"/>
      <c r="V253"/>
      <c r="W253"/>
      <c r="X253"/>
      <c r="Y253"/>
      <c r="Z253"/>
      <c r="AA253" t="s">
        <v>965</v>
      </c>
      <c r="AB253" t="s">
        <v>966</v>
      </c>
      <c r="AC253"/>
      <c r="AD253"/>
      <c r="AE253"/>
      <c r="AF253"/>
      <c r="AG253"/>
      <c r="AH253"/>
      <c r="AI253"/>
      <c r="AJ253"/>
      <c r="AK253"/>
      <c r="AL253"/>
      <c r="AM253"/>
      <c r="AN253"/>
      <c r="AO253" t="s">
        <v>289</v>
      </c>
      <c r="AP253"/>
      <c r="AQ253" t="s">
        <v>290</v>
      </c>
      <c r="AR253"/>
      <c r="AS253"/>
      <c r="AT253"/>
      <c r="AU253">
        <v>2014</v>
      </c>
      <c r="AV253"/>
      <c r="AW253"/>
      <c r="AX253"/>
      <c r="AY253"/>
      <c r="AZ253"/>
      <c r="BA253"/>
      <c r="BB253">
        <v>139</v>
      </c>
      <c r="BC253" t="s">
        <v>107</v>
      </c>
      <c r="BD253"/>
      <c r="BE253"/>
      <c r="BF253"/>
      <c r="BG253"/>
      <c r="BH253"/>
      <c r="BI253"/>
      <c r="BJ253"/>
      <c r="BK253"/>
      <c r="BL253"/>
      <c r="BM253"/>
      <c r="BN253"/>
      <c r="BO253"/>
      <c r="BP253"/>
      <c r="BQ253"/>
      <c r="BR253"/>
      <c r="BS253" t="s">
        <v>2033</v>
      </c>
      <c r="BT253" t="str">
        <f>HYPERLINK("https%3A%2F%2Fwww.webofscience.com%2Fwos%2Fwoscc%2Ffull-record%2FWOS:000358190200019","View Full Record in Web of Science")</f>
        <v>View Full Record in Web of Science</v>
      </c>
    </row>
    <row r="254" spans="1:75" customHeight="1" ht="12.75">
      <c r="A254" t="s">
        <v>72</v>
      </c>
      <c r="B254" t="s">
        <v>2034</v>
      </c>
      <c r="C254"/>
      <c r="D254"/>
      <c r="E254"/>
      <c r="F254" t="s">
        <v>2034</v>
      </c>
      <c r="G254"/>
      <c r="H254"/>
      <c r="I254" t="s">
        <v>2035</v>
      </c>
      <c r="J254" t="s">
        <v>311</v>
      </c>
      <c r="K254"/>
      <c r="L254"/>
      <c r="M254"/>
      <c r="N254"/>
      <c r="O254"/>
      <c r="P254"/>
      <c r="Q254"/>
      <c r="R254"/>
      <c r="S254"/>
      <c r="T254"/>
      <c r="U254"/>
      <c r="V254"/>
      <c r="W254"/>
      <c r="X254"/>
      <c r="Y254"/>
      <c r="Z254"/>
      <c r="AA254"/>
      <c r="AB254"/>
      <c r="AC254"/>
      <c r="AD254"/>
      <c r="AE254"/>
      <c r="AF254"/>
      <c r="AG254"/>
      <c r="AH254"/>
      <c r="AI254"/>
      <c r="AJ254"/>
      <c r="AK254"/>
      <c r="AL254"/>
      <c r="AM254"/>
      <c r="AN254"/>
      <c r="AO254" t="s">
        <v>312</v>
      </c>
      <c r="AP254"/>
      <c r="AQ254"/>
      <c r="AR254"/>
      <c r="AS254"/>
      <c r="AT254" t="s">
        <v>78</v>
      </c>
      <c r="AU254">
        <v>2005</v>
      </c>
      <c r="AV254">
        <v>39</v>
      </c>
      <c r="AW254">
        <v>3</v>
      </c>
      <c r="AX254"/>
      <c r="AY254"/>
      <c r="AZ254"/>
      <c r="BA254"/>
      <c r="BB254">
        <v>329</v>
      </c>
      <c r="BC254">
        <v>331</v>
      </c>
      <c r="BD254"/>
      <c r="BE254" t="s">
        <v>2036</v>
      </c>
      <c r="BF254" t="str">
        <f>HYPERLINK("http://dx.doi.org/10.1007/s11236-005-0083-7","http://dx.doi.org/10.1007/s11236-005-0083-7")</f>
        <v>http://dx.doi.org/10.1007/s11236-005-0083-7</v>
      </c>
      <c r="BG254"/>
      <c r="BH254"/>
      <c r="BI254"/>
      <c r="BJ254"/>
      <c r="BK254"/>
      <c r="BL254"/>
      <c r="BM254"/>
      <c r="BN254"/>
      <c r="BO254"/>
      <c r="BP254"/>
      <c r="BQ254"/>
      <c r="BR254"/>
      <c r="BS254" t="s">
        <v>2037</v>
      </c>
      <c r="BT254" t="str">
        <f>HYPERLINK("https%3A%2F%2Fwww.webofscience.com%2Fwos%2Fwoscc%2Ffull-record%2FWOS:000230025900016","View Full Record in Web of Science")</f>
        <v>View Full Record in Web of Science</v>
      </c>
    </row>
    <row r="255" spans="1:75" customHeight="1" ht="12.75">
      <c r="A255" t="s">
        <v>72</v>
      </c>
      <c r="B255" t="s">
        <v>2038</v>
      </c>
      <c r="C255"/>
      <c r="D255"/>
      <c r="E255"/>
      <c r="F255" t="s">
        <v>2038</v>
      </c>
      <c r="G255"/>
      <c r="H255"/>
      <c r="I255" t="s">
        <v>2039</v>
      </c>
      <c r="J255" t="s">
        <v>244</v>
      </c>
      <c r="K255"/>
      <c r="L255"/>
      <c r="M255"/>
      <c r="N255"/>
      <c r="O255"/>
      <c r="P255"/>
      <c r="Q255"/>
      <c r="R255"/>
      <c r="S255"/>
      <c r="T255"/>
      <c r="U255"/>
      <c r="V255"/>
      <c r="W255"/>
      <c r="X255"/>
      <c r="Y255"/>
      <c r="Z255"/>
      <c r="AA255"/>
      <c r="AB255"/>
      <c r="AC255"/>
      <c r="AD255"/>
      <c r="AE255"/>
      <c r="AF255"/>
      <c r="AG255"/>
      <c r="AH255"/>
      <c r="AI255"/>
      <c r="AJ255"/>
      <c r="AK255"/>
      <c r="AL255"/>
      <c r="AM255"/>
      <c r="AN255"/>
      <c r="AO255" t="s">
        <v>245</v>
      </c>
      <c r="AP255"/>
      <c r="AQ255"/>
      <c r="AR255"/>
      <c r="AS255"/>
      <c r="AT255"/>
      <c r="AU255">
        <v>1999</v>
      </c>
      <c r="AV255"/>
      <c r="AW255" t="s">
        <v>1685</v>
      </c>
      <c r="AX255"/>
      <c r="AY255"/>
      <c r="AZ255"/>
      <c r="BA255"/>
      <c r="BB255">
        <v>82</v>
      </c>
      <c r="BC255">
        <v>96</v>
      </c>
      <c r="BD255"/>
      <c r="BE255"/>
      <c r="BF255"/>
      <c r="BG255"/>
      <c r="BH255"/>
      <c r="BI255"/>
      <c r="BJ255"/>
      <c r="BK255"/>
      <c r="BL255"/>
      <c r="BM255"/>
      <c r="BN255"/>
      <c r="BO255"/>
      <c r="BP255"/>
      <c r="BQ255"/>
      <c r="BR255"/>
      <c r="BS255" t="s">
        <v>2040</v>
      </c>
      <c r="BT255" t="str">
        <f>HYPERLINK("https%3A%2F%2Fwww.webofscience.com%2Fwos%2Fwoscc%2Ffull-record%2FWOS:000083212500006","View Full Record in Web of Science")</f>
        <v>View Full Record in Web of Science</v>
      </c>
    </row>
    <row r="256" spans="1:75" customHeight="1" ht="12.75">
      <c r="A256" t="s">
        <v>72</v>
      </c>
      <c r="B256" t="s">
        <v>581</v>
      </c>
      <c r="C256"/>
      <c r="D256"/>
      <c r="E256"/>
      <c r="F256" t="s">
        <v>2041</v>
      </c>
      <c r="G256"/>
      <c r="H256"/>
      <c r="I256" t="s">
        <v>2042</v>
      </c>
      <c r="J256" t="s">
        <v>584</v>
      </c>
      <c r="K256"/>
      <c r="L256"/>
      <c r="M256"/>
      <c r="N256"/>
      <c r="O256"/>
      <c r="P256"/>
      <c r="Q256"/>
      <c r="R256"/>
      <c r="S256"/>
      <c r="T256"/>
      <c r="U256"/>
      <c r="V256"/>
      <c r="W256"/>
      <c r="X256"/>
      <c r="Y256"/>
      <c r="Z256"/>
      <c r="AA256"/>
      <c r="AB256"/>
      <c r="AC256"/>
      <c r="AD256"/>
      <c r="AE256"/>
      <c r="AF256"/>
      <c r="AG256"/>
      <c r="AH256"/>
      <c r="AI256"/>
      <c r="AJ256"/>
      <c r="AK256"/>
      <c r="AL256"/>
      <c r="AM256"/>
      <c r="AN256"/>
      <c r="AO256" t="s">
        <v>1449</v>
      </c>
      <c r="AP256" t="s">
        <v>588</v>
      </c>
      <c r="AQ256"/>
      <c r="AR256"/>
      <c r="AS256"/>
      <c r="AT256"/>
      <c r="AU256">
        <v>2023</v>
      </c>
      <c r="AV256">
        <v>117</v>
      </c>
      <c r="AW256">
        <v>1</v>
      </c>
      <c r="AX256"/>
      <c r="AY256"/>
      <c r="AZ256"/>
      <c r="BA256"/>
      <c r="BB256"/>
      <c r="BC256"/>
      <c r="BD256">
        <v>11713</v>
      </c>
      <c r="BE256" t="s">
        <v>2043</v>
      </c>
      <c r="BF256" t="str">
        <f>HYPERLINK("http://dx.doi.org/10.34910/MCE.117.13","http://dx.doi.org/10.34910/MCE.117.13")</f>
        <v>http://dx.doi.org/10.34910/MCE.117.13</v>
      </c>
      <c r="BG256"/>
      <c r="BH256"/>
      <c r="BI256"/>
      <c r="BJ256"/>
      <c r="BK256"/>
      <c r="BL256"/>
      <c r="BM256"/>
      <c r="BN256"/>
      <c r="BO256"/>
      <c r="BP256"/>
      <c r="BQ256"/>
      <c r="BR256"/>
      <c r="BS256" t="s">
        <v>2044</v>
      </c>
      <c r="BT256" t="str">
        <f>HYPERLINK("https%3A%2F%2Fwww.webofscience.com%2Fwos%2Fwoscc%2Ffull-record%2FWOS:000935004600004","View Full Record in Web of Science")</f>
        <v>View Full Record in Web of Science</v>
      </c>
    </row>
    <row r="257" spans="1:75" customHeight="1" ht="12.75">
      <c r="A257" t="s">
        <v>72</v>
      </c>
      <c r="B257" t="s">
        <v>568</v>
      </c>
      <c r="C257"/>
      <c r="D257"/>
      <c r="E257"/>
      <c r="F257" t="s">
        <v>2012</v>
      </c>
      <c r="G257"/>
      <c r="H257"/>
      <c r="I257" t="s">
        <v>2045</v>
      </c>
      <c r="J257" t="s">
        <v>2046</v>
      </c>
      <c r="K257"/>
      <c r="L257"/>
      <c r="M257"/>
      <c r="N257"/>
      <c r="O257"/>
      <c r="P257"/>
      <c r="Q257"/>
      <c r="R257"/>
      <c r="S257"/>
      <c r="T257"/>
      <c r="U257"/>
      <c r="V257"/>
      <c r="W257"/>
      <c r="X257"/>
      <c r="Y257"/>
      <c r="Z257"/>
      <c r="AA257" t="s">
        <v>2047</v>
      </c>
      <c r="AB257" t="s">
        <v>2048</v>
      </c>
      <c r="AC257"/>
      <c r="AD257"/>
      <c r="AE257"/>
      <c r="AF257"/>
      <c r="AG257"/>
      <c r="AH257"/>
      <c r="AI257"/>
      <c r="AJ257"/>
      <c r="AK257"/>
      <c r="AL257"/>
      <c r="AM257"/>
      <c r="AN257"/>
      <c r="AO257" t="s">
        <v>2049</v>
      </c>
      <c r="AP257" t="s">
        <v>2050</v>
      </c>
      <c r="AQ257"/>
      <c r="AR257"/>
      <c r="AS257"/>
      <c r="AT257" t="s">
        <v>491</v>
      </c>
      <c r="AU257">
        <v>2022</v>
      </c>
      <c r="AV257">
        <v>91</v>
      </c>
      <c r="AW257"/>
      <c r="AX257"/>
      <c r="AY257"/>
      <c r="AZ257"/>
      <c r="BA257"/>
      <c r="BB257"/>
      <c r="BC257"/>
      <c r="BD257">
        <v>104529</v>
      </c>
      <c r="BE257" t="s">
        <v>2051</v>
      </c>
      <c r="BF257" t="str">
        <f>HYPERLINK("http://dx.doi.org/10.1016/j.micpro.2022.104529","http://dx.doi.org/10.1016/j.micpro.2022.104529")</f>
        <v>http://dx.doi.org/10.1016/j.micpro.2022.104529</v>
      </c>
      <c r="BG257"/>
      <c r="BH257" t="s">
        <v>2052</v>
      </c>
      <c r="BI257"/>
      <c r="BJ257"/>
      <c r="BK257"/>
      <c r="BL257"/>
      <c r="BM257"/>
      <c r="BN257"/>
      <c r="BO257"/>
      <c r="BP257"/>
      <c r="BQ257"/>
      <c r="BR257"/>
      <c r="BS257" t="s">
        <v>2053</v>
      </c>
      <c r="BT257" t="str">
        <f>HYPERLINK("https%3A%2F%2Fwww.webofscience.com%2Fwos%2Fwoscc%2Ffull-record%2FWOS:000797303800001","View Full Record in Web of Science")</f>
        <v>View Full Record in Web of Science</v>
      </c>
    </row>
    <row r="258" spans="1:75" customHeight="1" ht="12.75">
      <c r="A258" t="s">
        <v>72</v>
      </c>
      <c r="B258" t="s">
        <v>1756</v>
      </c>
      <c r="C258"/>
      <c r="D258"/>
      <c r="E258"/>
      <c r="F258" t="s">
        <v>1757</v>
      </c>
      <c r="G258"/>
      <c r="H258"/>
      <c r="I258" t="s">
        <v>2054</v>
      </c>
      <c r="J258" t="s">
        <v>989</v>
      </c>
      <c r="K258"/>
      <c r="L258"/>
      <c r="M258"/>
      <c r="N258"/>
      <c r="O258"/>
      <c r="P258"/>
      <c r="Q258"/>
      <c r="R258"/>
      <c r="S258"/>
      <c r="T258"/>
      <c r="U258"/>
      <c r="V258"/>
      <c r="W258"/>
      <c r="X258"/>
      <c r="Y258"/>
      <c r="Z258"/>
      <c r="AA258" t="s">
        <v>2055</v>
      </c>
      <c r="AB258" t="s">
        <v>2056</v>
      </c>
      <c r="AC258"/>
      <c r="AD258"/>
      <c r="AE258"/>
      <c r="AF258"/>
      <c r="AG258"/>
      <c r="AH258"/>
      <c r="AI258"/>
      <c r="AJ258"/>
      <c r="AK258"/>
      <c r="AL258"/>
      <c r="AM258"/>
      <c r="AN258"/>
      <c r="AO258" t="s">
        <v>992</v>
      </c>
      <c r="AP258" t="s">
        <v>993</v>
      </c>
      <c r="AQ258"/>
      <c r="AR258"/>
      <c r="AS258"/>
      <c r="AT258" t="s">
        <v>198</v>
      </c>
      <c r="AU258">
        <v>2022</v>
      </c>
      <c r="AV258">
        <v>111</v>
      </c>
      <c r="AW258" t="s">
        <v>1639</v>
      </c>
      <c r="AX258"/>
      <c r="AY258"/>
      <c r="AZ258"/>
      <c r="BA258"/>
      <c r="BB258">
        <v>515</v>
      </c>
      <c r="BC258">
        <v>524</v>
      </c>
      <c r="BD258"/>
      <c r="BE258" t="s">
        <v>2057</v>
      </c>
      <c r="BF258" t="str">
        <f>HYPERLINK("http://dx.doi.org/10.1134/S0001434622030191","http://dx.doi.org/10.1134/S0001434622030191")</f>
        <v>http://dx.doi.org/10.1134/S0001434622030191</v>
      </c>
      <c r="BG258"/>
      <c r="BH258"/>
      <c r="BI258"/>
      <c r="BJ258"/>
      <c r="BK258"/>
      <c r="BL258"/>
      <c r="BM258"/>
      <c r="BN258"/>
      <c r="BO258"/>
      <c r="BP258"/>
      <c r="BQ258"/>
      <c r="BR258"/>
      <c r="BS258" t="s">
        <v>2058</v>
      </c>
      <c r="BT258" t="str">
        <f>HYPERLINK("https%3A%2F%2Fwww.webofscience.com%2Fwos%2Fwoscc%2Ffull-record%2FWOS:000787851100019","View Full Record in Web of Science")</f>
        <v>View Full Record in Web of Science</v>
      </c>
    </row>
    <row r="259" spans="1:75" customHeight="1" ht="12.75">
      <c r="A259" t="s">
        <v>72</v>
      </c>
      <c r="B259" t="s">
        <v>2059</v>
      </c>
      <c r="C259"/>
      <c r="D259"/>
      <c r="E259"/>
      <c r="F259" t="s">
        <v>2060</v>
      </c>
      <c r="G259"/>
      <c r="H259"/>
      <c r="I259" t="s">
        <v>2061</v>
      </c>
      <c r="J259" t="s">
        <v>1862</v>
      </c>
      <c r="K259"/>
      <c r="L259"/>
      <c r="M259"/>
      <c r="N259"/>
      <c r="O259"/>
      <c r="P259"/>
      <c r="Q259"/>
      <c r="R259"/>
      <c r="S259"/>
      <c r="T259"/>
      <c r="U259"/>
      <c r="V259"/>
      <c r="W259"/>
      <c r="X259"/>
      <c r="Y259"/>
      <c r="Z259"/>
      <c r="AA259"/>
      <c r="AB259"/>
      <c r="AC259"/>
      <c r="AD259"/>
      <c r="AE259"/>
      <c r="AF259"/>
      <c r="AG259"/>
      <c r="AH259"/>
      <c r="AI259"/>
      <c r="AJ259"/>
      <c r="AK259"/>
      <c r="AL259"/>
      <c r="AM259"/>
      <c r="AN259"/>
      <c r="AO259" t="s">
        <v>1863</v>
      </c>
      <c r="AP259"/>
      <c r="AQ259"/>
      <c r="AR259"/>
      <c r="AS259"/>
      <c r="AT259"/>
      <c r="AU259">
        <v>2022</v>
      </c>
      <c r="AV259">
        <v>56</v>
      </c>
      <c r="AW259">
        <v>1</v>
      </c>
      <c r="AX259"/>
      <c r="AY259"/>
      <c r="AZ259"/>
      <c r="BA259"/>
      <c r="BB259">
        <v>163</v>
      </c>
      <c r="BC259">
        <v>171</v>
      </c>
      <c r="BD259"/>
      <c r="BE259" t="s">
        <v>2062</v>
      </c>
      <c r="BF259" t="str">
        <f>HYPERLINK("http://dx.doi.org/10.17072/2219-3111-2022-1-163-171","http://dx.doi.org/10.17072/2219-3111-2022-1-163-171")</f>
        <v>http://dx.doi.org/10.17072/2219-3111-2022-1-163-171</v>
      </c>
      <c r="BG259"/>
      <c r="BH259"/>
      <c r="BI259"/>
      <c r="BJ259"/>
      <c r="BK259"/>
      <c r="BL259"/>
      <c r="BM259"/>
      <c r="BN259"/>
      <c r="BO259"/>
      <c r="BP259"/>
      <c r="BQ259"/>
      <c r="BR259"/>
      <c r="BS259" t="s">
        <v>2063</v>
      </c>
      <c r="BT259" t="str">
        <f>HYPERLINK("https%3A%2F%2Fwww.webofscience.com%2Fwos%2Fwoscc%2Ffull-record%2FWOS:000865406500015","View Full Record in Web of Science")</f>
        <v>View Full Record in Web of Science</v>
      </c>
    </row>
    <row r="260" spans="1:75" customHeight="1" ht="12.75">
      <c r="A260" t="s">
        <v>72</v>
      </c>
      <c r="B260" t="s">
        <v>2064</v>
      </c>
      <c r="C260"/>
      <c r="D260"/>
      <c r="E260"/>
      <c r="F260" t="s">
        <v>2065</v>
      </c>
      <c r="G260"/>
      <c r="H260"/>
      <c r="I260" t="s">
        <v>2066</v>
      </c>
      <c r="J260" t="s">
        <v>95</v>
      </c>
      <c r="K260"/>
      <c r="L260"/>
      <c r="M260"/>
      <c r="N260"/>
      <c r="O260"/>
      <c r="P260"/>
      <c r="Q260"/>
      <c r="R260"/>
      <c r="S260"/>
      <c r="T260"/>
      <c r="U260"/>
      <c r="V260"/>
      <c r="W260"/>
      <c r="X260"/>
      <c r="Y260"/>
      <c r="Z260"/>
      <c r="AA260"/>
      <c r="AB260" t="s">
        <v>794</v>
      </c>
      <c r="AC260"/>
      <c r="AD260"/>
      <c r="AE260"/>
      <c r="AF260"/>
      <c r="AG260"/>
      <c r="AH260"/>
      <c r="AI260"/>
      <c r="AJ260"/>
      <c r="AK260"/>
      <c r="AL260"/>
      <c r="AM260"/>
      <c r="AN260"/>
      <c r="AO260" t="s">
        <v>98</v>
      </c>
      <c r="AP260" t="s">
        <v>99</v>
      </c>
      <c r="AQ260"/>
      <c r="AR260"/>
      <c r="AS260"/>
      <c r="AT260"/>
      <c r="AU260">
        <v>2021</v>
      </c>
      <c r="AV260"/>
      <c r="AW260">
        <v>2</v>
      </c>
      <c r="AX260"/>
      <c r="AY260"/>
      <c r="AZ260"/>
      <c r="BA260"/>
      <c r="BB260">
        <v>229</v>
      </c>
      <c r="BC260">
        <v>234</v>
      </c>
      <c r="BD260"/>
      <c r="BE260" t="s">
        <v>2067</v>
      </c>
      <c r="BF260" t="str">
        <f>HYPERLINK("http://dx.doi.org/10.25750/1995-4301-2021-2-229-234","http://dx.doi.org/10.25750/1995-4301-2021-2-229-234")</f>
        <v>http://dx.doi.org/10.25750/1995-4301-2021-2-229-234</v>
      </c>
      <c r="BG260"/>
      <c r="BH260"/>
      <c r="BI260"/>
      <c r="BJ260"/>
      <c r="BK260"/>
      <c r="BL260"/>
      <c r="BM260"/>
      <c r="BN260"/>
      <c r="BO260"/>
      <c r="BP260"/>
      <c r="BQ260"/>
      <c r="BR260"/>
      <c r="BS260" t="s">
        <v>2068</v>
      </c>
      <c r="BT260" t="str">
        <f>HYPERLINK("https%3A%2F%2Fwww.webofscience.com%2Fwos%2Fwoscc%2Ffull-record%2FWOS:000667025400033","View Full Record in Web of Science")</f>
        <v>View Full Record in Web of Science</v>
      </c>
    </row>
    <row r="261" spans="1:75" customHeight="1" ht="12.75">
      <c r="A261" t="s">
        <v>1342</v>
      </c>
      <c r="B261" t="s">
        <v>2069</v>
      </c>
      <c r="C261"/>
      <c r="D261" t="s">
        <v>1344</v>
      </c>
      <c r="E261"/>
      <c r="F261" t="s">
        <v>2070</v>
      </c>
      <c r="G261"/>
      <c r="H261"/>
      <c r="I261" t="s">
        <v>2071</v>
      </c>
      <c r="J261" t="s">
        <v>1347</v>
      </c>
      <c r="K261" t="s">
        <v>1348</v>
      </c>
      <c r="L261"/>
      <c r="M261"/>
      <c r="N261"/>
      <c r="O261"/>
      <c r="P261"/>
      <c r="Q261"/>
      <c r="R261"/>
      <c r="S261"/>
      <c r="T261"/>
      <c r="U261"/>
      <c r="V261"/>
      <c r="W261"/>
      <c r="X261"/>
      <c r="Y261"/>
      <c r="Z261"/>
      <c r="AA261"/>
      <c r="AB261"/>
      <c r="AC261"/>
      <c r="AD261"/>
      <c r="AE261"/>
      <c r="AF261"/>
      <c r="AG261"/>
      <c r="AH261"/>
      <c r="AI261"/>
      <c r="AJ261"/>
      <c r="AK261"/>
      <c r="AL261"/>
      <c r="AM261"/>
      <c r="AN261"/>
      <c r="AO261" t="s">
        <v>1349</v>
      </c>
      <c r="AP261" t="s">
        <v>1350</v>
      </c>
      <c r="AQ261" t="s">
        <v>1351</v>
      </c>
      <c r="AR261"/>
      <c r="AS261"/>
      <c r="AT261"/>
      <c r="AU261">
        <v>2021</v>
      </c>
      <c r="AV261"/>
      <c r="AW261"/>
      <c r="AX261"/>
      <c r="AY261"/>
      <c r="AZ261"/>
      <c r="BA261"/>
      <c r="BB261">
        <v>343</v>
      </c>
      <c r="BC261">
        <v>350</v>
      </c>
      <c r="BD261"/>
      <c r="BE261" t="s">
        <v>2072</v>
      </c>
      <c r="BF261" t="str">
        <f>HYPERLINK("http://dx.doi.org/10.1007/978-3-030-70194-9_34","http://dx.doi.org/10.1007/978-3-030-70194-9_34")</f>
        <v>http://dx.doi.org/10.1007/978-3-030-70194-9_34</v>
      </c>
      <c r="BG261" t="s">
        <v>1353</v>
      </c>
      <c r="BH261"/>
      <c r="BI261"/>
      <c r="BJ261"/>
      <c r="BK261"/>
      <c r="BL261"/>
      <c r="BM261"/>
      <c r="BN261"/>
      <c r="BO261"/>
      <c r="BP261"/>
      <c r="BQ261"/>
      <c r="BR261"/>
      <c r="BS261" t="s">
        <v>2073</v>
      </c>
      <c r="BT261" t="str">
        <f>HYPERLINK("https%3A%2F%2Fwww.webofscience.com%2Fwos%2Fwoscc%2Ffull-record%2FWOS:000849737100033","View Full Record in Web of Science")</f>
        <v>View Full Record in Web of Science</v>
      </c>
    </row>
    <row r="262" spans="1:75" customHeight="1" ht="12.75">
      <c r="A262" t="s">
        <v>72</v>
      </c>
      <c r="B262" t="s">
        <v>2074</v>
      </c>
      <c r="C262"/>
      <c r="D262"/>
      <c r="E262"/>
      <c r="F262" t="s">
        <v>2075</v>
      </c>
      <c r="G262"/>
      <c r="H262"/>
      <c r="I262" t="s">
        <v>2076</v>
      </c>
      <c r="J262" t="s">
        <v>166</v>
      </c>
      <c r="K262"/>
      <c r="L262"/>
      <c r="M262"/>
      <c r="N262"/>
      <c r="O262"/>
      <c r="P262"/>
      <c r="Q262"/>
      <c r="R262"/>
      <c r="S262"/>
      <c r="T262"/>
      <c r="U262"/>
      <c r="V262"/>
      <c r="W262"/>
      <c r="X262"/>
      <c r="Y262"/>
      <c r="Z262"/>
      <c r="AA262" t="s">
        <v>2077</v>
      </c>
      <c r="AB262" t="s">
        <v>2078</v>
      </c>
      <c r="AC262"/>
      <c r="AD262"/>
      <c r="AE262"/>
      <c r="AF262"/>
      <c r="AG262"/>
      <c r="AH262"/>
      <c r="AI262"/>
      <c r="AJ262"/>
      <c r="AK262"/>
      <c r="AL262"/>
      <c r="AM262"/>
      <c r="AN262"/>
      <c r="AO262" t="s">
        <v>169</v>
      </c>
      <c r="AP262" t="s">
        <v>170</v>
      </c>
      <c r="AQ262"/>
      <c r="AR262"/>
      <c r="AS262"/>
      <c r="AT262" t="s">
        <v>830</v>
      </c>
      <c r="AU262">
        <v>2020</v>
      </c>
      <c r="AV262">
        <v>9</v>
      </c>
      <c r="AW262">
        <v>3</v>
      </c>
      <c r="AX262"/>
      <c r="AY262"/>
      <c r="AZ262"/>
      <c r="BA262"/>
      <c r="BB262">
        <v>529</v>
      </c>
      <c r="BC262">
        <v>545</v>
      </c>
      <c r="BD262"/>
      <c r="BE262" t="s">
        <v>2079</v>
      </c>
      <c r="BF262" t="str">
        <f>HYPERLINK("http://dx.doi.org/10.13187/ejced.2020.3.529","http://dx.doi.org/10.13187/ejced.2020.3.529")</f>
        <v>http://dx.doi.org/10.13187/ejced.2020.3.529</v>
      </c>
      <c r="BG262"/>
      <c r="BH262"/>
      <c r="BI262"/>
      <c r="BJ262"/>
      <c r="BK262"/>
      <c r="BL262"/>
      <c r="BM262"/>
      <c r="BN262"/>
      <c r="BO262"/>
      <c r="BP262"/>
      <c r="BQ262"/>
      <c r="BR262"/>
      <c r="BS262" t="s">
        <v>2080</v>
      </c>
      <c r="BT262" t="str">
        <f>HYPERLINK("https%3A%2F%2Fwww.webofscience.com%2Fwos%2Fwoscc%2Ffull-record%2FWOS:000567722400005","View Full Record in Web of Science")</f>
        <v>View Full Record in Web of Science</v>
      </c>
    </row>
    <row r="263" spans="1:75" customHeight="1" ht="12.75">
      <c r="A263" t="s">
        <v>147</v>
      </c>
      <c r="B263" t="s">
        <v>220</v>
      </c>
      <c r="C263"/>
      <c r="D263"/>
      <c r="E263" t="s">
        <v>210</v>
      </c>
      <c r="F263" t="s">
        <v>221</v>
      </c>
      <c r="G263"/>
      <c r="H263"/>
      <c r="I263" t="s">
        <v>2081</v>
      </c>
      <c r="J263" t="s">
        <v>2082</v>
      </c>
      <c r="K263" t="s">
        <v>2083</v>
      </c>
      <c r="L263"/>
      <c r="M263"/>
      <c r="N263"/>
      <c r="O263" t="s">
        <v>2084</v>
      </c>
      <c r="P263" t="s">
        <v>2085</v>
      </c>
      <c r="Q263" t="s">
        <v>2086</v>
      </c>
      <c r="R263" t="s">
        <v>2087</v>
      </c>
      <c r="S263" t="s">
        <v>2088</v>
      </c>
      <c r="T263"/>
      <c r="U263"/>
      <c r="V263"/>
      <c r="W263"/>
      <c r="X263"/>
      <c r="Y263"/>
      <c r="Z263"/>
      <c r="AA263"/>
      <c r="AB263"/>
      <c r="AC263"/>
      <c r="AD263"/>
      <c r="AE263"/>
      <c r="AF263"/>
      <c r="AG263"/>
      <c r="AH263"/>
      <c r="AI263"/>
      <c r="AJ263"/>
      <c r="AK263"/>
      <c r="AL263"/>
      <c r="AM263"/>
      <c r="AN263"/>
      <c r="AO263" t="s">
        <v>2089</v>
      </c>
      <c r="AP263"/>
      <c r="AQ263" t="s">
        <v>2090</v>
      </c>
      <c r="AR263"/>
      <c r="AS263"/>
      <c r="AT263"/>
      <c r="AU263">
        <v>2020</v>
      </c>
      <c r="AV263"/>
      <c r="AW263"/>
      <c r="AX263"/>
      <c r="AY263"/>
      <c r="AZ263"/>
      <c r="BA263"/>
      <c r="BB263"/>
      <c r="BC263"/>
      <c r="BD263"/>
      <c r="BE263"/>
      <c r="BF263"/>
      <c r="BG263"/>
      <c r="BH263"/>
      <c r="BI263"/>
      <c r="BJ263"/>
      <c r="BK263"/>
      <c r="BL263"/>
      <c r="BM263"/>
      <c r="BN263"/>
      <c r="BO263"/>
      <c r="BP263"/>
      <c r="BQ263"/>
      <c r="BR263"/>
      <c r="BS263" t="s">
        <v>2091</v>
      </c>
      <c r="BT263" t="str">
        <f>HYPERLINK("https%3A%2F%2Fwww.webofscience.com%2Fwos%2Fwoscc%2Ffull-record%2FWOS:000649745900025","View Full Record in Web of Science")</f>
        <v>View Full Record in Web of Science</v>
      </c>
    </row>
    <row r="264" spans="1:75" customHeight="1" ht="12.75">
      <c r="A264" t="s">
        <v>72</v>
      </c>
      <c r="B264" t="s">
        <v>698</v>
      </c>
      <c r="C264"/>
      <c r="D264"/>
      <c r="E264"/>
      <c r="F264" t="s">
        <v>699</v>
      </c>
      <c r="G264"/>
      <c r="H264"/>
      <c r="I264" t="s">
        <v>2092</v>
      </c>
      <c r="J264" t="s">
        <v>2093</v>
      </c>
      <c r="K264"/>
      <c r="L264"/>
      <c r="M264"/>
      <c r="N264"/>
      <c r="O264"/>
      <c r="P264"/>
      <c r="Q264"/>
      <c r="R264"/>
      <c r="S264"/>
      <c r="T264"/>
      <c r="U264"/>
      <c r="V264"/>
      <c r="W264"/>
      <c r="X264"/>
      <c r="Y264"/>
      <c r="Z264"/>
      <c r="AA264" t="s">
        <v>2094</v>
      </c>
      <c r="AB264" t="s">
        <v>2095</v>
      </c>
      <c r="AC264"/>
      <c r="AD264"/>
      <c r="AE264"/>
      <c r="AF264"/>
      <c r="AG264"/>
      <c r="AH264"/>
      <c r="AI264"/>
      <c r="AJ264"/>
      <c r="AK264"/>
      <c r="AL264"/>
      <c r="AM264"/>
      <c r="AN264"/>
      <c r="AO264" t="s">
        <v>2096</v>
      </c>
      <c r="AP264" t="s">
        <v>2097</v>
      </c>
      <c r="AQ264"/>
      <c r="AR264"/>
      <c r="AS264"/>
      <c r="AT264" t="s">
        <v>703</v>
      </c>
      <c r="AU264">
        <v>2019</v>
      </c>
      <c r="AV264">
        <v>12</v>
      </c>
      <c r="AW264">
        <v>31</v>
      </c>
      <c r="AX264"/>
      <c r="AY264"/>
      <c r="AZ264"/>
      <c r="BA264"/>
      <c r="BB264">
        <v>223</v>
      </c>
      <c r="BC264">
        <v>231</v>
      </c>
      <c r="BD264"/>
      <c r="BE264" t="s">
        <v>2098</v>
      </c>
      <c r="BF264" t="str">
        <f>HYPERLINK("http://dx.doi.org/10.20952/revtee.v12i31.11888","http://dx.doi.org/10.20952/revtee.v12i31.11888")</f>
        <v>http://dx.doi.org/10.20952/revtee.v12i31.11888</v>
      </c>
      <c r="BG264"/>
      <c r="BH264"/>
      <c r="BI264"/>
      <c r="BJ264"/>
      <c r="BK264"/>
      <c r="BL264"/>
      <c r="BM264"/>
      <c r="BN264"/>
      <c r="BO264"/>
      <c r="BP264"/>
      <c r="BQ264"/>
      <c r="BR264"/>
      <c r="BS264" t="s">
        <v>2099</v>
      </c>
      <c r="BT264" t="str">
        <f>HYPERLINK("https%3A%2F%2Fwww.webofscience.com%2Fwos%2Fwoscc%2Ffull-record%2FWOS:000496533000013","View Full Record in Web of Science")</f>
        <v>View Full Record in Web of Science</v>
      </c>
    </row>
    <row r="265" spans="1:75" customHeight="1" ht="12.75">
      <c r="A265" t="s">
        <v>72</v>
      </c>
      <c r="B265" t="s">
        <v>378</v>
      </c>
      <c r="C265"/>
      <c r="D265"/>
      <c r="E265"/>
      <c r="F265" t="s">
        <v>2100</v>
      </c>
      <c r="G265"/>
      <c r="H265"/>
      <c r="I265" t="s">
        <v>2101</v>
      </c>
      <c r="J265" t="s">
        <v>2102</v>
      </c>
      <c r="K265"/>
      <c r="L265"/>
      <c r="M265"/>
      <c r="N265"/>
      <c r="O265"/>
      <c r="P265"/>
      <c r="Q265"/>
      <c r="R265"/>
      <c r="S265"/>
      <c r="T265"/>
      <c r="U265"/>
      <c r="V265"/>
      <c r="W265"/>
      <c r="X265"/>
      <c r="Y265"/>
      <c r="Z265"/>
      <c r="AA265" t="s">
        <v>553</v>
      </c>
      <c r="AB265" t="s">
        <v>554</v>
      </c>
      <c r="AC265"/>
      <c r="AD265"/>
      <c r="AE265"/>
      <c r="AF265"/>
      <c r="AG265"/>
      <c r="AH265"/>
      <c r="AI265"/>
      <c r="AJ265"/>
      <c r="AK265"/>
      <c r="AL265"/>
      <c r="AM265"/>
      <c r="AN265"/>
      <c r="AO265" t="s">
        <v>2103</v>
      </c>
      <c r="AP265"/>
      <c r="AQ265"/>
      <c r="AR265"/>
      <c r="AS265"/>
      <c r="AT265" t="s">
        <v>338</v>
      </c>
      <c r="AU265">
        <v>2019</v>
      </c>
      <c r="AV265">
        <v>26</v>
      </c>
      <c r="AW265" t="s">
        <v>2104</v>
      </c>
      <c r="AX265"/>
      <c r="AY265"/>
      <c r="AZ265"/>
      <c r="BA265"/>
      <c r="BB265">
        <v>9</v>
      </c>
      <c r="BC265">
        <v>13</v>
      </c>
      <c r="BD265"/>
      <c r="BE265" t="s">
        <v>2105</v>
      </c>
      <c r="BF265" t="str">
        <f>HYPERLINK("http://dx.doi.org/10.31901/24566322.2019/26.1-3.1083","http://dx.doi.org/10.31901/24566322.2019/26.1-3.1083")</f>
        <v>http://dx.doi.org/10.31901/24566322.2019/26.1-3.1083</v>
      </c>
      <c r="BG265"/>
      <c r="BH265"/>
      <c r="BI265"/>
      <c r="BJ265"/>
      <c r="BK265"/>
      <c r="BL265"/>
      <c r="BM265"/>
      <c r="BN265"/>
      <c r="BO265"/>
      <c r="BP265"/>
      <c r="BQ265"/>
      <c r="BR265"/>
      <c r="BS265" t="s">
        <v>2106</v>
      </c>
      <c r="BT265" t="str">
        <f>HYPERLINK("https%3A%2F%2Fwww.webofscience.com%2Fwos%2Fwoscc%2Ffull-record%2FWOS:000491261400002","View Full Record in Web of Science")</f>
        <v>View Full Record in Web of Science</v>
      </c>
    </row>
    <row r="266" spans="1:75" customHeight="1" ht="12.75">
      <c r="A266" t="s">
        <v>147</v>
      </c>
      <c r="B266" t="s">
        <v>1875</v>
      </c>
      <c r="C266" t="s">
        <v>1232</v>
      </c>
      <c r="D266"/>
      <c r="E266"/>
      <c r="F266" t="s">
        <v>1877</v>
      </c>
      <c r="G266" t="s">
        <v>1232</v>
      </c>
      <c r="H266"/>
      <c r="I266" t="s">
        <v>2107</v>
      </c>
      <c r="J266" t="s">
        <v>1235</v>
      </c>
      <c r="K266" t="s">
        <v>1236</v>
      </c>
      <c r="L266"/>
      <c r="M266"/>
      <c r="N266"/>
      <c r="O266" t="s">
        <v>1237</v>
      </c>
      <c r="P266" t="s">
        <v>1238</v>
      </c>
      <c r="Q266" t="s">
        <v>910</v>
      </c>
      <c r="R266" t="s">
        <v>1239</v>
      </c>
      <c r="S266"/>
      <c r="T266"/>
      <c r="U266"/>
      <c r="V266"/>
      <c r="W266"/>
      <c r="X266"/>
      <c r="Y266"/>
      <c r="Z266"/>
      <c r="AA266" t="s">
        <v>1885</v>
      </c>
      <c r="AB266" t="s">
        <v>1886</v>
      </c>
      <c r="AC266"/>
      <c r="AD266"/>
      <c r="AE266"/>
      <c r="AF266"/>
      <c r="AG266"/>
      <c r="AH266"/>
      <c r="AI266"/>
      <c r="AJ266"/>
      <c r="AK266"/>
      <c r="AL266"/>
      <c r="AM266"/>
      <c r="AN266"/>
      <c r="AO266" t="s">
        <v>1240</v>
      </c>
      <c r="AP266"/>
      <c r="AQ266"/>
      <c r="AR266"/>
      <c r="AS266"/>
      <c r="AT266"/>
      <c r="AU266">
        <v>2019</v>
      </c>
      <c r="AV266">
        <v>110</v>
      </c>
      <c r="AW266"/>
      <c r="AX266"/>
      <c r="AY266"/>
      <c r="AZ266"/>
      <c r="BA266"/>
      <c r="BB266"/>
      <c r="BC266"/>
      <c r="BD266">
        <v>2021</v>
      </c>
      <c r="BE266" t="s">
        <v>2108</v>
      </c>
      <c r="BF266" t="str">
        <f>HYPERLINK("http://dx.doi.org/10.1051/e3sconf/201911002021","http://dx.doi.org/10.1051/e3sconf/201911002021")</f>
        <v>http://dx.doi.org/10.1051/e3sconf/201911002021</v>
      </c>
      <c r="BG266"/>
      <c r="BH266"/>
      <c r="BI266"/>
      <c r="BJ266"/>
      <c r="BK266"/>
      <c r="BL266"/>
      <c r="BM266"/>
      <c r="BN266"/>
      <c r="BO266"/>
      <c r="BP266"/>
      <c r="BQ266"/>
      <c r="BR266"/>
      <c r="BS266" t="s">
        <v>2109</v>
      </c>
      <c r="BT266" t="str">
        <f>HYPERLINK("https%3A%2F%2Fwww.webofscience.com%2Fwos%2Fwoscc%2Ffull-record%2FWOS:000569050000110","View Full Record in Web of Science")</f>
        <v>View Full Record in Web of Science</v>
      </c>
    </row>
    <row r="267" spans="1:75" customHeight="1" ht="12.75">
      <c r="A267" t="s">
        <v>147</v>
      </c>
      <c r="B267" t="s">
        <v>2110</v>
      </c>
      <c r="C267"/>
      <c r="D267"/>
      <c r="E267" t="s">
        <v>210</v>
      </c>
      <c r="F267" t="s">
        <v>2111</v>
      </c>
      <c r="G267"/>
      <c r="H267"/>
      <c r="I267" t="s">
        <v>2112</v>
      </c>
      <c r="J267" t="s">
        <v>2113</v>
      </c>
      <c r="K267" t="s">
        <v>2114</v>
      </c>
      <c r="L267"/>
      <c r="M267"/>
      <c r="N267"/>
      <c r="O267" t="s">
        <v>2115</v>
      </c>
      <c r="P267" t="s">
        <v>2116</v>
      </c>
      <c r="Q267" t="s">
        <v>2117</v>
      </c>
      <c r="R267" t="s">
        <v>2118</v>
      </c>
      <c r="S267" t="s">
        <v>2119</v>
      </c>
      <c r="T267"/>
      <c r="U267"/>
      <c r="V267"/>
      <c r="W267"/>
      <c r="X267"/>
      <c r="Y267"/>
      <c r="Z267"/>
      <c r="AA267" t="s">
        <v>2120</v>
      </c>
      <c r="AB267" t="s">
        <v>2121</v>
      </c>
      <c r="AC267"/>
      <c r="AD267"/>
      <c r="AE267"/>
      <c r="AF267"/>
      <c r="AG267"/>
      <c r="AH267"/>
      <c r="AI267"/>
      <c r="AJ267"/>
      <c r="AK267"/>
      <c r="AL267"/>
      <c r="AM267"/>
      <c r="AN267"/>
      <c r="AO267" t="s">
        <v>2122</v>
      </c>
      <c r="AP267"/>
      <c r="AQ267" t="s">
        <v>2123</v>
      </c>
      <c r="AR267"/>
      <c r="AS267"/>
      <c r="AT267"/>
      <c r="AU267">
        <v>2019</v>
      </c>
      <c r="AV267"/>
      <c r="AW267"/>
      <c r="AX267"/>
      <c r="AY267"/>
      <c r="AZ267"/>
      <c r="BA267"/>
      <c r="BB267">
        <v>120</v>
      </c>
      <c r="BC267">
        <v>124</v>
      </c>
      <c r="BD267"/>
      <c r="BE267"/>
      <c r="BF267"/>
      <c r="BG267"/>
      <c r="BH267"/>
      <c r="BI267"/>
      <c r="BJ267"/>
      <c r="BK267"/>
      <c r="BL267"/>
      <c r="BM267"/>
      <c r="BN267"/>
      <c r="BO267"/>
      <c r="BP267"/>
      <c r="BQ267"/>
      <c r="BR267"/>
      <c r="BS267" t="s">
        <v>2124</v>
      </c>
      <c r="BT267" t="str">
        <f>HYPERLINK("https%3A%2F%2Fwww.webofscience.com%2Fwos%2Fwoscc%2Ffull-record%2FWOS:000469452600028","View Full Record in Web of Science")</f>
        <v>View Full Record in Web of Science</v>
      </c>
    </row>
    <row r="268" spans="1:75" customHeight="1" ht="12.75">
      <c r="A268" t="s">
        <v>72</v>
      </c>
      <c r="B268" t="s">
        <v>581</v>
      </c>
      <c r="C268"/>
      <c r="D268"/>
      <c r="E268"/>
      <c r="F268" t="s">
        <v>582</v>
      </c>
      <c r="G268"/>
      <c r="H268"/>
      <c r="I268" t="s">
        <v>2125</v>
      </c>
      <c r="J268" t="s">
        <v>584</v>
      </c>
      <c r="K268"/>
      <c r="L268"/>
      <c r="M268"/>
      <c r="N268"/>
      <c r="O268"/>
      <c r="P268"/>
      <c r="Q268"/>
      <c r="R268"/>
      <c r="S268"/>
      <c r="T268"/>
      <c r="U268"/>
      <c r="V268"/>
      <c r="W268"/>
      <c r="X268"/>
      <c r="Y268"/>
      <c r="Z268"/>
      <c r="AA268" t="s">
        <v>2126</v>
      </c>
      <c r="AB268" t="s">
        <v>586</v>
      </c>
      <c r="AC268"/>
      <c r="AD268"/>
      <c r="AE268"/>
      <c r="AF268"/>
      <c r="AG268"/>
      <c r="AH268"/>
      <c r="AI268"/>
      <c r="AJ268"/>
      <c r="AK268"/>
      <c r="AL268"/>
      <c r="AM268"/>
      <c r="AN268"/>
      <c r="AO268" t="s">
        <v>587</v>
      </c>
      <c r="AP268" t="s">
        <v>588</v>
      </c>
      <c r="AQ268"/>
      <c r="AR268"/>
      <c r="AS268"/>
      <c r="AT268"/>
      <c r="AU268">
        <v>2019</v>
      </c>
      <c r="AV268">
        <v>85</v>
      </c>
      <c r="AW268">
        <v>1</v>
      </c>
      <c r="AX268"/>
      <c r="AY268"/>
      <c r="AZ268"/>
      <c r="BA268"/>
      <c r="BB268">
        <v>107</v>
      </c>
      <c r="BC268">
        <v>122</v>
      </c>
      <c r="BD268"/>
      <c r="BE268" t="s">
        <v>2127</v>
      </c>
      <c r="BF268" t="str">
        <f>HYPERLINK("http://dx.doi.org/10.18720/MCE.85.9","http://dx.doi.org/10.18720/MCE.85.9")</f>
        <v>http://dx.doi.org/10.18720/MCE.85.9</v>
      </c>
      <c r="BG268"/>
      <c r="BH268"/>
      <c r="BI268"/>
      <c r="BJ268"/>
      <c r="BK268"/>
      <c r="BL268"/>
      <c r="BM268"/>
      <c r="BN268"/>
      <c r="BO268"/>
      <c r="BP268"/>
      <c r="BQ268"/>
      <c r="BR268"/>
      <c r="BS268" t="s">
        <v>2128</v>
      </c>
      <c r="BT268" t="str">
        <f>HYPERLINK("https%3A%2F%2Fwww.webofscience.com%2Fwos%2Fwoscc%2Ffull-record%2FWOS:000474459100009","View Full Record in Web of Science")</f>
        <v>View Full Record in Web of Science</v>
      </c>
    </row>
    <row r="269" spans="1:75" customHeight="1" ht="12.75">
      <c r="A269" t="s">
        <v>72</v>
      </c>
      <c r="B269" t="s">
        <v>431</v>
      </c>
      <c r="C269"/>
      <c r="D269"/>
      <c r="E269"/>
      <c r="F269" t="s">
        <v>2129</v>
      </c>
      <c r="G269"/>
      <c r="H269"/>
      <c r="I269" t="s">
        <v>2130</v>
      </c>
      <c r="J269" t="s">
        <v>642</v>
      </c>
      <c r="K269"/>
      <c r="L269"/>
      <c r="M269"/>
      <c r="N269"/>
      <c r="O269"/>
      <c r="P269"/>
      <c r="Q269"/>
      <c r="R269"/>
      <c r="S269"/>
      <c r="T269"/>
      <c r="U269"/>
      <c r="V269"/>
      <c r="W269"/>
      <c r="X269"/>
      <c r="Y269"/>
      <c r="Z269"/>
      <c r="AA269" t="s">
        <v>1945</v>
      </c>
      <c r="AB269" t="s">
        <v>1946</v>
      </c>
      <c r="AC269"/>
      <c r="AD269"/>
      <c r="AE269"/>
      <c r="AF269"/>
      <c r="AG269"/>
      <c r="AH269"/>
      <c r="AI269"/>
      <c r="AJ269"/>
      <c r="AK269"/>
      <c r="AL269"/>
      <c r="AM269"/>
      <c r="AN269"/>
      <c r="AO269" t="s">
        <v>643</v>
      </c>
      <c r="AP269" t="s">
        <v>644</v>
      </c>
      <c r="AQ269"/>
      <c r="AR269"/>
      <c r="AS269"/>
      <c r="AT269"/>
      <c r="AU269">
        <v>2019</v>
      </c>
      <c r="AV269">
        <v>7</v>
      </c>
      <c r="AW269">
        <v>4</v>
      </c>
      <c r="AX269"/>
      <c r="AY269"/>
      <c r="AZ269"/>
      <c r="BA269"/>
      <c r="BB269">
        <v>1324</v>
      </c>
      <c r="BC269">
        <v>1338</v>
      </c>
      <c r="BD269"/>
      <c r="BE269" t="s">
        <v>2131</v>
      </c>
      <c r="BF269" t="str">
        <f>HYPERLINK("http://dx.doi.org/10.15826/qr.2019.4.441","http://dx.doi.org/10.15826/qr.2019.4.441")</f>
        <v>http://dx.doi.org/10.15826/qr.2019.4.441</v>
      </c>
      <c r="BG269"/>
      <c r="BH269"/>
      <c r="BI269"/>
      <c r="BJ269"/>
      <c r="BK269"/>
      <c r="BL269"/>
      <c r="BM269"/>
      <c r="BN269"/>
      <c r="BO269"/>
      <c r="BP269"/>
      <c r="BQ269"/>
      <c r="BR269"/>
      <c r="BS269" t="s">
        <v>2132</v>
      </c>
      <c r="BT269" t="str">
        <f>HYPERLINK("https%3A%2F%2Fwww.webofscience.com%2Fwos%2Fwoscc%2Ffull-record%2FWOS:000510178900019","View Full Record in Web of Science")</f>
        <v>View Full Record in Web of Science</v>
      </c>
    </row>
    <row r="270" spans="1:75" customHeight="1" ht="12.75">
      <c r="A270" t="s">
        <v>72</v>
      </c>
      <c r="B270" t="s">
        <v>2133</v>
      </c>
      <c r="C270"/>
      <c r="D270"/>
      <c r="E270"/>
      <c r="F270" t="s">
        <v>2134</v>
      </c>
      <c r="G270"/>
      <c r="H270"/>
      <c r="I270" t="s">
        <v>2135</v>
      </c>
      <c r="J270" t="s">
        <v>194</v>
      </c>
      <c r="K270"/>
      <c r="L270"/>
      <c r="M270"/>
      <c r="N270"/>
      <c r="O270"/>
      <c r="P270"/>
      <c r="Q270"/>
      <c r="R270"/>
      <c r="S270"/>
      <c r="T270"/>
      <c r="U270"/>
      <c r="V270"/>
      <c r="W270"/>
      <c r="X270"/>
      <c r="Y270"/>
      <c r="Z270"/>
      <c r="AA270" t="s">
        <v>1046</v>
      </c>
      <c r="AB270" t="s">
        <v>1047</v>
      </c>
      <c r="AC270"/>
      <c r="AD270"/>
      <c r="AE270"/>
      <c r="AF270"/>
      <c r="AG270"/>
      <c r="AH270"/>
      <c r="AI270"/>
      <c r="AJ270"/>
      <c r="AK270"/>
      <c r="AL270"/>
      <c r="AM270"/>
      <c r="AN270"/>
      <c r="AO270" t="s">
        <v>196</v>
      </c>
      <c r="AP270" t="s">
        <v>197</v>
      </c>
      <c r="AQ270"/>
      <c r="AR270"/>
      <c r="AS270"/>
      <c r="AT270" t="s">
        <v>198</v>
      </c>
      <c r="AU270">
        <v>2018</v>
      </c>
      <c r="AV270">
        <v>16</v>
      </c>
      <c r="AW270"/>
      <c r="AX270"/>
      <c r="AY270"/>
      <c r="AZ270"/>
      <c r="BA270"/>
      <c r="BB270">
        <v>103</v>
      </c>
      <c r="BC270">
        <v>118</v>
      </c>
      <c r="BD270"/>
      <c r="BE270" t="s">
        <v>2136</v>
      </c>
      <c r="BF270" t="str">
        <f>HYPERLINK("http://dx.doi.org/10.17223/23062061/16/7","http://dx.doi.org/10.17223/23062061/16/7")</f>
        <v>http://dx.doi.org/10.17223/23062061/16/7</v>
      </c>
      <c r="BG270"/>
      <c r="BH270"/>
      <c r="BI270"/>
      <c r="BJ270"/>
      <c r="BK270"/>
      <c r="BL270"/>
      <c r="BM270"/>
      <c r="BN270"/>
      <c r="BO270"/>
      <c r="BP270"/>
      <c r="BQ270"/>
      <c r="BR270"/>
      <c r="BS270" t="s">
        <v>2137</v>
      </c>
      <c r="BT270" t="str">
        <f>HYPERLINK("https%3A%2F%2Fwww.webofscience.com%2Fwos%2Fwoscc%2Ffull-record%2FWOS:000451192400007","View Full Record in Web of Science")</f>
        <v>View Full Record in Web of Science</v>
      </c>
    </row>
    <row r="271" spans="1:75" customHeight="1" ht="12.75">
      <c r="A271" t="s">
        <v>147</v>
      </c>
      <c r="B271" t="s">
        <v>2138</v>
      </c>
      <c r="C271"/>
      <c r="D271"/>
      <c r="E271" t="s">
        <v>210</v>
      </c>
      <c r="F271" t="s">
        <v>2139</v>
      </c>
      <c r="G271"/>
      <c r="H271"/>
      <c r="I271" t="s">
        <v>2140</v>
      </c>
      <c r="J271" t="s">
        <v>213</v>
      </c>
      <c r="K271"/>
      <c r="L271"/>
      <c r="M271"/>
      <c r="N271"/>
      <c r="O271" t="s">
        <v>214</v>
      </c>
      <c r="P271" t="s">
        <v>215</v>
      </c>
      <c r="Q271" t="s">
        <v>216</v>
      </c>
      <c r="R271"/>
      <c r="S271" t="s">
        <v>217</v>
      </c>
      <c r="T271"/>
      <c r="U271"/>
      <c r="V271"/>
      <c r="W271"/>
      <c r="X271"/>
      <c r="Y271"/>
      <c r="Z271"/>
      <c r="AA271"/>
      <c r="AB271"/>
      <c r="AC271"/>
      <c r="AD271"/>
      <c r="AE271"/>
      <c r="AF271"/>
      <c r="AG271"/>
      <c r="AH271"/>
      <c r="AI271"/>
      <c r="AJ271"/>
      <c r="AK271"/>
      <c r="AL271"/>
      <c r="AM271"/>
      <c r="AN271"/>
      <c r="AO271"/>
      <c r="AP271"/>
      <c r="AQ271" t="s">
        <v>218</v>
      </c>
      <c r="AR271"/>
      <c r="AS271"/>
      <c r="AT271"/>
      <c r="AU271">
        <v>2018</v>
      </c>
      <c r="AV271"/>
      <c r="AW271"/>
      <c r="AX271"/>
      <c r="AY271"/>
      <c r="AZ271"/>
      <c r="BA271"/>
      <c r="BB271"/>
      <c r="BC271"/>
      <c r="BD271"/>
      <c r="BE271"/>
      <c r="BF271"/>
      <c r="BG271"/>
      <c r="BH271"/>
      <c r="BI271"/>
      <c r="BJ271"/>
      <c r="BK271"/>
      <c r="BL271"/>
      <c r="BM271"/>
      <c r="BN271"/>
      <c r="BO271"/>
      <c r="BP271"/>
      <c r="BQ271"/>
      <c r="BR271"/>
      <c r="BS271" t="s">
        <v>2141</v>
      </c>
      <c r="BT271" t="str">
        <f>HYPERLINK("https%3A%2F%2Fwww.webofscience.com%2Fwos%2Fwoscc%2Ffull-record%2FWOS:000478963800197","View Full Record in Web of Science")</f>
        <v>View Full Record in Web of Science</v>
      </c>
    </row>
    <row r="272" spans="1:75" customHeight="1" ht="12.75">
      <c r="A272" t="s">
        <v>147</v>
      </c>
      <c r="B272" t="s">
        <v>2142</v>
      </c>
      <c r="C272"/>
      <c r="D272" t="s">
        <v>2143</v>
      </c>
      <c r="E272"/>
      <c r="F272" t="s">
        <v>2144</v>
      </c>
      <c r="G272"/>
      <c r="H272"/>
      <c r="I272" t="s">
        <v>2145</v>
      </c>
      <c r="J272" t="s">
        <v>2146</v>
      </c>
      <c r="K272"/>
      <c r="L272"/>
      <c r="M272"/>
      <c r="N272"/>
      <c r="O272" t="s">
        <v>2147</v>
      </c>
      <c r="P272" t="s">
        <v>2148</v>
      </c>
      <c r="Q272" t="s">
        <v>2149</v>
      </c>
      <c r="R272"/>
      <c r="S272"/>
      <c r="T272"/>
      <c r="U272"/>
      <c r="V272"/>
      <c r="W272"/>
      <c r="X272"/>
      <c r="Y272"/>
      <c r="Z272"/>
      <c r="AA272"/>
      <c r="AB272"/>
      <c r="AC272"/>
      <c r="AD272"/>
      <c r="AE272"/>
      <c r="AF272"/>
      <c r="AG272"/>
      <c r="AH272"/>
      <c r="AI272"/>
      <c r="AJ272"/>
      <c r="AK272"/>
      <c r="AL272"/>
      <c r="AM272"/>
      <c r="AN272"/>
      <c r="AO272"/>
      <c r="AP272"/>
      <c r="AQ272" t="s">
        <v>2150</v>
      </c>
      <c r="AR272"/>
      <c r="AS272"/>
      <c r="AT272"/>
      <c r="AU272">
        <v>2018</v>
      </c>
      <c r="AV272"/>
      <c r="AW272"/>
      <c r="AX272"/>
      <c r="AY272"/>
      <c r="AZ272"/>
      <c r="BA272"/>
      <c r="BB272">
        <v>469</v>
      </c>
      <c r="BC272">
        <v>474</v>
      </c>
      <c r="BD272"/>
      <c r="BE272"/>
      <c r="BF272"/>
      <c r="BG272"/>
      <c r="BH272"/>
      <c r="BI272"/>
      <c r="BJ272"/>
      <c r="BK272"/>
      <c r="BL272"/>
      <c r="BM272"/>
      <c r="BN272"/>
      <c r="BO272"/>
      <c r="BP272"/>
      <c r="BQ272"/>
      <c r="BR272"/>
      <c r="BS272" t="s">
        <v>2151</v>
      </c>
      <c r="BT272" t="str">
        <f>HYPERLINK("https%3A%2F%2Fwww.webofscience.com%2Fwos%2Fwoscc%2Ffull-record%2FWOS:000527800600059","View Full Record in Web of Science")</f>
        <v>View Full Record in Web of Science</v>
      </c>
    </row>
    <row r="273" spans="1:75" customHeight="1" ht="12.75">
      <c r="A273" t="s">
        <v>147</v>
      </c>
      <c r="B273" t="s">
        <v>2152</v>
      </c>
      <c r="C273"/>
      <c r="D273"/>
      <c r="E273" t="s">
        <v>175</v>
      </c>
      <c r="F273" t="s">
        <v>2153</v>
      </c>
      <c r="G273"/>
      <c r="H273"/>
      <c r="I273" t="s">
        <v>2154</v>
      </c>
      <c r="J273" t="s">
        <v>2155</v>
      </c>
      <c r="K273" t="s">
        <v>179</v>
      </c>
      <c r="L273"/>
      <c r="M273"/>
      <c r="N273"/>
      <c r="O273" t="s">
        <v>2156</v>
      </c>
      <c r="P273" t="s">
        <v>2157</v>
      </c>
      <c r="Q273" t="s">
        <v>2158</v>
      </c>
      <c r="R273" t="s">
        <v>2159</v>
      </c>
      <c r="S273" t="s">
        <v>2160</v>
      </c>
      <c r="T273"/>
      <c r="U273"/>
      <c r="V273"/>
      <c r="W273"/>
      <c r="X273"/>
      <c r="Y273"/>
      <c r="Z273"/>
      <c r="AA273" t="s">
        <v>562</v>
      </c>
      <c r="AB273" t="s">
        <v>563</v>
      </c>
      <c r="AC273"/>
      <c r="AD273"/>
      <c r="AE273"/>
      <c r="AF273"/>
      <c r="AG273"/>
      <c r="AH273"/>
      <c r="AI273"/>
      <c r="AJ273"/>
      <c r="AK273"/>
      <c r="AL273"/>
      <c r="AM273"/>
      <c r="AN273"/>
      <c r="AO273" t="s">
        <v>187</v>
      </c>
      <c r="AP273" t="s">
        <v>188</v>
      </c>
      <c r="AQ273"/>
      <c r="AR273"/>
      <c r="AS273"/>
      <c r="AT273"/>
      <c r="AU273">
        <v>2017</v>
      </c>
      <c r="AV273">
        <v>891</v>
      </c>
      <c r="AW273"/>
      <c r="AX273"/>
      <c r="AY273"/>
      <c r="AZ273"/>
      <c r="BA273"/>
      <c r="BB273"/>
      <c r="BC273"/>
      <c r="BD273">
        <v>12226</v>
      </c>
      <c r="BE273" t="s">
        <v>2161</v>
      </c>
      <c r="BF273" t="str">
        <f>HYPERLINK("http://dx.doi.org/10.1088/1742-6596/891/1/012226","http://dx.doi.org/10.1088/1742-6596/891/1/012226")</f>
        <v>http://dx.doi.org/10.1088/1742-6596/891/1/012226</v>
      </c>
      <c r="BG273"/>
      <c r="BH273"/>
      <c r="BI273"/>
      <c r="BJ273"/>
      <c r="BK273"/>
      <c r="BL273"/>
      <c r="BM273"/>
      <c r="BN273"/>
      <c r="BO273"/>
      <c r="BP273"/>
      <c r="BQ273"/>
      <c r="BR273"/>
      <c r="BS273" t="s">
        <v>2162</v>
      </c>
      <c r="BT273" t="str">
        <f>HYPERLINK("https%3A%2F%2Fwww.webofscience.com%2Fwos%2Fwoscc%2Ffull-record%2FWOS:000424078500226","View Full Record in Web of Science")</f>
        <v>View Full Record in Web of Science</v>
      </c>
    </row>
    <row r="274" spans="1:75" customHeight="1" ht="12.75">
      <c r="A274" t="s">
        <v>147</v>
      </c>
      <c r="B274" t="s">
        <v>2163</v>
      </c>
      <c r="C274"/>
      <c r="D274" t="s">
        <v>233</v>
      </c>
      <c r="E274"/>
      <c r="F274" t="s">
        <v>2164</v>
      </c>
      <c r="G274"/>
      <c r="H274"/>
      <c r="I274" t="s">
        <v>2165</v>
      </c>
      <c r="J274" t="s">
        <v>444</v>
      </c>
      <c r="K274" t="s">
        <v>445</v>
      </c>
      <c r="L274"/>
      <c r="M274"/>
      <c r="N274"/>
      <c r="O274" t="s">
        <v>446</v>
      </c>
      <c r="P274" t="s">
        <v>447</v>
      </c>
      <c r="Q274" t="s">
        <v>448</v>
      </c>
      <c r="R274"/>
      <c r="S274"/>
      <c r="T274"/>
      <c r="U274"/>
      <c r="V274"/>
      <c r="W274"/>
      <c r="X274"/>
      <c r="Y274"/>
      <c r="Z274"/>
      <c r="AA274" t="s">
        <v>2166</v>
      </c>
      <c r="AB274" t="s">
        <v>2167</v>
      </c>
      <c r="AC274"/>
      <c r="AD274"/>
      <c r="AE274"/>
      <c r="AF274"/>
      <c r="AG274"/>
      <c r="AH274"/>
      <c r="AI274"/>
      <c r="AJ274"/>
      <c r="AK274"/>
      <c r="AL274"/>
      <c r="AM274"/>
      <c r="AN274"/>
      <c r="AO274" t="s">
        <v>450</v>
      </c>
      <c r="AP274"/>
      <c r="AQ274" t="s">
        <v>451</v>
      </c>
      <c r="AR274"/>
      <c r="AS274"/>
      <c r="AT274"/>
      <c r="AU274">
        <v>2017</v>
      </c>
      <c r="AV274"/>
      <c r="AW274"/>
      <c r="AX274"/>
      <c r="AY274"/>
      <c r="AZ274"/>
      <c r="BA274"/>
      <c r="BB274">
        <v>3</v>
      </c>
      <c r="BC274">
        <v>8</v>
      </c>
      <c r="BD274"/>
      <c r="BE274" t="s">
        <v>2168</v>
      </c>
      <c r="BF274" t="str">
        <f>HYPERLINK("http://dx.doi.org/10.1007/978-3-319-60696-5_1","http://dx.doi.org/10.1007/978-3-319-60696-5_1")</f>
        <v>http://dx.doi.org/10.1007/978-3-319-60696-5_1</v>
      </c>
      <c r="BG274"/>
      <c r="BH274"/>
      <c r="BI274"/>
      <c r="BJ274"/>
      <c r="BK274"/>
      <c r="BL274"/>
      <c r="BM274"/>
      <c r="BN274"/>
      <c r="BO274"/>
      <c r="BP274"/>
      <c r="BQ274"/>
      <c r="BR274"/>
      <c r="BS274" t="s">
        <v>2169</v>
      </c>
      <c r="BT274" t="str">
        <f>HYPERLINK("https%3A%2F%2Fwww.webofscience.com%2Fwos%2Fwoscc%2Ffull-record%2FWOS:000426114200001","View Full Record in Web of Science")</f>
        <v>View Full Record in Web of Science</v>
      </c>
    </row>
    <row r="275" spans="1:75" customHeight="1" ht="12.75">
      <c r="A275" t="s">
        <v>147</v>
      </c>
      <c r="B275" t="s">
        <v>2170</v>
      </c>
      <c r="C275"/>
      <c r="D275" t="s">
        <v>739</v>
      </c>
      <c r="E275"/>
      <c r="F275" t="s">
        <v>2171</v>
      </c>
      <c r="G275"/>
      <c r="H275"/>
      <c r="I275" t="s">
        <v>2172</v>
      </c>
      <c r="J275" t="s">
        <v>742</v>
      </c>
      <c r="K275" t="s">
        <v>743</v>
      </c>
      <c r="L275"/>
      <c r="M275"/>
      <c r="N275"/>
      <c r="O275" t="s">
        <v>744</v>
      </c>
      <c r="P275" t="s">
        <v>745</v>
      </c>
      <c r="Q275" t="s">
        <v>746</v>
      </c>
      <c r="R275" t="s">
        <v>747</v>
      </c>
      <c r="S275"/>
      <c r="T275"/>
      <c r="U275"/>
      <c r="V275"/>
      <c r="W275"/>
      <c r="X275"/>
      <c r="Y275"/>
      <c r="Z275"/>
      <c r="AA275" t="s">
        <v>2173</v>
      </c>
      <c r="AB275" t="s">
        <v>2174</v>
      </c>
      <c r="AC275"/>
      <c r="AD275"/>
      <c r="AE275"/>
      <c r="AF275"/>
      <c r="AG275"/>
      <c r="AH275"/>
      <c r="AI275"/>
      <c r="AJ275"/>
      <c r="AK275"/>
      <c r="AL275"/>
      <c r="AM275"/>
      <c r="AN275"/>
      <c r="AO275" t="s">
        <v>748</v>
      </c>
      <c r="AP275"/>
      <c r="AQ275" t="s">
        <v>749</v>
      </c>
      <c r="AR275"/>
      <c r="AS275"/>
      <c r="AT275"/>
      <c r="AU275">
        <v>2016</v>
      </c>
      <c r="AV275"/>
      <c r="AW275"/>
      <c r="AX275"/>
      <c r="AY275"/>
      <c r="AZ275"/>
      <c r="BA275"/>
      <c r="BB275"/>
      <c r="BC275"/>
      <c r="BD275"/>
      <c r="BE275"/>
      <c r="BF275"/>
      <c r="BG275"/>
      <c r="BH275"/>
      <c r="BI275"/>
      <c r="BJ275"/>
      <c r="BK275"/>
      <c r="BL275"/>
      <c r="BM275"/>
      <c r="BN275"/>
      <c r="BO275"/>
      <c r="BP275"/>
      <c r="BQ275"/>
      <c r="BR275"/>
      <c r="BS275" t="s">
        <v>2175</v>
      </c>
      <c r="BT275" t="str">
        <f>HYPERLINK("https%3A%2F%2Fwww.webofscience.com%2Fwos%2Fwoscc%2Ffull-record%2FWOS:000383090900086","View Full Record in Web of Science")</f>
        <v>View Full Record in Web of Science</v>
      </c>
    </row>
    <row r="276" spans="1:75" customHeight="1" ht="12.75">
      <c r="A276" t="s">
        <v>72</v>
      </c>
      <c r="B276" t="s">
        <v>2176</v>
      </c>
      <c r="C276"/>
      <c r="D276"/>
      <c r="E276"/>
      <c r="F276" t="s">
        <v>2177</v>
      </c>
      <c r="G276"/>
      <c r="H276"/>
      <c r="I276" t="s">
        <v>2178</v>
      </c>
      <c r="J276" t="s">
        <v>793</v>
      </c>
      <c r="K276"/>
      <c r="L276"/>
      <c r="M276"/>
      <c r="N276"/>
      <c r="O276"/>
      <c r="P276"/>
      <c r="Q276"/>
      <c r="R276"/>
      <c r="S276"/>
      <c r="T276"/>
      <c r="U276"/>
      <c r="V276"/>
      <c r="W276"/>
      <c r="X276"/>
      <c r="Y276"/>
      <c r="Z276"/>
      <c r="AA276"/>
      <c r="AB276" t="s">
        <v>2179</v>
      </c>
      <c r="AC276"/>
      <c r="AD276"/>
      <c r="AE276"/>
      <c r="AF276"/>
      <c r="AG276"/>
      <c r="AH276"/>
      <c r="AI276"/>
      <c r="AJ276"/>
      <c r="AK276"/>
      <c r="AL276"/>
      <c r="AM276"/>
      <c r="AN276"/>
      <c r="AO276" t="s">
        <v>795</v>
      </c>
      <c r="AP276" t="s">
        <v>796</v>
      </c>
      <c r="AQ276"/>
      <c r="AR276"/>
      <c r="AS276"/>
      <c r="AT276" t="s">
        <v>830</v>
      </c>
      <c r="AU276">
        <v>2015</v>
      </c>
      <c r="AV276">
        <v>8</v>
      </c>
      <c r="AW276">
        <v>5</v>
      </c>
      <c r="AX276"/>
      <c r="AY276"/>
      <c r="AZ276"/>
      <c r="BA276"/>
      <c r="BB276">
        <v>550</v>
      </c>
      <c r="BC276">
        <v>559</v>
      </c>
      <c r="BD276"/>
      <c r="BE276" t="s">
        <v>2180</v>
      </c>
      <c r="BF276" t="str">
        <f>HYPERLINK("http://dx.doi.org/10.1134/S199542551505011X","http://dx.doi.org/10.1134/S199542551505011X")</f>
        <v>http://dx.doi.org/10.1134/S199542551505011X</v>
      </c>
      <c r="BG276"/>
      <c r="BH276"/>
      <c r="BI276"/>
      <c r="BJ276"/>
      <c r="BK276"/>
      <c r="BL276"/>
      <c r="BM276"/>
      <c r="BN276"/>
      <c r="BO276"/>
      <c r="BP276"/>
      <c r="BQ276"/>
      <c r="BR276"/>
      <c r="BS276" t="s">
        <v>2181</v>
      </c>
      <c r="BT276" t="str">
        <f>HYPERLINK("https%3A%2F%2Fwww.webofscience.com%2Fwos%2Fwoscc%2Ffull-record%2FWOS:000363241200002","View Full Record in Web of Science")</f>
        <v>View Full Record in Web of Science</v>
      </c>
    </row>
    <row r="277" spans="1:75" customHeight="1" ht="12.75">
      <c r="A277" t="s">
        <v>72</v>
      </c>
      <c r="B277" t="s">
        <v>1294</v>
      </c>
      <c r="C277"/>
      <c r="D277"/>
      <c r="E277"/>
      <c r="F277" t="s">
        <v>1296</v>
      </c>
      <c r="G277"/>
      <c r="H277"/>
      <c r="I277" t="s">
        <v>2182</v>
      </c>
      <c r="J277" t="s">
        <v>2183</v>
      </c>
      <c r="K277"/>
      <c r="L277"/>
      <c r="M277"/>
      <c r="N277"/>
      <c r="O277"/>
      <c r="P277"/>
      <c r="Q277"/>
      <c r="R277"/>
      <c r="S277"/>
      <c r="T277"/>
      <c r="U277"/>
      <c r="V277"/>
      <c r="W277"/>
      <c r="X277"/>
      <c r="Y277"/>
      <c r="Z277"/>
      <c r="AA277"/>
      <c r="AB277"/>
      <c r="AC277"/>
      <c r="AD277"/>
      <c r="AE277"/>
      <c r="AF277"/>
      <c r="AG277"/>
      <c r="AH277"/>
      <c r="AI277"/>
      <c r="AJ277"/>
      <c r="AK277"/>
      <c r="AL277"/>
      <c r="AM277"/>
      <c r="AN277"/>
      <c r="AO277" t="s">
        <v>2184</v>
      </c>
      <c r="AP277"/>
      <c r="AQ277"/>
      <c r="AR277"/>
      <c r="AS277"/>
      <c r="AT277" t="s">
        <v>198</v>
      </c>
      <c r="AU277">
        <v>2015</v>
      </c>
      <c r="AV277">
        <v>16</v>
      </c>
      <c r="AW277"/>
      <c r="AX277"/>
      <c r="AY277"/>
      <c r="AZ277"/>
      <c r="BA277"/>
      <c r="BB277">
        <v>775</v>
      </c>
      <c r="BC277">
        <v>785</v>
      </c>
      <c r="BD277"/>
      <c r="BE277"/>
      <c r="BF277"/>
      <c r="BG277"/>
      <c r="BH277"/>
      <c r="BI277"/>
      <c r="BJ277"/>
      <c r="BK277"/>
      <c r="BL277"/>
      <c r="BM277"/>
      <c r="BN277"/>
      <c r="BO277"/>
      <c r="BP277"/>
      <c r="BQ277"/>
      <c r="BR277"/>
      <c r="BS277" t="s">
        <v>2185</v>
      </c>
      <c r="BT277" t="str">
        <f>HYPERLINK("https%3A%2F%2Fwww.webofscience.com%2Fwos%2Fwoscc%2Ffull-record%2FWOS:000369886300005","View Full Record in Web of Science")</f>
        <v>View Full Record in Web of Science</v>
      </c>
    </row>
    <row r="278" spans="1:75" customHeight="1" ht="12.75">
      <c r="A278" t="s">
        <v>72</v>
      </c>
      <c r="B278" t="s">
        <v>751</v>
      </c>
      <c r="C278"/>
      <c r="D278"/>
      <c r="E278"/>
      <c r="F278" t="s">
        <v>752</v>
      </c>
      <c r="G278"/>
      <c r="H278"/>
      <c r="I278" t="s">
        <v>2186</v>
      </c>
      <c r="J278" t="s">
        <v>244</v>
      </c>
      <c r="K278"/>
      <c r="L278"/>
      <c r="M278"/>
      <c r="N278"/>
      <c r="O278"/>
      <c r="P278"/>
      <c r="Q278"/>
      <c r="R278"/>
      <c r="S278"/>
      <c r="T278"/>
      <c r="U278"/>
      <c r="V278"/>
      <c r="W278"/>
      <c r="X278"/>
      <c r="Y278"/>
      <c r="Z278"/>
      <c r="AA278" t="s">
        <v>754</v>
      </c>
      <c r="AB278"/>
      <c r="AC278"/>
      <c r="AD278"/>
      <c r="AE278"/>
      <c r="AF278"/>
      <c r="AG278"/>
      <c r="AH278"/>
      <c r="AI278"/>
      <c r="AJ278"/>
      <c r="AK278"/>
      <c r="AL278"/>
      <c r="AM278"/>
      <c r="AN278"/>
      <c r="AO278" t="s">
        <v>245</v>
      </c>
      <c r="AP278"/>
      <c r="AQ278"/>
      <c r="AR278"/>
      <c r="AS278"/>
      <c r="AT278"/>
      <c r="AU278">
        <v>2012</v>
      </c>
      <c r="AV278"/>
      <c r="AW278">
        <v>12</v>
      </c>
      <c r="AX278"/>
      <c r="AY278"/>
      <c r="AZ278"/>
      <c r="BA278"/>
      <c r="BB278">
        <v>141</v>
      </c>
      <c r="BC278">
        <v>145</v>
      </c>
      <c r="BD278"/>
      <c r="BE278"/>
      <c r="BF278"/>
      <c r="BG278"/>
      <c r="BH278"/>
      <c r="BI278"/>
      <c r="BJ278"/>
      <c r="BK278"/>
      <c r="BL278"/>
      <c r="BM278"/>
      <c r="BN278"/>
      <c r="BO278"/>
      <c r="BP278"/>
      <c r="BQ278"/>
      <c r="BR278"/>
      <c r="BS278" t="s">
        <v>2187</v>
      </c>
      <c r="BT278" t="str">
        <f>HYPERLINK("https%3A%2F%2Fwww.webofscience.com%2Fwos%2Fwoscc%2Ffull-record%2FWOS:000313402500011","View Full Record in Web of Science")</f>
        <v>View Full Record in Web of Science</v>
      </c>
    </row>
    <row r="279" spans="1:75" customHeight="1" ht="12.75">
      <c r="A279" t="s">
        <v>72</v>
      </c>
      <c r="B279" t="s">
        <v>2188</v>
      </c>
      <c r="C279"/>
      <c r="D279"/>
      <c r="E279"/>
      <c r="F279" t="s">
        <v>2189</v>
      </c>
      <c r="G279"/>
      <c r="H279"/>
      <c r="I279" t="s">
        <v>2190</v>
      </c>
      <c r="J279" t="s">
        <v>244</v>
      </c>
      <c r="K279"/>
      <c r="L279"/>
      <c r="M279"/>
      <c r="N279"/>
      <c r="O279"/>
      <c r="P279"/>
      <c r="Q279"/>
      <c r="R279"/>
      <c r="S279"/>
      <c r="T279"/>
      <c r="U279"/>
      <c r="V279"/>
      <c r="W279"/>
      <c r="X279"/>
      <c r="Y279"/>
      <c r="Z279"/>
      <c r="AA279"/>
      <c r="AB279"/>
      <c r="AC279"/>
      <c r="AD279"/>
      <c r="AE279"/>
      <c r="AF279"/>
      <c r="AG279"/>
      <c r="AH279"/>
      <c r="AI279"/>
      <c r="AJ279"/>
      <c r="AK279"/>
      <c r="AL279"/>
      <c r="AM279"/>
      <c r="AN279"/>
      <c r="AO279" t="s">
        <v>245</v>
      </c>
      <c r="AP279"/>
      <c r="AQ279"/>
      <c r="AR279"/>
      <c r="AS279"/>
      <c r="AT279"/>
      <c r="AU279">
        <v>2007</v>
      </c>
      <c r="AV279"/>
      <c r="AW279">
        <v>9</v>
      </c>
      <c r="AX279"/>
      <c r="AY279"/>
      <c r="AZ279"/>
      <c r="BA279"/>
      <c r="BB279">
        <v>137</v>
      </c>
      <c r="BC279">
        <v>140</v>
      </c>
      <c r="BD279"/>
      <c r="BE279"/>
      <c r="BF279"/>
      <c r="BG279"/>
      <c r="BH279"/>
      <c r="BI279"/>
      <c r="BJ279"/>
      <c r="BK279"/>
      <c r="BL279"/>
      <c r="BM279"/>
      <c r="BN279"/>
      <c r="BO279"/>
      <c r="BP279"/>
      <c r="BQ279"/>
      <c r="BR279"/>
      <c r="BS279" t="s">
        <v>2191</v>
      </c>
      <c r="BT279" t="str">
        <f>HYPERLINK("https%3A%2F%2Fwww.webofscience.com%2Fwos%2Fwoscc%2Ffull-record%2FWOS:000251119000010","View Full Record in Web of Science")</f>
        <v>View Full Record in Web of Science</v>
      </c>
    </row>
    <row r="280" spans="1:75" customHeight="1" ht="12.75">
      <c r="A280" t="s">
        <v>72</v>
      </c>
      <c r="B280" t="s">
        <v>2034</v>
      </c>
      <c r="C280"/>
      <c r="D280"/>
      <c r="E280"/>
      <c r="F280" t="s">
        <v>2034</v>
      </c>
      <c r="G280"/>
      <c r="H280"/>
      <c r="I280" t="s">
        <v>2192</v>
      </c>
      <c r="J280" t="s">
        <v>311</v>
      </c>
      <c r="K280"/>
      <c r="L280"/>
      <c r="M280"/>
      <c r="N280"/>
      <c r="O280"/>
      <c r="P280"/>
      <c r="Q280"/>
      <c r="R280"/>
      <c r="S280"/>
      <c r="T280"/>
      <c r="U280"/>
      <c r="V280"/>
      <c r="W280"/>
      <c r="X280"/>
      <c r="Y280"/>
      <c r="Z280"/>
      <c r="AA280"/>
      <c r="AB280"/>
      <c r="AC280"/>
      <c r="AD280"/>
      <c r="AE280"/>
      <c r="AF280"/>
      <c r="AG280"/>
      <c r="AH280"/>
      <c r="AI280"/>
      <c r="AJ280"/>
      <c r="AK280"/>
      <c r="AL280"/>
      <c r="AM280"/>
      <c r="AN280"/>
      <c r="AO280" t="s">
        <v>312</v>
      </c>
      <c r="AP280"/>
      <c r="AQ280"/>
      <c r="AR280"/>
      <c r="AS280"/>
      <c r="AT280" t="s">
        <v>1012</v>
      </c>
      <c r="AU280">
        <v>2005</v>
      </c>
      <c r="AV280">
        <v>39</v>
      </c>
      <c r="AW280">
        <v>5</v>
      </c>
      <c r="AX280"/>
      <c r="AY280"/>
      <c r="AZ280"/>
      <c r="BA280"/>
      <c r="BB280">
        <v>529</v>
      </c>
      <c r="BC280">
        <v>536</v>
      </c>
      <c r="BD280"/>
      <c r="BE280" t="s">
        <v>2193</v>
      </c>
      <c r="BF280" t="str">
        <f>HYPERLINK("http://dx.doi.org/10.1007/s11236-005-0112-6","http://dx.doi.org/10.1007/s11236-005-0112-6")</f>
        <v>http://dx.doi.org/10.1007/s11236-005-0112-6</v>
      </c>
      <c r="BG280"/>
      <c r="BH280"/>
      <c r="BI280"/>
      <c r="BJ280"/>
      <c r="BK280"/>
      <c r="BL280"/>
      <c r="BM280"/>
      <c r="BN280"/>
      <c r="BO280"/>
      <c r="BP280"/>
      <c r="BQ280"/>
      <c r="BR280"/>
      <c r="BS280" t="s">
        <v>2194</v>
      </c>
      <c r="BT280" t="str">
        <f>HYPERLINK("https%3A%2F%2Fwww.webofscience.com%2Fwos%2Fwoscc%2Ffull-record%2FWOS:000232940300011","View Full Record in Web of Science")</f>
        <v>View Full Record in Web of Science</v>
      </c>
    </row>
    <row r="281" spans="1:75" customHeight="1" ht="12.75">
      <c r="A281" t="s">
        <v>72</v>
      </c>
      <c r="B281" t="s">
        <v>2195</v>
      </c>
      <c r="C281"/>
      <c r="D281"/>
      <c r="E281"/>
      <c r="F281" t="s">
        <v>2195</v>
      </c>
      <c r="G281"/>
      <c r="H281"/>
      <c r="I281" t="s">
        <v>2196</v>
      </c>
      <c r="J281" t="s">
        <v>2197</v>
      </c>
      <c r="K281"/>
      <c r="L281"/>
      <c r="M281"/>
      <c r="N281"/>
      <c r="O281"/>
      <c r="P281"/>
      <c r="Q281"/>
      <c r="R281"/>
      <c r="S281"/>
      <c r="T281"/>
      <c r="U281"/>
      <c r="V281"/>
      <c r="W281"/>
      <c r="X281"/>
      <c r="Y281"/>
      <c r="Z281"/>
      <c r="AA281" t="s">
        <v>2198</v>
      </c>
      <c r="AB281" t="s">
        <v>2199</v>
      </c>
      <c r="AC281"/>
      <c r="AD281"/>
      <c r="AE281"/>
      <c r="AF281"/>
      <c r="AG281"/>
      <c r="AH281"/>
      <c r="AI281"/>
      <c r="AJ281"/>
      <c r="AK281"/>
      <c r="AL281"/>
      <c r="AM281"/>
      <c r="AN281"/>
      <c r="AO281" t="s">
        <v>2200</v>
      </c>
      <c r="AP281"/>
      <c r="AQ281"/>
      <c r="AR281"/>
      <c r="AS281"/>
      <c r="AT281" t="s">
        <v>541</v>
      </c>
      <c r="AU281">
        <v>2003</v>
      </c>
      <c r="AV281">
        <v>45</v>
      </c>
      <c r="AW281">
        <v>1</v>
      </c>
      <c r="AX281"/>
      <c r="AY281"/>
      <c r="AZ281"/>
      <c r="BA281"/>
      <c r="BB281">
        <v>64</v>
      </c>
      <c r="BC281">
        <v>70</v>
      </c>
      <c r="BD281"/>
      <c r="BE281"/>
      <c r="BF281"/>
      <c r="BG281"/>
      <c r="BH281"/>
      <c r="BI281"/>
      <c r="BJ281"/>
      <c r="BK281"/>
      <c r="BL281"/>
      <c r="BM281"/>
      <c r="BN281"/>
      <c r="BO281"/>
      <c r="BP281"/>
      <c r="BQ281"/>
      <c r="BR281"/>
      <c r="BS281" t="s">
        <v>2201</v>
      </c>
      <c r="BT281" t="str">
        <f>HYPERLINK("https%3A%2F%2Fwww.webofscience.com%2Fwos%2Fwoscc%2Ffull-record%2FWOS:000180718300010","View Full Record in Web of Science")</f>
        <v>View Full Record in Web of Science</v>
      </c>
    </row>
    <row r="282" spans="1:75" customHeight="1" ht="12.75">
      <c r="A282" t="s">
        <v>72</v>
      </c>
      <c r="B282" t="s">
        <v>2202</v>
      </c>
      <c r="C282"/>
      <c r="D282"/>
      <c r="E282"/>
      <c r="F282" t="s">
        <v>2202</v>
      </c>
      <c r="G282"/>
      <c r="H282"/>
      <c r="I282" t="s">
        <v>2203</v>
      </c>
      <c r="J282" t="s">
        <v>244</v>
      </c>
      <c r="K282"/>
      <c r="L282"/>
      <c r="M282"/>
      <c r="N282"/>
      <c r="O282"/>
      <c r="P282"/>
      <c r="Q282"/>
      <c r="R282"/>
      <c r="S282"/>
      <c r="T282"/>
      <c r="U282"/>
      <c r="V282"/>
      <c r="W282"/>
      <c r="X282"/>
      <c r="Y282"/>
      <c r="Z282"/>
      <c r="AA282"/>
      <c r="AB282"/>
      <c r="AC282"/>
      <c r="AD282"/>
      <c r="AE282"/>
      <c r="AF282"/>
      <c r="AG282"/>
      <c r="AH282"/>
      <c r="AI282"/>
      <c r="AJ282"/>
      <c r="AK282"/>
      <c r="AL282"/>
      <c r="AM282"/>
      <c r="AN282"/>
      <c r="AO282" t="s">
        <v>245</v>
      </c>
      <c r="AP282"/>
      <c r="AQ282"/>
      <c r="AR282"/>
      <c r="AS282"/>
      <c r="AT282"/>
      <c r="AU282">
        <v>2002</v>
      </c>
      <c r="AV282"/>
      <c r="AW282">
        <v>1</v>
      </c>
      <c r="AX282"/>
      <c r="AY282"/>
      <c r="AZ282"/>
      <c r="BA282"/>
      <c r="BB282">
        <v>107</v>
      </c>
      <c r="BC282">
        <v>115</v>
      </c>
      <c r="BD282"/>
      <c r="BE282"/>
      <c r="BF282"/>
      <c r="BG282"/>
      <c r="BH282"/>
      <c r="BI282"/>
      <c r="BJ282"/>
      <c r="BK282"/>
      <c r="BL282"/>
      <c r="BM282"/>
      <c r="BN282"/>
      <c r="BO282"/>
      <c r="BP282"/>
      <c r="BQ282"/>
      <c r="BR282"/>
      <c r="BS282" t="s">
        <v>2204</v>
      </c>
      <c r="BT282" t="str">
        <f>HYPERLINK("https%3A%2F%2Fwww.webofscience.com%2Fwos%2Fwoscc%2Ffull-record%2FWOS:000173770700008","View Full Record in Web of Science")</f>
        <v>View Full Record in Web of Science</v>
      </c>
    </row>
    <row r="283" spans="1:75" customHeight="1" ht="12.75">
      <c r="A283" t="s">
        <v>72</v>
      </c>
      <c r="B283" t="s">
        <v>2205</v>
      </c>
      <c r="C283"/>
      <c r="D283"/>
      <c r="E283"/>
      <c r="F283" t="s">
        <v>2205</v>
      </c>
      <c r="G283"/>
      <c r="H283"/>
      <c r="I283" t="s">
        <v>2206</v>
      </c>
      <c r="J283" t="s">
        <v>304</v>
      </c>
      <c r="K283"/>
      <c r="L283"/>
      <c r="M283"/>
      <c r="N283"/>
      <c r="O283"/>
      <c r="P283"/>
      <c r="Q283"/>
      <c r="R283"/>
      <c r="S283"/>
      <c r="T283"/>
      <c r="U283"/>
      <c r="V283"/>
      <c r="W283"/>
      <c r="X283"/>
      <c r="Y283"/>
      <c r="Z283"/>
      <c r="AA283"/>
      <c r="AB283"/>
      <c r="AC283"/>
      <c r="AD283"/>
      <c r="AE283"/>
      <c r="AF283"/>
      <c r="AG283"/>
      <c r="AH283"/>
      <c r="AI283"/>
      <c r="AJ283"/>
      <c r="AK283"/>
      <c r="AL283"/>
      <c r="AM283"/>
      <c r="AN283"/>
      <c r="AO283" t="s">
        <v>77</v>
      </c>
      <c r="AP283"/>
      <c r="AQ283"/>
      <c r="AR283"/>
      <c r="AS283"/>
      <c r="AT283"/>
      <c r="AU283">
        <v>1995</v>
      </c>
      <c r="AV283"/>
      <c r="AW283">
        <v>3</v>
      </c>
      <c r="AX283"/>
      <c r="AY283"/>
      <c r="AZ283"/>
      <c r="BA283"/>
      <c r="BB283">
        <v>44</v>
      </c>
      <c r="BC283">
        <v>59</v>
      </c>
      <c r="BD283"/>
      <c r="BE283"/>
      <c r="BF283"/>
      <c r="BG283"/>
      <c r="BH283"/>
      <c r="BI283"/>
      <c r="BJ283"/>
      <c r="BK283"/>
      <c r="BL283"/>
      <c r="BM283"/>
      <c r="BN283"/>
      <c r="BO283"/>
      <c r="BP283"/>
      <c r="BQ283"/>
      <c r="BR283"/>
      <c r="BS283" t="s">
        <v>2207</v>
      </c>
      <c r="BT283" t="str">
        <f>HYPERLINK("https%3A%2F%2Fwww.webofscience.com%2Fwos%2Fwoscc%2Ffull-record%2FWOS:A1995RD36300005","View Full Record in Web of Science")</f>
        <v>View Full Record in Web of Science</v>
      </c>
    </row>
    <row r="284" spans="1:75" customHeight="1" ht="12.75">
      <c r="A284" t="s">
        <v>72</v>
      </c>
      <c r="B284" t="s">
        <v>2208</v>
      </c>
      <c r="C284"/>
      <c r="D284"/>
      <c r="E284"/>
      <c r="F284" t="s">
        <v>2209</v>
      </c>
      <c r="G284"/>
      <c r="H284"/>
      <c r="I284" t="s">
        <v>2210</v>
      </c>
      <c r="J284" t="s">
        <v>2211</v>
      </c>
      <c r="K284"/>
      <c r="L284"/>
      <c r="M284"/>
      <c r="N284"/>
      <c r="O284"/>
      <c r="P284"/>
      <c r="Q284"/>
      <c r="R284"/>
      <c r="S284"/>
      <c r="T284"/>
      <c r="U284"/>
      <c r="V284"/>
      <c r="W284"/>
      <c r="X284"/>
      <c r="Y284"/>
      <c r="Z284"/>
      <c r="AA284" t="s">
        <v>2212</v>
      </c>
      <c r="AB284" t="s">
        <v>2213</v>
      </c>
      <c r="AC284"/>
      <c r="AD284"/>
      <c r="AE284"/>
      <c r="AF284"/>
      <c r="AG284"/>
      <c r="AH284"/>
      <c r="AI284"/>
      <c r="AJ284"/>
      <c r="AK284"/>
      <c r="AL284"/>
      <c r="AM284"/>
      <c r="AN284"/>
      <c r="AO284" t="s">
        <v>2214</v>
      </c>
      <c r="AP284" t="s">
        <v>2215</v>
      </c>
      <c r="AQ284"/>
      <c r="AR284"/>
      <c r="AS284"/>
      <c r="AT284" t="s">
        <v>541</v>
      </c>
      <c r="AU284">
        <v>2023</v>
      </c>
      <c r="AV284">
        <v>70</v>
      </c>
      <c r="AW284">
        <v>1</v>
      </c>
      <c r="AX284"/>
      <c r="AY284"/>
      <c r="AZ284"/>
      <c r="BA284"/>
      <c r="BB284">
        <v>55</v>
      </c>
      <c r="BC284">
        <v>62</v>
      </c>
      <c r="BD284"/>
      <c r="BE284" t="s">
        <v>2216</v>
      </c>
      <c r="BF284" t="str">
        <f>HYPERLINK("http://dx.doi.org/10.1134/S0040601523010044","http://dx.doi.org/10.1134/S0040601523010044")</f>
        <v>http://dx.doi.org/10.1134/S0040601523010044</v>
      </c>
      <c r="BG284"/>
      <c r="BH284"/>
      <c r="BI284"/>
      <c r="BJ284"/>
      <c r="BK284"/>
      <c r="BL284"/>
      <c r="BM284"/>
      <c r="BN284"/>
      <c r="BO284"/>
      <c r="BP284"/>
      <c r="BQ284"/>
      <c r="BR284"/>
      <c r="BS284" t="s">
        <v>2217</v>
      </c>
      <c r="BT284" t="str">
        <f>HYPERLINK("https%3A%2F%2Fwww.webofscience.com%2Fwos%2Fwoscc%2Ffull-record%2FWOS:000949710000007","View Full Record in Web of Science")</f>
        <v>View Full Record in Web of Science</v>
      </c>
    </row>
    <row r="285" spans="1:75" customHeight="1" ht="12.75">
      <c r="A285" t="s">
        <v>72</v>
      </c>
      <c r="B285" t="s">
        <v>2218</v>
      </c>
      <c r="C285"/>
      <c r="D285"/>
      <c r="E285"/>
      <c r="F285" t="s">
        <v>2219</v>
      </c>
      <c r="G285"/>
      <c r="H285"/>
      <c r="I285" t="s">
        <v>2220</v>
      </c>
      <c r="J285" t="s">
        <v>2221</v>
      </c>
      <c r="K285"/>
      <c r="L285"/>
      <c r="M285"/>
      <c r="N285"/>
      <c r="O285"/>
      <c r="P285"/>
      <c r="Q285"/>
      <c r="R285"/>
      <c r="S285"/>
      <c r="T285"/>
      <c r="U285"/>
      <c r="V285"/>
      <c r="W285"/>
      <c r="X285"/>
      <c r="Y285"/>
      <c r="Z285"/>
      <c r="AA285"/>
      <c r="AB285"/>
      <c r="AC285"/>
      <c r="AD285"/>
      <c r="AE285"/>
      <c r="AF285"/>
      <c r="AG285"/>
      <c r="AH285"/>
      <c r="AI285"/>
      <c r="AJ285"/>
      <c r="AK285"/>
      <c r="AL285"/>
      <c r="AM285"/>
      <c r="AN285"/>
      <c r="AO285" t="s">
        <v>2222</v>
      </c>
      <c r="AP285"/>
      <c r="AQ285"/>
      <c r="AR285"/>
      <c r="AS285"/>
      <c r="AT285"/>
      <c r="AU285">
        <v>2023</v>
      </c>
      <c r="AV285"/>
      <c r="AW285">
        <v>75</v>
      </c>
      <c r="AX285"/>
      <c r="AY285"/>
      <c r="AZ285"/>
      <c r="BA285"/>
      <c r="BB285">
        <v>50</v>
      </c>
      <c r="BC285">
        <v>74</v>
      </c>
      <c r="BD285"/>
      <c r="BE285" t="s">
        <v>2223</v>
      </c>
      <c r="BF285" t="str">
        <f>HYPERLINK("http://dx.doi.org/10.54770/20729286_2023_1_50","http://dx.doi.org/10.54770/20729286_2023_1_50")</f>
        <v>http://dx.doi.org/10.54770/20729286_2023_1_50</v>
      </c>
      <c r="BG285"/>
      <c r="BH285"/>
      <c r="BI285"/>
      <c r="BJ285"/>
      <c r="BK285"/>
      <c r="BL285"/>
      <c r="BM285"/>
      <c r="BN285"/>
      <c r="BO285"/>
      <c r="BP285"/>
      <c r="BQ285"/>
      <c r="BR285"/>
      <c r="BS285" t="s">
        <v>2224</v>
      </c>
      <c r="BT285" t="str">
        <f>HYPERLINK("https%3A%2F%2Fwww.webofscience.com%2Fwos%2Fwoscc%2Ffull-record%2FWOS:000971558700003","View Full Record in Web of Science")</f>
        <v>View Full Record in Web of Science</v>
      </c>
    </row>
    <row r="286" spans="1:75" customHeight="1" ht="12.75">
      <c r="A286" t="s">
        <v>72</v>
      </c>
      <c r="B286" t="s">
        <v>2225</v>
      </c>
      <c r="C286"/>
      <c r="D286"/>
      <c r="E286"/>
      <c r="F286" t="s">
        <v>2226</v>
      </c>
      <c r="G286"/>
      <c r="H286"/>
      <c r="I286" t="s">
        <v>2227</v>
      </c>
      <c r="J286" t="s">
        <v>95</v>
      </c>
      <c r="K286"/>
      <c r="L286"/>
      <c r="M286"/>
      <c r="N286"/>
      <c r="O286"/>
      <c r="P286"/>
      <c r="Q286"/>
      <c r="R286"/>
      <c r="S286"/>
      <c r="T286"/>
      <c r="U286"/>
      <c r="V286"/>
      <c r="W286"/>
      <c r="X286"/>
      <c r="Y286"/>
      <c r="Z286"/>
      <c r="AA286"/>
      <c r="AB286" t="s">
        <v>2228</v>
      </c>
      <c r="AC286"/>
      <c r="AD286"/>
      <c r="AE286"/>
      <c r="AF286"/>
      <c r="AG286"/>
      <c r="AH286"/>
      <c r="AI286"/>
      <c r="AJ286"/>
      <c r="AK286"/>
      <c r="AL286"/>
      <c r="AM286"/>
      <c r="AN286"/>
      <c r="AO286" t="s">
        <v>98</v>
      </c>
      <c r="AP286" t="s">
        <v>99</v>
      </c>
      <c r="AQ286"/>
      <c r="AR286"/>
      <c r="AS286"/>
      <c r="AT286"/>
      <c r="AU286">
        <v>2022</v>
      </c>
      <c r="AV286"/>
      <c r="AW286">
        <v>3</v>
      </c>
      <c r="AX286"/>
      <c r="AY286"/>
      <c r="AZ286"/>
      <c r="BA286"/>
      <c r="BB286">
        <v>34</v>
      </c>
      <c r="BC286">
        <v>40</v>
      </c>
      <c r="BD286"/>
      <c r="BE286" t="s">
        <v>2229</v>
      </c>
      <c r="BF286" t="str">
        <f>HYPERLINK("http://dx.doi.org/10.25750/1995-4301-2022-3-034-040","http://dx.doi.org/10.25750/1995-4301-2022-3-034-040")</f>
        <v>http://dx.doi.org/10.25750/1995-4301-2022-3-034-040</v>
      </c>
      <c r="BG286"/>
      <c r="BH286"/>
      <c r="BI286"/>
      <c r="BJ286"/>
      <c r="BK286"/>
      <c r="BL286"/>
      <c r="BM286"/>
      <c r="BN286"/>
      <c r="BO286"/>
      <c r="BP286"/>
      <c r="BQ286"/>
      <c r="BR286"/>
      <c r="BS286" t="s">
        <v>2230</v>
      </c>
      <c r="BT286" t="str">
        <f>HYPERLINK("https%3A%2F%2Fwww.webofscience.com%2Fwos%2Fwoscc%2Ffull-record%2FWOS:000885393200004","View Full Record in Web of Science")</f>
        <v>View Full Record in Web of Science</v>
      </c>
    </row>
    <row r="287" spans="1:75" customHeight="1" ht="12.75">
      <c r="A287" t="s">
        <v>72</v>
      </c>
      <c r="B287" t="s">
        <v>503</v>
      </c>
      <c r="C287"/>
      <c r="D287"/>
      <c r="E287"/>
      <c r="F287" t="s">
        <v>2231</v>
      </c>
      <c r="G287"/>
      <c r="H287"/>
      <c r="I287" t="s">
        <v>2232</v>
      </c>
      <c r="J287" t="s">
        <v>2233</v>
      </c>
      <c r="K287"/>
      <c r="L287"/>
      <c r="M287"/>
      <c r="N287"/>
      <c r="O287"/>
      <c r="P287"/>
      <c r="Q287"/>
      <c r="R287"/>
      <c r="S287"/>
      <c r="T287"/>
      <c r="U287"/>
      <c r="V287"/>
      <c r="W287"/>
      <c r="X287"/>
      <c r="Y287"/>
      <c r="Z287"/>
      <c r="AA287" t="s">
        <v>507</v>
      </c>
      <c r="AB287" t="s">
        <v>508</v>
      </c>
      <c r="AC287"/>
      <c r="AD287"/>
      <c r="AE287"/>
      <c r="AF287"/>
      <c r="AG287"/>
      <c r="AH287"/>
      <c r="AI287"/>
      <c r="AJ287"/>
      <c r="AK287"/>
      <c r="AL287"/>
      <c r="AM287"/>
      <c r="AN287"/>
      <c r="AO287" t="s">
        <v>2234</v>
      </c>
      <c r="AP287" t="s">
        <v>2235</v>
      </c>
      <c r="AQ287"/>
      <c r="AR287"/>
      <c r="AS287"/>
      <c r="AT287"/>
      <c r="AU287">
        <v>2022</v>
      </c>
      <c r="AV287">
        <v>16</v>
      </c>
      <c r="AW287">
        <v>2</v>
      </c>
      <c r="AX287"/>
      <c r="AY287"/>
      <c r="AZ287"/>
      <c r="BA287"/>
      <c r="BB287">
        <v>257</v>
      </c>
      <c r="BC287">
        <v>267</v>
      </c>
      <c r="BD287"/>
      <c r="BE287" t="s">
        <v>2236</v>
      </c>
      <c r="BF287" t="str">
        <f>HYPERLINK("http://dx.doi.org/10.17150/2500-4255.2022.16(2).257-267","http://dx.doi.org/10.17150/2500-4255.2022.16(2).257-267")</f>
        <v>http://dx.doi.org/10.17150/2500-4255.2022.16(2).257-267</v>
      </c>
      <c r="BG287"/>
      <c r="BH287"/>
      <c r="BI287"/>
      <c r="BJ287"/>
      <c r="BK287"/>
      <c r="BL287"/>
      <c r="BM287"/>
      <c r="BN287"/>
      <c r="BO287"/>
      <c r="BP287"/>
      <c r="BQ287"/>
      <c r="BR287"/>
      <c r="BS287" t="s">
        <v>2237</v>
      </c>
      <c r="BT287" t="str">
        <f>HYPERLINK("https%3A%2F%2Fwww.webofscience.com%2Fwos%2Fwoscc%2Ffull-record%2FWOS:000805759500011","View Full Record in Web of Science")</f>
        <v>View Full Record in Web of Science</v>
      </c>
    </row>
    <row r="288" spans="1:75" customHeight="1" ht="12.75">
      <c r="A288" t="s">
        <v>72</v>
      </c>
      <c r="B288" t="s">
        <v>102</v>
      </c>
      <c r="C288"/>
      <c r="D288"/>
      <c r="E288"/>
      <c r="F288" t="s">
        <v>2238</v>
      </c>
      <c r="G288"/>
      <c r="H288"/>
      <c r="I288" t="s">
        <v>2239</v>
      </c>
      <c r="J288" t="s">
        <v>2240</v>
      </c>
      <c r="K288"/>
      <c r="L288"/>
      <c r="M288"/>
      <c r="N288"/>
      <c r="O288"/>
      <c r="P288"/>
      <c r="Q288"/>
      <c r="R288"/>
      <c r="S288"/>
      <c r="T288"/>
      <c r="U288"/>
      <c r="V288"/>
      <c r="W288"/>
      <c r="X288"/>
      <c r="Y288"/>
      <c r="Z288"/>
      <c r="AA288"/>
      <c r="AB288"/>
      <c r="AC288"/>
      <c r="AD288"/>
      <c r="AE288"/>
      <c r="AF288"/>
      <c r="AG288"/>
      <c r="AH288"/>
      <c r="AI288"/>
      <c r="AJ288"/>
      <c r="AK288"/>
      <c r="AL288"/>
      <c r="AM288"/>
      <c r="AN288"/>
      <c r="AO288" t="s">
        <v>2241</v>
      </c>
      <c r="AP288" t="s">
        <v>2242</v>
      </c>
      <c r="AQ288"/>
      <c r="AR288"/>
      <c r="AS288"/>
      <c r="AT288"/>
      <c r="AU288">
        <v>2022</v>
      </c>
      <c r="AV288">
        <v>12</v>
      </c>
      <c r="AW288">
        <v>1</v>
      </c>
      <c r="AX288"/>
      <c r="AY288"/>
      <c r="AZ288"/>
      <c r="BA288"/>
      <c r="BB288">
        <v>109</v>
      </c>
      <c r="BC288">
        <v>126</v>
      </c>
      <c r="BD288"/>
      <c r="BE288" t="s">
        <v>2243</v>
      </c>
      <c r="BF288" t="str">
        <f>HYPERLINK("http://dx.doi.org/10.21638/11701/spbu24.2022.106","http://dx.doi.org/10.21638/11701/spbu24.2022.106")</f>
        <v>http://dx.doi.org/10.21638/11701/spbu24.2022.106</v>
      </c>
      <c r="BG288"/>
      <c r="BH288"/>
      <c r="BI288"/>
      <c r="BJ288"/>
      <c r="BK288"/>
      <c r="BL288"/>
      <c r="BM288"/>
      <c r="BN288"/>
      <c r="BO288"/>
      <c r="BP288"/>
      <c r="BQ288"/>
      <c r="BR288"/>
      <c r="BS288" t="s">
        <v>2244</v>
      </c>
      <c r="BT288" t="str">
        <f>HYPERLINK("https%3A%2F%2Fwww.webofscience.com%2Fwos%2Fwoscc%2Ffull-record%2FWOS:000905283300006","View Full Record in Web of Science")</f>
        <v>View Full Record in Web of Science</v>
      </c>
    </row>
    <row r="289" spans="1:75" customHeight="1" ht="12.75">
      <c r="A289" t="s">
        <v>72</v>
      </c>
      <c r="B289" t="s">
        <v>2245</v>
      </c>
      <c r="C289"/>
      <c r="D289"/>
      <c r="E289"/>
      <c r="F289" t="s">
        <v>2246</v>
      </c>
      <c r="G289"/>
      <c r="H289"/>
      <c r="I289" t="s">
        <v>2247</v>
      </c>
      <c r="J289" t="s">
        <v>244</v>
      </c>
      <c r="K289"/>
      <c r="L289"/>
      <c r="M289"/>
      <c r="N289"/>
      <c r="O289"/>
      <c r="P289"/>
      <c r="Q289"/>
      <c r="R289"/>
      <c r="S289"/>
      <c r="T289"/>
      <c r="U289"/>
      <c r="V289"/>
      <c r="W289"/>
      <c r="X289"/>
      <c r="Y289"/>
      <c r="Z289"/>
      <c r="AA289" t="s">
        <v>344</v>
      </c>
      <c r="AB289" t="s">
        <v>345</v>
      </c>
      <c r="AC289"/>
      <c r="AD289"/>
      <c r="AE289"/>
      <c r="AF289"/>
      <c r="AG289"/>
      <c r="AH289"/>
      <c r="AI289"/>
      <c r="AJ289"/>
      <c r="AK289"/>
      <c r="AL289"/>
      <c r="AM289"/>
      <c r="AN289"/>
      <c r="AO289" t="s">
        <v>245</v>
      </c>
      <c r="AP289" t="s">
        <v>246</v>
      </c>
      <c r="AQ289"/>
      <c r="AR289"/>
      <c r="AS289"/>
      <c r="AT289"/>
      <c r="AU289">
        <v>2020</v>
      </c>
      <c r="AV289"/>
      <c r="AW289">
        <v>5</v>
      </c>
      <c r="AX289"/>
      <c r="AY289"/>
      <c r="AZ289"/>
      <c r="BA289"/>
      <c r="BB289">
        <v>68</v>
      </c>
      <c r="BC289">
        <v>74</v>
      </c>
      <c r="BD289"/>
      <c r="BE289" t="s">
        <v>2248</v>
      </c>
      <c r="BF289" t="str">
        <f>HYPERLINK("http://dx.doi.org/10.31166/VoprosyIstorii202005Statyi06","http://dx.doi.org/10.31166/VoprosyIstorii202005Statyi06")</f>
        <v>http://dx.doi.org/10.31166/VoprosyIstorii202005Statyi06</v>
      </c>
      <c r="BG289"/>
      <c r="BH289"/>
      <c r="BI289"/>
      <c r="BJ289"/>
      <c r="BK289"/>
      <c r="BL289"/>
      <c r="BM289"/>
      <c r="BN289"/>
      <c r="BO289"/>
      <c r="BP289"/>
      <c r="BQ289"/>
      <c r="BR289"/>
      <c r="BS289" t="s">
        <v>2249</v>
      </c>
      <c r="BT289" t="str">
        <f>HYPERLINK("https%3A%2F%2Fwww.webofscience.com%2Fwos%2Fwoscc%2Ffull-record%2FWOS:000657720900006","View Full Record in Web of Science")</f>
        <v>View Full Record in Web of Science</v>
      </c>
    </row>
    <row r="290" spans="1:75" customHeight="1" ht="12.75">
      <c r="A290" t="s">
        <v>72</v>
      </c>
      <c r="B290" t="s">
        <v>2250</v>
      </c>
      <c r="C290"/>
      <c r="D290"/>
      <c r="E290"/>
      <c r="F290" t="s">
        <v>2251</v>
      </c>
      <c r="G290"/>
      <c r="H290"/>
      <c r="I290" t="s">
        <v>2252</v>
      </c>
      <c r="J290" t="s">
        <v>325</v>
      </c>
      <c r="K290"/>
      <c r="L290"/>
      <c r="M290"/>
      <c r="N290"/>
      <c r="O290"/>
      <c r="P290"/>
      <c r="Q290"/>
      <c r="R290"/>
      <c r="S290"/>
      <c r="T290"/>
      <c r="U290"/>
      <c r="V290"/>
      <c r="W290"/>
      <c r="X290"/>
      <c r="Y290"/>
      <c r="Z290"/>
      <c r="AA290"/>
      <c r="AB290"/>
      <c r="AC290"/>
      <c r="AD290"/>
      <c r="AE290"/>
      <c r="AF290"/>
      <c r="AG290"/>
      <c r="AH290"/>
      <c r="AI290"/>
      <c r="AJ290"/>
      <c r="AK290"/>
      <c r="AL290"/>
      <c r="AM290"/>
      <c r="AN290"/>
      <c r="AO290" t="s">
        <v>328</v>
      </c>
      <c r="AP290" t="s">
        <v>329</v>
      </c>
      <c r="AQ290"/>
      <c r="AR290"/>
      <c r="AS290"/>
      <c r="AT290"/>
      <c r="AU290">
        <v>2020</v>
      </c>
      <c r="AV290">
        <v>14</v>
      </c>
      <c r="AW290">
        <v>2</v>
      </c>
      <c r="AX290"/>
      <c r="AY290"/>
      <c r="AZ290"/>
      <c r="BA290"/>
      <c r="BB290">
        <v>543</v>
      </c>
      <c r="BC290">
        <v>558</v>
      </c>
      <c r="BD290"/>
      <c r="BE290" t="s">
        <v>2253</v>
      </c>
      <c r="BF290" t="str">
        <f>HYPERLINK("http://dx.doi.org/10.24874/IJQR14.02-13","http://dx.doi.org/10.24874/IJQR14.02-13")</f>
        <v>http://dx.doi.org/10.24874/IJQR14.02-13</v>
      </c>
      <c r="BG290"/>
      <c r="BH290"/>
      <c r="BI290"/>
      <c r="BJ290"/>
      <c r="BK290"/>
      <c r="BL290"/>
      <c r="BM290"/>
      <c r="BN290"/>
      <c r="BO290"/>
      <c r="BP290"/>
      <c r="BQ290"/>
      <c r="BR290"/>
      <c r="BS290" t="s">
        <v>2254</v>
      </c>
      <c r="BT290" t="str">
        <f>HYPERLINK("https%3A%2F%2Fwww.webofscience.com%2Fwos%2Fwoscc%2Ffull-record%2FWOS:000531047700013","View Full Record in Web of Science")</f>
        <v>View Full Record in Web of Science</v>
      </c>
    </row>
    <row r="291" spans="1:75" customHeight="1" ht="12.75">
      <c r="A291" t="s">
        <v>72</v>
      </c>
      <c r="B291" t="s">
        <v>1984</v>
      </c>
      <c r="C291"/>
      <c r="D291"/>
      <c r="E291"/>
      <c r="F291" t="s">
        <v>1985</v>
      </c>
      <c r="G291"/>
      <c r="H291"/>
      <c r="I291" t="s">
        <v>2255</v>
      </c>
      <c r="J291" t="s">
        <v>716</v>
      </c>
      <c r="K291"/>
      <c r="L291"/>
      <c r="M291"/>
      <c r="N291"/>
      <c r="O291"/>
      <c r="P291"/>
      <c r="Q291"/>
      <c r="R291"/>
      <c r="S291"/>
      <c r="T291"/>
      <c r="U291"/>
      <c r="V291"/>
      <c r="W291"/>
      <c r="X291"/>
      <c r="Y291"/>
      <c r="Z291"/>
      <c r="AA291" t="s">
        <v>1988</v>
      </c>
      <c r="AB291" t="s">
        <v>1989</v>
      </c>
      <c r="AC291"/>
      <c r="AD291"/>
      <c r="AE291"/>
      <c r="AF291"/>
      <c r="AG291"/>
      <c r="AH291"/>
      <c r="AI291"/>
      <c r="AJ291"/>
      <c r="AK291"/>
      <c r="AL291"/>
      <c r="AM291"/>
      <c r="AN291"/>
      <c r="AO291" t="s">
        <v>719</v>
      </c>
      <c r="AP291" t="s">
        <v>720</v>
      </c>
      <c r="AQ291"/>
      <c r="AR291"/>
      <c r="AS291"/>
      <c r="AT291" t="s">
        <v>541</v>
      </c>
      <c r="AU291">
        <v>2020</v>
      </c>
      <c r="AV291"/>
      <c r="AW291">
        <v>450</v>
      </c>
      <c r="AX291"/>
      <c r="AY291"/>
      <c r="AZ291"/>
      <c r="BA291"/>
      <c r="BB291">
        <v>14</v>
      </c>
      <c r="BC291">
        <v>21</v>
      </c>
      <c r="BD291"/>
      <c r="BE291" t="s">
        <v>2256</v>
      </c>
      <c r="BF291" t="str">
        <f>HYPERLINK("http://dx.doi.org/10.17223/15617793/450/2","http://dx.doi.org/10.17223/15617793/450/2")</f>
        <v>http://dx.doi.org/10.17223/15617793/450/2</v>
      </c>
      <c r="BG291"/>
      <c r="BH291"/>
      <c r="BI291"/>
      <c r="BJ291"/>
      <c r="BK291"/>
      <c r="BL291"/>
      <c r="BM291"/>
      <c r="BN291"/>
      <c r="BO291"/>
      <c r="BP291"/>
      <c r="BQ291"/>
      <c r="BR291"/>
      <c r="BS291" t="s">
        <v>2257</v>
      </c>
      <c r="BT291" t="str">
        <f>HYPERLINK("https%3A%2F%2Fwww.webofscience.com%2Fwos%2Fwoscc%2Ffull-record%2FWOS:000513895200002","View Full Record in Web of Science")</f>
        <v>View Full Record in Web of Science</v>
      </c>
    </row>
    <row r="292" spans="1:75" customHeight="1" ht="12.75">
      <c r="A292" t="s">
        <v>72</v>
      </c>
      <c r="B292" t="s">
        <v>110</v>
      </c>
      <c r="C292"/>
      <c r="D292"/>
      <c r="E292"/>
      <c r="F292" t="s">
        <v>2258</v>
      </c>
      <c r="G292"/>
      <c r="H292"/>
      <c r="I292" t="s">
        <v>2259</v>
      </c>
      <c r="J292" t="s">
        <v>434</v>
      </c>
      <c r="K292"/>
      <c r="L292"/>
      <c r="M292"/>
      <c r="N292"/>
      <c r="O292"/>
      <c r="P292"/>
      <c r="Q292"/>
      <c r="R292"/>
      <c r="S292"/>
      <c r="T292"/>
      <c r="U292"/>
      <c r="V292"/>
      <c r="W292"/>
      <c r="X292"/>
      <c r="Y292"/>
      <c r="Z292"/>
      <c r="AA292" t="s">
        <v>677</v>
      </c>
      <c r="AB292" t="s">
        <v>678</v>
      </c>
      <c r="AC292"/>
      <c r="AD292"/>
      <c r="AE292"/>
      <c r="AF292"/>
      <c r="AG292"/>
      <c r="AH292"/>
      <c r="AI292"/>
      <c r="AJ292"/>
      <c r="AK292"/>
      <c r="AL292"/>
      <c r="AM292"/>
      <c r="AN292"/>
      <c r="AO292" t="s">
        <v>437</v>
      </c>
      <c r="AP292" t="s">
        <v>438</v>
      </c>
      <c r="AQ292"/>
      <c r="AR292"/>
      <c r="AS292"/>
      <c r="AT292"/>
      <c r="AU292">
        <v>2020</v>
      </c>
      <c r="AV292">
        <v>13</v>
      </c>
      <c r="AW292">
        <v>1</v>
      </c>
      <c r="AX292"/>
      <c r="AY292"/>
      <c r="AZ292"/>
      <c r="BA292"/>
      <c r="BB292">
        <v>56</v>
      </c>
      <c r="BC292">
        <v>81</v>
      </c>
      <c r="BD292"/>
      <c r="BE292" t="s">
        <v>2260</v>
      </c>
      <c r="BF292" t="str">
        <f>HYPERLINK("http://dx.doi.org/10.24833/2071-8160-2020-1-70-56-81","http://dx.doi.org/10.24833/2071-8160-2020-1-70-56-81")</f>
        <v>http://dx.doi.org/10.24833/2071-8160-2020-1-70-56-81</v>
      </c>
      <c r="BG292"/>
      <c r="BH292"/>
      <c r="BI292"/>
      <c r="BJ292"/>
      <c r="BK292"/>
      <c r="BL292"/>
      <c r="BM292"/>
      <c r="BN292"/>
      <c r="BO292"/>
      <c r="BP292"/>
      <c r="BQ292"/>
      <c r="BR292"/>
      <c r="BS292" t="s">
        <v>2261</v>
      </c>
      <c r="BT292" t="str">
        <f>HYPERLINK("https%3A%2F%2Fwww.webofscience.com%2Fwos%2Fwoscc%2Ffull-record%2FWOS:000518853200004","View Full Record in Web of Science")</f>
        <v>View Full Record in Web of Science</v>
      </c>
    </row>
    <row r="293" spans="1:75" customHeight="1" ht="12.75">
      <c r="A293" t="s">
        <v>72</v>
      </c>
      <c r="B293" t="s">
        <v>2262</v>
      </c>
      <c r="C293"/>
      <c r="D293"/>
      <c r="E293"/>
      <c r="F293" t="s">
        <v>2263</v>
      </c>
      <c r="G293"/>
      <c r="H293"/>
      <c r="I293" t="s">
        <v>2264</v>
      </c>
      <c r="J293" t="s">
        <v>1608</v>
      </c>
      <c r="K293"/>
      <c r="L293"/>
      <c r="M293"/>
      <c r="N293"/>
      <c r="O293"/>
      <c r="P293"/>
      <c r="Q293"/>
      <c r="R293"/>
      <c r="S293"/>
      <c r="T293"/>
      <c r="U293"/>
      <c r="V293"/>
      <c r="W293"/>
      <c r="X293"/>
      <c r="Y293"/>
      <c r="Z293"/>
      <c r="AA293" t="s">
        <v>2265</v>
      </c>
      <c r="AB293"/>
      <c r="AC293"/>
      <c r="AD293"/>
      <c r="AE293"/>
      <c r="AF293"/>
      <c r="AG293"/>
      <c r="AH293"/>
      <c r="AI293"/>
      <c r="AJ293"/>
      <c r="AK293"/>
      <c r="AL293"/>
      <c r="AM293"/>
      <c r="AN293"/>
      <c r="AO293" t="s">
        <v>1611</v>
      </c>
      <c r="AP293" t="s">
        <v>1612</v>
      </c>
      <c r="AQ293"/>
      <c r="AR293"/>
      <c r="AS293"/>
      <c r="AT293"/>
      <c r="AU293">
        <v>2019</v>
      </c>
      <c r="AV293">
        <v>29</v>
      </c>
      <c r="AW293">
        <v>3</v>
      </c>
      <c r="AX293"/>
      <c r="AY293"/>
      <c r="AZ293"/>
      <c r="BA293"/>
      <c r="BB293">
        <v>383</v>
      </c>
      <c r="BC293">
        <v>395</v>
      </c>
      <c r="BD293"/>
      <c r="BE293" t="s">
        <v>2266</v>
      </c>
      <c r="BF293" t="str">
        <f>HYPERLINK("http://dx.doi.org/10.15507/2658-4123.029.201903.383-395","http://dx.doi.org/10.15507/2658-4123.029.201903.383-395")</f>
        <v>http://dx.doi.org/10.15507/2658-4123.029.201903.383-395</v>
      </c>
      <c r="BG293"/>
      <c r="BH293"/>
      <c r="BI293"/>
      <c r="BJ293"/>
      <c r="BK293"/>
      <c r="BL293"/>
      <c r="BM293"/>
      <c r="BN293"/>
      <c r="BO293"/>
      <c r="BP293"/>
      <c r="BQ293"/>
      <c r="BR293"/>
      <c r="BS293" t="s">
        <v>2267</v>
      </c>
      <c r="BT293" t="str">
        <f>HYPERLINK("https%3A%2F%2Fwww.webofscience.com%2Fwos%2Fwoscc%2Ffull-record%2FWOS:000487855400004","View Full Record in Web of Science")</f>
        <v>View Full Record in Web of Science</v>
      </c>
    </row>
    <row r="294" spans="1:75" customHeight="1" ht="12.75">
      <c r="A294" t="s">
        <v>72</v>
      </c>
      <c r="B294" t="s">
        <v>2268</v>
      </c>
      <c r="C294"/>
      <c r="D294"/>
      <c r="E294"/>
      <c r="F294" t="s">
        <v>2269</v>
      </c>
      <c r="G294"/>
      <c r="H294"/>
      <c r="I294" t="s">
        <v>2270</v>
      </c>
      <c r="J294" t="s">
        <v>141</v>
      </c>
      <c r="K294"/>
      <c r="L294"/>
      <c r="M294"/>
      <c r="N294"/>
      <c r="O294"/>
      <c r="P294"/>
      <c r="Q294"/>
      <c r="R294"/>
      <c r="S294"/>
      <c r="T294"/>
      <c r="U294"/>
      <c r="V294"/>
      <c r="W294"/>
      <c r="X294"/>
      <c r="Y294"/>
      <c r="Z294"/>
      <c r="AA294" t="s">
        <v>2271</v>
      </c>
      <c r="AB294" t="s">
        <v>2272</v>
      </c>
      <c r="AC294"/>
      <c r="AD294"/>
      <c r="AE294"/>
      <c r="AF294"/>
      <c r="AG294"/>
      <c r="AH294"/>
      <c r="AI294"/>
      <c r="AJ294"/>
      <c r="AK294"/>
      <c r="AL294"/>
      <c r="AM294"/>
      <c r="AN294"/>
      <c r="AO294" t="s">
        <v>144</v>
      </c>
      <c r="AP294"/>
      <c r="AQ294"/>
      <c r="AR294"/>
      <c r="AS294"/>
      <c r="AT294"/>
      <c r="AU294">
        <v>2018</v>
      </c>
      <c r="AV294"/>
      <c r="AW294">
        <v>2</v>
      </c>
      <c r="AX294"/>
      <c r="AY294"/>
      <c r="AZ294"/>
      <c r="BA294"/>
      <c r="BB294">
        <v>85</v>
      </c>
      <c r="BC294">
        <v>99</v>
      </c>
      <c r="BD294"/>
      <c r="BE294" t="s">
        <v>2273</v>
      </c>
      <c r="BF294" t="str">
        <f>HYPERLINK("http://dx.doi.org/10.5281/zenodo.1343404","http://dx.doi.org/10.5281/zenodo.1343404")</f>
        <v>http://dx.doi.org/10.5281/zenodo.1343404</v>
      </c>
      <c r="BG294"/>
      <c r="BH294"/>
      <c r="BI294"/>
      <c r="BJ294"/>
      <c r="BK294"/>
      <c r="BL294"/>
      <c r="BM294"/>
      <c r="BN294"/>
      <c r="BO294"/>
      <c r="BP294"/>
      <c r="BQ294"/>
      <c r="BR294"/>
      <c r="BS294" t="s">
        <v>2274</v>
      </c>
      <c r="BT294" t="str">
        <f>HYPERLINK("https%3A%2F%2Fwww.webofscience.com%2Fwos%2Fwoscc%2Ffull-record%2FWOS:000441795300009","View Full Record in Web of Science")</f>
        <v>View Full Record in Web of Science</v>
      </c>
    </row>
    <row r="295" spans="1:75" customHeight="1" ht="12.75">
      <c r="A295" t="s">
        <v>147</v>
      </c>
      <c r="B295" t="s">
        <v>2275</v>
      </c>
      <c r="C295"/>
      <c r="D295"/>
      <c r="E295" t="s">
        <v>175</v>
      </c>
      <c r="F295" t="s">
        <v>2276</v>
      </c>
      <c r="G295"/>
      <c r="H295"/>
      <c r="I295" t="s">
        <v>2277</v>
      </c>
      <c r="J295" t="s">
        <v>2278</v>
      </c>
      <c r="K295" t="s">
        <v>179</v>
      </c>
      <c r="L295"/>
      <c r="M295"/>
      <c r="N295"/>
      <c r="O295" t="s">
        <v>2279</v>
      </c>
      <c r="P295" t="s">
        <v>2280</v>
      </c>
      <c r="Q295" t="s">
        <v>2281</v>
      </c>
      <c r="R295" t="s">
        <v>257</v>
      </c>
      <c r="S295" t="s">
        <v>2282</v>
      </c>
      <c r="T295"/>
      <c r="U295"/>
      <c r="V295"/>
      <c r="W295"/>
      <c r="X295"/>
      <c r="Y295"/>
      <c r="Z295"/>
      <c r="AA295" t="s">
        <v>2283</v>
      </c>
      <c r="AB295" t="s">
        <v>2284</v>
      </c>
      <c r="AC295"/>
      <c r="AD295"/>
      <c r="AE295"/>
      <c r="AF295"/>
      <c r="AG295"/>
      <c r="AH295"/>
      <c r="AI295"/>
      <c r="AJ295"/>
      <c r="AK295"/>
      <c r="AL295"/>
      <c r="AM295"/>
      <c r="AN295"/>
      <c r="AO295" t="s">
        <v>187</v>
      </c>
      <c r="AP295" t="s">
        <v>188</v>
      </c>
      <c r="AQ295"/>
      <c r="AR295"/>
      <c r="AS295"/>
      <c r="AT295"/>
      <c r="AU295">
        <v>2018</v>
      </c>
      <c r="AV295">
        <v>1058</v>
      </c>
      <c r="AW295"/>
      <c r="AX295"/>
      <c r="AY295"/>
      <c r="AZ295"/>
      <c r="BA295"/>
      <c r="BB295"/>
      <c r="BC295"/>
      <c r="BD295">
        <v>12017</v>
      </c>
      <c r="BE295" t="s">
        <v>2285</v>
      </c>
      <c r="BF295" t="str">
        <f>HYPERLINK("http://dx.doi.org/10.1088/1742-6596/1058/1/012017","http://dx.doi.org/10.1088/1742-6596/1058/1/012017")</f>
        <v>http://dx.doi.org/10.1088/1742-6596/1058/1/012017</v>
      </c>
      <c r="BG295"/>
      <c r="BH295"/>
      <c r="BI295"/>
      <c r="BJ295"/>
      <c r="BK295"/>
      <c r="BL295"/>
      <c r="BM295"/>
      <c r="BN295"/>
      <c r="BO295"/>
      <c r="BP295"/>
      <c r="BQ295"/>
      <c r="BR295"/>
      <c r="BS295" t="s">
        <v>2286</v>
      </c>
      <c r="BT295" t="str">
        <f>HYPERLINK("https%3A%2F%2Fwww.webofscience.com%2Fwos%2Fwoscc%2Ffull-record%2FWOS:000518798300017","View Full Record in Web of Science")</f>
        <v>View Full Record in Web of Science</v>
      </c>
    </row>
    <row r="296" spans="1:75" customHeight="1" ht="12.75">
      <c r="A296" t="s">
        <v>72</v>
      </c>
      <c r="B296" t="s">
        <v>2287</v>
      </c>
      <c r="C296"/>
      <c r="D296"/>
      <c r="E296"/>
      <c r="F296" t="s">
        <v>2288</v>
      </c>
      <c r="G296"/>
      <c r="H296"/>
      <c r="I296" t="s">
        <v>2289</v>
      </c>
      <c r="J296" t="s">
        <v>2290</v>
      </c>
      <c r="K296"/>
      <c r="L296"/>
      <c r="M296"/>
      <c r="N296"/>
      <c r="O296"/>
      <c r="P296"/>
      <c r="Q296"/>
      <c r="R296"/>
      <c r="S296"/>
      <c r="T296"/>
      <c r="U296"/>
      <c r="V296"/>
      <c r="W296"/>
      <c r="X296"/>
      <c r="Y296"/>
      <c r="Z296"/>
      <c r="AA296" t="s">
        <v>2291</v>
      </c>
      <c r="AB296" t="s">
        <v>2292</v>
      </c>
      <c r="AC296"/>
      <c r="AD296"/>
      <c r="AE296"/>
      <c r="AF296"/>
      <c r="AG296"/>
      <c r="AH296"/>
      <c r="AI296"/>
      <c r="AJ296"/>
      <c r="AK296"/>
      <c r="AL296"/>
      <c r="AM296"/>
      <c r="AN296"/>
      <c r="AO296" t="s">
        <v>2293</v>
      </c>
      <c r="AP296" t="s">
        <v>2294</v>
      </c>
      <c r="AQ296"/>
      <c r="AR296"/>
      <c r="AS296"/>
      <c r="AT296"/>
      <c r="AU296">
        <v>2017</v>
      </c>
      <c r="AV296">
        <v>69</v>
      </c>
      <c r="AW296">
        <v>7</v>
      </c>
      <c r="AX296"/>
      <c r="AY296"/>
      <c r="AZ296"/>
      <c r="BA296"/>
      <c r="BB296">
        <v>1132</v>
      </c>
      <c r="BC296">
        <v>1133</v>
      </c>
      <c r="BD296"/>
      <c r="BE296" t="s">
        <v>2295</v>
      </c>
      <c r="BF296" t="str">
        <f>HYPERLINK("http://dx.doi.org/10.1080/09668136.2017.1371496","http://dx.doi.org/10.1080/09668136.2017.1371496")</f>
        <v>http://dx.doi.org/10.1080/09668136.2017.1371496</v>
      </c>
      <c r="BG296"/>
      <c r="BH296"/>
      <c r="BI296"/>
      <c r="BJ296"/>
      <c r="BK296"/>
      <c r="BL296"/>
      <c r="BM296"/>
      <c r="BN296"/>
      <c r="BO296"/>
      <c r="BP296"/>
      <c r="BQ296"/>
      <c r="BR296"/>
      <c r="BS296" t="s">
        <v>2296</v>
      </c>
      <c r="BT296" t="str">
        <f>HYPERLINK("https%3A%2F%2Fwww.webofscience.com%2Fwos%2Fwoscc%2Ffull-record%2FWOS:000413946100011","View Full Record in Web of Science")</f>
        <v>View Full Record in Web of Science</v>
      </c>
    </row>
    <row r="297" spans="1:75" customHeight="1" ht="12.75">
      <c r="A297" t="s">
        <v>147</v>
      </c>
      <c r="B297" t="s">
        <v>2297</v>
      </c>
      <c r="C297"/>
      <c r="D297" t="s">
        <v>739</v>
      </c>
      <c r="E297"/>
      <c r="F297" t="s">
        <v>2298</v>
      </c>
      <c r="G297"/>
      <c r="H297"/>
      <c r="I297" t="s">
        <v>2299</v>
      </c>
      <c r="J297" t="s">
        <v>742</v>
      </c>
      <c r="K297" t="s">
        <v>743</v>
      </c>
      <c r="L297"/>
      <c r="M297"/>
      <c r="N297"/>
      <c r="O297" t="s">
        <v>744</v>
      </c>
      <c r="P297" t="s">
        <v>745</v>
      </c>
      <c r="Q297" t="s">
        <v>746</v>
      </c>
      <c r="R297" t="s">
        <v>747</v>
      </c>
      <c r="S297"/>
      <c r="T297"/>
      <c r="U297"/>
      <c r="V297"/>
      <c r="W297"/>
      <c r="X297"/>
      <c r="Y297"/>
      <c r="Z297"/>
      <c r="AA297"/>
      <c r="AB297"/>
      <c r="AC297"/>
      <c r="AD297"/>
      <c r="AE297"/>
      <c r="AF297"/>
      <c r="AG297"/>
      <c r="AH297"/>
      <c r="AI297"/>
      <c r="AJ297"/>
      <c r="AK297"/>
      <c r="AL297"/>
      <c r="AM297"/>
      <c r="AN297"/>
      <c r="AO297" t="s">
        <v>748</v>
      </c>
      <c r="AP297"/>
      <c r="AQ297" t="s">
        <v>749</v>
      </c>
      <c r="AR297"/>
      <c r="AS297"/>
      <c r="AT297"/>
      <c r="AU297">
        <v>2016</v>
      </c>
      <c r="AV297"/>
      <c r="AW297"/>
      <c r="AX297"/>
      <c r="AY297"/>
      <c r="AZ297"/>
      <c r="BA297"/>
      <c r="BB297"/>
      <c r="BC297"/>
      <c r="BD297"/>
      <c r="BE297"/>
      <c r="BF297"/>
      <c r="BG297"/>
      <c r="BH297"/>
      <c r="BI297"/>
      <c r="BJ297"/>
      <c r="BK297"/>
      <c r="BL297"/>
      <c r="BM297"/>
      <c r="BN297"/>
      <c r="BO297"/>
      <c r="BP297"/>
      <c r="BQ297"/>
      <c r="BR297"/>
      <c r="BS297" t="s">
        <v>2300</v>
      </c>
      <c r="BT297" t="str">
        <f>HYPERLINK("https%3A%2F%2Fwww.webofscience.com%2Fwos%2Fwoscc%2Ffull-record%2FWOS:000383090900118","View Full Record in Web of Science")</f>
        <v>View Full Record in Web of Science</v>
      </c>
    </row>
    <row r="298" spans="1:75" customHeight="1" ht="12.75">
      <c r="A298" t="s">
        <v>72</v>
      </c>
      <c r="B298" t="s">
        <v>2301</v>
      </c>
      <c r="C298"/>
      <c r="D298"/>
      <c r="E298"/>
      <c r="F298" t="s">
        <v>2302</v>
      </c>
      <c r="G298"/>
      <c r="H298"/>
      <c r="I298" t="s">
        <v>2303</v>
      </c>
      <c r="J298" t="s">
        <v>614</v>
      </c>
      <c r="K298"/>
      <c r="L298"/>
      <c r="M298"/>
      <c r="N298"/>
      <c r="O298"/>
      <c r="P298"/>
      <c r="Q298"/>
      <c r="R298"/>
      <c r="S298"/>
      <c r="T298"/>
      <c r="U298"/>
      <c r="V298"/>
      <c r="W298"/>
      <c r="X298"/>
      <c r="Y298"/>
      <c r="Z298"/>
      <c r="AA298" t="s">
        <v>1718</v>
      </c>
      <c r="AB298" t="s">
        <v>1719</v>
      </c>
      <c r="AC298"/>
      <c r="AD298"/>
      <c r="AE298"/>
      <c r="AF298"/>
      <c r="AG298"/>
      <c r="AH298"/>
      <c r="AI298"/>
      <c r="AJ298"/>
      <c r="AK298"/>
      <c r="AL298"/>
      <c r="AM298"/>
      <c r="AN298"/>
      <c r="AO298" t="s">
        <v>617</v>
      </c>
      <c r="AP298" t="s">
        <v>1720</v>
      </c>
      <c r="AQ298"/>
      <c r="AR298"/>
      <c r="AS298"/>
      <c r="AT298" t="s">
        <v>491</v>
      </c>
      <c r="AU298">
        <v>2015</v>
      </c>
      <c r="AV298">
        <v>51</v>
      </c>
      <c r="AW298">
        <v>6</v>
      </c>
      <c r="AX298"/>
      <c r="AY298"/>
      <c r="AZ298"/>
      <c r="BA298"/>
      <c r="BB298">
        <v>546</v>
      </c>
      <c r="BC298">
        <v>550</v>
      </c>
      <c r="BD298"/>
      <c r="BE298" t="s">
        <v>2304</v>
      </c>
      <c r="BF298" t="str">
        <f>HYPERLINK("http://dx.doi.org/10.1134/S1023193515060129","http://dx.doi.org/10.1134/S1023193515060129")</f>
        <v>http://dx.doi.org/10.1134/S1023193515060129</v>
      </c>
      <c r="BG298"/>
      <c r="BH298"/>
      <c r="BI298"/>
      <c r="BJ298"/>
      <c r="BK298"/>
      <c r="BL298"/>
      <c r="BM298"/>
      <c r="BN298"/>
      <c r="BO298"/>
      <c r="BP298"/>
      <c r="BQ298"/>
      <c r="BR298"/>
      <c r="BS298" t="s">
        <v>2305</v>
      </c>
      <c r="BT298" t="str">
        <f>HYPERLINK("https%3A%2F%2Fwww.webofscience.com%2Fwos%2Fwoscc%2Ffull-record%2FWOS:000356494600008","View Full Record in Web of Science")</f>
        <v>View Full Record in Web of Science</v>
      </c>
    </row>
    <row r="299" spans="1:75" customHeight="1" ht="12.75">
      <c r="A299" t="s">
        <v>72</v>
      </c>
      <c r="B299" t="s">
        <v>2306</v>
      </c>
      <c r="C299"/>
      <c r="D299"/>
      <c r="E299"/>
      <c r="F299" t="s">
        <v>2307</v>
      </c>
      <c r="G299"/>
      <c r="H299"/>
      <c r="I299" t="s">
        <v>2308</v>
      </c>
      <c r="J299" t="s">
        <v>614</v>
      </c>
      <c r="K299"/>
      <c r="L299"/>
      <c r="M299"/>
      <c r="N299"/>
      <c r="O299"/>
      <c r="P299"/>
      <c r="Q299"/>
      <c r="R299"/>
      <c r="S299"/>
      <c r="T299"/>
      <c r="U299"/>
      <c r="V299"/>
      <c r="W299"/>
      <c r="X299"/>
      <c r="Y299"/>
      <c r="Z299"/>
      <c r="AA299" t="s">
        <v>1718</v>
      </c>
      <c r="AB299" t="s">
        <v>1719</v>
      </c>
      <c r="AC299"/>
      <c r="AD299"/>
      <c r="AE299"/>
      <c r="AF299"/>
      <c r="AG299"/>
      <c r="AH299"/>
      <c r="AI299"/>
      <c r="AJ299"/>
      <c r="AK299"/>
      <c r="AL299"/>
      <c r="AM299"/>
      <c r="AN299"/>
      <c r="AO299" t="s">
        <v>617</v>
      </c>
      <c r="AP299" t="s">
        <v>1720</v>
      </c>
      <c r="AQ299"/>
      <c r="AR299"/>
      <c r="AS299"/>
      <c r="AT299" t="s">
        <v>88</v>
      </c>
      <c r="AU299">
        <v>2011</v>
      </c>
      <c r="AV299">
        <v>47</v>
      </c>
      <c r="AW299">
        <v>5</v>
      </c>
      <c r="AX299"/>
      <c r="AY299"/>
      <c r="AZ299"/>
      <c r="BA299"/>
      <c r="BB299">
        <v>547</v>
      </c>
      <c r="BC299">
        <v>555</v>
      </c>
      <c r="BD299"/>
      <c r="BE299" t="s">
        <v>2309</v>
      </c>
      <c r="BF299" t="str">
        <f>HYPERLINK("http://dx.doi.org/10.1134/S1023193511050053","http://dx.doi.org/10.1134/S1023193511050053")</f>
        <v>http://dx.doi.org/10.1134/S1023193511050053</v>
      </c>
      <c r="BG299"/>
      <c r="BH299"/>
      <c r="BI299"/>
      <c r="BJ299"/>
      <c r="BK299"/>
      <c r="BL299"/>
      <c r="BM299"/>
      <c r="BN299"/>
      <c r="BO299"/>
      <c r="BP299"/>
      <c r="BQ299"/>
      <c r="BR299"/>
      <c r="BS299" t="s">
        <v>2310</v>
      </c>
      <c r="BT299" t="str">
        <f>HYPERLINK("https%3A%2F%2Fwww.webofscience.com%2Fwos%2Fwoscc%2Ffull-record%2FWOS:000292270900006","View Full Record in Web of Science")</f>
        <v>View Full Record in Web of Science</v>
      </c>
    </row>
    <row r="300" spans="1:75" customHeight="1" ht="12.75">
      <c r="A300" t="s">
        <v>72</v>
      </c>
      <c r="B300" t="s">
        <v>2311</v>
      </c>
      <c r="C300"/>
      <c r="D300"/>
      <c r="E300"/>
      <c r="F300" t="s">
        <v>2312</v>
      </c>
      <c r="G300"/>
      <c r="H300"/>
      <c r="I300" t="s">
        <v>2313</v>
      </c>
      <c r="J300" t="s">
        <v>1905</v>
      </c>
      <c r="K300"/>
      <c r="L300"/>
      <c r="M300"/>
      <c r="N300"/>
      <c r="O300"/>
      <c r="P300"/>
      <c r="Q300"/>
      <c r="R300"/>
      <c r="S300"/>
      <c r="T300"/>
      <c r="U300"/>
      <c r="V300"/>
      <c r="W300"/>
      <c r="X300"/>
      <c r="Y300"/>
      <c r="Z300"/>
      <c r="AA300" t="s">
        <v>1718</v>
      </c>
      <c r="AB300" t="s">
        <v>1719</v>
      </c>
      <c r="AC300"/>
      <c r="AD300"/>
      <c r="AE300"/>
      <c r="AF300"/>
      <c r="AG300"/>
      <c r="AH300"/>
      <c r="AI300"/>
      <c r="AJ300"/>
      <c r="AK300"/>
      <c r="AL300"/>
      <c r="AM300"/>
      <c r="AN300"/>
      <c r="AO300" t="s">
        <v>1906</v>
      </c>
      <c r="AP300" t="s">
        <v>1912</v>
      </c>
      <c r="AQ300"/>
      <c r="AR300"/>
      <c r="AS300"/>
      <c r="AT300" t="s">
        <v>491</v>
      </c>
      <c r="AU300">
        <v>2009</v>
      </c>
      <c r="AV300">
        <v>35</v>
      </c>
      <c r="AW300">
        <v>3</v>
      </c>
      <c r="AX300"/>
      <c r="AY300"/>
      <c r="AZ300"/>
      <c r="BA300"/>
      <c r="BB300">
        <v>332</v>
      </c>
      <c r="BC300">
        <v>345</v>
      </c>
      <c r="BD300"/>
      <c r="BE300" t="s">
        <v>2314</v>
      </c>
      <c r="BF300" t="str">
        <f>HYPERLINK("http://dx.doi.org/10.1134/S1087659609030158","http://dx.doi.org/10.1134/S1087659609030158")</f>
        <v>http://dx.doi.org/10.1134/S1087659609030158</v>
      </c>
      <c r="BG300"/>
      <c r="BH300"/>
      <c r="BI300"/>
      <c r="BJ300"/>
      <c r="BK300"/>
      <c r="BL300"/>
      <c r="BM300"/>
      <c r="BN300"/>
      <c r="BO300"/>
      <c r="BP300"/>
      <c r="BQ300"/>
      <c r="BR300"/>
      <c r="BS300" t="s">
        <v>2315</v>
      </c>
      <c r="BT300" t="str">
        <f>HYPERLINK("https%3A%2F%2Fwww.webofscience.com%2Fwos%2Fwoscc%2Ffull-record%2FWOS:000267486100015","View Full Record in Web of Science")</f>
        <v>View Full Record in Web of Science</v>
      </c>
    </row>
    <row r="301" spans="1:75" customHeight="1" ht="12.75">
      <c r="A301" t="s">
        <v>72</v>
      </c>
      <c r="B301" t="s">
        <v>2218</v>
      </c>
      <c r="C301"/>
      <c r="D301"/>
      <c r="E301"/>
      <c r="F301" t="s">
        <v>2219</v>
      </c>
      <c r="G301"/>
      <c r="H301"/>
      <c r="I301" t="s">
        <v>2316</v>
      </c>
      <c r="J301" t="s">
        <v>244</v>
      </c>
      <c r="K301"/>
      <c r="L301"/>
      <c r="M301"/>
      <c r="N301"/>
      <c r="O301"/>
      <c r="P301"/>
      <c r="Q301"/>
      <c r="R301"/>
      <c r="S301"/>
      <c r="T301"/>
      <c r="U301"/>
      <c r="V301"/>
      <c r="W301"/>
      <c r="X301"/>
      <c r="Y301"/>
      <c r="Z301"/>
      <c r="AA301" t="s">
        <v>2317</v>
      </c>
      <c r="AB301"/>
      <c r="AC301"/>
      <c r="AD301"/>
      <c r="AE301"/>
      <c r="AF301"/>
      <c r="AG301"/>
      <c r="AH301"/>
      <c r="AI301"/>
      <c r="AJ301"/>
      <c r="AK301"/>
      <c r="AL301"/>
      <c r="AM301"/>
      <c r="AN301"/>
      <c r="AO301" t="s">
        <v>245</v>
      </c>
      <c r="AP301"/>
      <c r="AQ301"/>
      <c r="AR301"/>
      <c r="AS301"/>
      <c r="AT301"/>
      <c r="AU301">
        <v>2007</v>
      </c>
      <c r="AV301"/>
      <c r="AW301">
        <v>11</v>
      </c>
      <c r="AX301"/>
      <c r="AY301"/>
      <c r="AZ301"/>
      <c r="BA301"/>
      <c r="BB301">
        <v>146</v>
      </c>
      <c r="BC301">
        <v>150</v>
      </c>
      <c r="BD301"/>
      <c r="BE301"/>
      <c r="BF301"/>
      <c r="BG301"/>
      <c r="BH301"/>
      <c r="BI301"/>
      <c r="BJ301"/>
      <c r="BK301"/>
      <c r="BL301"/>
      <c r="BM301"/>
      <c r="BN301"/>
      <c r="BO301"/>
      <c r="BP301"/>
      <c r="BQ301"/>
      <c r="BR301"/>
      <c r="BS301" t="s">
        <v>2318</v>
      </c>
      <c r="BT301" t="str">
        <f>HYPERLINK("https%3A%2F%2Fwww.webofscience.com%2Fwos%2Fwoscc%2Ffull-record%2FWOS:000252876100012","View Full Record in Web of Science")</f>
        <v>View Full Record in Web of Science</v>
      </c>
    </row>
    <row r="302" spans="1:75" customHeight="1" ht="12.75">
      <c r="A302" t="s">
        <v>72</v>
      </c>
      <c r="B302" t="s">
        <v>2319</v>
      </c>
      <c r="C302"/>
      <c r="D302"/>
      <c r="E302"/>
      <c r="F302" t="s">
        <v>2319</v>
      </c>
      <c r="G302"/>
      <c r="H302"/>
      <c r="I302" t="s">
        <v>2320</v>
      </c>
      <c r="J302" t="s">
        <v>2321</v>
      </c>
      <c r="K302"/>
      <c r="L302"/>
      <c r="M302"/>
      <c r="N302"/>
      <c r="O302"/>
      <c r="P302"/>
      <c r="Q302"/>
      <c r="R302"/>
      <c r="S302"/>
      <c r="T302"/>
      <c r="U302"/>
      <c r="V302"/>
      <c r="W302"/>
      <c r="X302"/>
      <c r="Y302"/>
      <c r="Z302"/>
      <c r="AA302"/>
      <c r="AB302"/>
      <c r="AC302"/>
      <c r="AD302"/>
      <c r="AE302"/>
      <c r="AF302"/>
      <c r="AG302"/>
      <c r="AH302"/>
      <c r="AI302"/>
      <c r="AJ302"/>
      <c r="AK302"/>
      <c r="AL302"/>
      <c r="AM302"/>
      <c r="AN302"/>
      <c r="AO302" t="s">
        <v>2322</v>
      </c>
      <c r="AP302"/>
      <c r="AQ302"/>
      <c r="AR302"/>
      <c r="AS302"/>
      <c r="AT302"/>
      <c r="AU302">
        <v>1996</v>
      </c>
      <c r="AV302"/>
      <c r="AW302">
        <v>4</v>
      </c>
      <c r="AX302"/>
      <c r="AY302"/>
      <c r="AZ302"/>
      <c r="BA302"/>
      <c r="BB302">
        <v>145</v>
      </c>
      <c r="BC302">
        <v>153</v>
      </c>
      <c r="BD302"/>
      <c r="BE302"/>
      <c r="BF302"/>
      <c r="BG302"/>
      <c r="BH302"/>
      <c r="BI302"/>
      <c r="BJ302"/>
      <c r="BK302"/>
      <c r="BL302"/>
      <c r="BM302"/>
      <c r="BN302"/>
      <c r="BO302"/>
      <c r="BP302"/>
      <c r="BQ302"/>
      <c r="BR302"/>
      <c r="BS302" t="s">
        <v>2323</v>
      </c>
      <c r="BT302" t="str">
        <f>HYPERLINK("https%3A%2F%2Fwww.webofscience.com%2Fwos%2Fwoscc%2Ffull-record%2FWOS:A1996WR53300012","View Full Record in Web of Science")</f>
        <v>View Full Record in Web of Science</v>
      </c>
    </row>
    <row r="303" spans="1:75" customHeight="1" ht="12.75">
      <c r="A303" t="s">
        <v>72</v>
      </c>
      <c r="B303" t="s">
        <v>2324</v>
      </c>
      <c r="C303"/>
      <c r="D303"/>
      <c r="E303"/>
      <c r="F303" t="s">
        <v>2325</v>
      </c>
      <c r="G303"/>
      <c r="H303"/>
      <c r="I303" t="s">
        <v>2326</v>
      </c>
      <c r="J303" t="s">
        <v>204</v>
      </c>
      <c r="K303"/>
      <c r="L303"/>
      <c r="M303"/>
      <c r="N303"/>
      <c r="O303"/>
      <c r="P303"/>
      <c r="Q303"/>
      <c r="R303"/>
      <c r="S303"/>
      <c r="T303"/>
      <c r="U303"/>
      <c r="V303"/>
      <c r="W303"/>
      <c r="X303"/>
      <c r="Y303"/>
      <c r="Z303"/>
      <c r="AA303"/>
      <c r="AB303"/>
      <c r="AC303"/>
      <c r="AD303"/>
      <c r="AE303"/>
      <c r="AF303"/>
      <c r="AG303"/>
      <c r="AH303"/>
      <c r="AI303"/>
      <c r="AJ303"/>
      <c r="AK303"/>
      <c r="AL303"/>
      <c r="AM303"/>
      <c r="AN303"/>
      <c r="AO303" t="s">
        <v>205</v>
      </c>
      <c r="AP303" t="s">
        <v>206</v>
      </c>
      <c r="AQ303"/>
      <c r="AR303"/>
      <c r="AS303"/>
      <c r="AT303" t="s">
        <v>88</v>
      </c>
      <c r="AU303">
        <v>2023</v>
      </c>
      <c r="AV303">
        <v>25</v>
      </c>
      <c r="AW303">
        <v>5</v>
      </c>
      <c r="AX303"/>
      <c r="AY303"/>
      <c r="AZ303"/>
      <c r="BA303"/>
      <c r="BB303">
        <v>49</v>
      </c>
      <c r="BC303">
        <v>76</v>
      </c>
      <c r="BD303"/>
      <c r="BE303" t="s">
        <v>2327</v>
      </c>
      <c r="BF303" t="str">
        <f>HYPERLINK("http://dx.doi.org/10.17853/1994-5639-2023-5-49-76","http://dx.doi.org/10.17853/1994-5639-2023-5-49-76")</f>
        <v>http://dx.doi.org/10.17853/1994-5639-2023-5-49-76</v>
      </c>
      <c r="BG303"/>
      <c r="BH303"/>
      <c r="BI303"/>
      <c r="BJ303"/>
      <c r="BK303"/>
      <c r="BL303"/>
      <c r="BM303"/>
      <c r="BN303"/>
      <c r="BO303"/>
      <c r="BP303"/>
      <c r="BQ303"/>
      <c r="BR303"/>
      <c r="BS303" t="s">
        <v>2328</v>
      </c>
      <c r="BT303" t="str">
        <f>HYPERLINK("https%3A%2F%2Fwww.webofscience.com%2Fwos%2Fwoscc%2Ffull-record%2FWOS:000996323100002","View Full Record in Web of Science")</f>
        <v>View Full Record in Web of Science</v>
      </c>
    </row>
    <row r="304" spans="1:75" customHeight="1" ht="12.75">
      <c r="A304" t="s">
        <v>72</v>
      </c>
      <c r="B304" t="s">
        <v>503</v>
      </c>
      <c r="C304"/>
      <c r="D304"/>
      <c r="E304"/>
      <c r="F304" t="s">
        <v>2231</v>
      </c>
      <c r="G304"/>
      <c r="H304"/>
      <c r="I304" t="s">
        <v>2329</v>
      </c>
      <c r="J304" t="s">
        <v>2233</v>
      </c>
      <c r="K304"/>
      <c r="L304"/>
      <c r="M304"/>
      <c r="N304"/>
      <c r="O304"/>
      <c r="P304"/>
      <c r="Q304"/>
      <c r="R304"/>
      <c r="S304"/>
      <c r="T304"/>
      <c r="U304"/>
      <c r="V304"/>
      <c r="W304"/>
      <c r="X304"/>
      <c r="Y304"/>
      <c r="Z304"/>
      <c r="AA304" t="s">
        <v>507</v>
      </c>
      <c r="AB304" t="s">
        <v>508</v>
      </c>
      <c r="AC304"/>
      <c r="AD304"/>
      <c r="AE304"/>
      <c r="AF304"/>
      <c r="AG304"/>
      <c r="AH304"/>
      <c r="AI304"/>
      <c r="AJ304"/>
      <c r="AK304"/>
      <c r="AL304"/>
      <c r="AM304"/>
      <c r="AN304"/>
      <c r="AO304" t="s">
        <v>2234</v>
      </c>
      <c r="AP304" t="s">
        <v>2235</v>
      </c>
      <c r="AQ304"/>
      <c r="AR304"/>
      <c r="AS304"/>
      <c r="AT304"/>
      <c r="AU304">
        <v>2023</v>
      </c>
      <c r="AV304">
        <v>17</v>
      </c>
      <c r="AW304">
        <v>1</v>
      </c>
      <c r="AX304"/>
      <c r="AY304"/>
      <c r="AZ304"/>
      <c r="BA304"/>
      <c r="BB304">
        <v>22</v>
      </c>
      <c r="BC304">
        <v>34</v>
      </c>
      <c r="BD304"/>
      <c r="BE304" t="s">
        <v>2330</v>
      </c>
      <c r="BF304" t="str">
        <f>HYPERLINK("http://dx.doi.org/10.17150/2500-1442.2023.17(1).22-34","http://dx.doi.org/10.17150/2500-1442.2023.17(1).22-34")</f>
        <v>http://dx.doi.org/10.17150/2500-1442.2023.17(1).22-34</v>
      </c>
      <c r="BG304"/>
      <c r="BH304"/>
      <c r="BI304"/>
      <c r="BJ304"/>
      <c r="BK304"/>
      <c r="BL304"/>
      <c r="BM304"/>
      <c r="BN304"/>
      <c r="BO304"/>
      <c r="BP304"/>
      <c r="BQ304"/>
      <c r="BR304"/>
      <c r="BS304" t="s">
        <v>2331</v>
      </c>
      <c r="BT304" t="str">
        <f>HYPERLINK("https%3A%2F%2Fwww.webofscience.com%2Fwos%2Fwoscc%2Ffull-record%2FWOS:000953399900003","View Full Record in Web of Science")</f>
        <v>View Full Record in Web of Science</v>
      </c>
    </row>
    <row r="305" spans="1:75" customHeight="1" ht="12.75">
      <c r="A305" t="s">
        <v>147</v>
      </c>
      <c r="B305" t="s">
        <v>2332</v>
      </c>
      <c r="C305"/>
      <c r="D305" t="s">
        <v>2333</v>
      </c>
      <c r="E305"/>
      <c r="F305" t="s">
        <v>2334</v>
      </c>
      <c r="G305"/>
      <c r="H305"/>
      <c r="I305" t="s">
        <v>2335</v>
      </c>
      <c r="J305" t="s">
        <v>2336</v>
      </c>
      <c r="K305" t="s">
        <v>253</v>
      </c>
      <c r="L305"/>
      <c r="M305"/>
      <c r="N305"/>
      <c r="O305" t="s">
        <v>2337</v>
      </c>
      <c r="P305" t="s">
        <v>2338</v>
      </c>
      <c r="Q305" t="s">
        <v>2339</v>
      </c>
      <c r="R305" t="s">
        <v>2340</v>
      </c>
      <c r="S305" t="s">
        <v>2341</v>
      </c>
      <c r="T305"/>
      <c r="U305"/>
      <c r="V305"/>
      <c r="W305"/>
      <c r="X305"/>
      <c r="Y305"/>
      <c r="Z305"/>
      <c r="AA305"/>
      <c r="AB305"/>
      <c r="AC305"/>
      <c r="AD305"/>
      <c r="AE305"/>
      <c r="AF305"/>
      <c r="AG305"/>
      <c r="AH305"/>
      <c r="AI305"/>
      <c r="AJ305"/>
      <c r="AK305"/>
      <c r="AL305"/>
      <c r="AM305"/>
      <c r="AN305"/>
      <c r="AO305"/>
      <c r="AP305" t="s">
        <v>259</v>
      </c>
      <c r="AQ305" t="s">
        <v>2342</v>
      </c>
      <c r="AR305"/>
      <c r="AS305"/>
      <c r="AT305"/>
      <c r="AU305">
        <v>2021</v>
      </c>
      <c r="AV305">
        <v>105</v>
      </c>
      <c r="AW305"/>
      <c r="AX305"/>
      <c r="AY305"/>
      <c r="AZ305"/>
      <c r="BA305"/>
      <c r="BB305">
        <v>860</v>
      </c>
      <c r="BC305">
        <v>868</v>
      </c>
      <c r="BD305"/>
      <c r="BE305" t="s">
        <v>2343</v>
      </c>
      <c r="BF305" t="str">
        <f>HYPERLINK("http://dx.doi.org/10.15405/epsbs.2021.04.91","http://dx.doi.org/10.15405/epsbs.2021.04.91")</f>
        <v>http://dx.doi.org/10.15405/epsbs.2021.04.91</v>
      </c>
      <c r="BG305"/>
      <c r="BH305"/>
      <c r="BI305"/>
      <c r="BJ305"/>
      <c r="BK305"/>
      <c r="BL305"/>
      <c r="BM305"/>
      <c r="BN305"/>
      <c r="BO305"/>
      <c r="BP305"/>
      <c r="BQ305"/>
      <c r="BR305"/>
      <c r="BS305" t="s">
        <v>2344</v>
      </c>
      <c r="BT305" t="str">
        <f>HYPERLINK("https%3A%2F%2Fwww.webofscience.com%2Fwos%2Fwoscc%2Ffull-record%2FWOS:000773381800091","View Full Record in Web of Science")</f>
        <v>View Full Record in Web of Science</v>
      </c>
    </row>
    <row r="306" spans="1:75" customHeight="1" ht="12.75">
      <c r="A306" t="s">
        <v>72</v>
      </c>
      <c r="B306" t="s">
        <v>2345</v>
      </c>
      <c r="C306"/>
      <c r="D306"/>
      <c r="E306"/>
      <c r="F306" t="s">
        <v>2346</v>
      </c>
      <c r="G306"/>
      <c r="H306"/>
      <c r="I306" t="s">
        <v>2347</v>
      </c>
      <c r="J306" t="s">
        <v>676</v>
      </c>
      <c r="K306"/>
      <c r="L306"/>
      <c r="M306"/>
      <c r="N306"/>
      <c r="O306"/>
      <c r="P306"/>
      <c r="Q306"/>
      <c r="R306"/>
      <c r="S306"/>
      <c r="T306"/>
      <c r="U306"/>
      <c r="V306"/>
      <c r="W306"/>
      <c r="X306"/>
      <c r="Y306"/>
      <c r="Z306"/>
      <c r="AA306" t="s">
        <v>2348</v>
      </c>
      <c r="AB306" t="s">
        <v>2349</v>
      </c>
      <c r="AC306"/>
      <c r="AD306"/>
      <c r="AE306"/>
      <c r="AF306"/>
      <c r="AG306"/>
      <c r="AH306"/>
      <c r="AI306"/>
      <c r="AJ306"/>
      <c r="AK306"/>
      <c r="AL306"/>
      <c r="AM306"/>
      <c r="AN306"/>
      <c r="AO306" t="s">
        <v>679</v>
      </c>
      <c r="AP306"/>
      <c r="AQ306"/>
      <c r="AR306"/>
      <c r="AS306"/>
      <c r="AT306"/>
      <c r="AU306">
        <v>2021</v>
      </c>
      <c r="AV306">
        <v>12</v>
      </c>
      <c r="AW306">
        <v>6</v>
      </c>
      <c r="AX306"/>
      <c r="AY306"/>
      <c r="AZ306"/>
      <c r="BA306"/>
      <c r="BB306"/>
      <c r="BC306"/>
      <c r="BD306"/>
      <c r="BE306" t="s">
        <v>2350</v>
      </c>
      <c r="BF306" t="str">
        <f>HYPERLINK("http://dx.doi.org/10.18254/S207987840016048-1","http://dx.doi.org/10.18254/S207987840016048-1")</f>
        <v>http://dx.doi.org/10.18254/S207987840016048-1</v>
      </c>
      <c r="BG306"/>
      <c r="BH306"/>
      <c r="BI306"/>
      <c r="BJ306"/>
      <c r="BK306"/>
      <c r="BL306"/>
      <c r="BM306"/>
      <c r="BN306"/>
      <c r="BO306"/>
      <c r="BP306"/>
      <c r="BQ306"/>
      <c r="BR306"/>
      <c r="BS306" t="s">
        <v>2351</v>
      </c>
      <c r="BT306" t="str">
        <f>HYPERLINK("https%3A%2F%2Fwww.webofscience.com%2Fwos%2Fwoscc%2Ffull-record%2FWOS:000685513200017","View Full Record in Web of Science")</f>
        <v>View Full Record in Web of Science</v>
      </c>
    </row>
    <row r="307" spans="1:75" customHeight="1" ht="12.75">
      <c r="A307" t="s">
        <v>72</v>
      </c>
      <c r="B307" t="s">
        <v>698</v>
      </c>
      <c r="C307"/>
      <c r="D307"/>
      <c r="E307"/>
      <c r="F307" t="s">
        <v>699</v>
      </c>
      <c r="G307"/>
      <c r="H307"/>
      <c r="I307" t="s">
        <v>2352</v>
      </c>
      <c r="J307" t="s">
        <v>2353</v>
      </c>
      <c r="K307"/>
      <c r="L307"/>
      <c r="M307"/>
      <c r="N307"/>
      <c r="O307"/>
      <c r="P307"/>
      <c r="Q307"/>
      <c r="R307"/>
      <c r="S307"/>
      <c r="T307"/>
      <c r="U307"/>
      <c r="V307"/>
      <c r="W307"/>
      <c r="X307"/>
      <c r="Y307"/>
      <c r="Z307"/>
      <c r="AA307" t="s">
        <v>553</v>
      </c>
      <c r="AB307" t="s">
        <v>554</v>
      </c>
      <c r="AC307"/>
      <c r="AD307"/>
      <c r="AE307"/>
      <c r="AF307"/>
      <c r="AG307"/>
      <c r="AH307"/>
      <c r="AI307"/>
      <c r="AJ307"/>
      <c r="AK307"/>
      <c r="AL307"/>
      <c r="AM307"/>
      <c r="AN307"/>
      <c r="AO307" t="s">
        <v>2354</v>
      </c>
      <c r="AP307"/>
      <c r="AQ307"/>
      <c r="AR307"/>
      <c r="AS307"/>
      <c r="AT307"/>
      <c r="AU307">
        <v>2020</v>
      </c>
      <c r="AV307">
        <v>8</v>
      </c>
      <c r="AW307">
        <v>1</v>
      </c>
      <c r="AX307"/>
      <c r="AY307"/>
      <c r="AZ307"/>
      <c r="BA307"/>
      <c r="BB307">
        <v>46</v>
      </c>
      <c r="BC307">
        <v>50</v>
      </c>
      <c r="BD307"/>
      <c r="BE307" t="s">
        <v>2355</v>
      </c>
      <c r="BF307" t="str">
        <f>HYPERLINK("http://dx.doi.org/10.16926/par.2020.08.06","http://dx.doi.org/10.16926/par.2020.08.06")</f>
        <v>http://dx.doi.org/10.16926/par.2020.08.06</v>
      </c>
      <c r="BG307"/>
      <c r="BH307"/>
      <c r="BI307"/>
      <c r="BJ307"/>
      <c r="BK307"/>
      <c r="BL307"/>
      <c r="BM307"/>
      <c r="BN307"/>
      <c r="BO307"/>
      <c r="BP307"/>
      <c r="BQ307"/>
      <c r="BR307"/>
      <c r="BS307" t="s">
        <v>2356</v>
      </c>
      <c r="BT307" t="str">
        <f>HYPERLINK("https%3A%2F%2Fwww.webofscience.com%2Fwos%2Fwoscc%2Ffull-record%2FWOS:000519128200006","View Full Record in Web of Science")</f>
        <v>View Full Record in Web of Science</v>
      </c>
    </row>
    <row r="308" spans="1:75" customHeight="1" ht="12.75">
      <c r="A308" t="s">
        <v>72</v>
      </c>
      <c r="B308" t="s">
        <v>2357</v>
      </c>
      <c r="C308"/>
      <c r="D308"/>
      <c r="E308"/>
      <c r="F308" t="s">
        <v>2358</v>
      </c>
      <c r="G308"/>
      <c r="H308"/>
      <c r="I308" t="s">
        <v>2359</v>
      </c>
      <c r="J308" t="s">
        <v>2360</v>
      </c>
      <c r="K308"/>
      <c r="L308"/>
      <c r="M308"/>
      <c r="N308"/>
      <c r="O308"/>
      <c r="P308"/>
      <c r="Q308"/>
      <c r="R308"/>
      <c r="S308"/>
      <c r="T308"/>
      <c r="U308"/>
      <c r="V308"/>
      <c r="W308"/>
      <c r="X308"/>
      <c r="Y308"/>
      <c r="Z308"/>
      <c r="AA308" t="s">
        <v>2361</v>
      </c>
      <c r="AB308" t="s">
        <v>2362</v>
      </c>
      <c r="AC308"/>
      <c r="AD308"/>
      <c r="AE308"/>
      <c r="AF308"/>
      <c r="AG308"/>
      <c r="AH308"/>
      <c r="AI308"/>
      <c r="AJ308"/>
      <c r="AK308"/>
      <c r="AL308"/>
      <c r="AM308"/>
      <c r="AN308"/>
      <c r="AO308" t="s">
        <v>2363</v>
      </c>
      <c r="AP308" t="s">
        <v>2364</v>
      </c>
      <c r="AQ308"/>
      <c r="AR308"/>
      <c r="AS308"/>
      <c r="AT308"/>
      <c r="AU308">
        <v>2020</v>
      </c>
      <c r="AV308"/>
      <c r="AW308">
        <v>3</v>
      </c>
      <c r="AX308"/>
      <c r="AY308"/>
      <c r="AZ308"/>
      <c r="BA308"/>
      <c r="BB308">
        <v>549</v>
      </c>
      <c r="BC308">
        <v>559</v>
      </c>
      <c r="BD308"/>
      <c r="BE308" t="s">
        <v>2365</v>
      </c>
      <c r="BF308" t="str">
        <f>HYPERLINK("http://dx.doi.org/10.13187/me.2020.3.549","http://dx.doi.org/10.13187/me.2020.3.549")</f>
        <v>http://dx.doi.org/10.13187/me.2020.3.549</v>
      </c>
      <c r="BG308"/>
      <c r="BH308"/>
      <c r="BI308"/>
      <c r="BJ308"/>
      <c r="BK308"/>
      <c r="BL308"/>
      <c r="BM308"/>
      <c r="BN308"/>
      <c r="BO308"/>
      <c r="BP308"/>
      <c r="BQ308"/>
      <c r="BR308"/>
      <c r="BS308" t="s">
        <v>2366</v>
      </c>
      <c r="BT308" t="str">
        <f>HYPERLINK("https%3A%2F%2Fwww.webofscience.com%2Fwos%2Fwoscc%2Ffull-record%2FWOS:000574588500017","View Full Record in Web of Science")</f>
        <v>View Full Record in Web of Science</v>
      </c>
    </row>
    <row r="309" spans="1:75" customHeight="1" ht="12.75">
      <c r="A309" t="s">
        <v>72</v>
      </c>
      <c r="B309" t="s">
        <v>378</v>
      </c>
      <c r="C309"/>
      <c r="D309"/>
      <c r="E309"/>
      <c r="F309" t="s">
        <v>1226</v>
      </c>
      <c r="G309"/>
      <c r="H309"/>
      <c r="I309" t="s">
        <v>2367</v>
      </c>
      <c r="J309" t="s">
        <v>1652</v>
      </c>
      <c r="K309"/>
      <c r="L309"/>
      <c r="M309"/>
      <c r="N309"/>
      <c r="O309"/>
      <c r="P309"/>
      <c r="Q309"/>
      <c r="R309"/>
      <c r="S309"/>
      <c r="T309"/>
      <c r="U309"/>
      <c r="V309"/>
      <c r="W309"/>
      <c r="X309"/>
      <c r="Y309"/>
      <c r="Z309"/>
      <c r="AA309" t="s">
        <v>553</v>
      </c>
      <c r="AB309" t="s">
        <v>554</v>
      </c>
      <c r="AC309"/>
      <c r="AD309"/>
      <c r="AE309"/>
      <c r="AF309"/>
      <c r="AG309"/>
      <c r="AH309"/>
      <c r="AI309"/>
      <c r="AJ309"/>
      <c r="AK309"/>
      <c r="AL309"/>
      <c r="AM309"/>
      <c r="AN309"/>
      <c r="AO309" t="s">
        <v>1653</v>
      </c>
      <c r="AP309"/>
      <c r="AQ309"/>
      <c r="AR309"/>
      <c r="AS309"/>
      <c r="AT309" t="s">
        <v>2368</v>
      </c>
      <c r="AU309">
        <v>2019</v>
      </c>
      <c r="AV309">
        <v>13</v>
      </c>
      <c r="AW309">
        <v>2</v>
      </c>
      <c r="AX309"/>
      <c r="AY309"/>
      <c r="AZ309"/>
      <c r="BA309"/>
      <c r="BB309">
        <v>525</v>
      </c>
      <c r="BC309">
        <v>527</v>
      </c>
      <c r="BD309"/>
      <c r="BE309"/>
      <c r="BF309"/>
      <c r="BG309"/>
      <c r="BH309"/>
      <c r="BI309"/>
      <c r="BJ309"/>
      <c r="BK309"/>
      <c r="BL309"/>
      <c r="BM309"/>
      <c r="BN309"/>
      <c r="BO309"/>
      <c r="BP309"/>
      <c r="BQ309"/>
      <c r="BR309"/>
      <c r="BS309" t="s">
        <v>2369</v>
      </c>
      <c r="BT309" t="str">
        <f>HYPERLINK("https%3A%2F%2Fwww.webofscience.com%2Fwos%2Fwoscc%2Ffull-record%2FWOS:000483412400101","View Full Record in Web of Science")</f>
        <v>View Full Record in Web of Science</v>
      </c>
    </row>
    <row r="310" spans="1:75" customHeight="1" ht="12.75">
      <c r="A310" t="s">
        <v>72</v>
      </c>
      <c r="B310" t="s">
        <v>698</v>
      </c>
      <c r="C310"/>
      <c r="D310"/>
      <c r="E310"/>
      <c r="F310" t="s">
        <v>2370</v>
      </c>
      <c r="G310"/>
      <c r="H310"/>
      <c r="I310" t="s">
        <v>2371</v>
      </c>
      <c r="J310" t="s">
        <v>2372</v>
      </c>
      <c r="K310"/>
      <c r="L310"/>
      <c r="M310"/>
      <c r="N310"/>
      <c r="O310"/>
      <c r="P310"/>
      <c r="Q310"/>
      <c r="R310"/>
      <c r="S310"/>
      <c r="T310"/>
      <c r="U310"/>
      <c r="V310"/>
      <c r="W310"/>
      <c r="X310"/>
      <c r="Y310"/>
      <c r="Z310"/>
      <c r="AA310" t="s">
        <v>553</v>
      </c>
      <c r="AB310" t="s">
        <v>554</v>
      </c>
      <c r="AC310"/>
      <c r="AD310"/>
      <c r="AE310"/>
      <c r="AF310"/>
      <c r="AG310"/>
      <c r="AH310"/>
      <c r="AI310"/>
      <c r="AJ310"/>
      <c r="AK310"/>
      <c r="AL310"/>
      <c r="AM310"/>
      <c r="AN310"/>
      <c r="AO310"/>
      <c r="AP310" t="s">
        <v>2373</v>
      </c>
      <c r="AQ310"/>
      <c r="AR310"/>
      <c r="AS310"/>
      <c r="AT310" t="s">
        <v>655</v>
      </c>
      <c r="AU310">
        <v>2019</v>
      </c>
      <c r="AV310">
        <v>65</v>
      </c>
      <c r="AW310">
        <v>2</v>
      </c>
      <c r="AX310"/>
      <c r="AY310"/>
      <c r="AZ310"/>
      <c r="BA310"/>
      <c r="BB310">
        <v>211</v>
      </c>
      <c r="BC310">
        <v>215</v>
      </c>
      <c r="BD310"/>
      <c r="BE310" t="s">
        <v>2374</v>
      </c>
      <c r="BF310" t="str">
        <f>HYPERLINK("http://dx.doi.org/10.1590/1806-9282.65.2.211","http://dx.doi.org/10.1590/1806-9282.65.2.211")</f>
        <v>http://dx.doi.org/10.1590/1806-9282.65.2.211</v>
      </c>
      <c r="BG310"/>
      <c r="BH310"/>
      <c r="BI310"/>
      <c r="BJ310"/>
      <c r="BK310"/>
      <c r="BL310"/>
      <c r="BM310"/>
      <c r="BN310">
        <v>30892446</v>
      </c>
      <c r="BO310"/>
      <c r="BP310"/>
      <c r="BQ310"/>
      <c r="BR310"/>
      <c r="BS310" t="s">
        <v>2375</v>
      </c>
      <c r="BT310" t="str">
        <f>HYPERLINK("https%3A%2F%2Fwww.webofscience.com%2Fwos%2Fwoscc%2Ffull-record%2FWOS:000461474100020","View Full Record in Web of Science")</f>
        <v>View Full Record in Web of Science</v>
      </c>
    </row>
    <row r="311" spans="1:75" customHeight="1" ht="12.75">
      <c r="A311" t="s">
        <v>72</v>
      </c>
      <c r="B311" t="s">
        <v>2376</v>
      </c>
      <c r="C311"/>
      <c r="D311"/>
      <c r="E311"/>
      <c r="F311" t="s">
        <v>2377</v>
      </c>
      <c r="G311"/>
      <c r="H311"/>
      <c r="I311" t="s">
        <v>2378</v>
      </c>
      <c r="J311" t="s">
        <v>244</v>
      </c>
      <c r="K311"/>
      <c r="L311"/>
      <c r="M311"/>
      <c r="N311"/>
      <c r="O311"/>
      <c r="P311"/>
      <c r="Q311"/>
      <c r="R311"/>
      <c r="S311"/>
      <c r="T311"/>
      <c r="U311"/>
      <c r="V311"/>
      <c r="W311"/>
      <c r="X311"/>
      <c r="Y311"/>
      <c r="Z311"/>
      <c r="AA311" t="s">
        <v>2379</v>
      </c>
      <c r="AB311"/>
      <c r="AC311"/>
      <c r="AD311"/>
      <c r="AE311"/>
      <c r="AF311"/>
      <c r="AG311"/>
      <c r="AH311"/>
      <c r="AI311"/>
      <c r="AJ311"/>
      <c r="AK311"/>
      <c r="AL311"/>
      <c r="AM311"/>
      <c r="AN311"/>
      <c r="AO311" t="s">
        <v>245</v>
      </c>
      <c r="AP311" t="s">
        <v>246</v>
      </c>
      <c r="AQ311"/>
      <c r="AR311"/>
      <c r="AS311"/>
      <c r="AT311"/>
      <c r="AU311">
        <v>2019</v>
      </c>
      <c r="AV311"/>
      <c r="AW311">
        <v>4</v>
      </c>
      <c r="AX311"/>
      <c r="AY311"/>
      <c r="AZ311"/>
      <c r="BA311"/>
      <c r="BB311">
        <v>172</v>
      </c>
      <c r="BC311">
        <v>175</v>
      </c>
      <c r="BD311"/>
      <c r="BE311"/>
      <c r="BF311"/>
      <c r="BG311"/>
      <c r="BH311"/>
      <c r="BI311"/>
      <c r="BJ311"/>
      <c r="BK311"/>
      <c r="BL311"/>
      <c r="BM311"/>
      <c r="BN311"/>
      <c r="BO311"/>
      <c r="BP311"/>
      <c r="BQ311"/>
      <c r="BR311"/>
      <c r="BS311" t="s">
        <v>2380</v>
      </c>
      <c r="BT311" t="str">
        <f>HYPERLINK("https%3A%2F%2Fwww.webofscience.com%2Fwos%2Fwoscc%2Ffull-record%2FWOS:000467893700017","View Full Record in Web of Science")</f>
        <v>View Full Record in Web of Science</v>
      </c>
    </row>
    <row r="312" spans="1:75" customHeight="1" ht="12.75">
      <c r="A312" t="s">
        <v>72</v>
      </c>
      <c r="B312" t="s">
        <v>102</v>
      </c>
      <c r="C312"/>
      <c r="D312"/>
      <c r="E312"/>
      <c r="F312" t="s">
        <v>242</v>
      </c>
      <c r="G312"/>
      <c r="H312"/>
      <c r="I312" t="s">
        <v>2381</v>
      </c>
      <c r="J312" t="s">
        <v>244</v>
      </c>
      <c r="K312"/>
      <c r="L312"/>
      <c r="M312"/>
      <c r="N312"/>
      <c r="O312"/>
      <c r="P312"/>
      <c r="Q312"/>
      <c r="R312"/>
      <c r="S312"/>
      <c r="T312"/>
      <c r="U312"/>
      <c r="V312"/>
      <c r="W312"/>
      <c r="X312"/>
      <c r="Y312"/>
      <c r="Z312"/>
      <c r="AA312"/>
      <c r="AB312"/>
      <c r="AC312"/>
      <c r="AD312"/>
      <c r="AE312"/>
      <c r="AF312"/>
      <c r="AG312"/>
      <c r="AH312"/>
      <c r="AI312"/>
      <c r="AJ312"/>
      <c r="AK312"/>
      <c r="AL312"/>
      <c r="AM312"/>
      <c r="AN312"/>
      <c r="AO312" t="s">
        <v>245</v>
      </c>
      <c r="AP312" t="s">
        <v>246</v>
      </c>
      <c r="AQ312"/>
      <c r="AR312"/>
      <c r="AS312"/>
      <c r="AT312"/>
      <c r="AU312">
        <v>2019</v>
      </c>
      <c r="AV312"/>
      <c r="AW312">
        <v>5</v>
      </c>
      <c r="AX312"/>
      <c r="AY312"/>
      <c r="AZ312"/>
      <c r="BA312"/>
      <c r="BB312">
        <v>93</v>
      </c>
      <c r="BC312">
        <v>105</v>
      </c>
      <c r="BD312"/>
      <c r="BE312"/>
      <c r="BF312"/>
      <c r="BG312"/>
      <c r="BH312"/>
      <c r="BI312"/>
      <c r="BJ312"/>
      <c r="BK312"/>
      <c r="BL312"/>
      <c r="BM312"/>
      <c r="BN312"/>
      <c r="BO312"/>
      <c r="BP312"/>
      <c r="BQ312"/>
      <c r="BR312"/>
      <c r="BS312" t="s">
        <v>2382</v>
      </c>
      <c r="BT312" t="str">
        <f>HYPERLINK("https%3A%2F%2Fwww.webofscience.com%2Fwos%2Fwoscc%2Ffull-record%2FWOS:000473107100007","View Full Record in Web of Science")</f>
        <v>View Full Record in Web of Science</v>
      </c>
    </row>
    <row r="313" spans="1:75" customHeight="1" ht="12.75">
      <c r="A313" t="s">
        <v>147</v>
      </c>
      <c r="B313" t="s">
        <v>2383</v>
      </c>
      <c r="C313"/>
      <c r="D313" t="s">
        <v>386</v>
      </c>
      <c r="E313"/>
      <c r="F313" t="s">
        <v>2384</v>
      </c>
      <c r="G313"/>
      <c r="H313"/>
      <c r="I313" t="s">
        <v>2385</v>
      </c>
      <c r="J313" t="s">
        <v>389</v>
      </c>
      <c r="K313" t="s">
        <v>390</v>
      </c>
      <c r="L313"/>
      <c r="M313"/>
      <c r="N313"/>
      <c r="O313" t="s">
        <v>391</v>
      </c>
      <c r="P313" t="s">
        <v>392</v>
      </c>
      <c r="Q313" t="s">
        <v>393</v>
      </c>
      <c r="R313" t="s">
        <v>394</v>
      </c>
      <c r="S313"/>
      <c r="T313"/>
      <c r="U313"/>
      <c r="V313"/>
      <c r="W313"/>
      <c r="X313"/>
      <c r="Y313"/>
      <c r="Z313"/>
      <c r="AA313" t="s">
        <v>2386</v>
      </c>
      <c r="AB313" t="s">
        <v>2387</v>
      </c>
      <c r="AC313"/>
      <c r="AD313"/>
      <c r="AE313"/>
      <c r="AF313"/>
      <c r="AG313"/>
      <c r="AH313"/>
      <c r="AI313"/>
      <c r="AJ313"/>
      <c r="AK313"/>
      <c r="AL313"/>
      <c r="AM313"/>
      <c r="AN313"/>
      <c r="AO313" t="s">
        <v>395</v>
      </c>
      <c r="AP313"/>
      <c r="AQ313" t="s">
        <v>396</v>
      </c>
      <c r="AR313"/>
      <c r="AS313"/>
      <c r="AT313"/>
      <c r="AU313">
        <v>2019</v>
      </c>
      <c r="AV313"/>
      <c r="AW313"/>
      <c r="AX313"/>
      <c r="AY313"/>
      <c r="AZ313"/>
      <c r="BA313"/>
      <c r="BB313">
        <v>599</v>
      </c>
      <c r="BC313">
        <v>602</v>
      </c>
      <c r="BD313"/>
      <c r="BE313"/>
      <c r="BF313"/>
      <c r="BG313"/>
      <c r="BH313"/>
      <c r="BI313"/>
      <c r="BJ313"/>
      <c r="BK313"/>
      <c r="BL313"/>
      <c r="BM313"/>
      <c r="BN313"/>
      <c r="BO313"/>
      <c r="BP313"/>
      <c r="BQ313"/>
      <c r="BR313"/>
      <c r="BS313" t="s">
        <v>2388</v>
      </c>
      <c r="BT313" t="str">
        <f>HYPERLINK("https%3A%2F%2Fwww.webofscience.com%2Fwos%2Fwoscc%2Ffull-record%2FWOS:000492146100144","View Full Record in Web of Science")</f>
        <v>View Full Record in Web of Science</v>
      </c>
    </row>
    <row r="314" spans="1:75" customHeight="1" ht="12.75">
      <c r="A314" t="s">
        <v>72</v>
      </c>
      <c r="B314" t="s">
        <v>2389</v>
      </c>
      <c r="C314"/>
      <c r="D314"/>
      <c r="E314"/>
      <c r="F314" t="s">
        <v>2390</v>
      </c>
      <c r="G314"/>
      <c r="H314"/>
      <c r="I314" t="s">
        <v>2391</v>
      </c>
      <c r="J314" t="s">
        <v>650</v>
      </c>
      <c r="K314"/>
      <c r="L314"/>
      <c r="M314"/>
      <c r="N314"/>
      <c r="O314"/>
      <c r="P314"/>
      <c r="Q314"/>
      <c r="R314"/>
      <c r="S314"/>
      <c r="T314"/>
      <c r="U314"/>
      <c r="V314"/>
      <c r="W314"/>
      <c r="X314"/>
      <c r="Y314"/>
      <c r="Z314"/>
      <c r="AA314" t="s">
        <v>2392</v>
      </c>
      <c r="AB314" t="s">
        <v>2393</v>
      </c>
      <c r="AC314"/>
      <c r="AD314"/>
      <c r="AE314"/>
      <c r="AF314"/>
      <c r="AG314"/>
      <c r="AH314"/>
      <c r="AI314"/>
      <c r="AJ314"/>
      <c r="AK314"/>
      <c r="AL314"/>
      <c r="AM314"/>
      <c r="AN314"/>
      <c r="AO314" t="s">
        <v>653</v>
      </c>
      <c r="AP314" t="s">
        <v>654</v>
      </c>
      <c r="AQ314"/>
      <c r="AR314"/>
      <c r="AS314"/>
      <c r="AT314" t="s">
        <v>655</v>
      </c>
      <c r="AU314">
        <v>2018</v>
      </c>
      <c r="AV314"/>
      <c r="AW314">
        <v>2</v>
      </c>
      <c r="AX314"/>
      <c r="AY314"/>
      <c r="AZ314"/>
      <c r="BA314"/>
      <c r="BB314">
        <v>174</v>
      </c>
      <c r="BC314">
        <v>177</v>
      </c>
      <c r="BD314"/>
      <c r="BE314" t="s">
        <v>2394</v>
      </c>
      <c r="BF314" t="str">
        <f>HYPERLINK("http://dx.doi.org/10.1134/S0036029518020076","http://dx.doi.org/10.1134/S0036029518020076")</f>
        <v>http://dx.doi.org/10.1134/S0036029518020076</v>
      </c>
      <c r="BG314"/>
      <c r="BH314"/>
      <c r="BI314"/>
      <c r="BJ314"/>
      <c r="BK314"/>
      <c r="BL314"/>
      <c r="BM314"/>
      <c r="BN314"/>
      <c r="BO314"/>
      <c r="BP314"/>
      <c r="BQ314"/>
      <c r="BR314"/>
      <c r="BS314" t="s">
        <v>2395</v>
      </c>
      <c r="BT314" t="str">
        <f>HYPERLINK("https%3A%2F%2Fwww.webofscience.com%2Fwos%2Fwoscc%2Ffull-record%2FWOS:000435618500013","View Full Record in Web of Science")</f>
        <v>View Full Record in Web of Science</v>
      </c>
    </row>
    <row r="315" spans="1:75" customHeight="1" ht="12.75">
      <c r="A315" t="s">
        <v>72</v>
      </c>
      <c r="B315" t="s">
        <v>2396</v>
      </c>
      <c r="C315"/>
      <c r="D315"/>
      <c r="E315"/>
      <c r="F315" t="s">
        <v>2397</v>
      </c>
      <c r="G315"/>
      <c r="H315"/>
      <c r="I315" t="s">
        <v>2398</v>
      </c>
      <c r="J315" t="s">
        <v>614</v>
      </c>
      <c r="K315"/>
      <c r="L315"/>
      <c r="M315"/>
      <c r="N315"/>
      <c r="O315"/>
      <c r="P315"/>
      <c r="Q315"/>
      <c r="R315"/>
      <c r="S315"/>
      <c r="T315"/>
      <c r="U315"/>
      <c r="V315"/>
      <c r="W315"/>
      <c r="X315"/>
      <c r="Y315"/>
      <c r="Z315"/>
      <c r="AA315"/>
      <c r="AB315" t="s">
        <v>2399</v>
      </c>
      <c r="AC315"/>
      <c r="AD315"/>
      <c r="AE315"/>
      <c r="AF315"/>
      <c r="AG315"/>
      <c r="AH315"/>
      <c r="AI315"/>
      <c r="AJ315"/>
      <c r="AK315"/>
      <c r="AL315"/>
      <c r="AM315"/>
      <c r="AN315"/>
      <c r="AO315" t="s">
        <v>617</v>
      </c>
      <c r="AP315" t="s">
        <v>1720</v>
      </c>
      <c r="AQ315"/>
      <c r="AR315"/>
      <c r="AS315"/>
      <c r="AT315" t="s">
        <v>125</v>
      </c>
      <c r="AU315">
        <v>2017</v>
      </c>
      <c r="AV315">
        <v>53</v>
      </c>
      <c r="AW315">
        <v>7</v>
      </c>
      <c r="AX315"/>
      <c r="AY315"/>
      <c r="AZ315"/>
      <c r="BA315"/>
      <c r="BB315">
        <v>790</v>
      </c>
      <c r="BC315">
        <v>798</v>
      </c>
      <c r="BD315"/>
      <c r="BE315" t="s">
        <v>2400</v>
      </c>
      <c r="BF315" t="str">
        <f>HYPERLINK("http://dx.doi.org/10.1134/S1023193517070059","http://dx.doi.org/10.1134/S1023193517070059")</f>
        <v>http://dx.doi.org/10.1134/S1023193517070059</v>
      </c>
      <c r="BG315"/>
      <c r="BH315"/>
      <c r="BI315"/>
      <c r="BJ315"/>
      <c r="BK315"/>
      <c r="BL315"/>
      <c r="BM315"/>
      <c r="BN315"/>
      <c r="BO315"/>
      <c r="BP315"/>
      <c r="BQ315"/>
      <c r="BR315"/>
      <c r="BS315" t="s">
        <v>2401</v>
      </c>
      <c r="BT315" t="str">
        <f>HYPERLINK("https%3A%2F%2Fwww.webofscience.com%2Fwos%2Fwoscc%2Ffull-record%2FWOS:000407274400015","View Full Record in Web of Science")</f>
        <v>View Full Record in Web of Science</v>
      </c>
    </row>
    <row r="316" spans="1:75" customHeight="1" ht="12.75">
      <c r="A316" t="s">
        <v>147</v>
      </c>
      <c r="B316" t="s">
        <v>2402</v>
      </c>
      <c r="C316"/>
      <c r="D316"/>
      <c r="E316" t="s">
        <v>175</v>
      </c>
      <c r="F316" t="s">
        <v>2403</v>
      </c>
      <c r="G316"/>
      <c r="H316"/>
      <c r="I316" t="s">
        <v>2404</v>
      </c>
      <c r="J316" t="s">
        <v>2405</v>
      </c>
      <c r="K316" t="s">
        <v>1469</v>
      </c>
      <c r="L316"/>
      <c r="M316"/>
      <c r="N316"/>
      <c r="O316" t="s">
        <v>1619</v>
      </c>
      <c r="P316" t="s">
        <v>2406</v>
      </c>
      <c r="Q316" t="s">
        <v>1542</v>
      </c>
      <c r="R316" t="s">
        <v>2407</v>
      </c>
      <c r="S316"/>
      <c r="T316"/>
      <c r="U316"/>
      <c r="V316"/>
      <c r="W316"/>
      <c r="X316"/>
      <c r="Y316"/>
      <c r="Z316"/>
      <c r="AA316" t="s">
        <v>2408</v>
      </c>
      <c r="AB316" t="s">
        <v>2409</v>
      </c>
      <c r="AC316"/>
      <c r="AD316"/>
      <c r="AE316"/>
      <c r="AF316"/>
      <c r="AG316"/>
      <c r="AH316"/>
      <c r="AI316"/>
      <c r="AJ316"/>
      <c r="AK316"/>
      <c r="AL316"/>
      <c r="AM316"/>
      <c r="AN316"/>
      <c r="AO316" t="s">
        <v>1472</v>
      </c>
      <c r="AP316"/>
      <c r="AQ316"/>
      <c r="AR316"/>
      <c r="AS316"/>
      <c r="AT316"/>
      <c r="AU316">
        <v>2017</v>
      </c>
      <c r="AV316">
        <v>262</v>
      </c>
      <c r="AW316"/>
      <c r="AX316"/>
      <c r="AY316"/>
      <c r="AZ316"/>
      <c r="BA316"/>
      <c r="BB316"/>
      <c r="BC316"/>
      <c r="BD316">
        <v>12010</v>
      </c>
      <c r="BE316" t="s">
        <v>2410</v>
      </c>
      <c r="BF316" t="str">
        <f>HYPERLINK("http://dx.doi.org/10.1088/1757-899X/262/1/012010","http://dx.doi.org/10.1088/1757-899X/262/1/012010")</f>
        <v>http://dx.doi.org/10.1088/1757-899X/262/1/012010</v>
      </c>
      <c r="BG316"/>
      <c r="BH316"/>
      <c r="BI316"/>
      <c r="BJ316"/>
      <c r="BK316"/>
      <c r="BL316"/>
      <c r="BM316"/>
      <c r="BN316"/>
      <c r="BO316"/>
      <c r="BP316"/>
      <c r="BQ316"/>
      <c r="BR316"/>
      <c r="BS316" t="s">
        <v>2411</v>
      </c>
      <c r="BT316" t="str">
        <f>HYPERLINK("https%3A%2F%2Fwww.webofscience.com%2Fwos%2Fwoscc%2Ffull-record%2FWOS:000423728200010","View Full Record in Web of Science")</f>
        <v>View Full Record in Web of Science</v>
      </c>
    </row>
    <row r="317" spans="1:75" customHeight="1" ht="12.75">
      <c r="A317" t="s">
        <v>72</v>
      </c>
      <c r="B317" t="s">
        <v>1597</v>
      </c>
      <c r="C317"/>
      <c r="D317"/>
      <c r="E317"/>
      <c r="F317" t="s">
        <v>2412</v>
      </c>
      <c r="G317"/>
      <c r="H317"/>
      <c r="I317" t="s">
        <v>2413</v>
      </c>
      <c r="J317" t="s">
        <v>244</v>
      </c>
      <c r="K317"/>
      <c r="L317"/>
      <c r="M317"/>
      <c r="N317"/>
      <c r="O317"/>
      <c r="P317"/>
      <c r="Q317"/>
      <c r="R317"/>
      <c r="S317"/>
      <c r="T317"/>
      <c r="U317"/>
      <c r="V317"/>
      <c r="W317"/>
      <c r="X317"/>
      <c r="Y317"/>
      <c r="Z317"/>
      <c r="AA317"/>
      <c r="AB317"/>
      <c r="AC317"/>
      <c r="AD317"/>
      <c r="AE317"/>
      <c r="AF317"/>
      <c r="AG317"/>
      <c r="AH317"/>
      <c r="AI317"/>
      <c r="AJ317"/>
      <c r="AK317"/>
      <c r="AL317"/>
      <c r="AM317"/>
      <c r="AN317"/>
      <c r="AO317" t="s">
        <v>245</v>
      </c>
      <c r="AP317" t="s">
        <v>246</v>
      </c>
      <c r="AQ317"/>
      <c r="AR317"/>
      <c r="AS317"/>
      <c r="AT317"/>
      <c r="AU317">
        <v>2016</v>
      </c>
      <c r="AV317"/>
      <c r="AW317">
        <v>4</v>
      </c>
      <c r="AX317"/>
      <c r="AY317"/>
      <c r="AZ317"/>
      <c r="BA317"/>
      <c r="BB317">
        <v>143</v>
      </c>
      <c r="BC317">
        <v>159</v>
      </c>
      <c r="BD317"/>
      <c r="BE317"/>
      <c r="BF317"/>
      <c r="BG317"/>
      <c r="BH317"/>
      <c r="BI317"/>
      <c r="BJ317"/>
      <c r="BK317"/>
      <c r="BL317"/>
      <c r="BM317"/>
      <c r="BN317"/>
      <c r="BO317"/>
      <c r="BP317"/>
      <c r="BQ317"/>
      <c r="BR317"/>
      <c r="BS317" t="s">
        <v>2414</v>
      </c>
      <c r="BT317" t="str">
        <f>HYPERLINK("https%3A%2F%2Fwww.webofscience.com%2Fwos%2Fwoscc%2Ffull-record%2FWOS:000375522500012","View Full Record in Web of Science")</f>
        <v>View Full Record in Web of Science</v>
      </c>
    </row>
    <row r="318" spans="1:75" customHeight="1" ht="12.75">
      <c r="A318" t="s">
        <v>72</v>
      </c>
      <c r="B318" t="s">
        <v>1294</v>
      </c>
      <c r="C318"/>
      <c r="D318"/>
      <c r="E318"/>
      <c r="F318" t="s">
        <v>1296</v>
      </c>
      <c r="G318"/>
      <c r="H318"/>
      <c r="I318" t="s">
        <v>2415</v>
      </c>
      <c r="J318" t="s">
        <v>2416</v>
      </c>
      <c r="K318"/>
      <c r="L318"/>
      <c r="M318"/>
      <c r="N318"/>
      <c r="O318"/>
      <c r="P318"/>
      <c r="Q318"/>
      <c r="R318"/>
      <c r="S318"/>
      <c r="T318"/>
      <c r="U318"/>
      <c r="V318"/>
      <c r="W318"/>
      <c r="X318"/>
      <c r="Y318"/>
      <c r="Z318"/>
      <c r="AA318"/>
      <c r="AB318"/>
      <c r="AC318"/>
      <c r="AD318"/>
      <c r="AE318"/>
      <c r="AF318"/>
      <c r="AG318"/>
      <c r="AH318"/>
      <c r="AI318"/>
      <c r="AJ318"/>
      <c r="AK318"/>
      <c r="AL318"/>
      <c r="AM318"/>
      <c r="AN318"/>
      <c r="AO318" t="s">
        <v>2417</v>
      </c>
      <c r="AP318" t="s">
        <v>2418</v>
      </c>
      <c r="AQ318"/>
      <c r="AR318"/>
      <c r="AS318"/>
      <c r="AT318"/>
      <c r="AU318">
        <v>2014</v>
      </c>
      <c r="AV318">
        <v>9</v>
      </c>
      <c r="AW318">
        <v>3</v>
      </c>
      <c r="AX318"/>
      <c r="AY318"/>
      <c r="AZ318"/>
      <c r="BA318"/>
      <c r="BB318">
        <v>221</v>
      </c>
      <c r="BC318">
        <v>234</v>
      </c>
      <c r="BD318"/>
      <c r="BE318" t="s">
        <v>2419</v>
      </c>
      <c r="BF318" t="str">
        <f>HYPERLINK("http://dx.doi.org/10.1504/IJDMB.2014.060049","http://dx.doi.org/10.1504/IJDMB.2014.060049")</f>
        <v>http://dx.doi.org/10.1504/IJDMB.2014.060049</v>
      </c>
      <c r="BG318"/>
      <c r="BH318"/>
      <c r="BI318"/>
      <c r="BJ318"/>
      <c r="BK318"/>
      <c r="BL318"/>
      <c r="BM318"/>
      <c r="BN318">
        <v>25163166</v>
      </c>
      <c r="BO318"/>
      <c r="BP318"/>
      <c r="BQ318"/>
      <c r="BR318"/>
      <c r="BS318" t="s">
        <v>2420</v>
      </c>
      <c r="BT318" t="str">
        <f>HYPERLINK("https%3A%2F%2Fwww.webofscience.com%2Fwos%2Fwoscc%2Ffull-record%2FWOS:000333745900001","View Full Record in Web of Science")</f>
        <v>View Full Record in Web of Science</v>
      </c>
    </row>
    <row r="319" spans="1:75" customHeight="1" ht="12.75">
      <c r="A319" t="s">
        <v>72</v>
      </c>
      <c r="B319" t="s">
        <v>2421</v>
      </c>
      <c r="C319"/>
      <c r="D319"/>
      <c r="E319"/>
      <c r="F319" t="s">
        <v>2422</v>
      </c>
      <c r="G319"/>
      <c r="H319"/>
      <c r="I319" t="s">
        <v>2423</v>
      </c>
      <c r="J319" t="s">
        <v>614</v>
      </c>
      <c r="K319"/>
      <c r="L319"/>
      <c r="M319"/>
      <c r="N319"/>
      <c r="O319"/>
      <c r="P319"/>
      <c r="Q319"/>
      <c r="R319"/>
      <c r="S319"/>
      <c r="T319"/>
      <c r="U319"/>
      <c r="V319"/>
      <c r="W319"/>
      <c r="X319"/>
      <c r="Y319"/>
      <c r="Z319"/>
      <c r="AA319" t="s">
        <v>1718</v>
      </c>
      <c r="AB319" t="s">
        <v>1719</v>
      </c>
      <c r="AC319"/>
      <c r="AD319"/>
      <c r="AE319"/>
      <c r="AF319"/>
      <c r="AG319"/>
      <c r="AH319"/>
      <c r="AI319"/>
      <c r="AJ319"/>
      <c r="AK319"/>
      <c r="AL319"/>
      <c r="AM319"/>
      <c r="AN319"/>
      <c r="AO319" t="s">
        <v>617</v>
      </c>
      <c r="AP319"/>
      <c r="AQ319"/>
      <c r="AR319"/>
      <c r="AS319"/>
      <c r="AT319" t="s">
        <v>1173</v>
      </c>
      <c r="AU319">
        <v>2013</v>
      </c>
      <c r="AV319">
        <v>49</v>
      </c>
      <c r="AW319">
        <v>8</v>
      </c>
      <c r="AX319"/>
      <c r="AY319"/>
      <c r="AZ319"/>
      <c r="BA319"/>
      <c r="BB319">
        <v>763</v>
      </c>
      <c r="BC319">
        <v>768</v>
      </c>
      <c r="BD319"/>
      <c r="BE319" t="s">
        <v>2424</v>
      </c>
      <c r="BF319" t="str">
        <f>HYPERLINK("http://dx.doi.org/10.1134/S102319351308003X","http://dx.doi.org/10.1134/S102319351308003X")</f>
        <v>http://dx.doi.org/10.1134/S102319351308003X</v>
      </c>
      <c r="BG319"/>
      <c r="BH319"/>
      <c r="BI319"/>
      <c r="BJ319"/>
      <c r="BK319"/>
      <c r="BL319"/>
      <c r="BM319"/>
      <c r="BN319"/>
      <c r="BO319"/>
      <c r="BP319"/>
      <c r="BQ319"/>
      <c r="BR319"/>
      <c r="BS319" t="s">
        <v>2425</v>
      </c>
      <c r="BT319" t="str">
        <f>HYPERLINK("https%3A%2F%2Fwww.webofscience.com%2Fwos%2Fwoscc%2Ffull-record%2FWOS:000323258500006","View Full Record in Web of Science")</f>
        <v>View Full Record in Web of Science</v>
      </c>
    </row>
    <row r="320" spans="1:75" customHeight="1" ht="12.75">
      <c r="A320" t="s">
        <v>72</v>
      </c>
      <c r="B320" t="s">
        <v>2426</v>
      </c>
      <c r="C320"/>
      <c r="D320"/>
      <c r="E320"/>
      <c r="F320" t="s">
        <v>2427</v>
      </c>
      <c r="G320"/>
      <c r="H320"/>
      <c r="I320" t="s">
        <v>2428</v>
      </c>
      <c r="J320" t="s">
        <v>409</v>
      </c>
      <c r="K320"/>
      <c r="L320"/>
      <c r="M320"/>
      <c r="N320"/>
      <c r="O320"/>
      <c r="P320"/>
      <c r="Q320"/>
      <c r="R320"/>
      <c r="S320"/>
      <c r="T320"/>
      <c r="U320"/>
      <c r="V320"/>
      <c r="W320"/>
      <c r="X320"/>
      <c r="Y320"/>
      <c r="Z320"/>
      <c r="AA320" t="s">
        <v>2429</v>
      </c>
      <c r="AB320" t="s">
        <v>2430</v>
      </c>
      <c r="AC320"/>
      <c r="AD320"/>
      <c r="AE320"/>
      <c r="AF320"/>
      <c r="AG320"/>
      <c r="AH320"/>
      <c r="AI320"/>
      <c r="AJ320"/>
      <c r="AK320"/>
      <c r="AL320"/>
      <c r="AM320"/>
      <c r="AN320"/>
      <c r="AO320" t="s">
        <v>412</v>
      </c>
      <c r="AP320"/>
      <c r="AQ320"/>
      <c r="AR320"/>
      <c r="AS320"/>
      <c r="AT320" t="s">
        <v>830</v>
      </c>
      <c r="AU320">
        <v>2011</v>
      </c>
      <c r="AV320">
        <v>84</v>
      </c>
      <c r="AW320">
        <v>9</v>
      </c>
      <c r="AX320"/>
      <c r="AY320"/>
      <c r="AZ320"/>
      <c r="BA320"/>
      <c r="BB320">
        <v>1616</v>
      </c>
      <c r="BC320">
        <v>1622</v>
      </c>
      <c r="BD320"/>
      <c r="BE320" t="s">
        <v>2431</v>
      </c>
      <c r="BF320" t="str">
        <f>HYPERLINK("http://dx.doi.org/10.1134/S1070427211090278","http://dx.doi.org/10.1134/S1070427211090278")</f>
        <v>http://dx.doi.org/10.1134/S1070427211090278</v>
      </c>
      <c r="BG320"/>
      <c r="BH320"/>
      <c r="BI320"/>
      <c r="BJ320"/>
      <c r="BK320"/>
      <c r="BL320"/>
      <c r="BM320"/>
      <c r="BN320"/>
      <c r="BO320"/>
      <c r="BP320"/>
      <c r="BQ320"/>
      <c r="BR320"/>
      <c r="BS320" t="s">
        <v>2432</v>
      </c>
      <c r="BT320" t="str">
        <f>HYPERLINK("https%3A%2F%2Fwww.webofscience.com%2Fwos%2Fwoscc%2Ffull-record%2FWOS:000297357300027","View Full Record in Web of Science")</f>
        <v>View Full Record in Web of Science</v>
      </c>
    </row>
    <row r="321" spans="1:75" customHeight="1" ht="12.75">
      <c r="A321" t="s">
        <v>72</v>
      </c>
      <c r="B321" t="s">
        <v>2433</v>
      </c>
      <c r="C321"/>
      <c r="D321"/>
      <c r="E321"/>
      <c r="F321" t="s">
        <v>2433</v>
      </c>
      <c r="G321"/>
      <c r="H321"/>
      <c r="I321" t="s">
        <v>2434</v>
      </c>
      <c r="J321" t="s">
        <v>409</v>
      </c>
      <c r="K321"/>
      <c r="L321"/>
      <c r="M321"/>
      <c r="N321"/>
      <c r="O321"/>
      <c r="P321"/>
      <c r="Q321"/>
      <c r="R321"/>
      <c r="S321"/>
      <c r="T321"/>
      <c r="U321"/>
      <c r="V321"/>
      <c r="W321"/>
      <c r="X321"/>
      <c r="Y321"/>
      <c r="Z321"/>
      <c r="AA321" t="s">
        <v>480</v>
      </c>
      <c r="AB321" t="s">
        <v>481</v>
      </c>
      <c r="AC321"/>
      <c r="AD321"/>
      <c r="AE321"/>
      <c r="AF321"/>
      <c r="AG321"/>
      <c r="AH321"/>
      <c r="AI321"/>
      <c r="AJ321"/>
      <c r="AK321"/>
      <c r="AL321"/>
      <c r="AM321"/>
      <c r="AN321"/>
      <c r="AO321" t="s">
        <v>412</v>
      </c>
      <c r="AP321"/>
      <c r="AQ321"/>
      <c r="AR321"/>
      <c r="AS321"/>
      <c r="AT321" t="s">
        <v>541</v>
      </c>
      <c r="AU321">
        <v>2002</v>
      </c>
      <c r="AV321">
        <v>75</v>
      </c>
      <c r="AW321">
        <v>1</v>
      </c>
      <c r="AX321"/>
      <c r="AY321"/>
      <c r="AZ321"/>
      <c r="BA321"/>
      <c r="BB321">
        <v>63</v>
      </c>
      <c r="BC321">
        <v>67</v>
      </c>
      <c r="BD321"/>
      <c r="BE321" t="s">
        <v>2435</v>
      </c>
      <c r="BF321" t="str">
        <f>HYPERLINK("http://dx.doi.org/10.1023/A:1015564806467","http://dx.doi.org/10.1023/A:1015564806467")</f>
        <v>http://dx.doi.org/10.1023/A:1015564806467</v>
      </c>
      <c r="BG321"/>
      <c r="BH321"/>
      <c r="BI321"/>
      <c r="BJ321"/>
      <c r="BK321"/>
      <c r="BL321"/>
      <c r="BM321"/>
      <c r="BN321"/>
      <c r="BO321"/>
      <c r="BP321"/>
      <c r="BQ321"/>
      <c r="BR321"/>
      <c r="BS321" t="s">
        <v>2436</v>
      </c>
      <c r="BT321" t="str">
        <f>HYPERLINK("https%3A%2F%2Fwww.webofscience.com%2Fwos%2Fwoscc%2Ffull-record%2FWOS:000175980800015","View Full Record in Web of Science")</f>
        <v>View Full Record in Web of Science</v>
      </c>
    </row>
    <row r="322" spans="1:75" customHeight="1" ht="12.75">
      <c r="A322" t="s">
        <v>72</v>
      </c>
      <c r="B322" t="s">
        <v>2437</v>
      </c>
      <c r="C322"/>
      <c r="D322"/>
      <c r="E322"/>
      <c r="F322" t="s">
        <v>2437</v>
      </c>
      <c r="G322"/>
      <c r="H322"/>
      <c r="I322" t="s">
        <v>2438</v>
      </c>
      <c r="J322" t="s">
        <v>940</v>
      </c>
      <c r="K322"/>
      <c r="L322"/>
      <c r="M322"/>
      <c r="N322"/>
      <c r="O322"/>
      <c r="P322"/>
      <c r="Q322"/>
      <c r="R322"/>
      <c r="S322"/>
      <c r="T322"/>
      <c r="U322"/>
      <c r="V322"/>
      <c r="W322"/>
      <c r="X322"/>
      <c r="Y322"/>
      <c r="Z322"/>
      <c r="AA322"/>
      <c r="AB322"/>
      <c r="AC322"/>
      <c r="AD322"/>
      <c r="AE322"/>
      <c r="AF322"/>
      <c r="AG322"/>
      <c r="AH322"/>
      <c r="AI322"/>
      <c r="AJ322"/>
      <c r="AK322"/>
      <c r="AL322"/>
      <c r="AM322"/>
      <c r="AN322"/>
      <c r="AO322" t="s">
        <v>943</v>
      </c>
      <c r="AP322"/>
      <c r="AQ322"/>
      <c r="AR322"/>
      <c r="AS322"/>
      <c r="AT322" t="s">
        <v>1012</v>
      </c>
      <c r="AU322">
        <v>1996</v>
      </c>
      <c r="AV322">
        <v>38</v>
      </c>
      <c r="AW322" t="s">
        <v>1594</v>
      </c>
      <c r="AX322"/>
      <c r="AY322"/>
      <c r="AZ322"/>
      <c r="BA322"/>
      <c r="BB322">
        <v>395</v>
      </c>
      <c r="BC322">
        <v>398</v>
      </c>
      <c r="BD322"/>
      <c r="BE322" t="s">
        <v>2439</v>
      </c>
      <c r="BF322" t="str">
        <f>HYPERLINK("http://dx.doi.org/10.1007/BF01395646","http://dx.doi.org/10.1007/BF01395646")</f>
        <v>http://dx.doi.org/10.1007/BF01395646</v>
      </c>
      <c r="BG322"/>
      <c r="BH322"/>
      <c r="BI322"/>
      <c r="BJ322"/>
      <c r="BK322"/>
      <c r="BL322"/>
      <c r="BM322"/>
      <c r="BN322"/>
      <c r="BO322"/>
      <c r="BP322"/>
      <c r="BQ322"/>
      <c r="BR322"/>
      <c r="BS322" t="s">
        <v>2440</v>
      </c>
      <c r="BT322" t="str">
        <f>HYPERLINK("https%3A%2F%2Fwww.webofscience.com%2Fwos%2Fwoscc%2Ffull-record%2FWOS:A1996XD81500008","View Full Record in Web of Science")</f>
        <v>View Full Record in Web of Science</v>
      </c>
    </row>
    <row r="323" spans="1:75" customHeight="1" ht="12.75">
      <c r="A323" t="s">
        <v>72</v>
      </c>
      <c r="B323" t="s">
        <v>2441</v>
      </c>
      <c r="C323"/>
      <c r="D323"/>
      <c r="E323"/>
      <c r="F323" t="s">
        <v>2442</v>
      </c>
      <c r="G323"/>
      <c r="H323"/>
      <c r="I323" t="s">
        <v>2443</v>
      </c>
      <c r="J323" t="s">
        <v>105</v>
      </c>
      <c r="K323"/>
      <c r="L323"/>
      <c r="M323"/>
      <c r="N323"/>
      <c r="O323"/>
      <c r="P323"/>
      <c r="Q323"/>
      <c r="R323"/>
      <c r="S323"/>
      <c r="T323"/>
      <c r="U323"/>
      <c r="V323"/>
      <c r="W323"/>
      <c r="X323"/>
      <c r="Y323"/>
      <c r="Z323"/>
      <c r="AA323"/>
      <c r="AB323"/>
      <c r="AC323"/>
      <c r="AD323"/>
      <c r="AE323"/>
      <c r="AF323"/>
      <c r="AG323"/>
      <c r="AH323"/>
      <c r="AI323"/>
      <c r="AJ323"/>
      <c r="AK323"/>
      <c r="AL323"/>
      <c r="AM323"/>
      <c r="AN323"/>
      <c r="AO323" t="s">
        <v>106</v>
      </c>
      <c r="AP323"/>
      <c r="AQ323"/>
      <c r="AR323"/>
      <c r="AS323"/>
      <c r="AT323"/>
      <c r="AU323">
        <v>2022</v>
      </c>
      <c r="AV323"/>
      <c r="AW323">
        <v>4</v>
      </c>
      <c r="AX323"/>
      <c r="AY323"/>
      <c r="AZ323"/>
      <c r="BA323"/>
      <c r="BB323">
        <v>1271</v>
      </c>
      <c r="BC323" t="s">
        <v>107</v>
      </c>
      <c r="BD323"/>
      <c r="BE323" t="s">
        <v>2444</v>
      </c>
      <c r="BF323" t="str">
        <f>HYPERLINK("http://dx.doi.org/10.28995/2073-0101-2022-4-1271-1279","http://dx.doi.org/10.28995/2073-0101-2022-4-1271-1279")</f>
        <v>http://dx.doi.org/10.28995/2073-0101-2022-4-1271-1279</v>
      </c>
      <c r="BG323"/>
      <c r="BH323"/>
      <c r="BI323"/>
      <c r="BJ323"/>
      <c r="BK323"/>
      <c r="BL323"/>
      <c r="BM323"/>
      <c r="BN323"/>
      <c r="BO323"/>
      <c r="BP323"/>
      <c r="BQ323"/>
      <c r="BR323"/>
      <c r="BS323" t="s">
        <v>2445</v>
      </c>
      <c r="BT323" t="str">
        <f>HYPERLINK("https%3A%2F%2Fwww.webofscience.com%2Fwos%2Fwoscc%2Ffull-record%2FWOS:000906584000023","View Full Record in Web of Science")</f>
        <v>View Full Record in Web of Science</v>
      </c>
    </row>
    <row r="324" spans="1:75" customHeight="1" ht="12.75">
      <c r="A324" t="s">
        <v>72</v>
      </c>
      <c r="B324" t="s">
        <v>2446</v>
      </c>
      <c r="C324"/>
      <c r="D324"/>
      <c r="E324"/>
      <c r="F324" t="s">
        <v>2447</v>
      </c>
      <c r="G324"/>
      <c r="H324"/>
      <c r="I324" t="s">
        <v>2448</v>
      </c>
      <c r="J324" t="s">
        <v>940</v>
      </c>
      <c r="K324"/>
      <c r="L324"/>
      <c r="M324"/>
      <c r="N324"/>
      <c r="O324"/>
      <c r="P324"/>
      <c r="Q324"/>
      <c r="R324"/>
      <c r="S324"/>
      <c r="T324"/>
      <c r="U324"/>
      <c r="V324"/>
      <c r="W324"/>
      <c r="X324"/>
      <c r="Y324"/>
      <c r="Z324"/>
      <c r="AA324" t="s">
        <v>2449</v>
      </c>
      <c r="AB324" t="s">
        <v>2450</v>
      </c>
      <c r="AC324"/>
      <c r="AD324"/>
      <c r="AE324"/>
      <c r="AF324"/>
      <c r="AG324"/>
      <c r="AH324"/>
      <c r="AI324"/>
      <c r="AJ324"/>
      <c r="AK324"/>
      <c r="AL324"/>
      <c r="AM324"/>
      <c r="AN324"/>
      <c r="AO324" t="s">
        <v>943</v>
      </c>
      <c r="AP324" t="s">
        <v>944</v>
      </c>
      <c r="AQ324"/>
      <c r="AR324"/>
      <c r="AS324"/>
      <c r="AT324" t="s">
        <v>88</v>
      </c>
      <c r="AU324">
        <v>2021</v>
      </c>
      <c r="AV324">
        <v>63</v>
      </c>
      <c r="AW324" t="s">
        <v>2451</v>
      </c>
      <c r="AX324"/>
      <c r="AY324"/>
      <c r="AZ324"/>
      <c r="BA324"/>
      <c r="BB324">
        <v>53</v>
      </c>
      <c r="BC324">
        <v>59</v>
      </c>
      <c r="BD324"/>
      <c r="BE324" t="s">
        <v>2452</v>
      </c>
      <c r="BF324" t="str">
        <f>HYPERLINK("http://dx.doi.org/10.1007/s11041-021-00646-0","http://dx.doi.org/10.1007/s11041-021-00646-0")</f>
        <v>http://dx.doi.org/10.1007/s11041-021-00646-0</v>
      </c>
      <c r="BG324"/>
      <c r="BH324" t="s">
        <v>2453</v>
      </c>
      <c r="BI324"/>
      <c r="BJ324"/>
      <c r="BK324"/>
      <c r="BL324"/>
      <c r="BM324"/>
      <c r="BN324"/>
      <c r="BO324"/>
      <c r="BP324"/>
      <c r="BQ324"/>
      <c r="BR324"/>
      <c r="BS324" t="s">
        <v>2454</v>
      </c>
      <c r="BT324" t="str">
        <f>HYPERLINK("https%3A%2F%2Fwww.webofscience.com%2Fwos%2Fwoscc%2Ffull-record%2FWOS:000659035900005","View Full Record in Web of Science")</f>
        <v>View Full Record in Web of Science</v>
      </c>
    </row>
    <row r="325" spans="1:75" customHeight="1" ht="12.75">
      <c r="A325" t="s">
        <v>72</v>
      </c>
      <c r="B325" t="s">
        <v>2455</v>
      </c>
      <c r="C325"/>
      <c r="D325"/>
      <c r="E325"/>
      <c r="F325" t="s">
        <v>2456</v>
      </c>
      <c r="G325"/>
      <c r="H325"/>
      <c r="I325" t="s">
        <v>2457</v>
      </c>
      <c r="J325" t="s">
        <v>325</v>
      </c>
      <c r="K325"/>
      <c r="L325"/>
      <c r="M325"/>
      <c r="N325"/>
      <c r="O325"/>
      <c r="P325"/>
      <c r="Q325"/>
      <c r="R325"/>
      <c r="S325"/>
      <c r="T325"/>
      <c r="U325"/>
      <c r="V325"/>
      <c r="W325"/>
      <c r="X325"/>
      <c r="Y325"/>
      <c r="Z325"/>
      <c r="AA325" t="s">
        <v>2458</v>
      </c>
      <c r="AB325"/>
      <c r="AC325"/>
      <c r="AD325"/>
      <c r="AE325"/>
      <c r="AF325"/>
      <c r="AG325"/>
      <c r="AH325"/>
      <c r="AI325"/>
      <c r="AJ325"/>
      <c r="AK325"/>
      <c r="AL325"/>
      <c r="AM325"/>
      <c r="AN325"/>
      <c r="AO325" t="s">
        <v>328</v>
      </c>
      <c r="AP325" t="s">
        <v>329</v>
      </c>
      <c r="AQ325"/>
      <c r="AR325"/>
      <c r="AS325"/>
      <c r="AT325"/>
      <c r="AU325">
        <v>2020</v>
      </c>
      <c r="AV325">
        <v>14</v>
      </c>
      <c r="AW325">
        <v>2</v>
      </c>
      <c r="AX325"/>
      <c r="AY325"/>
      <c r="AZ325"/>
      <c r="BA325"/>
      <c r="BB325">
        <v>369</v>
      </c>
      <c r="BC325">
        <v>386</v>
      </c>
      <c r="BD325"/>
      <c r="BE325" t="s">
        <v>2459</v>
      </c>
      <c r="BF325" t="str">
        <f>HYPERLINK("http://dx.doi.org/10.24874/IJQR14.02-03","http://dx.doi.org/10.24874/IJQR14.02-03")</f>
        <v>http://dx.doi.org/10.24874/IJQR14.02-03</v>
      </c>
      <c r="BG325"/>
      <c r="BH325"/>
      <c r="BI325"/>
      <c r="BJ325"/>
      <c r="BK325"/>
      <c r="BL325"/>
      <c r="BM325"/>
      <c r="BN325"/>
      <c r="BO325"/>
      <c r="BP325"/>
      <c r="BQ325"/>
      <c r="BR325"/>
      <c r="BS325" t="s">
        <v>2460</v>
      </c>
      <c r="BT325" t="str">
        <f>HYPERLINK("https%3A%2F%2Fwww.webofscience.com%2Fwos%2Fwoscc%2Ffull-record%2FWOS:000531047700003","View Full Record in Web of Science")</f>
        <v>View Full Record in Web of Science</v>
      </c>
    </row>
    <row r="326" spans="1:75" customHeight="1" ht="12.75">
      <c r="A326" t="s">
        <v>147</v>
      </c>
      <c r="B326" t="s">
        <v>2461</v>
      </c>
      <c r="C326"/>
      <c r="D326"/>
      <c r="E326" t="s">
        <v>1465</v>
      </c>
      <c r="F326" t="s">
        <v>2462</v>
      </c>
      <c r="G326"/>
      <c r="H326"/>
      <c r="I326" t="s">
        <v>2463</v>
      </c>
      <c r="J326" t="s">
        <v>1468</v>
      </c>
      <c r="K326" t="s">
        <v>1469</v>
      </c>
      <c r="L326"/>
      <c r="M326"/>
      <c r="N326"/>
      <c r="O326" t="s">
        <v>1277</v>
      </c>
      <c r="P326" t="s">
        <v>771</v>
      </c>
      <c r="Q326" t="s">
        <v>1470</v>
      </c>
      <c r="R326" t="s">
        <v>1471</v>
      </c>
      <c r="S326"/>
      <c r="T326"/>
      <c r="U326"/>
      <c r="V326"/>
      <c r="W326"/>
      <c r="X326"/>
      <c r="Y326"/>
      <c r="Z326"/>
      <c r="AA326"/>
      <c r="AB326"/>
      <c r="AC326"/>
      <c r="AD326"/>
      <c r="AE326"/>
      <c r="AF326"/>
      <c r="AG326"/>
      <c r="AH326"/>
      <c r="AI326"/>
      <c r="AJ326"/>
      <c r="AK326"/>
      <c r="AL326"/>
      <c r="AM326"/>
      <c r="AN326"/>
      <c r="AO326" t="s">
        <v>1472</v>
      </c>
      <c r="AP326"/>
      <c r="AQ326"/>
      <c r="AR326"/>
      <c r="AS326"/>
      <c r="AT326"/>
      <c r="AU326">
        <v>2020</v>
      </c>
      <c r="AV326">
        <v>971</v>
      </c>
      <c r="AW326"/>
      <c r="AX326"/>
      <c r="AY326"/>
      <c r="AZ326"/>
      <c r="BA326"/>
      <c r="BB326"/>
      <c r="BC326"/>
      <c r="BD326">
        <v>32028</v>
      </c>
      <c r="BE326" t="s">
        <v>2464</v>
      </c>
      <c r="BF326" t="str">
        <f>HYPERLINK("http://dx.doi.org/10.1088/1757-899X/971/3/032028","http://dx.doi.org/10.1088/1757-899X/971/3/032028")</f>
        <v>http://dx.doi.org/10.1088/1757-899X/971/3/032028</v>
      </c>
      <c r="BG326"/>
      <c r="BH326"/>
      <c r="BI326"/>
      <c r="BJ326"/>
      <c r="BK326"/>
      <c r="BL326"/>
      <c r="BM326"/>
      <c r="BN326"/>
      <c r="BO326"/>
      <c r="BP326"/>
      <c r="BQ326"/>
      <c r="BR326"/>
      <c r="BS326" t="s">
        <v>2465</v>
      </c>
      <c r="BT326" t="str">
        <f>HYPERLINK("https%3A%2F%2Fwww.webofscience.com%2Fwos%2Fwoscc%2Ffull-record%2FWOS:000646359100129","View Full Record in Web of Science")</f>
        <v>View Full Record in Web of Science</v>
      </c>
    </row>
    <row r="327" spans="1:75" customHeight="1" ht="12.75">
      <c r="A327" t="s">
        <v>72</v>
      </c>
      <c r="B327" t="s">
        <v>296</v>
      </c>
      <c r="C327"/>
      <c r="D327"/>
      <c r="E327"/>
      <c r="F327" t="s">
        <v>297</v>
      </c>
      <c r="G327"/>
      <c r="H327"/>
      <c r="I327" t="s">
        <v>2466</v>
      </c>
      <c r="J327" t="s">
        <v>434</v>
      </c>
      <c r="K327"/>
      <c r="L327"/>
      <c r="M327"/>
      <c r="N327"/>
      <c r="O327"/>
      <c r="P327"/>
      <c r="Q327"/>
      <c r="R327"/>
      <c r="S327"/>
      <c r="T327"/>
      <c r="U327"/>
      <c r="V327"/>
      <c r="W327"/>
      <c r="X327"/>
      <c r="Y327"/>
      <c r="Z327"/>
      <c r="AA327" t="s">
        <v>299</v>
      </c>
      <c r="AB327" t="s">
        <v>300</v>
      </c>
      <c r="AC327"/>
      <c r="AD327"/>
      <c r="AE327"/>
      <c r="AF327"/>
      <c r="AG327"/>
      <c r="AH327"/>
      <c r="AI327"/>
      <c r="AJ327"/>
      <c r="AK327"/>
      <c r="AL327"/>
      <c r="AM327"/>
      <c r="AN327"/>
      <c r="AO327" t="s">
        <v>437</v>
      </c>
      <c r="AP327" t="s">
        <v>438</v>
      </c>
      <c r="AQ327"/>
      <c r="AR327"/>
      <c r="AS327"/>
      <c r="AT327"/>
      <c r="AU327">
        <v>2020</v>
      </c>
      <c r="AV327">
        <v>13</v>
      </c>
      <c r="AW327">
        <v>6</v>
      </c>
      <c r="AX327"/>
      <c r="AY327"/>
      <c r="AZ327"/>
      <c r="BA327"/>
      <c r="BB327">
        <v>53</v>
      </c>
      <c r="BC327">
        <v>76</v>
      </c>
      <c r="BD327"/>
      <c r="BE327" t="s">
        <v>2467</v>
      </c>
      <c r="BF327" t="str">
        <f>HYPERLINK("http://dx.doi.org/10.24833/2071-8160-2020-6-75-53-76","http://dx.doi.org/10.24833/2071-8160-2020-6-75-53-76")</f>
        <v>http://dx.doi.org/10.24833/2071-8160-2020-6-75-53-76</v>
      </c>
      <c r="BG327"/>
      <c r="BH327"/>
      <c r="BI327"/>
      <c r="BJ327"/>
      <c r="BK327"/>
      <c r="BL327"/>
      <c r="BM327"/>
      <c r="BN327"/>
      <c r="BO327"/>
      <c r="BP327"/>
      <c r="BQ327"/>
      <c r="BR327"/>
      <c r="BS327" t="s">
        <v>2468</v>
      </c>
      <c r="BT327" t="str">
        <f>HYPERLINK("https%3A%2F%2Fwww.webofscience.com%2Fwos%2Fwoscc%2Ffull-record%2FWOS:000605204300002","View Full Record in Web of Science")</f>
        <v>View Full Record in Web of Science</v>
      </c>
    </row>
    <row r="328" spans="1:75" customHeight="1" ht="12.75">
      <c r="A328" t="s">
        <v>72</v>
      </c>
      <c r="B328" t="s">
        <v>1119</v>
      </c>
      <c r="C328"/>
      <c r="D328"/>
      <c r="E328"/>
      <c r="F328" t="s">
        <v>2469</v>
      </c>
      <c r="G328"/>
      <c r="H328"/>
      <c r="I328" t="s">
        <v>2470</v>
      </c>
      <c r="J328" t="s">
        <v>668</v>
      </c>
      <c r="K328"/>
      <c r="L328"/>
      <c r="M328"/>
      <c r="N328"/>
      <c r="O328"/>
      <c r="P328"/>
      <c r="Q328"/>
      <c r="R328"/>
      <c r="S328"/>
      <c r="T328"/>
      <c r="U328"/>
      <c r="V328"/>
      <c r="W328"/>
      <c r="X328"/>
      <c r="Y328"/>
      <c r="Z328"/>
      <c r="AA328" t="s">
        <v>754</v>
      </c>
      <c r="AB328"/>
      <c r="AC328"/>
      <c r="AD328"/>
      <c r="AE328"/>
      <c r="AF328"/>
      <c r="AG328"/>
      <c r="AH328"/>
      <c r="AI328"/>
      <c r="AJ328"/>
      <c r="AK328"/>
      <c r="AL328"/>
      <c r="AM328"/>
      <c r="AN328"/>
      <c r="AO328" t="s">
        <v>669</v>
      </c>
      <c r="AP328" t="s">
        <v>670</v>
      </c>
      <c r="AQ328"/>
      <c r="AR328"/>
      <c r="AS328"/>
      <c r="AT328"/>
      <c r="AU328">
        <v>2020</v>
      </c>
      <c r="AV328"/>
      <c r="AW328">
        <v>4</v>
      </c>
      <c r="AX328"/>
      <c r="AY328"/>
      <c r="AZ328"/>
      <c r="BA328"/>
      <c r="BB328">
        <v>401</v>
      </c>
      <c r="BC328">
        <v>419</v>
      </c>
      <c r="BD328"/>
      <c r="BE328" t="s">
        <v>2471</v>
      </c>
      <c r="BF328" t="str">
        <f>HYPERLINK("http://dx.doi.org/10.24224/2227-1295-2020-4-401-419","http://dx.doi.org/10.24224/2227-1295-2020-4-401-419")</f>
        <v>http://dx.doi.org/10.24224/2227-1295-2020-4-401-419</v>
      </c>
      <c r="BG328"/>
      <c r="BH328"/>
      <c r="BI328"/>
      <c r="BJ328"/>
      <c r="BK328"/>
      <c r="BL328"/>
      <c r="BM328"/>
      <c r="BN328"/>
      <c r="BO328"/>
      <c r="BP328"/>
      <c r="BQ328"/>
      <c r="BR328"/>
      <c r="BS328" t="s">
        <v>2472</v>
      </c>
      <c r="BT328" t="str">
        <f>HYPERLINK("https%3A%2F%2Fwww.webofscience.com%2Fwos%2Fwoscc%2Ffull-record%2FWOS:000530639000025","View Full Record in Web of Science")</f>
        <v>View Full Record in Web of Science</v>
      </c>
    </row>
    <row r="329" spans="1:75" customHeight="1" ht="12.75">
      <c r="A329" t="s">
        <v>72</v>
      </c>
      <c r="B329" t="s">
        <v>632</v>
      </c>
      <c r="C329"/>
      <c r="D329"/>
      <c r="E329"/>
      <c r="F329" t="s">
        <v>633</v>
      </c>
      <c r="G329"/>
      <c r="H329"/>
      <c r="I329" t="s">
        <v>2473</v>
      </c>
      <c r="J329" t="s">
        <v>1122</v>
      </c>
      <c r="K329"/>
      <c r="L329"/>
      <c r="M329"/>
      <c r="N329"/>
      <c r="O329"/>
      <c r="P329"/>
      <c r="Q329"/>
      <c r="R329"/>
      <c r="S329"/>
      <c r="T329"/>
      <c r="U329"/>
      <c r="V329"/>
      <c r="W329"/>
      <c r="X329"/>
      <c r="Y329"/>
      <c r="Z329"/>
      <c r="AA329" t="s">
        <v>635</v>
      </c>
      <c r="AB329" t="s">
        <v>636</v>
      </c>
      <c r="AC329"/>
      <c r="AD329"/>
      <c r="AE329"/>
      <c r="AF329"/>
      <c r="AG329"/>
      <c r="AH329"/>
      <c r="AI329"/>
      <c r="AJ329"/>
      <c r="AK329"/>
      <c r="AL329"/>
      <c r="AM329"/>
      <c r="AN329"/>
      <c r="AO329" t="s">
        <v>1124</v>
      </c>
      <c r="AP329" t="s">
        <v>1125</v>
      </c>
      <c r="AQ329"/>
      <c r="AR329"/>
      <c r="AS329"/>
      <c r="AT329"/>
      <c r="AU329">
        <v>2020</v>
      </c>
      <c r="AV329"/>
      <c r="AW329">
        <v>63</v>
      </c>
      <c r="AX329"/>
      <c r="AY329"/>
      <c r="AZ329"/>
      <c r="BA329"/>
      <c r="BB329">
        <v>96</v>
      </c>
      <c r="BC329">
        <v>103</v>
      </c>
      <c r="BD329"/>
      <c r="BE329" t="s">
        <v>2474</v>
      </c>
      <c r="BF329" t="str">
        <f>HYPERLINK("http://dx.doi.org/10.17223/19988613/63/13","http://dx.doi.org/10.17223/19988613/63/13")</f>
        <v>http://dx.doi.org/10.17223/19988613/63/13</v>
      </c>
      <c r="BG329"/>
      <c r="BH329"/>
      <c r="BI329"/>
      <c r="BJ329"/>
      <c r="BK329"/>
      <c r="BL329"/>
      <c r="BM329"/>
      <c r="BN329"/>
      <c r="BO329"/>
      <c r="BP329"/>
      <c r="BQ329"/>
      <c r="BR329"/>
      <c r="BS329" t="s">
        <v>2475</v>
      </c>
      <c r="BT329" t="str">
        <f>HYPERLINK("https%3A%2F%2Fwww.webofscience.com%2Fwos%2Fwoscc%2Ffull-record%2FWOS:000517821700013","View Full Record in Web of Science")</f>
        <v>View Full Record in Web of Science</v>
      </c>
    </row>
    <row r="330" spans="1:75" customHeight="1" ht="12.75">
      <c r="A330" t="s">
        <v>72</v>
      </c>
      <c r="B330" t="s">
        <v>1074</v>
      </c>
      <c r="C330"/>
      <c r="D330"/>
      <c r="E330"/>
      <c r="F330" t="s">
        <v>2476</v>
      </c>
      <c r="G330"/>
      <c r="H330"/>
      <c r="I330" t="s">
        <v>2477</v>
      </c>
      <c r="J330" t="s">
        <v>2478</v>
      </c>
      <c r="K330"/>
      <c r="L330"/>
      <c r="M330"/>
      <c r="N330"/>
      <c r="O330"/>
      <c r="P330"/>
      <c r="Q330"/>
      <c r="R330"/>
      <c r="S330"/>
      <c r="T330"/>
      <c r="U330"/>
      <c r="V330"/>
      <c r="W330"/>
      <c r="X330"/>
      <c r="Y330"/>
      <c r="Z330"/>
      <c r="AA330" t="s">
        <v>1078</v>
      </c>
      <c r="AB330" t="s">
        <v>1079</v>
      </c>
      <c r="AC330"/>
      <c r="AD330"/>
      <c r="AE330"/>
      <c r="AF330"/>
      <c r="AG330"/>
      <c r="AH330"/>
      <c r="AI330"/>
      <c r="AJ330"/>
      <c r="AK330"/>
      <c r="AL330"/>
      <c r="AM330"/>
      <c r="AN330"/>
      <c r="AO330" t="s">
        <v>2479</v>
      </c>
      <c r="AP330"/>
      <c r="AQ330"/>
      <c r="AR330"/>
      <c r="AS330"/>
      <c r="AT330"/>
      <c r="AU330">
        <v>2020</v>
      </c>
      <c r="AV330">
        <v>17</v>
      </c>
      <c r="AW330"/>
      <c r="AX330"/>
      <c r="AY330"/>
      <c r="AZ330"/>
      <c r="BA330"/>
      <c r="BB330">
        <v>318</v>
      </c>
      <c r="BC330">
        <v>337</v>
      </c>
      <c r="BD330"/>
      <c r="BE330" t="s">
        <v>2480</v>
      </c>
      <c r="BF330" t="str">
        <f>HYPERLINK("http://dx.doi.org/10.33048/semi.2020.17.021","http://dx.doi.org/10.33048/semi.2020.17.021")</f>
        <v>http://dx.doi.org/10.33048/semi.2020.17.021</v>
      </c>
      <c r="BG330"/>
      <c r="BH330"/>
      <c r="BI330"/>
      <c r="BJ330"/>
      <c r="BK330"/>
      <c r="BL330"/>
      <c r="BM330"/>
      <c r="BN330"/>
      <c r="BO330"/>
      <c r="BP330"/>
      <c r="BQ330"/>
      <c r="BR330"/>
      <c r="BS330" t="s">
        <v>2481</v>
      </c>
      <c r="BT330" t="str">
        <f>HYPERLINK("https%3A%2F%2Fwww.webofscience.com%2Fwos%2Fwoscc%2Ffull-record%2FWOS:000518782500001","View Full Record in Web of Science")</f>
        <v>View Full Record in Web of Science</v>
      </c>
    </row>
    <row r="331" spans="1:75" customHeight="1" ht="12.75">
      <c r="A331" t="s">
        <v>72</v>
      </c>
      <c r="B331" t="s">
        <v>2482</v>
      </c>
      <c r="C331"/>
      <c r="D331"/>
      <c r="E331"/>
      <c r="F331" t="s">
        <v>2483</v>
      </c>
      <c r="G331"/>
      <c r="H331"/>
      <c r="I331" t="s">
        <v>2484</v>
      </c>
      <c r="J331" t="s">
        <v>2485</v>
      </c>
      <c r="K331"/>
      <c r="L331"/>
      <c r="M331"/>
      <c r="N331"/>
      <c r="O331"/>
      <c r="P331"/>
      <c r="Q331"/>
      <c r="R331"/>
      <c r="S331"/>
      <c r="T331"/>
      <c r="U331"/>
      <c r="V331"/>
      <c r="W331"/>
      <c r="X331"/>
      <c r="Y331"/>
      <c r="Z331"/>
      <c r="AA331" t="s">
        <v>2486</v>
      </c>
      <c r="AB331" t="s">
        <v>2487</v>
      </c>
      <c r="AC331"/>
      <c r="AD331"/>
      <c r="AE331"/>
      <c r="AF331"/>
      <c r="AG331"/>
      <c r="AH331"/>
      <c r="AI331"/>
      <c r="AJ331"/>
      <c r="AK331"/>
      <c r="AL331"/>
      <c r="AM331"/>
      <c r="AN331"/>
      <c r="AO331" t="s">
        <v>2488</v>
      </c>
      <c r="AP331" t="s">
        <v>2489</v>
      </c>
      <c r="AQ331"/>
      <c r="AR331"/>
      <c r="AS331"/>
      <c r="AT331" t="s">
        <v>2368</v>
      </c>
      <c r="AU331">
        <v>2019</v>
      </c>
      <c r="AV331">
        <v>13</v>
      </c>
      <c r="AW331">
        <v>2</v>
      </c>
      <c r="AX331"/>
      <c r="AY331"/>
      <c r="AZ331"/>
      <c r="BA331"/>
      <c r="BB331">
        <v>48</v>
      </c>
      <c r="BC331">
        <v>62</v>
      </c>
      <c r="BD331"/>
      <c r="BE331" t="s">
        <v>2490</v>
      </c>
      <c r="BF331" t="str">
        <f>HYPERLINK("http://dx.doi.org/10.4018/IJCINI.2019040104","http://dx.doi.org/10.4018/IJCINI.2019040104")</f>
        <v>http://dx.doi.org/10.4018/IJCINI.2019040104</v>
      </c>
      <c r="BG331"/>
      <c r="BH331"/>
      <c r="BI331"/>
      <c r="BJ331"/>
      <c r="BK331"/>
      <c r="BL331"/>
      <c r="BM331"/>
      <c r="BN331"/>
      <c r="BO331"/>
      <c r="BP331"/>
      <c r="BQ331"/>
      <c r="BR331"/>
      <c r="BS331" t="s">
        <v>2491</v>
      </c>
      <c r="BT331" t="str">
        <f>HYPERLINK("https%3A%2F%2Fwww.webofscience.com%2Fwos%2Fwoscc%2Ffull-record%2FWOS:000501202200004","View Full Record in Web of Science")</f>
        <v>View Full Record in Web of Science</v>
      </c>
    </row>
    <row r="332" spans="1:75" customHeight="1" ht="12.75">
      <c r="A332" t="s">
        <v>72</v>
      </c>
      <c r="B332" t="s">
        <v>2492</v>
      </c>
      <c r="C332"/>
      <c r="D332"/>
      <c r="E332"/>
      <c r="F332" t="s">
        <v>2493</v>
      </c>
      <c r="G332"/>
      <c r="H332"/>
      <c r="I332" t="s">
        <v>2494</v>
      </c>
      <c r="J332" t="s">
        <v>166</v>
      </c>
      <c r="K332"/>
      <c r="L332"/>
      <c r="M332"/>
      <c r="N332"/>
      <c r="O332"/>
      <c r="P332"/>
      <c r="Q332"/>
      <c r="R332"/>
      <c r="S332"/>
      <c r="T332"/>
      <c r="U332"/>
      <c r="V332"/>
      <c r="W332"/>
      <c r="X332"/>
      <c r="Y332"/>
      <c r="Z332"/>
      <c r="AA332" t="s">
        <v>2495</v>
      </c>
      <c r="AB332" t="s">
        <v>2496</v>
      </c>
      <c r="AC332"/>
      <c r="AD332"/>
      <c r="AE332"/>
      <c r="AF332"/>
      <c r="AG332"/>
      <c r="AH332"/>
      <c r="AI332"/>
      <c r="AJ332"/>
      <c r="AK332"/>
      <c r="AL332"/>
      <c r="AM332"/>
      <c r="AN332"/>
      <c r="AO332" t="s">
        <v>169</v>
      </c>
      <c r="AP332" t="s">
        <v>170</v>
      </c>
      <c r="AQ332"/>
      <c r="AR332"/>
      <c r="AS332"/>
      <c r="AT332" t="s">
        <v>830</v>
      </c>
      <c r="AU332">
        <v>2018</v>
      </c>
      <c r="AV332">
        <v>7</v>
      </c>
      <c r="AW332">
        <v>3</v>
      </c>
      <c r="AX332"/>
      <c r="AY332"/>
      <c r="AZ332"/>
      <c r="BA332"/>
      <c r="BB332">
        <v>541</v>
      </c>
      <c r="BC332">
        <v>553</v>
      </c>
      <c r="BD332"/>
      <c r="BE332" t="s">
        <v>2497</v>
      </c>
      <c r="BF332" t="str">
        <f>HYPERLINK("http://dx.doi.org/10.13187/ejced.2018.3.541","http://dx.doi.org/10.13187/ejced.2018.3.541")</f>
        <v>http://dx.doi.org/10.13187/ejced.2018.3.541</v>
      </c>
      <c r="BG332"/>
      <c r="BH332"/>
      <c r="BI332"/>
      <c r="BJ332"/>
      <c r="BK332"/>
      <c r="BL332"/>
      <c r="BM332"/>
      <c r="BN332"/>
      <c r="BO332"/>
      <c r="BP332"/>
      <c r="BQ332"/>
      <c r="BR332"/>
      <c r="BS332" t="s">
        <v>2498</v>
      </c>
      <c r="BT332" t="str">
        <f>HYPERLINK("https%3A%2F%2Fwww.webofscience.com%2Fwos%2Fwoscc%2Ffull-record%2FWOS:000445146400009","View Full Record in Web of Science")</f>
        <v>View Full Record in Web of Science</v>
      </c>
    </row>
    <row r="333" spans="1:75" customHeight="1" ht="12.75">
      <c r="A333" t="s">
        <v>147</v>
      </c>
      <c r="B333" t="s">
        <v>2499</v>
      </c>
      <c r="C333"/>
      <c r="D333" t="s">
        <v>2500</v>
      </c>
      <c r="E333"/>
      <c r="F333" t="s">
        <v>2501</v>
      </c>
      <c r="G333"/>
      <c r="H333"/>
      <c r="I333" t="s">
        <v>2502</v>
      </c>
      <c r="J333" t="s">
        <v>2503</v>
      </c>
      <c r="K333" t="s">
        <v>2504</v>
      </c>
      <c r="L333"/>
      <c r="M333"/>
      <c r="N333"/>
      <c r="O333" t="s">
        <v>2505</v>
      </c>
      <c r="P333" t="s">
        <v>2506</v>
      </c>
      <c r="Q333" t="s">
        <v>2507</v>
      </c>
      <c r="R333" t="s">
        <v>2508</v>
      </c>
      <c r="S333"/>
      <c r="T333"/>
      <c r="U333"/>
      <c r="V333"/>
      <c r="W333"/>
      <c r="X333"/>
      <c r="Y333"/>
      <c r="Z333"/>
      <c r="AA333"/>
      <c r="AB333"/>
      <c r="AC333"/>
      <c r="AD333"/>
      <c r="AE333"/>
      <c r="AF333"/>
      <c r="AG333"/>
      <c r="AH333"/>
      <c r="AI333"/>
      <c r="AJ333"/>
      <c r="AK333"/>
      <c r="AL333"/>
      <c r="AM333"/>
      <c r="AN333"/>
      <c r="AO333" t="s">
        <v>2509</v>
      </c>
      <c r="AP333"/>
      <c r="AQ333" t="s">
        <v>2510</v>
      </c>
      <c r="AR333"/>
      <c r="AS333"/>
      <c r="AT333"/>
      <c r="AU333">
        <v>2018</v>
      </c>
      <c r="AV333">
        <v>47</v>
      </c>
      <c r="AW333"/>
      <c r="AX333"/>
      <c r="AY333"/>
      <c r="AZ333"/>
      <c r="BA333"/>
      <c r="BB333">
        <v>717</v>
      </c>
      <c r="BC333">
        <v>719</v>
      </c>
      <c r="BD333"/>
      <c r="BE333"/>
      <c r="BF333"/>
      <c r="BG333"/>
      <c r="BH333"/>
      <c r="BI333"/>
      <c r="BJ333"/>
      <c r="BK333"/>
      <c r="BL333"/>
      <c r="BM333"/>
      <c r="BN333"/>
      <c r="BO333"/>
      <c r="BP333"/>
      <c r="BQ333"/>
      <c r="BR333"/>
      <c r="BS333" t="s">
        <v>2511</v>
      </c>
      <c r="BT333" t="str">
        <f>HYPERLINK("https%3A%2F%2Fwww.webofscience.com%2Fwos%2Fwoscc%2Ffull-record%2FWOS:000679066800160","View Full Record in Web of Science")</f>
        <v>View Full Record in Web of Science</v>
      </c>
    </row>
    <row r="334" spans="1:75" customHeight="1" ht="12.75">
      <c r="A334" t="s">
        <v>147</v>
      </c>
      <c r="B334" t="s">
        <v>568</v>
      </c>
      <c r="C334"/>
      <c r="D334"/>
      <c r="E334" t="s">
        <v>210</v>
      </c>
      <c r="F334" t="s">
        <v>569</v>
      </c>
      <c r="G334"/>
      <c r="H334"/>
      <c r="I334" t="s">
        <v>2512</v>
      </c>
      <c r="J334" t="s">
        <v>1139</v>
      </c>
      <c r="K334" t="s">
        <v>390</v>
      </c>
      <c r="L334"/>
      <c r="M334"/>
      <c r="N334"/>
      <c r="O334" t="s">
        <v>1140</v>
      </c>
      <c r="P334" t="s">
        <v>1141</v>
      </c>
      <c r="Q334" t="s">
        <v>393</v>
      </c>
      <c r="R334" t="s">
        <v>1142</v>
      </c>
      <c r="S334"/>
      <c r="T334"/>
      <c r="U334"/>
      <c r="V334"/>
      <c r="W334"/>
      <c r="X334"/>
      <c r="Y334"/>
      <c r="Z334"/>
      <c r="AA334" t="s">
        <v>2513</v>
      </c>
      <c r="AB334" t="s">
        <v>2514</v>
      </c>
      <c r="AC334"/>
      <c r="AD334"/>
      <c r="AE334"/>
      <c r="AF334"/>
      <c r="AG334"/>
      <c r="AH334"/>
      <c r="AI334"/>
      <c r="AJ334"/>
      <c r="AK334"/>
      <c r="AL334"/>
      <c r="AM334"/>
      <c r="AN334"/>
      <c r="AO334" t="s">
        <v>395</v>
      </c>
      <c r="AP334"/>
      <c r="AQ334" t="s">
        <v>1145</v>
      </c>
      <c r="AR334"/>
      <c r="AS334"/>
      <c r="AT334"/>
      <c r="AU334">
        <v>2018</v>
      </c>
      <c r="AV334"/>
      <c r="AW334"/>
      <c r="AX334"/>
      <c r="AY334"/>
      <c r="AZ334"/>
      <c r="BA334"/>
      <c r="BB334">
        <v>443</v>
      </c>
      <c r="BC334">
        <v>446</v>
      </c>
      <c r="BD334"/>
      <c r="BE334"/>
      <c r="BF334"/>
      <c r="BG334"/>
      <c r="BH334"/>
      <c r="BI334"/>
      <c r="BJ334"/>
      <c r="BK334"/>
      <c r="BL334"/>
      <c r="BM334"/>
      <c r="BN334"/>
      <c r="BO334"/>
      <c r="BP334"/>
      <c r="BQ334"/>
      <c r="BR334"/>
      <c r="BS334" t="s">
        <v>2515</v>
      </c>
      <c r="BT334" t="str">
        <f>HYPERLINK("https%3A%2F%2Fwww.webofscience.com%2Fwos%2Fwoscc%2Ffull-record%2FWOS:000644432200112","View Full Record in Web of Science")</f>
        <v>View Full Record in Web of Science</v>
      </c>
    </row>
    <row r="335" spans="1:75" customHeight="1" ht="12.75">
      <c r="A335" t="s">
        <v>147</v>
      </c>
      <c r="B335" t="s">
        <v>2516</v>
      </c>
      <c r="C335"/>
      <c r="D335" t="s">
        <v>2517</v>
      </c>
      <c r="E335"/>
      <c r="F335" t="s">
        <v>2518</v>
      </c>
      <c r="G335"/>
      <c r="H335"/>
      <c r="I335" t="s">
        <v>2519</v>
      </c>
      <c r="J335" t="s">
        <v>2520</v>
      </c>
      <c r="K335" t="s">
        <v>2521</v>
      </c>
      <c r="L335"/>
      <c r="M335"/>
      <c r="N335"/>
      <c r="O335" t="s">
        <v>2522</v>
      </c>
      <c r="P335" t="s">
        <v>2523</v>
      </c>
      <c r="Q335" t="s">
        <v>2524</v>
      </c>
      <c r="R335" t="s">
        <v>2525</v>
      </c>
      <c r="S335"/>
      <c r="T335"/>
      <c r="U335"/>
      <c r="V335"/>
      <c r="W335"/>
      <c r="X335"/>
      <c r="Y335"/>
      <c r="Z335"/>
      <c r="AA335"/>
      <c r="AB335" t="s">
        <v>2526</v>
      </c>
      <c r="AC335"/>
      <c r="AD335"/>
      <c r="AE335"/>
      <c r="AF335"/>
      <c r="AG335"/>
      <c r="AH335"/>
      <c r="AI335"/>
      <c r="AJ335"/>
      <c r="AK335"/>
      <c r="AL335"/>
      <c r="AM335"/>
      <c r="AN335"/>
      <c r="AO335" t="s">
        <v>2527</v>
      </c>
      <c r="AP335" t="s">
        <v>2528</v>
      </c>
      <c r="AQ335"/>
      <c r="AR335"/>
      <c r="AS335"/>
      <c r="AT335"/>
      <c r="AU335">
        <v>2018</v>
      </c>
      <c r="AV335"/>
      <c r="AW335"/>
      <c r="AX335"/>
      <c r="AY335"/>
      <c r="AZ335"/>
      <c r="BA335"/>
      <c r="BB335">
        <v>1140</v>
      </c>
      <c r="BC335">
        <v>1146</v>
      </c>
      <c r="BD335"/>
      <c r="BE335" t="s">
        <v>2529</v>
      </c>
      <c r="BF335" t="str">
        <f>HYPERLINK("http://dx.doi.org/10.22616/ERDev2018.17.N241","http://dx.doi.org/10.22616/ERDev2018.17.N241")</f>
        <v>http://dx.doi.org/10.22616/ERDev2018.17.N241</v>
      </c>
      <c r="BG335"/>
      <c r="BH335"/>
      <c r="BI335"/>
      <c r="BJ335"/>
      <c r="BK335"/>
      <c r="BL335"/>
      <c r="BM335"/>
      <c r="BN335"/>
      <c r="BO335"/>
      <c r="BP335"/>
      <c r="BQ335"/>
      <c r="BR335"/>
      <c r="BS335" t="s">
        <v>2530</v>
      </c>
      <c r="BT335" t="str">
        <f>HYPERLINK("https%3A%2F%2Fwww.webofscience.com%2Fwos%2Fwoscc%2Ffull-record%2FWOS:000805412200175","View Full Record in Web of Science")</f>
        <v>View Full Record in Web of Science</v>
      </c>
    </row>
    <row r="336" spans="1:75" customHeight="1" ht="12.75">
      <c r="A336" t="s">
        <v>147</v>
      </c>
      <c r="B336" t="s">
        <v>2531</v>
      </c>
      <c r="C336"/>
      <c r="D336"/>
      <c r="E336" t="s">
        <v>210</v>
      </c>
      <c r="F336" t="s">
        <v>2532</v>
      </c>
      <c r="G336"/>
      <c r="H336"/>
      <c r="I336" t="s">
        <v>2533</v>
      </c>
      <c r="J336" t="s">
        <v>1139</v>
      </c>
      <c r="K336" t="s">
        <v>390</v>
      </c>
      <c r="L336"/>
      <c r="M336"/>
      <c r="N336"/>
      <c r="O336" t="s">
        <v>1140</v>
      </c>
      <c r="P336" t="s">
        <v>1141</v>
      </c>
      <c r="Q336" t="s">
        <v>393</v>
      </c>
      <c r="R336" t="s">
        <v>1142</v>
      </c>
      <c r="S336"/>
      <c r="T336"/>
      <c r="U336"/>
      <c r="V336"/>
      <c r="W336"/>
      <c r="X336"/>
      <c r="Y336"/>
      <c r="Z336"/>
      <c r="AA336" t="s">
        <v>1143</v>
      </c>
      <c r="AB336" t="s">
        <v>1144</v>
      </c>
      <c r="AC336"/>
      <c r="AD336"/>
      <c r="AE336"/>
      <c r="AF336"/>
      <c r="AG336"/>
      <c r="AH336"/>
      <c r="AI336"/>
      <c r="AJ336"/>
      <c r="AK336"/>
      <c r="AL336"/>
      <c r="AM336"/>
      <c r="AN336"/>
      <c r="AO336" t="s">
        <v>395</v>
      </c>
      <c r="AP336"/>
      <c r="AQ336" t="s">
        <v>1145</v>
      </c>
      <c r="AR336"/>
      <c r="AS336"/>
      <c r="AT336"/>
      <c r="AU336">
        <v>2018</v>
      </c>
      <c r="AV336"/>
      <c r="AW336"/>
      <c r="AX336"/>
      <c r="AY336"/>
      <c r="AZ336"/>
      <c r="BA336"/>
      <c r="BB336">
        <v>103</v>
      </c>
      <c r="BC336">
        <v>106</v>
      </c>
      <c r="BD336"/>
      <c r="BE336"/>
      <c r="BF336"/>
      <c r="BG336"/>
      <c r="BH336"/>
      <c r="BI336"/>
      <c r="BJ336"/>
      <c r="BK336"/>
      <c r="BL336"/>
      <c r="BM336"/>
      <c r="BN336"/>
      <c r="BO336"/>
      <c r="BP336"/>
      <c r="BQ336"/>
      <c r="BR336"/>
      <c r="BS336" t="s">
        <v>2534</v>
      </c>
      <c r="BT336" t="str">
        <f>HYPERLINK("https%3A%2F%2Fwww.webofscience.com%2Fwos%2Fwoscc%2Ffull-record%2FWOS:000644432200031","View Full Record in Web of Science")</f>
        <v>View Full Record in Web of Science</v>
      </c>
    </row>
    <row r="337" spans="1:75" customHeight="1" ht="12.75">
      <c r="A337" t="s">
        <v>147</v>
      </c>
      <c r="B337" t="s">
        <v>2535</v>
      </c>
      <c r="C337"/>
      <c r="D337"/>
      <c r="E337" t="s">
        <v>175</v>
      </c>
      <c r="F337" t="s">
        <v>2536</v>
      </c>
      <c r="G337"/>
      <c r="H337"/>
      <c r="I337" t="s">
        <v>2537</v>
      </c>
      <c r="J337" t="s">
        <v>2538</v>
      </c>
      <c r="K337" t="s">
        <v>1576</v>
      </c>
      <c r="L337"/>
      <c r="M337"/>
      <c r="N337"/>
      <c r="O337" t="s">
        <v>2539</v>
      </c>
      <c r="P337" t="s">
        <v>2540</v>
      </c>
      <c r="Q337" t="s">
        <v>746</v>
      </c>
      <c r="R337"/>
      <c r="S337"/>
      <c r="T337"/>
      <c r="U337"/>
      <c r="V337"/>
      <c r="W337"/>
      <c r="X337"/>
      <c r="Y337"/>
      <c r="Z337"/>
      <c r="AA337" t="s">
        <v>1586</v>
      </c>
      <c r="AB337" t="s">
        <v>2541</v>
      </c>
      <c r="AC337"/>
      <c r="AD337"/>
      <c r="AE337"/>
      <c r="AF337"/>
      <c r="AG337"/>
      <c r="AH337"/>
      <c r="AI337"/>
      <c r="AJ337"/>
      <c r="AK337"/>
      <c r="AL337"/>
      <c r="AM337"/>
      <c r="AN337"/>
      <c r="AO337" t="s">
        <v>1581</v>
      </c>
      <c r="AP337"/>
      <c r="AQ337"/>
      <c r="AR337"/>
      <c r="AS337"/>
      <c r="AT337"/>
      <c r="AU337">
        <v>2018</v>
      </c>
      <c r="AV337">
        <v>177</v>
      </c>
      <c r="AW337"/>
      <c r="AX337"/>
      <c r="AY337"/>
      <c r="AZ337"/>
      <c r="BA337"/>
      <c r="BB337"/>
      <c r="BC337"/>
      <c r="BD337">
        <v>12007</v>
      </c>
      <c r="BE337" t="s">
        <v>2542</v>
      </c>
      <c r="BF337" t="str">
        <f>HYPERLINK("http://dx.doi.org/10.1088/1755-1315/177/1/012007","http://dx.doi.org/10.1088/1755-1315/177/1/012007")</f>
        <v>http://dx.doi.org/10.1088/1755-1315/177/1/012007</v>
      </c>
      <c r="BG337"/>
      <c r="BH337"/>
      <c r="BI337"/>
      <c r="BJ337"/>
      <c r="BK337"/>
      <c r="BL337"/>
      <c r="BM337"/>
      <c r="BN337"/>
      <c r="BO337"/>
      <c r="BP337"/>
      <c r="BQ337"/>
      <c r="BR337"/>
      <c r="BS337" t="s">
        <v>2543</v>
      </c>
      <c r="BT337" t="str">
        <f>HYPERLINK("https%3A%2F%2Fwww.webofscience.com%2Fwos%2Fwoscc%2Ffull-record%2FWOS:000451502800007","View Full Record in Web of Science")</f>
        <v>View Full Record in Web of Science</v>
      </c>
    </row>
    <row r="338" spans="1:75" customHeight="1" ht="12.75">
      <c r="A338" t="s">
        <v>72</v>
      </c>
      <c r="B338" t="s">
        <v>581</v>
      </c>
      <c r="C338"/>
      <c r="D338"/>
      <c r="E338"/>
      <c r="F338" t="s">
        <v>2041</v>
      </c>
      <c r="G338"/>
      <c r="H338"/>
      <c r="I338" t="s">
        <v>2544</v>
      </c>
      <c r="J338" t="s">
        <v>584</v>
      </c>
      <c r="K338"/>
      <c r="L338"/>
      <c r="M338"/>
      <c r="N338"/>
      <c r="O338"/>
      <c r="P338"/>
      <c r="Q338"/>
      <c r="R338"/>
      <c r="S338"/>
      <c r="T338"/>
      <c r="U338"/>
      <c r="V338"/>
      <c r="W338"/>
      <c r="X338"/>
      <c r="Y338"/>
      <c r="Z338"/>
      <c r="AA338" t="s">
        <v>585</v>
      </c>
      <c r="AB338" t="s">
        <v>586</v>
      </c>
      <c r="AC338"/>
      <c r="AD338"/>
      <c r="AE338"/>
      <c r="AF338"/>
      <c r="AG338"/>
      <c r="AH338"/>
      <c r="AI338"/>
      <c r="AJ338"/>
      <c r="AK338"/>
      <c r="AL338"/>
      <c r="AM338"/>
      <c r="AN338"/>
      <c r="AO338" t="s">
        <v>587</v>
      </c>
      <c r="AP338" t="s">
        <v>588</v>
      </c>
      <c r="AQ338"/>
      <c r="AR338"/>
      <c r="AS338"/>
      <c r="AT338"/>
      <c r="AU338">
        <v>2018</v>
      </c>
      <c r="AV338">
        <v>77</v>
      </c>
      <c r="AW338">
        <v>1</v>
      </c>
      <c r="AX338"/>
      <c r="AY338"/>
      <c r="AZ338"/>
      <c r="BA338"/>
      <c r="BB338">
        <v>23</v>
      </c>
      <c r="BC338">
        <v>37</v>
      </c>
      <c r="BD338"/>
      <c r="BE338" t="s">
        <v>2545</v>
      </c>
      <c r="BF338" t="str">
        <f>HYPERLINK("http://dx.doi.org/10.18720/MCE.77.3","http://dx.doi.org/10.18720/MCE.77.3")</f>
        <v>http://dx.doi.org/10.18720/MCE.77.3</v>
      </c>
      <c r="BG338"/>
      <c r="BH338"/>
      <c r="BI338"/>
      <c r="BJ338"/>
      <c r="BK338"/>
      <c r="BL338"/>
      <c r="BM338"/>
      <c r="BN338"/>
      <c r="BO338"/>
      <c r="BP338"/>
      <c r="BQ338"/>
      <c r="BR338"/>
      <c r="BS338" t="s">
        <v>2546</v>
      </c>
      <c r="BT338" t="str">
        <f>HYPERLINK("https%3A%2F%2Fwww.webofscience.com%2Fwos%2Fwoscc%2Ffull-record%2FWOS:000431443100003","View Full Record in Web of Science")</f>
        <v>View Full Record in Web of Science</v>
      </c>
    </row>
    <row r="339" spans="1:75" customHeight="1" ht="12.75">
      <c r="A339" t="s">
        <v>72</v>
      </c>
      <c r="B339" t="s">
        <v>2547</v>
      </c>
      <c r="C339"/>
      <c r="D339"/>
      <c r="E339"/>
      <c r="F339" t="s">
        <v>2548</v>
      </c>
      <c r="G339"/>
      <c r="H339"/>
      <c r="I339" t="s">
        <v>2549</v>
      </c>
      <c r="J339" t="s">
        <v>642</v>
      </c>
      <c r="K339"/>
      <c r="L339"/>
      <c r="M339"/>
      <c r="N339"/>
      <c r="O339"/>
      <c r="P339"/>
      <c r="Q339"/>
      <c r="R339"/>
      <c r="S339"/>
      <c r="T339"/>
      <c r="U339"/>
      <c r="V339"/>
      <c r="W339"/>
      <c r="X339"/>
      <c r="Y339"/>
      <c r="Z339"/>
      <c r="AA339" t="s">
        <v>608</v>
      </c>
      <c r="AB339" t="s">
        <v>609</v>
      </c>
      <c r="AC339"/>
      <c r="AD339"/>
      <c r="AE339"/>
      <c r="AF339"/>
      <c r="AG339"/>
      <c r="AH339"/>
      <c r="AI339"/>
      <c r="AJ339"/>
      <c r="AK339"/>
      <c r="AL339"/>
      <c r="AM339"/>
      <c r="AN339"/>
      <c r="AO339" t="s">
        <v>643</v>
      </c>
      <c r="AP339" t="s">
        <v>644</v>
      </c>
      <c r="AQ339"/>
      <c r="AR339"/>
      <c r="AS339"/>
      <c r="AT339"/>
      <c r="AU339">
        <v>2018</v>
      </c>
      <c r="AV339">
        <v>6</v>
      </c>
      <c r="AW339">
        <v>1</v>
      </c>
      <c r="AX339"/>
      <c r="AY339"/>
      <c r="AZ339"/>
      <c r="BA339"/>
      <c r="BB339">
        <v>251</v>
      </c>
      <c r="BC339">
        <v>266</v>
      </c>
      <c r="BD339"/>
      <c r="BE339" t="s">
        <v>2550</v>
      </c>
      <c r="BF339" t="str">
        <f>HYPERLINK("http://dx.doi.org/10.15826/qr.2018.1.294","http://dx.doi.org/10.15826/qr.2018.1.294")</f>
        <v>http://dx.doi.org/10.15826/qr.2018.1.294</v>
      </c>
      <c r="BG339"/>
      <c r="BH339"/>
      <c r="BI339"/>
      <c r="BJ339"/>
      <c r="BK339"/>
      <c r="BL339"/>
      <c r="BM339"/>
      <c r="BN339"/>
      <c r="BO339"/>
      <c r="BP339"/>
      <c r="BQ339"/>
      <c r="BR339"/>
      <c r="BS339" t="s">
        <v>2551</v>
      </c>
      <c r="BT339" t="str">
        <f>HYPERLINK("https%3A%2F%2Fwww.webofscience.com%2Fwos%2Fwoscc%2Ffull-record%2FWOS:000447487200018","View Full Record in Web of Science")</f>
        <v>View Full Record in Web of Science</v>
      </c>
    </row>
    <row r="340" spans="1:75" customHeight="1" ht="12.75">
      <c r="A340" t="s">
        <v>147</v>
      </c>
      <c r="B340" t="s">
        <v>2552</v>
      </c>
      <c r="C340"/>
      <c r="D340"/>
      <c r="E340" t="s">
        <v>175</v>
      </c>
      <c r="F340" t="s">
        <v>2553</v>
      </c>
      <c r="G340"/>
      <c r="H340"/>
      <c r="I340" t="s">
        <v>2554</v>
      </c>
      <c r="J340" t="s">
        <v>2278</v>
      </c>
      <c r="K340" t="s">
        <v>179</v>
      </c>
      <c r="L340"/>
      <c r="M340"/>
      <c r="N340"/>
      <c r="O340" t="s">
        <v>2279</v>
      </c>
      <c r="P340" t="s">
        <v>2280</v>
      </c>
      <c r="Q340" t="s">
        <v>2281</v>
      </c>
      <c r="R340" t="s">
        <v>257</v>
      </c>
      <c r="S340" t="s">
        <v>2282</v>
      </c>
      <c r="T340"/>
      <c r="U340"/>
      <c r="V340"/>
      <c r="W340"/>
      <c r="X340"/>
      <c r="Y340"/>
      <c r="Z340"/>
      <c r="AA340" t="s">
        <v>2283</v>
      </c>
      <c r="AB340" t="s">
        <v>2284</v>
      </c>
      <c r="AC340"/>
      <c r="AD340"/>
      <c r="AE340"/>
      <c r="AF340"/>
      <c r="AG340"/>
      <c r="AH340"/>
      <c r="AI340"/>
      <c r="AJ340"/>
      <c r="AK340"/>
      <c r="AL340"/>
      <c r="AM340"/>
      <c r="AN340"/>
      <c r="AO340" t="s">
        <v>187</v>
      </c>
      <c r="AP340" t="s">
        <v>188</v>
      </c>
      <c r="AQ340"/>
      <c r="AR340"/>
      <c r="AS340"/>
      <c r="AT340"/>
      <c r="AU340">
        <v>2018</v>
      </c>
      <c r="AV340">
        <v>1058</v>
      </c>
      <c r="AW340"/>
      <c r="AX340"/>
      <c r="AY340"/>
      <c r="AZ340"/>
      <c r="BA340"/>
      <c r="BB340"/>
      <c r="BC340"/>
      <c r="BD340">
        <v>12028</v>
      </c>
      <c r="BE340" t="s">
        <v>2555</v>
      </c>
      <c r="BF340" t="str">
        <f>HYPERLINK("http://dx.doi.org/10.1088/1742-6596/1058/1/012028","http://dx.doi.org/10.1088/1742-6596/1058/1/012028")</f>
        <v>http://dx.doi.org/10.1088/1742-6596/1058/1/012028</v>
      </c>
      <c r="BG340"/>
      <c r="BH340"/>
      <c r="BI340"/>
      <c r="BJ340"/>
      <c r="BK340"/>
      <c r="BL340"/>
      <c r="BM340"/>
      <c r="BN340"/>
      <c r="BO340"/>
      <c r="BP340"/>
      <c r="BQ340"/>
      <c r="BR340"/>
      <c r="BS340" t="s">
        <v>2556</v>
      </c>
      <c r="BT340" t="str">
        <f>HYPERLINK("https%3A%2F%2Fwww.webofscience.com%2Fwos%2Fwoscc%2Ffull-record%2FWOS:000518798300028","View Full Record in Web of Science")</f>
        <v>View Full Record in Web of Science</v>
      </c>
    </row>
    <row r="341" spans="1:75" customHeight="1" ht="12.75">
      <c r="A341" t="s">
        <v>147</v>
      </c>
      <c r="B341" t="s">
        <v>2557</v>
      </c>
      <c r="C341"/>
      <c r="D341"/>
      <c r="E341" t="s">
        <v>210</v>
      </c>
      <c r="F341" t="s">
        <v>2558</v>
      </c>
      <c r="G341"/>
      <c r="H341"/>
      <c r="I341" t="s">
        <v>2559</v>
      </c>
      <c r="J341" t="s">
        <v>2560</v>
      </c>
      <c r="K341"/>
      <c r="L341"/>
      <c r="M341"/>
      <c r="N341"/>
      <c r="O341" t="s">
        <v>2561</v>
      </c>
      <c r="P341" t="s">
        <v>2562</v>
      </c>
      <c r="Q341" t="s">
        <v>2563</v>
      </c>
      <c r="R341"/>
      <c r="S341"/>
      <c r="T341"/>
      <c r="U341"/>
      <c r="V341"/>
      <c r="W341"/>
      <c r="X341"/>
      <c r="Y341"/>
      <c r="Z341"/>
      <c r="AA341" t="s">
        <v>2564</v>
      </c>
      <c r="AB341" t="s">
        <v>2565</v>
      </c>
      <c r="AC341"/>
      <c r="AD341"/>
      <c r="AE341"/>
      <c r="AF341"/>
      <c r="AG341"/>
      <c r="AH341"/>
      <c r="AI341"/>
      <c r="AJ341"/>
      <c r="AK341"/>
      <c r="AL341"/>
      <c r="AM341"/>
      <c r="AN341"/>
      <c r="AO341"/>
      <c r="AP341"/>
      <c r="AQ341" t="s">
        <v>2566</v>
      </c>
      <c r="AR341"/>
      <c r="AS341"/>
      <c r="AT341"/>
      <c r="AU341">
        <v>2017</v>
      </c>
      <c r="AV341"/>
      <c r="AW341"/>
      <c r="AX341"/>
      <c r="AY341"/>
      <c r="AZ341"/>
      <c r="BA341"/>
      <c r="BB341">
        <v>671</v>
      </c>
      <c r="BC341">
        <v>675</v>
      </c>
      <c r="BD341"/>
      <c r="BE341"/>
      <c r="BF341"/>
      <c r="BG341"/>
      <c r="BH341"/>
      <c r="BI341"/>
      <c r="BJ341"/>
      <c r="BK341"/>
      <c r="BL341"/>
      <c r="BM341"/>
      <c r="BN341"/>
      <c r="BO341"/>
      <c r="BP341"/>
      <c r="BQ341"/>
      <c r="BR341"/>
      <c r="BS341" t="s">
        <v>2567</v>
      </c>
      <c r="BT341" t="str">
        <f>HYPERLINK("https%3A%2F%2Fwww.webofscience.com%2Fwos%2Fwoscc%2Ffull-record%2FWOS:000425868400157","View Full Record in Web of Science")</f>
        <v>View Full Record in Web of Science</v>
      </c>
    </row>
    <row r="342" spans="1:75" customHeight="1" ht="12.75">
      <c r="A342" t="s">
        <v>72</v>
      </c>
      <c r="B342" t="s">
        <v>102</v>
      </c>
      <c r="C342"/>
      <c r="D342"/>
      <c r="E342"/>
      <c r="F342" t="s">
        <v>2238</v>
      </c>
      <c r="G342"/>
      <c r="H342"/>
      <c r="I342" t="s">
        <v>2568</v>
      </c>
      <c r="J342" t="s">
        <v>244</v>
      </c>
      <c r="K342"/>
      <c r="L342"/>
      <c r="M342"/>
      <c r="N342"/>
      <c r="O342"/>
      <c r="P342"/>
      <c r="Q342"/>
      <c r="R342"/>
      <c r="S342"/>
      <c r="T342"/>
      <c r="U342"/>
      <c r="V342"/>
      <c r="W342"/>
      <c r="X342"/>
      <c r="Y342"/>
      <c r="Z342"/>
      <c r="AA342" t="s">
        <v>2569</v>
      </c>
      <c r="AB342"/>
      <c r="AC342"/>
      <c r="AD342"/>
      <c r="AE342"/>
      <c r="AF342"/>
      <c r="AG342"/>
      <c r="AH342"/>
      <c r="AI342"/>
      <c r="AJ342"/>
      <c r="AK342"/>
      <c r="AL342"/>
      <c r="AM342"/>
      <c r="AN342"/>
      <c r="AO342" t="s">
        <v>245</v>
      </c>
      <c r="AP342" t="s">
        <v>246</v>
      </c>
      <c r="AQ342"/>
      <c r="AR342"/>
      <c r="AS342"/>
      <c r="AT342"/>
      <c r="AU342">
        <v>2017</v>
      </c>
      <c r="AV342"/>
      <c r="AW342">
        <v>8</v>
      </c>
      <c r="AX342"/>
      <c r="AY342"/>
      <c r="AZ342"/>
      <c r="BA342"/>
      <c r="BB342">
        <v>44</v>
      </c>
      <c r="BC342">
        <v>56</v>
      </c>
      <c r="BD342"/>
      <c r="BE342"/>
      <c r="BF342"/>
      <c r="BG342"/>
      <c r="BH342"/>
      <c r="BI342"/>
      <c r="BJ342"/>
      <c r="BK342"/>
      <c r="BL342"/>
      <c r="BM342"/>
      <c r="BN342"/>
      <c r="BO342"/>
      <c r="BP342"/>
      <c r="BQ342"/>
      <c r="BR342"/>
      <c r="BS342" t="s">
        <v>2570</v>
      </c>
      <c r="BT342" t="str">
        <f>HYPERLINK("https%3A%2F%2Fwww.webofscience.com%2Fwos%2Fwoscc%2Ffull-record%2FWOS:000410460100004","View Full Record in Web of Science")</f>
        <v>View Full Record in Web of Science</v>
      </c>
    </row>
    <row r="343" spans="1:75" customHeight="1" ht="12.75">
      <c r="A343" t="s">
        <v>147</v>
      </c>
      <c r="B343" t="s">
        <v>2571</v>
      </c>
      <c r="C343"/>
      <c r="D343"/>
      <c r="E343" t="s">
        <v>280</v>
      </c>
      <c r="F343" t="s">
        <v>2572</v>
      </c>
      <c r="G343"/>
      <c r="H343"/>
      <c r="I343" t="s">
        <v>2573</v>
      </c>
      <c r="J343" t="s">
        <v>2574</v>
      </c>
      <c r="K343" t="s">
        <v>284</v>
      </c>
      <c r="L343"/>
      <c r="M343"/>
      <c r="N343"/>
      <c r="O343" t="s">
        <v>2575</v>
      </c>
      <c r="P343" t="s">
        <v>2576</v>
      </c>
      <c r="Q343" t="s">
        <v>287</v>
      </c>
      <c r="R343" t="s">
        <v>2577</v>
      </c>
      <c r="S343"/>
      <c r="T343"/>
      <c r="U343"/>
      <c r="V343"/>
      <c r="W343"/>
      <c r="X343"/>
      <c r="Y343"/>
      <c r="Z343"/>
      <c r="AA343" t="s">
        <v>2578</v>
      </c>
      <c r="AB343" t="s">
        <v>2579</v>
      </c>
      <c r="AC343"/>
      <c r="AD343"/>
      <c r="AE343"/>
      <c r="AF343"/>
      <c r="AG343"/>
      <c r="AH343"/>
      <c r="AI343"/>
      <c r="AJ343"/>
      <c r="AK343"/>
      <c r="AL343"/>
      <c r="AM343"/>
      <c r="AN343"/>
      <c r="AO343" t="s">
        <v>289</v>
      </c>
      <c r="AP343"/>
      <c r="AQ343" t="s">
        <v>2580</v>
      </c>
      <c r="AR343"/>
      <c r="AS343"/>
      <c r="AT343"/>
      <c r="AU343">
        <v>2016</v>
      </c>
      <c r="AV343"/>
      <c r="AW343"/>
      <c r="AX343"/>
      <c r="AY343"/>
      <c r="AZ343"/>
      <c r="BA343"/>
      <c r="BB343">
        <v>411</v>
      </c>
      <c r="BC343">
        <v>417</v>
      </c>
      <c r="BD343"/>
      <c r="BE343"/>
      <c r="BF343"/>
      <c r="BG343"/>
      <c r="BH343"/>
      <c r="BI343"/>
      <c r="BJ343"/>
      <c r="BK343"/>
      <c r="BL343"/>
      <c r="BM343"/>
      <c r="BN343"/>
      <c r="BO343"/>
      <c r="BP343"/>
      <c r="BQ343"/>
      <c r="BR343"/>
      <c r="BS343" t="s">
        <v>2581</v>
      </c>
      <c r="BT343" t="str">
        <f>HYPERLINK("https%3A%2F%2Fwww.webofscience.com%2Fwos%2Fwoscc%2Ffull-record%2FWOS:000395727700049","View Full Record in Web of Science")</f>
        <v>View Full Record in Web of Science</v>
      </c>
    </row>
    <row r="344" spans="1:75" customHeight="1" ht="12.75">
      <c r="A344" t="s">
        <v>147</v>
      </c>
      <c r="B344" t="s">
        <v>568</v>
      </c>
      <c r="C344"/>
      <c r="D344"/>
      <c r="E344" t="s">
        <v>210</v>
      </c>
      <c r="F344" t="s">
        <v>569</v>
      </c>
      <c r="G344"/>
      <c r="H344"/>
      <c r="I344" t="s">
        <v>2582</v>
      </c>
      <c r="J344" t="s">
        <v>1724</v>
      </c>
      <c r="K344"/>
      <c r="L344"/>
      <c r="M344"/>
      <c r="N344"/>
      <c r="O344" t="s">
        <v>421</v>
      </c>
      <c r="P344" t="s">
        <v>1725</v>
      </c>
      <c r="Q344" t="s">
        <v>1726</v>
      </c>
      <c r="R344" t="s">
        <v>2583</v>
      </c>
      <c r="S344"/>
      <c r="T344"/>
      <c r="U344"/>
      <c r="V344"/>
      <c r="W344"/>
      <c r="X344"/>
      <c r="Y344"/>
      <c r="Z344"/>
      <c r="AA344" t="s">
        <v>2584</v>
      </c>
      <c r="AB344" t="s">
        <v>2585</v>
      </c>
      <c r="AC344"/>
      <c r="AD344"/>
      <c r="AE344"/>
      <c r="AF344"/>
      <c r="AG344"/>
      <c r="AH344"/>
      <c r="AI344"/>
      <c r="AJ344"/>
      <c r="AK344"/>
      <c r="AL344"/>
      <c r="AM344"/>
      <c r="AN344"/>
      <c r="AO344"/>
      <c r="AP344"/>
      <c r="AQ344" t="s">
        <v>1728</v>
      </c>
      <c r="AR344"/>
      <c r="AS344"/>
      <c r="AT344"/>
      <c r="AU344">
        <v>2015</v>
      </c>
      <c r="AV344"/>
      <c r="AW344"/>
      <c r="AX344"/>
      <c r="AY344"/>
      <c r="AZ344"/>
      <c r="BA344"/>
      <c r="BB344"/>
      <c r="BC344"/>
      <c r="BD344"/>
      <c r="BE344"/>
      <c r="BF344"/>
      <c r="BG344"/>
      <c r="BH344"/>
      <c r="BI344"/>
      <c r="BJ344"/>
      <c r="BK344"/>
      <c r="BL344"/>
      <c r="BM344"/>
      <c r="BN344"/>
      <c r="BO344"/>
      <c r="BP344"/>
      <c r="BQ344"/>
      <c r="BR344"/>
      <c r="BS344" t="s">
        <v>2586</v>
      </c>
      <c r="BT344" t="str">
        <f>HYPERLINK("https%3A%2F%2Fwww.webofscience.com%2Fwos%2Fwoscc%2Ffull-record%2FWOS:000382527700045","View Full Record in Web of Science")</f>
        <v>View Full Record in Web of Science</v>
      </c>
    </row>
    <row r="345" spans="1:75" customHeight="1" ht="12.75">
      <c r="A345" t="s">
        <v>147</v>
      </c>
      <c r="B345" t="s">
        <v>1294</v>
      </c>
      <c r="C345"/>
      <c r="D345"/>
      <c r="E345" t="s">
        <v>210</v>
      </c>
      <c r="F345" t="s">
        <v>1296</v>
      </c>
      <c r="G345"/>
      <c r="H345"/>
      <c r="I345" t="s">
        <v>2587</v>
      </c>
      <c r="J345" t="s">
        <v>2588</v>
      </c>
      <c r="K345" t="s">
        <v>2589</v>
      </c>
      <c r="L345"/>
      <c r="M345"/>
      <c r="N345"/>
      <c r="O345" t="s">
        <v>2590</v>
      </c>
      <c r="P345" t="s">
        <v>2591</v>
      </c>
      <c r="Q345" t="s">
        <v>2592</v>
      </c>
      <c r="R345"/>
      <c r="S345"/>
      <c r="T345"/>
      <c r="U345"/>
      <c r="V345"/>
      <c r="W345"/>
      <c r="X345"/>
      <c r="Y345"/>
      <c r="Z345"/>
      <c r="AA345"/>
      <c r="AB345"/>
      <c r="AC345"/>
      <c r="AD345"/>
      <c r="AE345"/>
      <c r="AF345"/>
      <c r="AG345"/>
      <c r="AH345"/>
      <c r="AI345"/>
      <c r="AJ345"/>
      <c r="AK345"/>
      <c r="AL345"/>
      <c r="AM345"/>
      <c r="AN345"/>
      <c r="AO345" t="s">
        <v>2593</v>
      </c>
      <c r="AP345"/>
      <c r="AQ345" t="s">
        <v>2594</v>
      </c>
      <c r="AR345"/>
      <c r="AS345"/>
      <c r="AT345"/>
      <c r="AU345">
        <v>2015</v>
      </c>
      <c r="AV345"/>
      <c r="AW345"/>
      <c r="AX345"/>
      <c r="AY345"/>
      <c r="AZ345"/>
      <c r="BA345"/>
      <c r="BB345"/>
      <c r="BC345"/>
      <c r="BD345"/>
      <c r="BE345"/>
      <c r="BF345"/>
      <c r="BG345"/>
      <c r="BH345"/>
      <c r="BI345"/>
      <c r="BJ345"/>
      <c r="BK345"/>
      <c r="BL345"/>
      <c r="BM345"/>
      <c r="BN345"/>
      <c r="BO345"/>
      <c r="BP345"/>
      <c r="BQ345"/>
      <c r="BR345"/>
      <c r="BS345" t="s">
        <v>2595</v>
      </c>
      <c r="BT345" t="str">
        <f>HYPERLINK("https%3A%2F%2Fwww.webofscience.com%2Fwos%2Fwoscc%2Ffull-record%2FWOS:000370730601064","View Full Record in Web of Science")</f>
        <v>View Full Record in Web of Science</v>
      </c>
    </row>
    <row r="346" spans="1:75" customHeight="1" ht="12.75">
      <c r="A346" t="s">
        <v>72</v>
      </c>
      <c r="B346" t="s">
        <v>977</v>
      </c>
      <c r="C346"/>
      <c r="D346"/>
      <c r="E346"/>
      <c r="F346" t="s">
        <v>978</v>
      </c>
      <c r="G346"/>
      <c r="H346"/>
      <c r="I346" t="s">
        <v>2596</v>
      </c>
      <c r="J346" t="s">
        <v>244</v>
      </c>
      <c r="K346"/>
      <c r="L346"/>
      <c r="M346"/>
      <c r="N346"/>
      <c r="O346"/>
      <c r="P346"/>
      <c r="Q346"/>
      <c r="R346"/>
      <c r="S346"/>
      <c r="T346"/>
      <c r="U346"/>
      <c r="V346"/>
      <c r="W346"/>
      <c r="X346"/>
      <c r="Y346"/>
      <c r="Z346"/>
      <c r="AA346" t="s">
        <v>782</v>
      </c>
      <c r="AB346" t="s">
        <v>783</v>
      </c>
      <c r="AC346"/>
      <c r="AD346"/>
      <c r="AE346"/>
      <c r="AF346"/>
      <c r="AG346"/>
      <c r="AH346"/>
      <c r="AI346"/>
      <c r="AJ346"/>
      <c r="AK346"/>
      <c r="AL346"/>
      <c r="AM346"/>
      <c r="AN346"/>
      <c r="AO346" t="s">
        <v>245</v>
      </c>
      <c r="AP346" t="s">
        <v>246</v>
      </c>
      <c r="AQ346"/>
      <c r="AR346"/>
      <c r="AS346"/>
      <c r="AT346"/>
      <c r="AU346">
        <v>2011</v>
      </c>
      <c r="AV346"/>
      <c r="AW346">
        <v>3</v>
      </c>
      <c r="AX346"/>
      <c r="AY346"/>
      <c r="AZ346"/>
      <c r="BA346"/>
      <c r="BB346">
        <v>91</v>
      </c>
      <c r="BC346">
        <v>99</v>
      </c>
      <c r="BD346"/>
      <c r="BE346"/>
      <c r="BF346"/>
      <c r="BG346"/>
      <c r="BH346"/>
      <c r="BI346"/>
      <c r="BJ346"/>
      <c r="BK346"/>
      <c r="BL346"/>
      <c r="BM346"/>
      <c r="BN346"/>
      <c r="BO346"/>
      <c r="BP346"/>
      <c r="BQ346"/>
      <c r="BR346"/>
      <c r="BS346" t="s">
        <v>2597</v>
      </c>
      <c r="BT346" t="str">
        <f>HYPERLINK("https%3A%2F%2Fwww.webofscience.com%2Fwos%2Fwoscc%2Ffull-record%2FWOS:000289763200005","View Full Record in Web of Science")</f>
        <v>View Full Record in Web of Science</v>
      </c>
    </row>
    <row r="347" spans="1:75" customHeight="1" ht="12.75">
      <c r="A347" t="s">
        <v>72</v>
      </c>
      <c r="B347" t="s">
        <v>1170</v>
      </c>
      <c r="C347"/>
      <c r="D347"/>
      <c r="E347"/>
      <c r="F347" t="s">
        <v>1171</v>
      </c>
      <c r="G347"/>
      <c r="H347"/>
      <c r="I347" t="s">
        <v>2598</v>
      </c>
      <c r="J347" t="s">
        <v>311</v>
      </c>
      <c r="K347"/>
      <c r="L347"/>
      <c r="M347"/>
      <c r="N347"/>
      <c r="O347"/>
      <c r="P347"/>
      <c r="Q347"/>
      <c r="R347"/>
      <c r="S347"/>
      <c r="T347"/>
      <c r="U347"/>
      <c r="V347"/>
      <c r="W347"/>
      <c r="X347"/>
      <c r="Y347"/>
      <c r="Z347"/>
      <c r="AA347"/>
      <c r="AB347"/>
      <c r="AC347"/>
      <c r="AD347"/>
      <c r="AE347"/>
      <c r="AF347"/>
      <c r="AG347"/>
      <c r="AH347"/>
      <c r="AI347"/>
      <c r="AJ347"/>
      <c r="AK347"/>
      <c r="AL347"/>
      <c r="AM347"/>
      <c r="AN347"/>
      <c r="AO347" t="s">
        <v>312</v>
      </c>
      <c r="AP347"/>
      <c r="AQ347"/>
      <c r="AR347"/>
      <c r="AS347"/>
      <c r="AT347" t="s">
        <v>1173</v>
      </c>
      <c r="AU347">
        <v>2010</v>
      </c>
      <c r="AV347">
        <v>44</v>
      </c>
      <c r="AW347">
        <v>4</v>
      </c>
      <c r="AX347"/>
      <c r="AY347"/>
      <c r="AZ347"/>
      <c r="BA347"/>
      <c r="BB347">
        <v>389</v>
      </c>
      <c r="BC347">
        <v>398</v>
      </c>
      <c r="BD347"/>
      <c r="BE347" t="s">
        <v>2599</v>
      </c>
      <c r="BF347" t="str">
        <f>HYPERLINK("http://dx.doi.org/10.1134/S0040579510040056","http://dx.doi.org/10.1134/S0040579510040056")</f>
        <v>http://dx.doi.org/10.1134/S0040579510040056</v>
      </c>
      <c r="BG347"/>
      <c r="BH347"/>
      <c r="BI347"/>
      <c r="BJ347"/>
      <c r="BK347"/>
      <c r="BL347"/>
      <c r="BM347"/>
      <c r="BN347"/>
      <c r="BO347"/>
      <c r="BP347"/>
      <c r="BQ347"/>
      <c r="BR347"/>
      <c r="BS347" t="s">
        <v>2600</v>
      </c>
      <c r="BT347" t="str">
        <f>HYPERLINK("https%3A%2F%2Fwww.webofscience.com%2Fwos%2Fwoscc%2Ffull-record%2FWOS:000280701900005","View Full Record in Web of Science")</f>
        <v>View Full Record in Web of Science</v>
      </c>
    </row>
    <row r="348" spans="1:75" customHeight="1" ht="12.75">
      <c r="A348" t="s">
        <v>72</v>
      </c>
      <c r="B348" t="s">
        <v>2601</v>
      </c>
      <c r="C348"/>
      <c r="D348"/>
      <c r="E348"/>
      <c r="F348" t="s">
        <v>2602</v>
      </c>
      <c r="G348"/>
      <c r="H348"/>
      <c r="I348" t="s">
        <v>2603</v>
      </c>
      <c r="J348" t="s">
        <v>244</v>
      </c>
      <c r="K348"/>
      <c r="L348"/>
      <c r="M348"/>
      <c r="N348"/>
      <c r="O348"/>
      <c r="P348"/>
      <c r="Q348"/>
      <c r="R348"/>
      <c r="S348"/>
      <c r="T348"/>
      <c r="U348"/>
      <c r="V348"/>
      <c r="W348"/>
      <c r="X348"/>
      <c r="Y348"/>
      <c r="Z348"/>
      <c r="AA348"/>
      <c r="AB348"/>
      <c r="AC348"/>
      <c r="AD348"/>
      <c r="AE348"/>
      <c r="AF348"/>
      <c r="AG348"/>
      <c r="AH348"/>
      <c r="AI348"/>
      <c r="AJ348"/>
      <c r="AK348"/>
      <c r="AL348"/>
      <c r="AM348"/>
      <c r="AN348"/>
      <c r="AO348" t="s">
        <v>245</v>
      </c>
      <c r="AP348"/>
      <c r="AQ348"/>
      <c r="AR348"/>
      <c r="AS348"/>
      <c r="AT348"/>
      <c r="AU348">
        <v>2010</v>
      </c>
      <c r="AV348"/>
      <c r="AW348">
        <v>3</v>
      </c>
      <c r="AX348"/>
      <c r="AY348"/>
      <c r="AZ348"/>
      <c r="BA348"/>
      <c r="BB348">
        <v>86</v>
      </c>
      <c r="BC348">
        <v>91</v>
      </c>
      <c r="BD348"/>
      <c r="BE348"/>
      <c r="BF348"/>
      <c r="BG348"/>
      <c r="BH348"/>
      <c r="BI348"/>
      <c r="BJ348"/>
      <c r="BK348"/>
      <c r="BL348"/>
      <c r="BM348"/>
      <c r="BN348"/>
      <c r="BO348"/>
      <c r="BP348"/>
      <c r="BQ348"/>
      <c r="BR348"/>
      <c r="BS348" t="s">
        <v>2604</v>
      </c>
      <c r="BT348" t="str">
        <f>HYPERLINK("https%3A%2F%2Fwww.webofscience.com%2Fwos%2Fwoscc%2Ffull-record%2FWOS:000279999300006","View Full Record in Web of Science")</f>
        <v>View Full Record in Web of Science</v>
      </c>
    </row>
    <row r="349" spans="1:75" customHeight="1" ht="12.75">
      <c r="A349" t="s">
        <v>147</v>
      </c>
      <c r="B349" t="s">
        <v>2605</v>
      </c>
      <c r="C349"/>
      <c r="D349"/>
      <c r="E349" t="s">
        <v>210</v>
      </c>
      <c r="F349" t="s">
        <v>2606</v>
      </c>
      <c r="G349"/>
      <c r="H349"/>
      <c r="I349" t="s">
        <v>2607</v>
      </c>
      <c r="J349" t="s">
        <v>2608</v>
      </c>
      <c r="K349" t="s">
        <v>362</v>
      </c>
      <c r="L349"/>
      <c r="M349"/>
      <c r="N349"/>
      <c r="O349" t="s">
        <v>2609</v>
      </c>
      <c r="P349" t="s">
        <v>2610</v>
      </c>
      <c r="Q349" t="s">
        <v>1628</v>
      </c>
      <c r="R349" t="s">
        <v>2611</v>
      </c>
      <c r="S349"/>
      <c r="T349"/>
      <c r="U349"/>
      <c r="V349"/>
      <c r="W349"/>
      <c r="X349"/>
      <c r="Y349"/>
      <c r="Z349"/>
      <c r="AA349" t="s">
        <v>367</v>
      </c>
      <c r="AB349" t="s">
        <v>368</v>
      </c>
      <c r="AC349"/>
      <c r="AD349"/>
      <c r="AE349"/>
      <c r="AF349"/>
      <c r="AG349"/>
      <c r="AH349"/>
      <c r="AI349"/>
      <c r="AJ349"/>
      <c r="AK349"/>
      <c r="AL349"/>
      <c r="AM349"/>
      <c r="AN349"/>
      <c r="AO349" t="s">
        <v>369</v>
      </c>
      <c r="AP349" t="s">
        <v>370</v>
      </c>
      <c r="AQ349" t="s">
        <v>2612</v>
      </c>
      <c r="AR349"/>
      <c r="AS349"/>
      <c r="AT349"/>
      <c r="AU349">
        <v>2021</v>
      </c>
      <c r="AV349"/>
      <c r="AW349"/>
      <c r="AX349"/>
      <c r="AY349"/>
      <c r="AZ349"/>
      <c r="BA349"/>
      <c r="BB349">
        <v>15</v>
      </c>
      <c r="BC349">
        <v>21</v>
      </c>
      <c r="BD349"/>
      <c r="BE349"/>
      <c r="BF349"/>
      <c r="BG349"/>
      <c r="BH349"/>
      <c r="BI349"/>
      <c r="BJ349"/>
      <c r="BK349"/>
      <c r="BL349"/>
      <c r="BM349"/>
      <c r="BN349"/>
      <c r="BO349"/>
      <c r="BP349"/>
      <c r="BQ349"/>
      <c r="BR349"/>
      <c r="BS349" t="s">
        <v>2613</v>
      </c>
      <c r="BT349" t="str">
        <f>HYPERLINK("https%3A%2F%2Fwww.webofscience.com%2Fwos%2Fwoscc%2Ffull-record%2FWOS:000672554500002","View Full Record in Web of Science")</f>
        <v>View Full Record in Web of Science</v>
      </c>
    </row>
    <row r="350" spans="1:75" customHeight="1" ht="12.75">
      <c r="A350" t="s">
        <v>147</v>
      </c>
      <c r="B350" t="s">
        <v>2138</v>
      </c>
      <c r="C350"/>
      <c r="D350"/>
      <c r="E350" t="s">
        <v>210</v>
      </c>
      <c r="F350" t="s">
        <v>2614</v>
      </c>
      <c r="G350"/>
      <c r="H350"/>
      <c r="I350" t="s">
        <v>2615</v>
      </c>
      <c r="J350" t="s">
        <v>2616</v>
      </c>
      <c r="K350"/>
      <c r="L350"/>
      <c r="M350"/>
      <c r="N350"/>
      <c r="O350" t="s">
        <v>214</v>
      </c>
      <c r="P350" t="s">
        <v>2617</v>
      </c>
      <c r="Q350" t="s">
        <v>1628</v>
      </c>
      <c r="R350" t="s">
        <v>2618</v>
      </c>
      <c r="S350"/>
      <c r="T350"/>
      <c r="U350"/>
      <c r="V350"/>
      <c r="W350"/>
      <c r="X350"/>
      <c r="Y350"/>
      <c r="Z350"/>
      <c r="AA350"/>
      <c r="AB350"/>
      <c r="AC350"/>
      <c r="AD350"/>
      <c r="AE350"/>
      <c r="AF350"/>
      <c r="AG350"/>
      <c r="AH350"/>
      <c r="AI350"/>
      <c r="AJ350"/>
      <c r="AK350"/>
      <c r="AL350"/>
      <c r="AM350"/>
      <c r="AN350"/>
      <c r="AO350"/>
      <c r="AP350"/>
      <c r="AQ350" t="s">
        <v>2619</v>
      </c>
      <c r="AR350"/>
      <c r="AS350"/>
      <c r="AT350"/>
      <c r="AU350">
        <v>2020</v>
      </c>
      <c r="AV350"/>
      <c r="AW350"/>
      <c r="AX350"/>
      <c r="AY350"/>
      <c r="AZ350"/>
      <c r="BA350"/>
      <c r="BB350"/>
      <c r="BC350"/>
      <c r="BD350"/>
      <c r="BE350"/>
      <c r="BF350"/>
      <c r="BG350"/>
      <c r="BH350"/>
      <c r="BI350"/>
      <c r="BJ350"/>
      <c r="BK350"/>
      <c r="BL350"/>
      <c r="BM350"/>
      <c r="BN350"/>
      <c r="BO350"/>
      <c r="BP350"/>
      <c r="BQ350"/>
      <c r="BR350"/>
      <c r="BS350" t="s">
        <v>2620</v>
      </c>
      <c r="BT350" t="str">
        <f>HYPERLINK("https%3A%2F%2Fwww.webofscience.com%2Fwos%2Fwoscc%2Ffull-record%2FWOS:000607234900037","View Full Record in Web of Science")</f>
        <v>View Full Record in Web of Science</v>
      </c>
    </row>
    <row r="351" spans="1:75" customHeight="1" ht="12.75">
      <c r="A351" t="s">
        <v>72</v>
      </c>
      <c r="B351" t="s">
        <v>2621</v>
      </c>
      <c r="C351"/>
      <c r="D351"/>
      <c r="E351"/>
      <c r="F351" t="s">
        <v>2622</v>
      </c>
      <c r="G351"/>
      <c r="H351"/>
      <c r="I351" t="s">
        <v>2623</v>
      </c>
      <c r="J351" t="s">
        <v>1122</v>
      </c>
      <c r="K351"/>
      <c r="L351"/>
      <c r="M351"/>
      <c r="N351"/>
      <c r="O351"/>
      <c r="P351"/>
      <c r="Q351"/>
      <c r="R351"/>
      <c r="S351"/>
      <c r="T351"/>
      <c r="U351"/>
      <c r="V351"/>
      <c r="W351"/>
      <c r="X351"/>
      <c r="Y351"/>
      <c r="Z351"/>
      <c r="AA351"/>
      <c r="AB351"/>
      <c r="AC351"/>
      <c r="AD351"/>
      <c r="AE351"/>
      <c r="AF351"/>
      <c r="AG351"/>
      <c r="AH351"/>
      <c r="AI351"/>
      <c r="AJ351"/>
      <c r="AK351"/>
      <c r="AL351"/>
      <c r="AM351"/>
      <c r="AN351"/>
      <c r="AO351" t="s">
        <v>1124</v>
      </c>
      <c r="AP351" t="s">
        <v>1125</v>
      </c>
      <c r="AQ351"/>
      <c r="AR351"/>
      <c r="AS351"/>
      <c r="AT351"/>
      <c r="AU351">
        <v>2020</v>
      </c>
      <c r="AV351"/>
      <c r="AW351">
        <v>63</v>
      </c>
      <c r="AX351"/>
      <c r="AY351"/>
      <c r="AZ351"/>
      <c r="BA351"/>
      <c r="BB351">
        <v>87</v>
      </c>
      <c r="BC351">
        <v>95</v>
      </c>
      <c r="BD351"/>
      <c r="BE351" t="s">
        <v>2624</v>
      </c>
      <c r="BF351" t="str">
        <f>HYPERLINK("http://dx.doi.org/10.17223/19988613/63/12","http://dx.doi.org/10.17223/19988613/63/12")</f>
        <v>http://dx.doi.org/10.17223/19988613/63/12</v>
      </c>
      <c r="BG351"/>
      <c r="BH351"/>
      <c r="BI351"/>
      <c r="BJ351"/>
      <c r="BK351"/>
      <c r="BL351"/>
      <c r="BM351"/>
      <c r="BN351"/>
      <c r="BO351"/>
      <c r="BP351"/>
      <c r="BQ351"/>
      <c r="BR351"/>
      <c r="BS351" t="s">
        <v>2625</v>
      </c>
      <c r="BT351" t="str">
        <f>HYPERLINK("https%3A%2F%2Fwww.webofscience.com%2Fwos%2Fwoscc%2Ffull-record%2FWOS:000517821700012","View Full Record in Web of Science")</f>
        <v>View Full Record in Web of Science</v>
      </c>
    </row>
    <row r="352" spans="1:75" customHeight="1" ht="12.75">
      <c r="A352" t="s">
        <v>147</v>
      </c>
      <c r="B352" t="s">
        <v>2626</v>
      </c>
      <c r="C352"/>
      <c r="D352" t="s">
        <v>846</v>
      </c>
      <c r="E352"/>
      <c r="F352" t="s">
        <v>2627</v>
      </c>
      <c r="G352"/>
      <c r="H352"/>
      <c r="I352" t="s">
        <v>2628</v>
      </c>
      <c r="J352" t="s">
        <v>849</v>
      </c>
      <c r="K352" t="s">
        <v>850</v>
      </c>
      <c r="L352"/>
      <c r="M352"/>
      <c r="N352"/>
      <c r="O352" t="s">
        <v>851</v>
      </c>
      <c r="P352" t="s">
        <v>852</v>
      </c>
      <c r="Q352" t="s">
        <v>853</v>
      </c>
      <c r="R352"/>
      <c r="S352" t="s">
        <v>854</v>
      </c>
      <c r="T352"/>
      <c r="U352"/>
      <c r="V352"/>
      <c r="W352"/>
      <c r="X352"/>
      <c r="Y352"/>
      <c r="Z352"/>
      <c r="AA352" t="s">
        <v>2629</v>
      </c>
      <c r="AB352" t="s">
        <v>2630</v>
      </c>
      <c r="AC352"/>
      <c r="AD352"/>
      <c r="AE352"/>
      <c r="AF352"/>
      <c r="AG352"/>
      <c r="AH352"/>
      <c r="AI352"/>
      <c r="AJ352"/>
      <c r="AK352"/>
      <c r="AL352"/>
      <c r="AM352"/>
      <c r="AN352"/>
      <c r="AO352" t="s">
        <v>855</v>
      </c>
      <c r="AP352"/>
      <c r="AQ352" t="s">
        <v>856</v>
      </c>
      <c r="AR352"/>
      <c r="AS352"/>
      <c r="AT352"/>
      <c r="AU352">
        <v>2019</v>
      </c>
      <c r="AV352">
        <v>17</v>
      </c>
      <c r="AW352"/>
      <c r="AX352"/>
      <c r="AY352"/>
      <c r="AZ352"/>
      <c r="BA352"/>
      <c r="BB352">
        <v>96</v>
      </c>
      <c r="BC352">
        <v>98</v>
      </c>
      <c r="BD352"/>
      <c r="BE352"/>
      <c r="BF352"/>
      <c r="BG352"/>
      <c r="BH352"/>
      <c r="BI352"/>
      <c r="BJ352"/>
      <c r="BK352"/>
      <c r="BL352"/>
      <c r="BM352"/>
      <c r="BN352"/>
      <c r="BO352"/>
      <c r="BP352"/>
      <c r="BQ352"/>
      <c r="BR352"/>
      <c r="BS352" t="s">
        <v>2631</v>
      </c>
      <c r="BT352" t="str">
        <f>HYPERLINK("https%3A%2F%2Fwww.webofscience.com%2Fwos%2Fwoscc%2Ffull-record%2FWOS:000625435700025","View Full Record in Web of Science")</f>
        <v>View Full Record in Web of Science</v>
      </c>
    </row>
    <row r="353" spans="1:75" customHeight="1" ht="12.75">
      <c r="A353" t="s">
        <v>72</v>
      </c>
      <c r="B353" t="s">
        <v>378</v>
      </c>
      <c r="C353"/>
      <c r="D353"/>
      <c r="E353"/>
      <c r="F353" t="s">
        <v>2100</v>
      </c>
      <c r="G353"/>
      <c r="H353"/>
      <c r="I353" t="s">
        <v>2632</v>
      </c>
      <c r="J353" t="s">
        <v>2633</v>
      </c>
      <c r="K353"/>
      <c r="L353"/>
      <c r="M353"/>
      <c r="N353"/>
      <c r="O353"/>
      <c r="P353"/>
      <c r="Q353"/>
      <c r="R353"/>
      <c r="S353"/>
      <c r="T353"/>
      <c r="U353"/>
      <c r="V353"/>
      <c r="W353"/>
      <c r="X353"/>
      <c r="Y353"/>
      <c r="Z353"/>
      <c r="AA353"/>
      <c r="AB353"/>
      <c r="AC353"/>
      <c r="AD353"/>
      <c r="AE353"/>
      <c r="AF353"/>
      <c r="AG353"/>
      <c r="AH353"/>
      <c r="AI353"/>
      <c r="AJ353"/>
      <c r="AK353"/>
      <c r="AL353"/>
      <c r="AM353"/>
      <c r="AN353"/>
      <c r="AO353" t="s">
        <v>2634</v>
      </c>
      <c r="AP353"/>
      <c r="AQ353"/>
      <c r="AR353"/>
      <c r="AS353"/>
      <c r="AT353"/>
      <c r="AU353">
        <v>2019</v>
      </c>
      <c r="AV353">
        <v>23</v>
      </c>
      <c r="AW353">
        <v>1</v>
      </c>
      <c r="AX353"/>
      <c r="AY353"/>
      <c r="AZ353"/>
      <c r="BA353"/>
      <c r="BB353">
        <v>43</v>
      </c>
      <c r="BC353">
        <v>46</v>
      </c>
      <c r="BD353"/>
      <c r="BE353" t="s">
        <v>2635</v>
      </c>
      <c r="BF353" t="str">
        <f>HYPERLINK("http://dx.doi.org/10.15561/18189172.2019.0107","http://dx.doi.org/10.15561/18189172.2019.0107")</f>
        <v>http://dx.doi.org/10.15561/18189172.2019.0107</v>
      </c>
      <c r="BG353"/>
      <c r="BH353"/>
      <c r="BI353"/>
      <c r="BJ353"/>
      <c r="BK353"/>
      <c r="BL353"/>
      <c r="BM353"/>
      <c r="BN353"/>
      <c r="BO353"/>
      <c r="BP353"/>
      <c r="BQ353"/>
      <c r="BR353"/>
      <c r="BS353" t="s">
        <v>2636</v>
      </c>
      <c r="BT353" t="str">
        <f>HYPERLINK("https%3A%2F%2Fwww.webofscience.com%2Fwos%2Fwoscc%2Ffull-record%2FWOS:000459821500007","View Full Record in Web of Science")</f>
        <v>View Full Record in Web of Science</v>
      </c>
    </row>
    <row r="354" spans="1:75" customHeight="1" ht="12.75">
      <c r="A354" t="s">
        <v>72</v>
      </c>
      <c r="B354" t="s">
        <v>2637</v>
      </c>
      <c r="C354"/>
      <c r="D354"/>
      <c r="E354"/>
      <c r="F354" t="s">
        <v>2638</v>
      </c>
      <c r="G354"/>
      <c r="H354"/>
      <c r="I354" t="s">
        <v>2639</v>
      </c>
      <c r="J354" t="s">
        <v>2640</v>
      </c>
      <c r="K354"/>
      <c r="L354"/>
      <c r="M354"/>
      <c r="N354"/>
      <c r="O354"/>
      <c r="P354"/>
      <c r="Q354"/>
      <c r="R354"/>
      <c r="S354"/>
      <c r="T354"/>
      <c r="U354"/>
      <c r="V354"/>
      <c r="W354"/>
      <c r="X354"/>
      <c r="Y354"/>
      <c r="Z354"/>
      <c r="AA354" t="s">
        <v>2641</v>
      </c>
      <c r="AB354" t="s">
        <v>2642</v>
      </c>
      <c r="AC354"/>
      <c r="AD354"/>
      <c r="AE354"/>
      <c r="AF354"/>
      <c r="AG354"/>
      <c r="AH354"/>
      <c r="AI354"/>
      <c r="AJ354"/>
      <c r="AK354"/>
      <c r="AL354"/>
      <c r="AM354"/>
      <c r="AN354"/>
      <c r="AO354" t="s">
        <v>2643</v>
      </c>
      <c r="AP354"/>
      <c r="AQ354"/>
      <c r="AR354"/>
      <c r="AS354"/>
      <c r="AT354"/>
      <c r="AU354">
        <v>2019</v>
      </c>
      <c r="AV354">
        <v>56</v>
      </c>
      <c r="AW354">
        <v>2</v>
      </c>
      <c r="AX354"/>
      <c r="AY354"/>
      <c r="AZ354"/>
      <c r="BA354"/>
      <c r="BB354">
        <v>186</v>
      </c>
      <c r="BC354">
        <v>192</v>
      </c>
      <c r="BD354"/>
      <c r="BE354" t="s">
        <v>2644</v>
      </c>
      <c r="BF354" t="str">
        <f>HYPERLINK("http://dx.doi.org/10.26170/FK19-02-25","http://dx.doi.org/10.26170/FK19-02-25")</f>
        <v>http://dx.doi.org/10.26170/FK19-02-25</v>
      </c>
      <c r="BG354"/>
      <c r="BH354"/>
      <c r="BI354"/>
      <c r="BJ354"/>
      <c r="BK354"/>
      <c r="BL354"/>
      <c r="BM354"/>
      <c r="BN354"/>
      <c r="BO354"/>
      <c r="BP354"/>
      <c r="BQ354"/>
      <c r="BR354"/>
      <c r="BS354" t="s">
        <v>2645</v>
      </c>
      <c r="BT354" t="str">
        <f>HYPERLINK("https%3A%2F%2Fwww.webofscience.com%2Fwos%2Fwoscc%2Ffull-record%2FWOS:000489097600025","View Full Record in Web of Science")</f>
        <v>View Full Record in Web of Science</v>
      </c>
    </row>
    <row r="355" spans="1:75" customHeight="1" ht="12.75">
      <c r="A355" t="s">
        <v>72</v>
      </c>
      <c r="B355" t="s">
        <v>2646</v>
      </c>
      <c r="C355"/>
      <c r="D355"/>
      <c r="E355"/>
      <c r="F355" t="s">
        <v>2647</v>
      </c>
      <c r="G355"/>
      <c r="H355"/>
      <c r="I355" t="s">
        <v>2648</v>
      </c>
      <c r="J355" t="s">
        <v>594</v>
      </c>
      <c r="K355"/>
      <c r="L355"/>
      <c r="M355"/>
      <c r="N355"/>
      <c r="O355"/>
      <c r="P355"/>
      <c r="Q355"/>
      <c r="R355"/>
      <c r="S355"/>
      <c r="T355"/>
      <c r="U355"/>
      <c r="V355"/>
      <c r="W355"/>
      <c r="X355"/>
      <c r="Y355"/>
      <c r="Z355"/>
      <c r="AA355" t="s">
        <v>595</v>
      </c>
      <c r="AB355" t="s">
        <v>596</v>
      </c>
      <c r="AC355"/>
      <c r="AD355"/>
      <c r="AE355"/>
      <c r="AF355"/>
      <c r="AG355"/>
      <c r="AH355"/>
      <c r="AI355"/>
      <c r="AJ355"/>
      <c r="AK355"/>
      <c r="AL355"/>
      <c r="AM355"/>
      <c r="AN355"/>
      <c r="AO355"/>
      <c r="AP355" t="s">
        <v>597</v>
      </c>
      <c r="AQ355"/>
      <c r="AR355"/>
      <c r="AS355"/>
      <c r="AT355" t="s">
        <v>491</v>
      </c>
      <c r="AU355">
        <v>2018</v>
      </c>
      <c r="AV355">
        <v>8</v>
      </c>
      <c r="AW355">
        <v>6</v>
      </c>
      <c r="AX355"/>
      <c r="AY355"/>
      <c r="AZ355"/>
      <c r="BA355"/>
      <c r="BB355">
        <v>283</v>
      </c>
      <c r="BC355">
        <v>293</v>
      </c>
      <c r="BD355"/>
      <c r="BE355"/>
      <c r="BF355"/>
      <c r="BG355"/>
      <c r="BH355"/>
      <c r="BI355"/>
      <c r="BJ355"/>
      <c r="BK355"/>
      <c r="BL355"/>
      <c r="BM355"/>
      <c r="BN355"/>
      <c r="BO355"/>
      <c r="BP355"/>
      <c r="BQ355"/>
      <c r="BR355"/>
      <c r="BS355" t="s">
        <v>2649</v>
      </c>
      <c r="BT355" t="str">
        <f>HYPERLINK("https%3A%2F%2Fwww.webofscience.com%2Fwos%2Fwoscc%2Ffull-record%2FWOS:000443674500030","View Full Record in Web of Science")</f>
        <v>View Full Record in Web of Science</v>
      </c>
    </row>
    <row r="356" spans="1:75" customHeight="1" ht="12.75">
      <c r="A356" t="s">
        <v>72</v>
      </c>
      <c r="B356" t="s">
        <v>296</v>
      </c>
      <c r="C356"/>
      <c r="D356"/>
      <c r="E356"/>
      <c r="F356" t="s">
        <v>297</v>
      </c>
      <c r="G356"/>
      <c r="H356"/>
      <c r="I356" t="s">
        <v>2650</v>
      </c>
      <c r="J356" t="s">
        <v>244</v>
      </c>
      <c r="K356"/>
      <c r="L356"/>
      <c r="M356"/>
      <c r="N356"/>
      <c r="O356"/>
      <c r="P356"/>
      <c r="Q356"/>
      <c r="R356"/>
      <c r="S356"/>
      <c r="T356"/>
      <c r="U356"/>
      <c r="V356"/>
      <c r="W356"/>
      <c r="X356"/>
      <c r="Y356"/>
      <c r="Z356"/>
      <c r="AA356" t="s">
        <v>299</v>
      </c>
      <c r="AB356" t="s">
        <v>300</v>
      </c>
      <c r="AC356"/>
      <c r="AD356"/>
      <c r="AE356"/>
      <c r="AF356"/>
      <c r="AG356"/>
      <c r="AH356"/>
      <c r="AI356"/>
      <c r="AJ356"/>
      <c r="AK356"/>
      <c r="AL356"/>
      <c r="AM356"/>
      <c r="AN356"/>
      <c r="AO356" t="s">
        <v>245</v>
      </c>
      <c r="AP356" t="s">
        <v>246</v>
      </c>
      <c r="AQ356"/>
      <c r="AR356"/>
      <c r="AS356"/>
      <c r="AT356"/>
      <c r="AU356">
        <v>2018</v>
      </c>
      <c r="AV356"/>
      <c r="AW356">
        <v>2</v>
      </c>
      <c r="AX356"/>
      <c r="AY356"/>
      <c r="AZ356"/>
      <c r="BA356"/>
      <c r="BB356">
        <v>72</v>
      </c>
      <c r="BC356">
        <v>82</v>
      </c>
      <c r="BD356"/>
      <c r="BE356"/>
      <c r="BF356"/>
      <c r="BG356"/>
      <c r="BH356"/>
      <c r="BI356"/>
      <c r="BJ356"/>
      <c r="BK356"/>
      <c r="BL356"/>
      <c r="BM356"/>
      <c r="BN356"/>
      <c r="BO356"/>
      <c r="BP356"/>
      <c r="BQ356"/>
      <c r="BR356"/>
      <c r="BS356" t="s">
        <v>2651</v>
      </c>
      <c r="BT356" t="str">
        <f>HYPERLINK("https%3A%2F%2Fwww.webofscience.com%2Fwos%2Fwoscc%2Ffull-record%2FWOS:000427548200006","View Full Record in Web of Science")</f>
        <v>View Full Record in Web of Science</v>
      </c>
    </row>
    <row r="357" spans="1:75" customHeight="1" ht="12.75">
      <c r="A357" t="s">
        <v>72</v>
      </c>
      <c r="B357" t="s">
        <v>2621</v>
      </c>
      <c r="C357"/>
      <c r="D357"/>
      <c r="E357"/>
      <c r="F357" t="s">
        <v>2622</v>
      </c>
      <c r="G357"/>
      <c r="H357"/>
      <c r="I357" t="s">
        <v>2652</v>
      </c>
      <c r="J357" t="s">
        <v>2653</v>
      </c>
      <c r="K357"/>
      <c r="L357"/>
      <c r="M357"/>
      <c r="N357"/>
      <c r="O357"/>
      <c r="P357"/>
      <c r="Q357"/>
      <c r="R357"/>
      <c r="S357"/>
      <c r="T357"/>
      <c r="U357"/>
      <c r="V357"/>
      <c r="W357"/>
      <c r="X357"/>
      <c r="Y357"/>
      <c r="Z357"/>
      <c r="AA357" t="s">
        <v>2654</v>
      </c>
      <c r="AB357" t="s">
        <v>2655</v>
      </c>
      <c r="AC357"/>
      <c r="AD357"/>
      <c r="AE357"/>
      <c r="AF357"/>
      <c r="AG357"/>
      <c r="AH357"/>
      <c r="AI357"/>
      <c r="AJ357"/>
      <c r="AK357"/>
      <c r="AL357"/>
      <c r="AM357"/>
      <c r="AN357"/>
      <c r="AO357" t="s">
        <v>2656</v>
      </c>
      <c r="AP357" t="s">
        <v>2657</v>
      </c>
      <c r="AQ357"/>
      <c r="AR357"/>
      <c r="AS357"/>
      <c r="AT357"/>
      <c r="AU357">
        <v>2018</v>
      </c>
      <c r="AV357">
        <v>20</v>
      </c>
      <c r="AW357">
        <v>2</v>
      </c>
      <c r="AX357"/>
      <c r="AY357"/>
      <c r="AZ357"/>
      <c r="BA357"/>
      <c r="BB357">
        <v>23</v>
      </c>
      <c r="BC357">
        <v>37</v>
      </c>
      <c r="BD357"/>
      <c r="BE357" t="s">
        <v>2658</v>
      </c>
      <c r="BF357" t="str">
        <f>HYPERLINK("http://dx.doi.org/10.15826/izv2.2018.20.2.022","http://dx.doi.org/10.15826/izv2.2018.20.2.022")</f>
        <v>http://dx.doi.org/10.15826/izv2.2018.20.2.022</v>
      </c>
      <c r="BG357"/>
      <c r="BH357"/>
      <c r="BI357"/>
      <c r="BJ357"/>
      <c r="BK357"/>
      <c r="BL357"/>
      <c r="BM357"/>
      <c r="BN357"/>
      <c r="BO357"/>
      <c r="BP357"/>
      <c r="BQ357"/>
      <c r="BR357"/>
      <c r="BS357" t="s">
        <v>2659</v>
      </c>
      <c r="BT357" t="str">
        <f>HYPERLINK("https%3A%2F%2Fwww.webofscience.com%2Fwos%2Fwoscc%2Ffull-record%2FWOS:000468389000002","View Full Record in Web of Science")</f>
        <v>View Full Record in Web of Science</v>
      </c>
    </row>
    <row r="358" spans="1:75" customHeight="1" ht="12.75">
      <c r="A358" t="s">
        <v>72</v>
      </c>
      <c r="B358" t="s">
        <v>2660</v>
      </c>
      <c r="C358"/>
      <c r="D358"/>
      <c r="E358"/>
      <c r="F358" t="s">
        <v>2661</v>
      </c>
      <c r="G358"/>
      <c r="H358"/>
      <c r="I358" t="s">
        <v>2662</v>
      </c>
      <c r="J358" t="s">
        <v>2633</v>
      </c>
      <c r="K358"/>
      <c r="L358"/>
      <c r="M358"/>
      <c r="N358"/>
      <c r="O358"/>
      <c r="P358"/>
      <c r="Q358"/>
      <c r="R358"/>
      <c r="S358"/>
      <c r="T358"/>
      <c r="U358"/>
      <c r="V358"/>
      <c r="W358"/>
      <c r="X358"/>
      <c r="Y358"/>
      <c r="Z358"/>
      <c r="AA358" t="s">
        <v>2663</v>
      </c>
      <c r="AB358" t="s">
        <v>2664</v>
      </c>
      <c r="AC358"/>
      <c r="AD358"/>
      <c r="AE358"/>
      <c r="AF358"/>
      <c r="AG358"/>
      <c r="AH358"/>
      <c r="AI358"/>
      <c r="AJ358"/>
      <c r="AK358"/>
      <c r="AL358"/>
      <c r="AM358"/>
      <c r="AN358"/>
      <c r="AO358" t="s">
        <v>2665</v>
      </c>
      <c r="AP358" t="s">
        <v>2634</v>
      </c>
      <c r="AQ358"/>
      <c r="AR358"/>
      <c r="AS358"/>
      <c r="AT358"/>
      <c r="AU358">
        <v>2018</v>
      </c>
      <c r="AV358">
        <v>22</v>
      </c>
      <c r="AW358">
        <v>1</v>
      </c>
      <c r="AX358"/>
      <c r="AY358"/>
      <c r="AZ358"/>
      <c r="BA358"/>
      <c r="BB358">
        <v>56</v>
      </c>
      <c r="BC358">
        <v>61</v>
      </c>
      <c r="BD358"/>
      <c r="BE358" t="s">
        <v>2666</v>
      </c>
      <c r="BF358" t="str">
        <f>HYPERLINK("http://dx.doi.org/10.15561/18189172.2018.0108","http://dx.doi.org/10.15561/18189172.2018.0108")</f>
        <v>http://dx.doi.org/10.15561/18189172.2018.0108</v>
      </c>
      <c r="BG358"/>
      <c r="BH358"/>
      <c r="BI358"/>
      <c r="BJ358"/>
      <c r="BK358"/>
      <c r="BL358"/>
      <c r="BM358"/>
      <c r="BN358"/>
      <c r="BO358"/>
      <c r="BP358"/>
      <c r="BQ358"/>
      <c r="BR358"/>
      <c r="BS358" t="s">
        <v>2667</v>
      </c>
      <c r="BT358" t="str">
        <f>HYPERLINK("https%3A%2F%2Fwww.webofscience.com%2Fwos%2Fwoscc%2Ffull-record%2FWOS:000431046900008","View Full Record in Web of Science")</f>
        <v>View Full Record in Web of Science</v>
      </c>
    </row>
    <row r="359" spans="1:75" customHeight="1" ht="12.75">
      <c r="A359" t="s">
        <v>147</v>
      </c>
      <c r="B359" t="s">
        <v>2668</v>
      </c>
      <c r="C359"/>
      <c r="D359"/>
      <c r="E359" t="s">
        <v>175</v>
      </c>
      <c r="F359" t="s">
        <v>2669</v>
      </c>
      <c r="G359"/>
      <c r="H359"/>
      <c r="I359" t="s">
        <v>2670</v>
      </c>
      <c r="J359" t="s">
        <v>2671</v>
      </c>
      <c r="K359" t="s">
        <v>1576</v>
      </c>
      <c r="L359"/>
      <c r="M359"/>
      <c r="N359"/>
      <c r="O359" t="s">
        <v>2672</v>
      </c>
      <c r="P359" t="s">
        <v>2673</v>
      </c>
      <c r="Q359" t="s">
        <v>2674</v>
      </c>
      <c r="R359"/>
      <c r="S359" t="s">
        <v>2675</v>
      </c>
      <c r="T359"/>
      <c r="U359"/>
      <c r="V359"/>
      <c r="W359"/>
      <c r="X359"/>
      <c r="Y359"/>
      <c r="Z359"/>
      <c r="AA359" t="s">
        <v>1885</v>
      </c>
      <c r="AB359" t="s">
        <v>1886</v>
      </c>
      <c r="AC359"/>
      <c r="AD359"/>
      <c r="AE359"/>
      <c r="AF359"/>
      <c r="AG359"/>
      <c r="AH359"/>
      <c r="AI359"/>
      <c r="AJ359"/>
      <c r="AK359"/>
      <c r="AL359"/>
      <c r="AM359"/>
      <c r="AN359"/>
      <c r="AO359" t="s">
        <v>1581</v>
      </c>
      <c r="AP359"/>
      <c r="AQ359"/>
      <c r="AR359"/>
      <c r="AS359"/>
      <c r="AT359"/>
      <c r="AU359">
        <v>2017</v>
      </c>
      <c r="AV359">
        <v>90</v>
      </c>
      <c r="AW359"/>
      <c r="AX359"/>
      <c r="AY359"/>
      <c r="AZ359"/>
      <c r="BA359"/>
      <c r="BB359"/>
      <c r="BC359"/>
      <c r="BD359">
        <v>12087</v>
      </c>
      <c r="BE359" t="s">
        <v>2676</v>
      </c>
      <c r="BF359" t="str">
        <f>HYPERLINK("http://dx.doi.org/10.1088/1755-1315/90/1/012087","http://dx.doi.org/10.1088/1755-1315/90/1/012087")</f>
        <v>http://dx.doi.org/10.1088/1755-1315/90/1/012087</v>
      </c>
      <c r="BG359"/>
      <c r="BH359"/>
      <c r="BI359"/>
      <c r="BJ359"/>
      <c r="BK359"/>
      <c r="BL359"/>
      <c r="BM359"/>
      <c r="BN359"/>
      <c r="BO359"/>
      <c r="BP359"/>
      <c r="BQ359"/>
      <c r="BR359"/>
      <c r="BS359" t="s">
        <v>2677</v>
      </c>
      <c r="BT359" t="str">
        <f>HYPERLINK("https%3A%2F%2Fwww.webofscience.com%2Fwos%2Fwoscc%2Ffull-record%2FWOS:000419816700087","View Full Record in Web of Science")</f>
        <v>View Full Record in Web of Science</v>
      </c>
    </row>
    <row r="360" spans="1:75" customHeight="1" ht="12.75">
      <c r="A360" t="s">
        <v>147</v>
      </c>
      <c r="B360" t="s">
        <v>2678</v>
      </c>
      <c r="C360"/>
      <c r="D360" t="s">
        <v>2011</v>
      </c>
      <c r="E360"/>
      <c r="F360" t="s">
        <v>2679</v>
      </c>
      <c r="G360"/>
      <c r="H360"/>
      <c r="I360" t="s">
        <v>2680</v>
      </c>
      <c r="J360" t="s">
        <v>2014</v>
      </c>
      <c r="K360" t="s">
        <v>390</v>
      </c>
      <c r="L360"/>
      <c r="M360"/>
      <c r="N360"/>
      <c r="O360" t="s">
        <v>2015</v>
      </c>
      <c r="P360" t="s">
        <v>2016</v>
      </c>
      <c r="Q360" t="s">
        <v>1553</v>
      </c>
      <c r="R360"/>
      <c r="S360"/>
      <c r="T360"/>
      <c r="U360"/>
      <c r="V360"/>
      <c r="W360"/>
      <c r="X360"/>
      <c r="Y360"/>
      <c r="Z360"/>
      <c r="AA360" t="s">
        <v>1694</v>
      </c>
      <c r="AB360" t="s">
        <v>1695</v>
      </c>
      <c r="AC360"/>
      <c r="AD360"/>
      <c r="AE360"/>
      <c r="AF360"/>
      <c r="AG360"/>
      <c r="AH360"/>
      <c r="AI360"/>
      <c r="AJ360"/>
      <c r="AK360"/>
      <c r="AL360"/>
      <c r="AM360"/>
      <c r="AN360"/>
      <c r="AO360" t="s">
        <v>395</v>
      </c>
      <c r="AP360"/>
      <c r="AQ360" t="s">
        <v>2019</v>
      </c>
      <c r="AR360"/>
      <c r="AS360"/>
      <c r="AT360"/>
      <c r="AU360">
        <v>2017</v>
      </c>
      <c r="AV360"/>
      <c r="AW360"/>
      <c r="AX360"/>
      <c r="AY360"/>
      <c r="AZ360"/>
      <c r="BA360"/>
      <c r="BB360">
        <v>197</v>
      </c>
      <c r="BC360">
        <v>200</v>
      </c>
      <c r="BD360"/>
      <c r="BE360"/>
      <c r="BF360"/>
      <c r="BG360"/>
      <c r="BH360"/>
      <c r="BI360"/>
      <c r="BJ360"/>
      <c r="BK360"/>
      <c r="BL360"/>
      <c r="BM360"/>
      <c r="BN360"/>
      <c r="BO360"/>
      <c r="BP360"/>
      <c r="BQ360"/>
      <c r="BR360"/>
      <c r="BS360" t="s">
        <v>2681</v>
      </c>
      <c r="BT360" t="str">
        <f>HYPERLINK("https%3A%2F%2Fwww.webofscience.com%2Fwos%2Fwoscc%2Ffull-record%2FWOS:000428759500052","View Full Record in Web of Science")</f>
        <v>View Full Record in Web of Science</v>
      </c>
    </row>
    <row r="361" spans="1:75" customHeight="1" ht="12.75">
      <c r="A361" t="s">
        <v>147</v>
      </c>
      <c r="B361" t="s">
        <v>2682</v>
      </c>
      <c r="C361"/>
      <c r="D361"/>
      <c r="E361" t="s">
        <v>210</v>
      </c>
      <c r="F361" t="s">
        <v>2683</v>
      </c>
      <c r="G361"/>
      <c r="H361"/>
      <c r="I361" t="s">
        <v>2684</v>
      </c>
      <c r="J361" t="s">
        <v>2685</v>
      </c>
      <c r="K361" t="s">
        <v>2083</v>
      </c>
      <c r="L361"/>
      <c r="M361"/>
      <c r="N361"/>
      <c r="O361" t="s">
        <v>2686</v>
      </c>
      <c r="P361" t="s">
        <v>887</v>
      </c>
      <c r="Q361" t="s">
        <v>888</v>
      </c>
      <c r="R361" t="s">
        <v>2687</v>
      </c>
      <c r="S361"/>
      <c r="T361"/>
      <c r="U361"/>
      <c r="V361"/>
      <c r="W361"/>
      <c r="X361"/>
      <c r="Y361"/>
      <c r="Z361"/>
      <c r="AA361"/>
      <c r="AB361" t="s">
        <v>2688</v>
      </c>
      <c r="AC361"/>
      <c r="AD361"/>
      <c r="AE361"/>
      <c r="AF361"/>
      <c r="AG361"/>
      <c r="AH361"/>
      <c r="AI361"/>
      <c r="AJ361"/>
      <c r="AK361"/>
      <c r="AL361"/>
      <c r="AM361"/>
      <c r="AN361"/>
      <c r="AO361" t="s">
        <v>2089</v>
      </c>
      <c r="AP361"/>
      <c r="AQ361"/>
      <c r="AR361"/>
      <c r="AS361"/>
      <c r="AT361"/>
      <c r="AU361">
        <v>2017</v>
      </c>
      <c r="AV361"/>
      <c r="AW361"/>
      <c r="AX361"/>
      <c r="AY361"/>
      <c r="AZ361"/>
      <c r="BA361"/>
      <c r="BB361"/>
      <c r="BC361"/>
      <c r="BD361"/>
      <c r="BE361"/>
      <c r="BF361"/>
      <c r="BG361"/>
      <c r="BH361"/>
      <c r="BI361"/>
      <c r="BJ361"/>
      <c r="BK361"/>
      <c r="BL361"/>
      <c r="BM361"/>
      <c r="BN361"/>
      <c r="BO361"/>
      <c r="BP361"/>
      <c r="BQ361"/>
      <c r="BR361"/>
      <c r="BS361" t="s">
        <v>2689</v>
      </c>
      <c r="BT361" t="str">
        <f>HYPERLINK("https%3A%2F%2Fwww.webofscience.com%2Fwos%2Fwoscc%2Ffull-record%2FWOS:000427690500083","View Full Record in Web of Science")</f>
        <v>View Full Record in Web of Science</v>
      </c>
    </row>
    <row r="362" spans="1:75" customHeight="1" ht="12.75">
      <c r="A362" t="s">
        <v>147</v>
      </c>
      <c r="B362" t="s">
        <v>2690</v>
      </c>
      <c r="C362"/>
      <c r="D362"/>
      <c r="E362" t="s">
        <v>210</v>
      </c>
      <c r="F362" t="s">
        <v>2691</v>
      </c>
      <c r="G362"/>
      <c r="H362"/>
      <c r="I362" t="s">
        <v>2692</v>
      </c>
      <c r="J362" t="s">
        <v>1539</v>
      </c>
      <c r="K362"/>
      <c r="L362"/>
      <c r="M362"/>
      <c r="N362"/>
      <c r="O362" t="s">
        <v>1540</v>
      </c>
      <c r="P362" t="s">
        <v>1541</v>
      </c>
      <c r="Q362" t="s">
        <v>1542</v>
      </c>
      <c r="R362" t="s">
        <v>1543</v>
      </c>
      <c r="S362"/>
      <c r="T362"/>
      <c r="U362"/>
      <c r="V362"/>
      <c r="W362"/>
      <c r="X362"/>
      <c r="Y362"/>
      <c r="Z362"/>
      <c r="AA362" t="s">
        <v>2024</v>
      </c>
      <c r="AB362" t="s">
        <v>2693</v>
      </c>
      <c r="AC362"/>
      <c r="AD362"/>
      <c r="AE362"/>
      <c r="AF362"/>
      <c r="AG362"/>
      <c r="AH362"/>
      <c r="AI362"/>
      <c r="AJ362"/>
      <c r="AK362"/>
      <c r="AL362"/>
      <c r="AM362"/>
      <c r="AN362"/>
      <c r="AO362"/>
      <c r="AP362"/>
      <c r="AQ362" t="s">
        <v>1544</v>
      </c>
      <c r="AR362"/>
      <c r="AS362"/>
      <c r="AT362"/>
      <c r="AU362">
        <v>2016</v>
      </c>
      <c r="AV362"/>
      <c r="AW362"/>
      <c r="AX362"/>
      <c r="AY362"/>
      <c r="AZ362"/>
      <c r="BA362"/>
      <c r="BB362"/>
      <c r="BC362"/>
      <c r="BD362"/>
      <c r="BE362"/>
      <c r="BF362"/>
      <c r="BG362"/>
      <c r="BH362"/>
      <c r="BI362"/>
      <c r="BJ362"/>
      <c r="BK362"/>
      <c r="BL362"/>
      <c r="BM362"/>
      <c r="BN362"/>
      <c r="BO362"/>
      <c r="BP362"/>
      <c r="BQ362"/>
      <c r="BR362"/>
      <c r="BS362" t="s">
        <v>2694</v>
      </c>
      <c r="BT362" t="str">
        <f>HYPERLINK("https%3A%2F%2Fwww.webofscience.com%2Fwos%2Fwoscc%2Ffull-record%2FWOS:000403604400114","View Full Record in Web of Science")</f>
        <v>View Full Record in Web of Science</v>
      </c>
    </row>
    <row r="363" spans="1:75" customHeight="1" ht="12.75">
      <c r="A363" t="s">
        <v>72</v>
      </c>
      <c r="B363" t="s">
        <v>1203</v>
      </c>
      <c r="C363"/>
      <c r="D363"/>
      <c r="E363"/>
      <c r="F363" t="s">
        <v>1204</v>
      </c>
      <c r="G363"/>
      <c r="H363"/>
      <c r="I363" t="s">
        <v>2695</v>
      </c>
      <c r="J363" t="s">
        <v>623</v>
      </c>
      <c r="K363"/>
      <c r="L363"/>
      <c r="M363"/>
      <c r="N363"/>
      <c r="O363"/>
      <c r="P363"/>
      <c r="Q363"/>
      <c r="R363"/>
      <c r="S363"/>
      <c r="T363"/>
      <c r="U363"/>
      <c r="V363"/>
      <c r="W363"/>
      <c r="X363"/>
      <c r="Y363"/>
      <c r="Z363"/>
      <c r="AA363"/>
      <c r="AB363"/>
      <c r="AC363"/>
      <c r="AD363"/>
      <c r="AE363"/>
      <c r="AF363"/>
      <c r="AG363"/>
      <c r="AH363"/>
      <c r="AI363"/>
      <c r="AJ363"/>
      <c r="AK363"/>
      <c r="AL363"/>
      <c r="AM363"/>
      <c r="AN363"/>
      <c r="AO363" t="s">
        <v>624</v>
      </c>
      <c r="AP363" t="s">
        <v>1334</v>
      </c>
      <c r="AQ363"/>
      <c r="AR363"/>
      <c r="AS363"/>
      <c r="AT363" t="s">
        <v>541</v>
      </c>
      <c r="AU363">
        <v>2011</v>
      </c>
      <c r="AV363">
        <v>85</v>
      </c>
      <c r="AW363">
        <v>1</v>
      </c>
      <c r="AX363"/>
      <c r="AY363"/>
      <c r="AZ363"/>
      <c r="BA363"/>
      <c r="BB363">
        <v>136</v>
      </c>
      <c r="BC363">
        <v>140</v>
      </c>
      <c r="BD363"/>
      <c r="BE363" t="s">
        <v>2696</v>
      </c>
      <c r="BF363" t="str">
        <f>HYPERLINK("http://dx.doi.org/10.1134/S0036024411010134","http://dx.doi.org/10.1134/S0036024411010134")</f>
        <v>http://dx.doi.org/10.1134/S0036024411010134</v>
      </c>
      <c r="BG363"/>
      <c r="BH363"/>
      <c r="BI363"/>
      <c r="BJ363"/>
      <c r="BK363"/>
      <c r="BL363"/>
      <c r="BM363"/>
      <c r="BN363"/>
      <c r="BO363"/>
      <c r="BP363"/>
      <c r="BQ363"/>
      <c r="BR363"/>
      <c r="BS363" t="s">
        <v>2697</v>
      </c>
      <c r="BT363" t="str">
        <f>HYPERLINK("https%3A%2F%2Fwww.webofscience.com%2Fwos%2Fwoscc%2Ffull-record%2FWOS:000288387800025","View Full Record in Web of Science")</f>
        <v>View Full Record in Web of Science</v>
      </c>
    </row>
    <row r="364" spans="1:75" customHeight="1" ht="12.75">
      <c r="A364" t="s">
        <v>72</v>
      </c>
      <c r="B364" t="s">
        <v>2218</v>
      </c>
      <c r="C364"/>
      <c r="D364"/>
      <c r="E364"/>
      <c r="F364" t="s">
        <v>2219</v>
      </c>
      <c r="G364"/>
      <c r="H364"/>
      <c r="I364" t="s">
        <v>2698</v>
      </c>
      <c r="J364" t="s">
        <v>244</v>
      </c>
      <c r="K364"/>
      <c r="L364"/>
      <c r="M364"/>
      <c r="N364"/>
      <c r="O364"/>
      <c r="P364"/>
      <c r="Q364"/>
      <c r="R364"/>
      <c r="S364"/>
      <c r="T364"/>
      <c r="U364"/>
      <c r="V364"/>
      <c r="W364"/>
      <c r="X364"/>
      <c r="Y364"/>
      <c r="Z364"/>
      <c r="AA364" t="s">
        <v>2317</v>
      </c>
      <c r="AB364"/>
      <c r="AC364"/>
      <c r="AD364"/>
      <c r="AE364"/>
      <c r="AF364"/>
      <c r="AG364"/>
      <c r="AH364"/>
      <c r="AI364"/>
      <c r="AJ364"/>
      <c r="AK364"/>
      <c r="AL364"/>
      <c r="AM364"/>
      <c r="AN364"/>
      <c r="AO364" t="s">
        <v>245</v>
      </c>
      <c r="AP364"/>
      <c r="AQ364"/>
      <c r="AR364"/>
      <c r="AS364"/>
      <c r="AT364"/>
      <c r="AU364">
        <v>2008</v>
      </c>
      <c r="AV364"/>
      <c r="AW364">
        <v>3</v>
      </c>
      <c r="AX364"/>
      <c r="AY364"/>
      <c r="AZ364"/>
      <c r="BA364"/>
      <c r="BB364">
        <v>143</v>
      </c>
      <c r="BC364">
        <v>147</v>
      </c>
      <c r="BD364"/>
      <c r="BE364"/>
      <c r="BF364"/>
      <c r="BG364"/>
      <c r="BH364"/>
      <c r="BI364"/>
      <c r="BJ364"/>
      <c r="BK364"/>
      <c r="BL364"/>
      <c r="BM364"/>
      <c r="BN364"/>
      <c r="BO364"/>
      <c r="BP364"/>
      <c r="BQ364"/>
      <c r="BR364"/>
      <c r="BS364" t="s">
        <v>2699</v>
      </c>
      <c r="BT364" t="str">
        <f>HYPERLINK("https%3A%2F%2Fwww.webofscience.com%2Fwos%2Fwoscc%2Ffull-record%2FWOS:000255228700011","View Full Record in Web of Science")</f>
        <v>View Full Record in Web of Science</v>
      </c>
    </row>
    <row r="365" spans="1:75" customHeight="1" ht="12.75">
      <c r="A365" t="s">
        <v>72</v>
      </c>
      <c r="B365" t="s">
        <v>2700</v>
      </c>
      <c r="C365"/>
      <c r="D365"/>
      <c r="E365"/>
      <c r="F365" t="s">
        <v>2701</v>
      </c>
      <c r="G365"/>
      <c r="H365"/>
      <c r="I365" t="s">
        <v>2702</v>
      </c>
      <c r="J365" t="s">
        <v>1905</v>
      </c>
      <c r="K365"/>
      <c r="L365"/>
      <c r="M365"/>
      <c r="N365"/>
      <c r="O365" t="s">
        <v>2703</v>
      </c>
      <c r="P365" t="s">
        <v>2704</v>
      </c>
      <c r="Q365" t="s">
        <v>2563</v>
      </c>
      <c r="R365" t="s">
        <v>2705</v>
      </c>
      <c r="S365"/>
      <c r="T365"/>
      <c r="U365"/>
      <c r="V365"/>
      <c r="W365"/>
      <c r="X365"/>
      <c r="Y365"/>
      <c r="Z365"/>
      <c r="AA365" t="s">
        <v>1718</v>
      </c>
      <c r="AB365" t="s">
        <v>1719</v>
      </c>
      <c r="AC365"/>
      <c r="AD365"/>
      <c r="AE365"/>
      <c r="AF365"/>
      <c r="AG365"/>
      <c r="AH365"/>
      <c r="AI365"/>
      <c r="AJ365"/>
      <c r="AK365"/>
      <c r="AL365"/>
      <c r="AM365"/>
      <c r="AN365"/>
      <c r="AO365" t="s">
        <v>1906</v>
      </c>
      <c r="AP365" t="s">
        <v>1912</v>
      </c>
      <c r="AQ365"/>
      <c r="AR365"/>
      <c r="AS365"/>
      <c r="AT365" t="s">
        <v>1173</v>
      </c>
      <c r="AU365">
        <v>2007</v>
      </c>
      <c r="AV365">
        <v>33</v>
      </c>
      <c r="AW365">
        <v>4</v>
      </c>
      <c r="AX365"/>
      <c r="AY365"/>
      <c r="AZ365"/>
      <c r="BA365"/>
      <c r="BB365">
        <v>362</v>
      </c>
      <c r="BC365">
        <v>368</v>
      </c>
      <c r="BD365"/>
      <c r="BE365" t="s">
        <v>2706</v>
      </c>
      <c r="BF365" t="str">
        <f>HYPERLINK("http://dx.doi.org/10.1134/S1087659607040104","http://dx.doi.org/10.1134/S1087659607040104")</f>
        <v>http://dx.doi.org/10.1134/S1087659607040104</v>
      </c>
      <c r="BG365"/>
      <c r="BH365"/>
      <c r="BI365"/>
      <c r="BJ365"/>
      <c r="BK365"/>
      <c r="BL365"/>
      <c r="BM365"/>
      <c r="BN365"/>
      <c r="BO365"/>
      <c r="BP365"/>
      <c r="BQ365"/>
      <c r="BR365"/>
      <c r="BS365" t="s">
        <v>2707</v>
      </c>
      <c r="BT365" t="str">
        <f>HYPERLINK("https%3A%2F%2Fwww.webofscience.com%2Fwos%2Fwoscc%2Ffull-record%2FWOS:000249259800010","View Full Record in Web of Science")</f>
        <v>View Full Record in Web of Science</v>
      </c>
    </row>
    <row r="366" spans="1:75" customHeight="1" ht="12.75">
      <c r="A366" t="s">
        <v>72</v>
      </c>
      <c r="B366" t="s">
        <v>2708</v>
      </c>
      <c r="C366"/>
      <c r="D366"/>
      <c r="E366"/>
      <c r="F366" t="s">
        <v>2709</v>
      </c>
      <c r="G366"/>
      <c r="H366"/>
      <c r="I366" t="s">
        <v>2710</v>
      </c>
      <c r="J366" t="s">
        <v>614</v>
      </c>
      <c r="K366"/>
      <c r="L366"/>
      <c r="M366"/>
      <c r="N366"/>
      <c r="O366"/>
      <c r="P366"/>
      <c r="Q366"/>
      <c r="R366"/>
      <c r="S366"/>
      <c r="T366"/>
      <c r="U366"/>
      <c r="V366"/>
      <c r="W366"/>
      <c r="X366"/>
      <c r="Y366"/>
      <c r="Z366"/>
      <c r="AA366" t="s">
        <v>1718</v>
      </c>
      <c r="AB366" t="s">
        <v>1719</v>
      </c>
      <c r="AC366"/>
      <c r="AD366"/>
      <c r="AE366"/>
      <c r="AF366"/>
      <c r="AG366"/>
      <c r="AH366"/>
      <c r="AI366"/>
      <c r="AJ366"/>
      <c r="AK366"/>
      <c r="AL366"/>
      <c r="AM366"/>
      <c r="AN366"/>
      <c r="AO366" t="s">
        <v>617</v>
      </c>
      <c r="AP366"/>
      <c r="AQ366"/>
      <c r="AR366"/>
      <c r="AS366"/>
      <c r="AT366" t="s">
        <v>491</v>
      </c>
      <c r="AU366">
        <v>2007</v>
      </c>
      <c r="AV366">
        <v>43</v>
      </c>
      <c r="AW366">
        <v>6</v>
      </c>
      <c r="AX366"/>
      <c r="AY366"/>
      <c r="AZ366"/>
      <c r="BA366"/>
      <c r="BB366">
        <v>638</v>
      </c>
      <c r="BC366">
        <v>643</v>
      </c>
      <c r="BD366"/>
      <c r="BE366" t="s">
        <v>2711</v>
      </c>
      <c r="BF366" t="str">
        <f>HYPERLINK("http://dx.doi.org/10.1134/S1023193507060043","http://dx.doi.org/10.1134/S1023193507060043")</f>
        <v>http://dx.doi.org/10.1134/S1023193507060043</v>
      </c>
      <c r="BG366"/>
      <c r="BH366"/>
      <c r="BI366"/>
      <c r="BJ366"/>
      <c r="BK366"/>
      <c r="BL366"/>
      <c r="BM366"/>
      <c r="BN366"/>
      <c r="BO366"/>
      <c r="BP366"/>
      <c r="BQ366"/>
      <c r="BR366"/>
      <c r="BS366" t="s">
        <v>2712</v>
      </c>
      <c r="BT366" t="str">
        <f>HYPERLINK("https%3A%2F%2Fwww.webofscience.com%2Fwos%2Fwoscc%2Ffull-record%2FWOS:000247977600004","View Full Record in Web of Science")</f>
        <v>View Full Record in Web of Science</v>
      </c>
    </row>
    <row r="367" spans="1:75" customHeight="1" ht="12.75">
      <c r="A367" t="s">
        <v>72</v>
      </c>
      <c r="B367" t="s">
        <v>2713</v>
      </c>
      <c r="C367"/>
      <c r="D367"/>
      <c r="E367"/>
      <c r="F367" t="s">
        <v>2714</v>
      </c>
      <c r="G367"/>
      <c r="H367"/>
      <c r="I367" t="s">
        <v>2715</v>
      </c>
      <c r="J367" t="s">
        <v>244</v>
      </c>
      <c r="K367"/>
      <c r="L367"/>
      <c r="M367"/>
      <c r="N367"/>
      <c r="O367"/>
      <c r="P367"/>
      <c r="Q367"/>
      <c r="R367"/>
      <c r="S367"/>
      <c r="T367"/>
      <c r="U367"/>
      <c r="V367"/>
      <c r="W367"/>
      <c r="X367"/>
      <c r="Y367"/>
      <c r="Z367"/>
      <c r="AA367"/>
      <c r="AB367"/>
      <c r="AC367"/>
      <c r="AD367"/>
      <c r="AE367"/>
      <c r="AF367"/>
      <c r="AG367"/>
      <c r="AH367"/>
      <c r="AI367"/>
      <c r="AJ367"/>
      <c r="AK367"/>
      <c r="AL367"/>
      <c r="AM367"/>
      <c r="AN367"/>
      <c r="AO367" t="s">
        <v>245</v>
      </c>
      <c r="AP367"/>
      <c r="AQ367"/>
      <c r="AR367"/>
      <c r="AS367"/>
      <c r="AT367"/>
      <c r="AU367">
        <v>2006</v>
      </c>
      <c r="AV367"/>
      <c r="AW367">
        <v>10</v>
      </c>
      <c r="AX367"/>
      <c r="AY367"/>
      <c r="AZ367"/>
      <c r="BA367"/>
      <c r="BB367">
        <v>140</v>
      </c>
      <c r="BC367">
        <v>144</v>
      </c>
      <c r="BD367"/>
      <c r="BE367"/>
      <c r="BF367"/>
      <c r="BG367"/>
      <c r="BH367"/>
      <c r="BI367"/>
      <c r="BJ367"/>
      <c r="BK367"/>
      <c r="BL367"/>
      <c r="BM367"/>
      <c r="BN367"/>
      <c r="BO367"/>
      <c r="BP367"/>
      <c r="BQ367"/>
      <c r="BR367"/>
      <c r="BS367" t="s">
        <v>2716</v>
      </c>
      <c r="BT367" t="str">
        <f>HYPERLINK("https%3A%2F%2Fwww.webofscience.com%2Fwos%2Fwoscc%2Ffull-record%2FWOS:000241852800011","View Full Record in Web of Science")</f>
        <v>View Full Record in Web of Science</v>
      </c>
    </row>
    <row r="368" spans="1:75" customHeight="1" ht="12.75">
      <c r="A368" t="s">
        <v>1342</v>
      </c>
      <c r="B368" t="s">
        <v>2717</v>
      </c>
      <c r="C368"/>
      <c r="D368" t="s">
        <v>1344</v>
      </c>
      <c r="E368"/>
      <c r="F368" t="s">
        <v>2718</v>
      </c>
      <c r="G368"/>
      <c r="H368"/>
      <c r="I368" t="s">
        <v>2719</v>
      </c>
      <c r="J368" t="s">
        <v>1347</v>
      </c>
      <c r="K368" t="s">
        <v>1348</v>
      </c>
      <c r="L368"/>
      <c r="M368"/>
      <c r="N368"/>
      <c r="O368"/>
      <c r="P368"/>
      <c r="Q368"/>
      <c r="R368"/>
      <c r="S368"/>
      <c r="T368"/>
      <c r="U368"/>
      <c r="V368"/>
      <c r="W368"/>
      <c r="X368"/>
      <c r="Y368"/>
      <c r="Z368"/>
      <c r="AA368"/>
      <c r="AB368"/>
      <c r="AC368"/>
      <c r="AD368"/>
      <c r="AE368"/>
      <c r="AF368"/>
      <c r="AG368"/>
      <c r="AH368"/>
      <c r="AI368"/>
      <c r="AJ368"/>
      <c r="AK368"/>
      <c r="AL368"/>
      <c r="AM368"/>
      <c r="AN368"/>
      <c r="AO368" t="s">
        <v>1349</v>
      </c>
      <c r="AP368" t="s">
        <v>1350</v>
      </c>
      <c r="AQ368" t="s">
        <v>1351</v>
      </c>
      <c r="AR368"/>
      <c r="AS368"/>
      <c r="AT368"/>
      <c r="AU368">
        <v>2021</v>
      </c>
      <c r="AV368"/>
      <c r="AW368"/>
      <c r="AX368"/>
      <c r="AY368"/>
      <c r="AZ368"/>
      <c r="BA368"/>
      <c r="BB368">
        <v>359</v>
      </c>
      <c r="BC368">
        <v>368</v>
      </c>
      <c r="BD368"/>
      <c r="BE368" t="s">
        <v>2720</v>
      </c>
      <c r="BF368" t="str">
        <f>HYPERLINK("http://dx.doi.org/10.1007/978-3-030-70194-9_36","http://dx.doi.org/10.1007/978-3-030-70194-9_36")</f>
        <v>http://dx.doi.org/10.1007/978-3-030-70194-9_36</v>
      </c>
      <c r="BG368" t="s">
        <v>1353</v>
      </c>
      <c r="BH368"/>
      <c r="BI368"/>
      <c r="BJ368"/>
      <c r="BK368"/>
      <c r="BL368"/>
      <c r="BM368"/>
      <c r="BN368"/>
      <c r="BO368"/>
      <c r="BP368"/>
      <c r="BQ368"/>
      <c r="BR368"/>
      <c r="BS368" t="s">
        <v>2721</v>
      </c>
      <c r="BT368" t="str">
        <f>HYPERLINK("https%3A%2F%2Fwww.webofscience.com%2Fwos%2Fwoscc%2Ffull-record%2FWOS:000849737100035","View Full Record in Web of Science")</f>
        <v>View Full Record in Web of Science</v>
      </c>
    </row>
    <row r="369" spans="1:75" customHeight="1" ht="12.75">
      <c r="A369" t="s">
        <v>147</v>
      </c>
      <c r="B369" t="s">
        <v>568</v>
      </c>
      <c r="C369"/>
      <c r="D369"/>
      <c r="E369" t="s">
        <v>210</v>
      </c>
      <c r="F369" t="s">
        <v>569</v>
      </c>
      <c r="G369"/>
      <c r="H369"/>
      <c r="I369" t="s">
        <v>2722</v>
      </c>
      <c r="J369" t="s">
        <v>1053</v>
      </c>
      <c r="K369" t="s">
        <v>743</v>
      </c>
      <c r="L369"/>
      <c r="M369"/>
      <c r="N369"/>
      <c r="O369" t="s">
        <v>744</v>
      </c>
      <c r="P369" t="s">
        <v>1054</v>
      </c>
      <c r="Q369" t="s">
        <v>256</v>
      </c>
      <c r="R369" t="s">
        <v>1055</v>
      </c>
      <c r="S369" t="s">
        <v>257</v>
      </c>
      <c r="T369"/>
      <c r="U369"/>
      <c r="V369"/>
      <c r="W369"/>
      <c r="X369"/>
      <c r="Y369"/>
      <c r="Z369"/>
      <c r="AA369" t="s">
        <v>2723</v>
      </c>
      <c r="AB369" t="s">
        <v>2724</v>
      </c>
      <c r="AC369"/>
      <c r="AD369"/>
      <c r="AE369"/>
      <c r="AF369"/>
      <c r="AG369"/>
      <c r="AH369"/>
      <c r="AI369"/>
      <c r="AJ369"/>
      <c r="AK369"/>
      <c r="AL369"/>
      <c r="AM369"/>
      <c r="AN369"/>
      <c r="AO369" t="s">
        <v>748</v>
      </c>
      <c r="AP369"/>
      <c r="AQ369" t="s">
        <v>1058</v>
      </c>
      <c r="AR369"/>
      <c r="AS369"/>
      <c r="AT369"/>
      <c r="AU369">
        <v>2021</v>
      </c>
      <c r="AV369"/>
      <c r="AW369"/>
      <c r="AX369"/>
      <c r="AY369"/>
      <c r="AZ369"/>
      <c r="BA369"/>
      <c r="BB369"/>
      <c r="BC369"/>
      <c r="BD369"/>
      <c r="BE369" t="s">
        <v>2725</v>
      </c>
      <c r="BF369" t="str">
        <f>HYPERLINK("http://dx.doi.org/10.1109/SIBCON50419.2021.9438931","http://dx.doi.org/10.1109/SIBCON50419.2021.9438931")</f>
        <v>http://dx.doi.org/10.1109/SIBCON50419.2021.9438931</v>
      </c>
      <c r="BG369"/>
      <c r="BH369"/>
      <c r="BI369"/>
      <c r="BJ369"/>
      <c r="BK369"/>
      <c r="BL369"/>
      <c r="BM369"/>
      <c r="BN369"/>
      <c r="BO369"/>
      <c r="BP369"/>
      <c r="BQ369"/>
      <c r="BR369"/>
      <c r="BS369" t="s">
        <v>2726</v>
      </c>
      <c r="BT369" t="str">
        <f>HYPERLINK("https%3A%2F%2Fwww.webofscience.com%2Fwos%2Fwoscc%2Ffull-record%2FWOS:000680842100079","View Full Record in Web of Science")</f>
        <v>View Full Record in Web of Science</v>
      </c>
    </row>
    <row r="370" spans="1:75" customHeight="1" ht="12.75">
      <c r="A370" t="s">
        <v>72</v>
      </c>
      <c r="B370" t="s">
        <v>2727</v>
      </c>
      <c r="C370"/>
      <c r="D370"/>
      <c r="E370"/>
      <c r="F370" t="s">
        <v>2728</v>
      </c>
      <c r="G370"/>
      <c r="H370"/>
      <c r="I370" t="s">
        <v>2729</v>
      </c>
      <c r="J370" t="s">
        <v>131</v>
      </c>
      <c r="K370"/>
      <c r="L370"/>
      <c r="M370"/>
      <c r="N370"/>
      <c r="O370"/>
      <c r="P370"/>
      <c r="Q370"/>
      <c r="R370"/>
      <c r="S370"/>
      <c r="T370"/>
      <c r="U370"/>
      <c r="V370"/>
      <c r="W370"/>
      <c r="X370"/>
      <c r="Y370"/>
      <c r="Z370"/>
      <c r="AA370" t="s">
        <v>2730</v>
      </c>
      <c r="AB370" t="s">
        <v>2731</v>
      </c>
      <c r="AC370"/>
      <c r="AD370"/>
      <c r="AE370"/>
      <c r="AF370"/>
      <c r="AG370"/>
      <c r="AH370"/>
      <c r="AI370"/>
      <c r="AJ370"/>
      <c r="AK370"/>
      <c r="AL370"/>
      <c r="AM370"/>
      <c r="AN370"/>
      <c r="AO370" t="s">
        <v>134</v>
      </c>
      <c r="AP370" t="s">
        <v>135</v>
      </c>
      <c r="AQ370"/>
      <c r="AR370"/>
      <c r="AS370"/>
      <c r="AT370"/>
      <c r="AU370">
        <v>2020</v>
      </c>
      <c r="AV370">
        <v>20</v>
      </c>
      <c r="AW370">
        <v>1</v>
      </c>
      <c r="AX370"/>
      <c r="AY370"/>
      <c r="AZ370"/>
      <c r="BA370"/>
      <c r="BB370">
        <v>82</v>
      </c>
      <c r="BC370">
        <v>88</v>
      </c>
      <c r="BD370"/>
      <c r="BE370" t="s">
        <v>2732</v>
      </c>
      <c r="BF370" t="str">
        <f>HYPERLINK("http://dx.doi.org/10.14529/hsm200110","http://dx.doi.org/10.14529/hsm200110")</f>
        <v>http://dx.doi.org/10.14529/hsm200110</v>
      </c>
      <c r="BG370"/>
      <c r="BH370"/>
      <c r="BI370"/>
      <c r="BJ370"/>
      <c r="BK370"/>
      <c r="BL370"/>
      <c r="BM370"/>
      <c r="BN370"/>
      <c r="BO370"/>
      <c r="BP370"/>
      <c r="BQ370"/>
      <c r="BR370"/>
      <c r="BS370" t="s">
        <v>2733</v>
      </c>
      <c r="BT370" t="str">
        <f>HYPERLINK("https%3A%2F%2Fwww.webofscience.com%2Fwos%2Fwoscc%2Ffull-record%2FWOS:000539044700010","View Full Record in Web of Science")</f>
        <v>View Full Record in Web of Science</v>
      </c>
    </row>
    <row r="371" spans="1:75" customHeight="1" ht="12.75">
      <c r="A371" t="s">
        <v>72</v>
      </c>
      <c r="B371" t="s">
        <v>2734</v>
      </c>
      <c r="C371"/>
      <c r="D371"/>
      <c r="E371"/>
      <c r="F371" t="s">
        <v>2735</v>
      </c>
      <c r="G371"/>
      <c r="H371"/>
      <c r="I371" t="s">
        <v>2736</v>
      </c>
      <c r="J371" t="s">
        <v>244</v>
      </c>
      <c r="K371"/>
      <c r="L371"/>
      <c r="M371"/>
      <c r="N371"/>
      <c r="O371"/>
      <c r="P371"/>
      <c r="Q371"/>
      <c r="R371"/>
      <c r="S371"/>
      <c r="T371"/>
      <c r="U371"/>
      <c r="V371"/>
      <c r="W371"/>
      <c r="X371"/>
      <c r="Y371"/>
      <c r="Z371"/>
      <c r="AA371"/>
      <c r="AB371" t="s">
        <v>2737</v>
      </c>
      <c r="AC371"/>
      <c r="AD371"/>
      <c r="AE371"/>
      <c r="AF371"/>
      <c r="AG371"/>
      <c r="AH371"/>
      <c r="AI371"/>
      <c r="AJ371"/>
      <c r="AK371"/>
      <c r="AL371"/>
      <c r="AM371"/>
      <c r="AN371"/>
      <c r="AO371" t="s">
        <v>245</v>
      </c>
      <c r="AP371" t="s">
        <v>246</v>
      </c>
      <c r="AQ371"/>
      <c r="AR371"/>
      <c r="AS371"/>
      <c r="AT371"/>
      <c r="AU371">
        <v>2020</v>
      </c>
      <c r="AV371"/>
      <c r="AW371">
        <v>12</v>
      </c>
      <c r="AX371">
        <v>1</v>
      </c>
      <c r="AY371"/>
      <c r="AZ371"/>
      <c r="BA371"/>
      <c r="BB371">
        <v>237</v>
      </c>
      <c r="BC371">
        <v>245</v>
      </c>
      <c r="BD371"/>
      <c r="BE371" t="s">
        <v>2738</v>
      </c>
      <c r="BF371" t="str">
        <f>HYPERLINK("http://dx.doi.org/10.31166/VoprosyIstorii202012Statyi19","http://dx.doi.org/10.31166/VoprosyIstorii202012Statyi19")</f>
        <v>http://dx.doi.org/10.31166/VoprosyIstorii202012Statyi19</v>
      </c>
      <c r="BG371"/>
      <c r="BH371"/>
      <c r="BI371"/>
      <c r="BJ371"/>
      <c r="BK371"/>
      <c r="BL371"/>
      <c r="BM371"/>
      <c r="BN371"/>
      <c r="BO371"/>
      <c r="BP371"/>
      <c r="BQ371"/>
      <c r="BR371"/>
      <c r="BS371" t="s">
        <v>2739</v>
      </c>
      <c r="BT371" t="str">
        <f>HYPERLINK("https%3A%2F%2Fwww.webofscience.com%2Fwos%2Fwoscc%2Ffull-record%2FWOS:000618381400019","View Full Record in Web of Science")</f>
        <v>View Full Record in Web of Science</v>
      </c>
    </row>
    <row r="372" spans="1:75" customHeight="1" ht="12.75">
      <c r="A372" t="s">
        <v>147</v>
      </c>
      <c r="B372" t="s">
        <v>581</v>
      </c>
      <c r="C372"/>
      <c r="D372"/>
      <c r="E372" t="s">
        <v>1465</v>
      </c>
      <c r="F372" t="s">
        <v>582</v>
      </c>
      <c r="G372"/>
      <c r="H372"/>
      <c r="I372" t="s">
        <v>2740</v>
      </c>
      <c r="J372" t="s">
        <v>1618</v>
      </c>
      <c r="K372" t="s">
        <v>1469</v>
      </c>
      <c r="L372"/>
      <c r="M372"/>
      <c r="N372"/>
      <c r="O372" t="s">
        <v>1619</v>
      </c>
      <c r="P372" t="s">
        <v>1620</v>
      </c>
      <c r="Q372" t="s">
        <v>156</v>
      </c>
      <c r="R372" t="s">
        <v>1621</v>
      </c>
      <c r="S372"/>
      <c r="T372"/>
      <c r="U372"/>
      <c r="V372"/>
      <c r="W372"/>
      <c r="X372"/>
      <c r="Y372"/>
      <c r="Z372"/>
      <c r="AA372" t="s">
        <v>2741</v>
      </c>
      <c r="AB372" t="s">
        <v>1843</v>
      </c>
      <c r="AC372"/>
      <c r="AD372"/>
      <c r="AE372"/>
      <c r="AF372"/>
      <c r="AG372"/>
      <c r="AH372"/>
      <c r="AI372"/>
      <c r="AJ372"/>
      <c r="AK372"/>
      <c r="AL372"/>
      <c r="AM372"/>
      <c r="AN372"/>
      <c r="AO372" t="s">
        <v>1472</v>
      </c>
      <c r="AP372"/>
      <c r="AQ372"/>
      <c r="AR372"/>
      <c r="AS372"/>
      <c r="AT372"/>
      <c r="AU372">
        <v>2020</v>
      </c>
      <c r="AV372">
        <v>962</v>
      </c>
      <c r="AW372"/>
      <c r="AX372"/>
      <c r="AY372"/>
      <c r="AZ372"/>
      <c r="BA372"/>
      <c r="BB372"/>
      <c r="BC372"/>
      <c r="BD372">
        <v>22041</v>
      </c>
      <c r="BE372" t="s">
        <v>2742</v>
      </c>
      <c r="BF372" t="str">
        <f>HYPERLINK("http://dx.doi.org/10.1088/1757-899X/962/2/022041","http://dx.doi.org/10.1088/1757-899X/962/2/022041")</f>
        <v>http://dx.doi.org/10.1088/1757-899X/962/2/022041</v>
      </c>
      <c r="BG372"/>
      <c r="BH372"/>
      <c r="BI372"/>
      <c r="BJ372"/>
      <c r="BK372"/>
      <c r="BL372"/>
      <c r="BM372"/>
      <c r="BN372"/>
      <c r="BO372"/>
      <c r="BP372"/>
      <c r="BQ372"/>
      <c r="BR372"/>
      <c r="BS372" t="s">
        <v>2743</v>
      </c>
      <c r="BT372" t="str">
        <f>HYPERLINK("https%3A%2F%2Fwww.webofscience.com%2Fwos%2Fwoscc%2Ffull-record%2FWOS:000648432000041","View Full Record in Web of Science")</f>
        <v>View Full Record in Web of Science</v>
      </c>
    </row>
    <row r="373" spans="1:75" customHeight="1" ht="12.75">
      <c r="A373" t="s">
        <v>72</v>
      </c>
      <c r="B373" t="s">
        <v>2744</v>
      </c>
      <c r="C373"/>
      <c r="D373"/>
      <c r="E373"/>
      <c r="F373" t="s">
        <v>2745</v>
      </c>
      <c r="G373"/>
      <c r="H373"/>
      <c r="I373" t="s">
        <v>2746</v>
      </c>
      <c r="J373" t="s">
        <v>95</v>
      </c>
      <c r="K373"/>
      <c r="L373"/>
      <c r="M373"/>
      <c r="N373"/>
      <c r="O373"/>
      <c r="P373"/>
      <c r="Q373"/>
      <c r="R373"/>
      <c r="S373"/>
      <c r="T373"/>
      <c r="U373"/>
      <c r="V373"/>
      <c r="W373"/>
      <c r="X373"/>
      <c r="Y373"/>
      <c r="Z373"/>
      <c r="AA373"/>
      <c r="AB373"/>
      <c r="AC373"/>
      <c r="AD373"/>
      <c r="AE373"/>
      <c r="AF373"/>
      <c r="AG373"/>
      <c r="AH373"/>
      <c r="AI373"/>
      <c r="AJ373"/>
      <c r="AK373"/>
      <c r="AL373"/>
      <c r="AM373"/>
      <c r="AN373"/>
      <c r="AO373" t="s">
        <v>98</v>
      </c>
      <c r="AP373" t="s">
        <v>99</v>
      </c>
      <c r="AQ373"/>
      <c r="AR373"/>
      <c r="AS373"/>
      <c r="AT373"/>
      <c r="AU373">
        <v>2020</v>
      </c>
      <c r="AV373"/>
      <c r="AW373">
        <v>4</v>
      </c>
      <c r="AX373"/>
      <c r="AY373"/>
      <c r="AZ373"/>
      <c r="BA373"/>
      <c r="BB373">
        <v>149</v>
      </c>
      <c r="BC373">
        <v>154</v>
      </c>
      <c r="BD373"/>
      <c r="BE373" t="s">
        <v>2747</v>
      </c>
      <c r="BF373" t="str">
        <f>HYPERLINK("http://dx.doi.org/10.25750/1995-4301-2020-4-149-154","http://dx.doi.org/10.25750/1995-4301-2020-4-149-154")</f>
        <v>http://dx.doi.org/10.25750/1995-4301-2020-4-149-154</v>
      </c>
      <c r="BG373"/>
      <c r="BH373"/>
      <c r="BI373"/>
      <c r="BJ373"/>
      <c r="BK373"/>
      <c r="BL373"/>
      <c r="BM373"/>
      <c r="BN373"/>
      <c r="BO373"/>
      <c r="BP373"/>
      <c r="BQ373"/>
      <c r="BR373"/>
      <c r="BS373" t="s">
        <v>2748</v>
      </c>
      <c r="BT373" t="str">
        <f>HYPERLINK("https%3A%2F%2Fwww.webofscience.com%2Fwos%2Fwoscc%2Ffull-record%2FWOS:000597810500023","View Full Record in Web of Science")</f>
        <v>View Full Record in Web of Science</v>
      </c>
    </row>
    <row r="374" spans="1:75" customHeight="1" ht="12.75">
      <c r="A374" t="s">
        <v>72</v>
      </c>
      <c r="B374" t="s">
        <v>2749</v>
      </c>
      <c r="C374"/>
      <c r="D374"/>
      <c r="E374"/>
      <c r="F374" t="s">
        <v>2750</v>
      </c>
      <c r="G374"/>
      <c r="H374"/>
      <c r="I374" t="s">
        <v>2751</v>
      </c>
      <c r="J374" t="s">
        <v>1635</v>
      </c>
      <c r="K374"/>
      <c r="L374"/>
      <c r="M374"/>
      <c r="N374"/>
      <c r="O374"/>
      <c r="P374"/>
      <c r="Q374"/>
      <c r="R374"/>
      <c r="S374"/>
      <c r="T374"/>
      <c r="U374"/>
      <c r="V374"/>
      <c r="W374"/>
      <c r="X374"/>
      <c r="Y374"/>
      <c r="Z374"/>
      <c r="AA374" t="s">
        <v>2752</v>
      </c>
      <c r="AB374" t="s">
        <v>2753</v>
      </c>
      <c r="AC374"/>
      <c r="AD374"/>
      <c r="AE374"/>
      <c r="AF374"/>
      <c r="AG374"/>
      <c r="AH374"/>
      <c r="AI374"/>
      <c r="AJ374"/>
      <c r="AK374"/>
      <c r="AL374"/>
      <c r="AM374"/>
      <c r="AN374"/>
      <c r="AO374" t="s">
        <v>1636</v>
      </c>
      <c r="AP374" t="s">
        <v>1637</v>
      </c>
      <c r="AQ374"/>
      <c r="AR374"/>
      <c r="AS374"/>
      <c r="AT374" t="s">
        <v>1638</v>
      </c>
      <c r="AU374">
        <v>2019</v>
      </c>
      <c r="AV374">
        <v>27</v>
      </c>
      <c r="AW374" t="s">
        <v>1639</v>
      </c>
      <c r="AX374"/>
      <c r="AY374"/>
      <c r="AZ374" t="s">
        <v>339</v>
      </c>
      <c r="BA374"/>
      <c r="BB374">
        <v>173</v>
      </c>
      <c r="BC374">
        <v>179</v>
      </c>
      <c r="BD374"/>
      <c r="BE374" t="s">
        <v>2754</v>
      </c>
      <c r="BF374" t="str">
        <f>HYPERLINK("http://dx.doi.org/10.1108/OTH-07-2019-0034","http://dx.doi.org/10.1108/OTH-07-2019-0034")</f>
        <v>http://dx.doi.org/10.1108/OTH-07-2019-0034</v>
      </c>
      <c r="BG374"/>
      <c r="BH374"/>
      <c r="BI374"/>
      <c r="BJ374"/>
      <c r="BK374"/>
      <c r="BL374"/>
      <c r="BM374"/>
      <c r="BN374"/>
      <c r="BO374"/>
      <c r="BP374"/>
      <c r="BQ374"/>
      <c r="BR374"/>
      <c r="BS374" t="s">
        <v>2755</v>
      </c>
      <c r="BT374" t="str">
        <f>HYPERLINK("https%3A%2F%2Fwww.webofscience.com%2Fwos%2Fwoscc%2Ffull-record%2FWOS:000491196500007","View Full Record in Web of Science")</f>
        <v>View Full Record in Web of Science</v>
      </c>
    </row>
    <row r="375" spans="1:75" customHeight="1" ht="12.75">
      <c r="A375" t="s">
        <v>72</v>
      </c>
      <c r="B375" t="s">
        <v>2756</v>
      </c>
      <c r="C375"/>
      <c r="D375"/>
      <c r="E375"/>
      <c r="F375" t="s">
        <v>2757</v>
      </c>
      <c r="G375"/>
      <c r="H375"/>
      <c r="I375" t="s">
        <v>2758</v>
      </c>
      <c r="J375" t="s">
        <v>2759</v>
      </c>
      <c r="K375"/>
      <c r="L375"/>
      <c r="M375"/>
      <c r="N375"/>
      <c r="O375"/>
      <c r="P375"/>
      <c r="Q375"/>
      <c r="R375"/>
      <c r="S375"/>
      <c r="T375"/>
      <c r="U375"/>
      <c r="V375"/>
      <c r="W375"/>
      <c r="X375"/>
      <c r="Y375"/>
      <c r="Z375"/>
      <c r="AA375" t="s">
        <v>1402</v>
      </c>
      <c r="AB375" t="s">
        <v>2760</v>
      </c>
      <c r="AC375"/>
      <c r="AD375"/>
      <c r="AE375"/>
      <c r="AF375"/>
      <c r="AG375"/>
      <c r="AH375"/>
      <c r="AI375"/>
      <c r="AJ375"/>
      <c r="AK375"/>
      <c r="AL375"/>
      <c r="AM375"/>
      <c r="AN375"/>
      <c r="AO375" t="s">
        <v>2761</v>
      </c>
      <c r="AP375" t="s">
        <v>2762</v>
      </c>
      <c r="AQ375"/>
      <c r="AR375"/>
      <c r="AS375"/>
      <c r="AT375" t="s">
        <v>830</v>
      </c>
      <c r="AU375">
        <v>2019</v>
      </c>
      <c r="AV375">
        <v>45</v>
      </c>
      <c r="AW375">
        <v>5</v>
      </c>
      <c r="AX375"/>
      <c r="AY375"/>
      <c r="AZ375"/>
      <c r="BA375"/>
      <c r="BB375">
        <v>228</v>
      </c>
      <c r="BC375">
        <v>240</v>
      </c>
      <c r="BD375"/>
      <c r="BE375" t="s">
        <v>2763</v>
      </c>
      <c r="BF375" t="str">
        <f>HYPERLINK("http://dx.doi.org/10.1134/S0361768819050074","http://dx.doi.org/10.1134/S0361768819050074")</f>
        <v>http://dx.doi.org/10.1134/S0361768819050074</v>
      </c>
      <c r="BG375"/>
      <c r="BH375"/>
      <c r="BI375"/>
      <c r="BJ375"/>
      <c r="BK375"/>
      <c r="BL375"/>
      <c r="BM375"/>
      <c r="BN375"/>
      <c r="BO375"/>
      <c r="BP375"/>
      <c r="BQ375"/>
      <c r="BR375"/>
      <c r="BS375" t="s">
        <v>2764</v>
      </c>
      <c r="BT375" t="str">
        <f>HYPERLINK("https%3A%2F%2Fwww.webofscience.com%2Fwos%2Fwoscc%2Ffull-record%2FWOS:000510646100002","View Full Record in Web of Science")</f>
        <v>View Full Record in Web of Science</v>
      </c>
    </row>
    <row r="376" spans="1:75" customHeight="1" ht="12.75">
      <c r="A376" t="s">
        <v>147</v>
      </c>
      <c r="B376" t="s">
        <v>2765</v>
      </c>
      <c r="C376" t="s">
        <v>1232</v>
      </c>
      <c r="D376"/>
      <c r="E376"/>
      <c r="F376" t="s">
        <v>2766</v>
      </c>
      <c r="G376" t="s">
        <v>1232</v>
      </c>
      <c r="H376"/>
      <c r="I376" t="s">
        <v>2767</v>
      </c>
      <c r="J376" t="s">
        <v>1235</v>
      </c>
      <c r="K376" t="s">
        <v>1236</v>
      </c>
      <c r="L376"/>
      <c r="M376"/>
      <c r="N376"/>
      <c r="O376" t="s">
        <v>1237</v>
      </c>
      <c r="P376" t="s">
        <v>1238</v>
      </c>
      <c r="Q376" t="s">
        <v>910</v>
      </c>
      <c r="R376" t="s">
        <v>1239</v>
      </c>
      <c r="S376"/>
      <c r="T376"/>
      <c r="U376"/>
      <c r="V376"/>
      <c r="W376"/>
      <c r="X376"/>
      <c r="Y376"/>
      <c r="Z376"/>
      <c r="AA376" t="s">
        <v>2768</v>
      </c>
      <c r="AB376" t="s">
        <v>2769</v>
      </c>
      <c r="AC376"/>
      <c r="AD376"/>
      <c r="AE376"/>
      <c r="AF376"/>
      <c r="AG376"/>
      <c r="AH376"/>
      <c r="AI376"/>
      <c r="AJ376"/>
      <c r="AK376"/>
      <c r="AL376"/>
      <c r="AM376"/>
      <c r="AN376"/>
      <c r="AO376" t="s">
        <v>1240</v>
      </c>
      <c r="AP376"/>
      <c r="AQ376"/>
      <c r="AR376"/>
      <c r="AS376"/>
      <c r="AT376"/>
      <c r="AU376">
        <v>2019</v>
      </c>
      <c r="AV376">
        <v>110</v>
      </c>
      <c r="AW376"/>
      <c r="AX376"/>
      <c r="AY376"/>
      <c r="AZ376"/>
      <c r="BA376"/>
      <c r="BB376"/>
      <c r="BC376"/>
      <c r="BD376">
        <v>2005</v>
      </c>
      <c r="BE376" t="s">
        <v>2770</v>
      </c>
      <c r="BF376" t="str">
        <f>HYPERLINK("http://dx.doi.org/10.1051/e3sconf/201911002005","http://dx.doi.org/10.1051/e3sconf/201911002005")</f>
        <v>http://dx.doi.org/10.1051/e3sconf/201911002005</v>
      </c>
      <c r="BG376"/>
      <c r="BH376"/>
      <c r="BI376"/>
      <c r="BJ376"/>
      <c r="BK376"/>
      <c r="BL376"/>
      <c r="BM376"/>
      <c r="BN376"/>
      <c r="BO376"/>
      <c r="BP376"/>
      <c r="BQ376"/>
      <c r="BR376"/>
      <c r="BS376" t="s">
        <v>2771</v>
      </c>
      <c r="BT376" t="str">
        <f>HYPERLINK("https%3A%2F%2Fwww.webofscience.com%2Fwos%2Fwoscc%2Ffull-record%2FWOS:000569050000094","View Full Record in Web of Science")</f>
        <v>View Full Record in Web of Science</v>
      </c>
    </row>
    <row r="377" spans="1:75" customHeight="1" ht="12.75">
      <c r="A377" t="s">
        <v>72</v>
      </c>
      <c r="B377" t="s">
        <v>698</v>
      </c>
      <c r="C377"/>
      <c r="D377"/>
      <c r="E377"/>
      <c r="F377" t="s">
        <v>699</v>
      </c>
      <c r="G377"/>
      <c r="H377"/>
      <c r="I377" t="s">
        <v>2772</v>
      </c>
      <c r="J377" t="s">
        <v>1228</v>
      </c>
      <c r="K377"/>
      <c r="L377"/>
      <c r="M377"/>
      <c r="N377"/>
      <c r="O377"/>
      <c r="P377"/>
      <c r="Q377"/>
      <c r="R377"/>
      <c r="S377"/>
      <c r="T377"/>
      <c r="U377"/>
      <c r="V377"/>
      <c r="W377"/>
      <c r="X377"/>
      <c r="Y377"/>
      <c r="Z377"/>
      <c r="AA377"/>
      <c r="AB377"/>
      <c r="AC377"/>
      <c r="AD377"/>
      <c r="AE377"/>
      <c r="AF377"/>
      <c r="AG377"/>
      <c r="AH377"/>
      <c r="AI377"/>
      <c r="AJ377"/>
      <c r="AK377"/>
      <c r="AL377"/>
      <c r="AM377"/>
      <c r="AN377"/>
      <c r="AO377" t="s">
        <v>1229</v>
      </c>
      <c r="AP377"/>
      <c r="AQ377"/>
      <c r="AR377"/>
      <c r="AS377"/>
      <c r="AT377"/>
      <c r="AU377">
        <v>2019</v>
      </c>
      <c r="AV377">
        <v>8</v>
      </c>
      <c r="AW377">
        <v>3</v>
      </c>
      <c r="AX377"/>
      <c r="AY377"/>
      <c r="AZ377"/>
      <c r="BA377"/>
      <c r="BB377">
        <v>116</v>
      </c>
      <c r="BC377">
        <v>120</v>
      </c>
      <c r="BD377"/>
      <c r="BE377"/>
      <c r="BF377"/>
      <c r="BG377"/>
      <c r="BH377"/>
      <c r="BI377"/>
      <c r="BJ377"/>
      <c r="BK377"/>
      <c r="BL377"/>
      <c r="BM377"/>
      <c r="BN377"/>
      <c r="BO377"/>
      <c r="BP377"/>
      <c r="BQ377"/>
      <c r="BR377"/>
      <c r="BS377" t="s">
        <v>2773</v>
      </c>
      <c r="BT377" t="str">
        <f>HYPERLINK("https%3A%2F%2Fwww.webofscience.com%2Fwos%2Fwoscc%2Ffull-record%2FWOS:000464215200015","View Full Record in Web of Science")</f>
        <v>View Full Record in Web of Science</v>
      </c>
    </row>
    <row r="378" spans="1:75" customHeight="1" ht="12.75">
      <c r="A378" t="s">
        <v>72</v>
      </c>
      <c r="B378" t="s">
        <v>2774</v>
      </c>
      <c r="C378"/>
      <c r="D378"/>
      <c r="E378"/>
      <c r="F378" t="s">
        <v>2775</v>
      </c>
      <c r="G378"/>
      <c r="H378"/>
      <c r="I378" t="s">
        <v>2776</v>
      </c>
      <c r="J378" t="s">
        <v>650</v>
      </c>
      <c r="K378"/>
      <c r="L378"/>
      <c r="M378"/>
      <c r="N378"/>
      <c r="O378"/>
      <c r="P378"/>
      <c r="Q378"/>
      <c r="R378"/>
      <c r="S378"/>
      <c r="T378"/>
      <c r="U378"/>
      <c r="V378"/>
      <c r="W378"/>
      <c r="X378"/>
      <c r="Y378"/>
      <c r="Z378"/>
      <c r="AA378" t="s">
        <v>1519</v>
      </c>
      <c r="AB378" t="s">
        <v>1520</v>
      </c>
      <c r="AC378"/>
      <c r="AD378"/>
      <c r="AE378"/>
      <c r="AF378"/>
      <c r="AG378"/>
      <c r="AH378"/>
      <c r="AI378"/>
      <c r="AJ378"/>
      <c r="AK378"/>
      <c r="AL378"/>
      <c r="AM378"/>
      <c r="AN378"/>
      <c r="AO378" t="s">
        <v>653</v>
      </c>
      <c r="AP378" t="s">
        <v>654</v>
      </c>
      <c r="AQ378"/>
      <c r="AR378"/>
      <c r="AS378"/>
      <c r="AT378" t="s">
        <v>1173</v>
      </c>
      <c r="AU378">
        <v>2018</v>
      </c>
      <c r="AV378"/>
      <c r="AW378">
        <v>8</v>
      </c>
      <c r="AX378"/>
      <c r="AY378"/>
      <c r="AZ378"/>
      <c r="BA378"/>
      <c r="BB378">
        <v>777</v>
      </c>
      <c r="BC378">
        <v>782</v>
      </c>
      <c r="BD378"/>
      <c r="BE378" t="s">
        <v>2777</v>
      </c>
      <c r="BF378" t="str">
        <f>HYPERLINK("http://dx.doi.org/10.1134/S0036029518080177","http://dx.doi.org/10.1134/S0036029518080177")</f>
        <v>http://dx.doi.org/10.1134/S0036029518080177</v>
      </c>
      <c r="BG378"/>
      <c r="BH378"/>
      <c r="BI378"/>
      <c r="BJ378"/>
      <c r="BK378"/>
      <c r="BL378"/>
      <c r="BM378"/>
      <c r="BN378"/>
      <c r="BO378"/>
      <c r="BP378"/>
      <c r="BQ378"/>
      <c r="BR378"/>
      <c r="BS378" t="s">
        <v>2778</v>
      </c>
      <c r="BT378" t="str">
        <f>HYPERLINK("https%3A%2F%2Fwww.webofscience.com%2Fwos%2Fwoscc%2Ffull-record%2FWOS:000454273600016","View Full Record in Web of Science")</f>
        <v>View Full Record in Web of Science</v>
      </c>
    </row>
    <row r="379" spans="1:75" customHeight="1" ht="12.75">
      <c r="A379" t="s">
        <v>72</v>
      </c>
      <c r="B379" t="s">
        <v>2779</v>
      </c>
      <c r="C379"/>
      <c r="D379"/>
      <c r="E379"/>
      <c r="F379" t="s">
        <v>2780</v>
      </c>
      <c r="G379"/>
      <c r="H379"/>
      <c r="I379" t="s">
        <v>2781</v>
      </c>
      <c r="J379" t="s">
        <v>1030</v>
      </c>
      <c r="K379"/>
      <c r="L379"/>
      <c r="M379"/>
      <c r="N379"/>
      <c r="O379"/>
      <c r="P379"/>
      <c r="Q379"/>
      <c r="R379"/>
      <c r="S379"/>
      <c r="T379"/>
      <c r="U379"/>
      <c r="V379"/>
      <c r="W379"/>
      <c r="X379"/>
      <c r="Y379"/>
      <c r="Z379"/>
      <c r="AA379" t="s">
        <v>1402</v>
      </c>
      <c r="AB379" t="s">
        <v>1403</v>
      </c>
      <c r="AC379"/>
      <c r="AD379"/>
      <c r="AE379"/>
      <c r="AF379"/>
      <c r="AG379"/>
      <c r="AH379"/>
      <c r="AI379"/>
      <c r="AJ379"/>
      <c r="AK379"/>
      <c r="AL379"/>
      <c r="AM379"/>
      <c r="AN379"/>
      <c r="AO379" t="s">
        <v>1033</v>
      </c>
      <c r="AP379" t="s">
        <v>1034</v>
      </c>
      <c r="AQ379"/>
      <c r="AR379"/>
      <c r="AS379"/>
      <c r="AT379" t="s">
        <v>541</v>
      </c>
      <c r="AU379">
        <v>2018</v>
      </c>
      <c r="AV379">
        <v>52</v>
      </c>
      <c r="AW379">
        <v>1</v>
      </c>
      <c r="AX379"/>
      <c r="AY379"/>
      <c r="AZ379"/>
      <c r="BA379"/>
      <c r="BB379">
        <v>24</v>
      </c>
      <c r="BC379">
        <v>34</v>
      </c>
      <c r="BD379"/>
      <c r="BE379" t="s">
        <v>2782</v>
      </c>
      <c r="BF379" t="str">
        <f>HYPERLINK("http://dx.doi.org/10.3103/S0005105518010089","http://dx.doi.org/10.3103/S0005105518010089")</f>
        <v>http://dx.doi.org/10.3103/S0005105518010089</v>
      </c>
      <c r="BG379"/>
      <c r="BH379"/>
      <c r="BI379"/>
      <c r="BJ379"/>
      <c r="BK379"/>
      <c r="BL379"/>
      <c r="BM379"/>
      <c r="BN379"/>
      <c r="BO379"/>
      <c r="BP379"/>
      <c r="BQ379"/>
      <c r="BR379"/>
      <c r="BS379" t="s">
        <v>2783</v>
      </c>
      <c r="BT379" t="str">
        <f>HYPERLINK("https%3A%2F%2Fwww.webofscience.com%2Fwos%2Fwoscc%2Ffull-record%2FWOS:000435445400003","View Full Record in Web of Science")</f>
        <v>View Full Record in Web of Science</v>
      </c>
    </row>
    <row r="380" spans="1:75" customHeight="1" ht="12.75">
      <c r="A380" t="s">
        <v>147</v>
      </c>
      <c r="B380" t="s">
        <v>220</v>
      </c>
      <c r="C380"/>
      <c r="D380"/>
      <c r="E380" t="s">
        <v>175</v>
      </c>
      <c r="F380" t="s">
        <v>221</v>
      </c>
      <c r="G380"/>
      <c r="H380"/>
      <c r="I380" t="s">
        <v>2784</v>
      </c>
      <c r="J380" t="s">
        <v>885</v>
      </c>
      <c r="K380" t="s">
        <v>179</v>
      </c>
      <c r="L380"/>
      <c r="M380"/>
      <c r="N380"/>
      <c r="O380" t="s">
        <v>886</v>
      </c>
      <c r="P380" t="s">
        <v>887</v>
      </c>
      <c r="Q380" t="s">
        <v>888</v>
      </c>
      <c r="R380"/>
      <c r="S380"/>
      <c r="T380"/>
      <c r="U380"/>
      <c r="V380"/>
      <c r="W380"/>
      <c r="X380"/>
      <c r="Y380"/>
      <c r="Z380"/>
      <c r="AA380"/>
      <c r="AB380"/>
      <c r="AC380"/>
      <c r="AD380"/>
      <c r="AE380"/>
      <c r="AF380"/>
      <c r="AG380"/>
      <c r="AH380"/>
      <c r="AI380"/>
      <c r="AJ380"/>
      <c r="AK380"/>
      <c r="AL380"/>
      <c r="AM380"/>
      <c r="AN380"/>
      <c r="AO380" t="s">
        <v>187</v>
      </c>
      <c r="AP380" t="s">
        <v>188</v>
      </c>
      <c r="AQ380"/>
      <c r="AR380"/>
      <c r="AS380"/>
      <c r="AT380"/>
      <c r="AU380">
        <v>2018</v>
      </c>
      <c r="AV380">
        <v>944</v>
      </c>
      <c r="AW380"/>
      <c r="AX380"/>
      <c r="AY380"/>
      <c r="AZ380"/>
      <c r="BA380"/>
      <c r="BB380"/>
      <c r="BC380"/>
      <c r="BD380">
        <v>12088</v>
      </c>
      <c r="BE380" t="s">
        <v>2785</v>
      </c>
      <c r="BF380" t="str">
        <f>HYPERLINK("http://dx.doi.org/10.1088/1742-6596/944/1/012088","http://dx.doi.org/10.1088/1742-6596/944/1/012088")</f>
        <v>http://dx.doi.org/10.1088/1742-6596/944/1/012088</v>
      </c>
      <c r="BG380"/>
      <c r="BH380"/>
      <c r="BI380"/>
      <c r="BJ380"/>
      <c r="BK380"/>
      <c r="BL380"/>
      <c r="BM380"/>
      <c r="BN380"/>
      <c r="BO380"/>
      <c r="BP380"/>
      <c r="BQ380"/>
      <c r="BR380"/>
      <c r="BS380" t="s">
        <v>2786</v>
      </c>
      <c r="BT380" t="str">
        <f>HYPERLINK("https%3A%2F%2Fwww.webofscience.com%2Fwos%2Fwoscc%2Ffull-record%2FWOS:000431622000088","View Full Record in Web of Science")</f>
        <v>View Full Record in Web of Science</v>
      </c>
    </row>
    <row r="381" spans="1:75" customHeight="1" ht="12.75">
      <c r="A381" t="s">
        <v>72</v>
      </c>
      <c r="B381" t="s">
        <v>2787</v>
      </c>
      <c r="C381"/>
      <c r="D381"/>
      <c r="E381"/>
      <c r="F381" t="s">
        <v>2788</v>
      </c>
      <c r="G381"/>
      <c r="H381"/>
      <c r="I381" t="s">
        <v>2789</v>
      </c>
      <c r="J381" t="s">
        <v>141</v>
      </c>
      <c r="K381"/>
      <c r="L381"/>
      <c r="M381"/>
      <c r="N381"/>
      <c r="O381"/>
      <c r="P381"/>
      <c r="Q381"/>
      <c r="R381"/>
      <c r="S381"/>
      <c r="T381"/>
      <c r="U381"/>
      <c r="V381"/>
      <c r="W381"/>
      <c r="X381"/>
      <c r="Y381"/>
      <c r="Z381"/>
      <c r="AA381" t="s">
        <v>2790</v>
      </c>
      <c r="AB381" t="s">
        <v>2791</v>
      </c>
      <c r="AC381"/>
      <c r="AD381"/>
      <c r="AE381"/>
      <c r="AF381"/>
      <c r="AG381"/>
      <c r="AH381"/>
      <c r="AI381"/>
      <c r="AJ381"/>
      <c r="AK381"/>
      <c r="AL381"/>
      <c r="AM381"/>
      <c r="AN381"/>
      <c r="AO381" t="s">
        <v>144</v>
      </c>
      <c r="AP381"/>
      <c r="AQ381"/>
      <c r="AR381"/>
      <c r="AS381"/>
      <c r="AT381"/>
      <c r="AU381">
        <v>2018</v>
      </c>
      <c r="AV381"/>
      <c r="AW381">
        <v>3</v>
      </c>
      <c r="AX381"/>
      <c r="AY381"/>
      <c r="AZ381"/>
      <c r="BA381"/>
      <c r="BB381">
        <v>36</v>
      </c>
      <c r="BC381">
        <v>51</v>
      </c>
      <c r="BD381"/>
      <c r="BE381" t="s">
        <v>2792</v>
      </c>
      <c r="BF381" t="str">
        <f>HYPERLINK("http://dx.doi.org/10.5281/zenodo.2222335","http://dx.doi.org/10.5281/zenodo.2222335")</f>
        <v>http://dx.doi.org/10.5281/zenodo.2222335</v>
      </c>
      <c r="BG381"/>
      <c r="BH381"/>
      <c r="BI381"/>
      <c r="BJ381"/>
      <c r="BK381"/>
      <c r="BL381"/>
      <c r="BM381"/>
      <c r="BN381"/>
      <c r="BO381"/>
      <c r="BP381"/>
      <c r="BQ381"/>
      <c r="BR381"/>
      <c r="BS381" t="s">
        <v>2793</v>
      </c>
      <c r="BT381" t="str">
        <f>HYPERLINK("https%3A%2F%2Fwww.webofscience.com%2Fwos%2Fwoscc%2Ffull-record%2FWOS:000453865300004","View Full Record in Web of Science")</f>
        <v>View Full Record in Web of Science</v>
      </c>
    </row>
    <row r="382" spans="1:75" customHeight="1" ht="12.75">
      <c r="A382" t="s">
        <v>147</v>
      </c>
      <c r="B382" t="s">
        <v>568</v>
      </c>
      <c r="C382"/>
      <c r="D382"/>
      <c r="E382" t="s">
        <v>210</v>
      </c>
      <c r="F382" t="s">
        <v>2012</v>
      </c>
      <c r="G382"/>
      <c r="H382"/>
      <c r="I382" t="s">
        <v>2794</v>
      </c>
      <c r="J382" t="s">
        <v>916</v>
      </c>
      <c r="K382" t="s">
        <v>420</v>
      </c>
      <c r="L382"/>
      <c r="M382"/>
      <c r="N382"/>
      <c r="O382" t="s">
        <v>917</v>
      </c>
      <c r="P382" t="s">
        <v>918</v>
      </c>
      <c r="Q382" t="s">
        <v>919</v>
      </c>
      <c r="R382" t="s">
        <v>920</v>
      </c>
      <c r="S382"/>
      <c r="T382"/>
      <c r="U382"/>
      <c r="V382"/>
      <c r="W382"/>
      <c r="X382"/>
      <c r="Y382"/>
      <c r="Z382"/>
      <c r="AA382" t="s">
        <v>2723</v>
      </c>
      <c r="AB382" t="s">
        <v>2724</v>
      </c>
      <c r="AC382"/>
      <c r="AD382"/>
      <c r="AE382"/>
      <c r="AF382"/>
      <c r="AG382"/>
      <c r="AH382"/>
      <c r="AI382"/>
      <c r="AJ382"/>
      <c r="AK382"/>
      <c r="AL382"/>
      <c r="AM382"/>
      <c r="AN382"/>
      <c r="AO382" t="s">
        <v>427</v>
      </c>
      <c r="AP382" t="s">
        <v>428</v>
      </c>
      <c r="AQ382" t="s">
        <v>923</v>
      </c>
      <c r="AR382"/>
      <c r="AS382"/>
      <c r="AT382"/>
      <c r="AU382">
        <v>2017</v>
      </c>
      <c r="AV382"/>
      <c r="AW382"/>
      <c r="AX382"/>
      <c r="AY382"/>
      <c r="AZ382"/>
      <c r="BA382"/>
      <c r="BB382"/>
      <c r="BC382"/>
      <c r="BD382"/>
      <c r="BE382"/>
      <c r="BF382"/>
      <c r="BG382"/>
      <c r="BH382"/>
      <c r="BI382"/>
      <c r="BJ382"/>
      <c r="BK382"/>
      <c r="BL382"/>
      <c r="BM382"/>
      <c r="BN382"/>
      <c r="BO382"/>
      <c r="BP382"/>
      <c r="BQ382"/>
      <c r="BR382"/>
      <c r="BS382" t="s">
        <v>2795</v>
      </c>
      <c r="BT382" t="str">
        <f>HYPERLINK("https%3A%2F%2Fwww.webofscience.com%2Fwos%2Fwoscc%2Ffull-record%2FWOS:000426878200134","View Full Record in Web of Science")</f>
        <v>View Full Record in Web of Science</v>
      </c>
    </row>
    <row r="383" spans="1:75" customHeight="1" ht="12.75">
      <c r="A383" t="s">
        <v>147</v>
      </c>
      <c r="B383" t="s">
        <v>416</v>
      </c>
      <c r="C383"/>
      <c r="D383"/>
      <c r="E383" t="s">
        <v>210</v>
      </c>
      <c r="F383" t="s">
        <v>417</v>
      </c>
      <c r="G383"/>
      <c r="H383"/>
      <c r="I383" t="s">
        <v>2796</v>
      </c>
      <c r="J383" t="s">
        <v>916</v>
      </c>
      <c r="K383" t="s">
        <v>420</v>
      </c>
      <c r="L383"/>
      <c r="M383"/>
      <c r="N383"/>
      <c r="O383" t="s">
        <v>917</v>
      </c>
      <c r="P383" t="s">
        <v>918</v>
      </c>
      <c r="Q383" t="s">
        <v>919</v>
      </c>
      <c r="R383" t="s">
        <v>920</v>
      </c>
      <c r="S383"/>
      <c r="T383"/>
      <c r="U383"/>
      <c r="V383"/>
      <c r="W383"/>
      <c r="X383"/>
      <c r="Y383"/>
      <c r="Z383"/>
      <c r="AA383" t="s">
        <v>425</v>
      </c>
      <c r="AB383" t="s">
        <v>426</v>
      </c>
      <c r="AC383"/>
      <c r="AD383"/>
      <c r="AE383"/>
      <c r="AF383"/>
      <c r="AG383"/>
      <c r="AH383"/>
      <c r="AI383"/>
      <c r="AJ383"/>
      <c r="AK383"/>
      <c r="AL383"/>
      <c r="AM383"/>
      <c r="AN383"/>
      <c r="AO383" t="s">
        <v>427</v>
      </c>
      <c r="AP383" t="s">
        <v>428</v>
      </c>
      <c r="AQ383" t="s">
        <v>923</v>
      </c>
      <c r="AR383"/>
      <c r="AS383"/>
      <c r="AT383"/>
      <c r="AU383">
        <v>2017</v>
      </c>
      <c r="AV383"/>
      <c r="AW383"/>
      <c r="AX383"/>
      <c r="AY383"/>
      <c r="AZ383"/>
      <c r="BA383"/>
      <c r="BB383"/>
      <c r="BC383"/>
      <c r="BD383"/>
      <c r="BE383"/>
      <c r="BF383"/>
      <c r="BG383"/>
      <c r="BH383"/>
      <c r="BI383"/>
      <c r="BJ383"/>
      <c r="BK383"/>
      <c r="BL383"/>
      <c r="BM383"/>
      <c r="BN383"/>
      <c r="BO383"/>
      <c r="BP383"/>
      <c r="BQ383"/>
      <c r="BR383"/>
      <c r="BS383" t="s">
        <v>2797</v>
      </c>
      <c r="BT383" t="str">
        <f>HYPERLINK("https%3A%2F%2Fwww.webofscience.com%2Fwos%2Fwoscc%2Ffull-record%2FWOS:000426878200109","View Full Record in Web of Science")</f>
        <v>View Full Record in Web of Science</v>
      </c>
    </row>
    <row r="384" spans="1:75" customHeight="1" ht="12.75">
      <c r="A384" t="s">
        <v>72</v>
      </c>
      <c r="B384" t="s">
        <v>2798</v>
      </c>
      <c r="C384"/>
      <c r="D384"/>
      <c r="E384"/>
      <c r="F384" t="s">
        <v>2799</v>
      </c>
      <c r="G384"/>
      <c r="H384"/>
      <c r="I384" t="s">
        <v>2800</v>
      </c>
      <c r="J384" t="s">
        <v>76</v>
      </c>
      <c r="K384"/>
      <c r="L384"/>
      <c r="M384"/>
      <c r="N384"/>
      <c r="O384"/>
      <c r="P384"/>
      <c r="Q384"/>
      <c r="R384"/>
      <c r="S384"/>
      <c r="T384"/>
      <c r="U384"/>
      <c r="V384"/>
      <c r="W384"/>
      <c r="X384"/>
      <c r="Y384"/>
      <c r="Z384"/>
      <c r="AA384" t="s">
        <v>2801</v>
      </c>
      <c r="AB384" t="s">
        <v>2802</v>
      </c>
      <c r="AC384"/>
      <c r="AD384"/>
      <c r="AE384"/>
      <c r="AF384"/>
      <c r="AG384"/>
      <c r="AH384"/>
      <c r="AI384"/>
      <c r="AJ384"/>
      <c r="AK384"/>
      <c r="AL384"/>
      <c r="AM384"/>
      <c r="AN384"/>
      <c r="AO384" t="s">
        <v>77</v>
      </c>
      <c r="AP384"/>
      <c r="AQ384"/>
      <c r="AR384"/>
      <c r="AS384"/>
      <c r="AT384" t="s">
        <v>2803</v>
      </c>
      <c r="AU384">
        <v>2016</v>
      </c>
      <c r="AV384"/>
      <c r="AW384">
        <v>2</v>
      </c>
      <c r="AX384"/>
      <c r="AY384"/>
      <c r="AZ384"/>
      <c r="BA384"/>
      <c r="BB384">
        <v>61</v>
      </c>
      <c r="BC384">
        <v>75</v>
      </c>
      <c r="BD384"/>
      <c r="BE384"/>
      <c r="BF384"/>
      <c r="BG384"/>
      <c r="BH384"/>
      <c r="BI384"/>
      <c r="BJ384"/>
      <c r="BK384"/>
      <c r="BL384"/>
      <c r="BM384"/>
      <c r="BN384"/>
      <c r="BO384"/>
      <c r="BP384"/>
      <c r="BQ384"/>
      <c r="BR384"/>
      <c r="BS384" t="s">
        <v>2804</v>
      </c>
      <c r="BT384" t="str">
        <f>HYPERLINK("https%3A%2F%2Fwww.webofscience.com%2Fwos%2Fwoscc%2Ffull-record%2FWOS:000374618600005","View Full Record in Web of Science")</f>
        <v>View Full Record in Web of Science</v>
      </c>
    </row>
    <row r="385" spans="1:75" customHeight="1" ht="12.75">
      <c r="A385" t="s">
        <v>147</v>
      </c>
      <c r="B385" t="s">
        <v>2805</v>
      </c>
      <c r="C385"/>
      <c r="D385" t="s">
        <v>1547</v>
      </c>
      <c r="E385"/>
      <c r="F385" t="s">
        <v>2806</v>
      </c>
      <c r="G385"/>
      <c r="H385"/>
      <c r="I385" t="s">
        <v>2807</v>
      </c>
      <c r="J385" t="s">
        <v>1550</v>
      </c>
      <c r="K385" t="s">
        <v>390</v>
      </c>
      <c r="L385"/>
      <c r="M385"/>
      <c r="N385"/>
      <c r="O385" t="s">
        <v>1551</v>
      </c>
      <c r="P385" t="s">
        <v>1552</v>
      </c>
      <c r="Q385" t="s">
        <v>1553</v>
      </c>
      <c r="R385" t="s">
        <v>1554</v>
      </c>
      <c r="S385"/>
      <c r="T385"/>
      <c r="U385"/>
      <c r="V385"/>
      <c r="W385"/>
      <c r="X385"/>
      <c r="Y385"/>
      <c r="Z385"/>
      <c r="AA385" t="s">
        <v>921</v>
      </c>
      <c r="AB385" t="s">
        <v>922</v>
      </c>
      <c r="AC385"/>
      <c r="AD385"/>
      <c r="AE385"/>
      <c r="AF385"/>
      <c r="AG385"/>
      <c r="AH385"/>
      <c r="AI385"/>
      <c r="AJ385"/>
      <c r="AK385"/>
      <c r="AL385"/>
      <c r="AM385"/>
      <c r="AN385"/>
      <c r="AO385" t="s">
        <v>395</v>
      </c>
      <c r="AP385"/>
      <c r="AQ385" t="s">
        <v>1557</v>
      </c>
      <c r="AR385"/>
      <c r="AS385"/>
      <c r="AT385"/>
      <c r="AU385">
        <v>2016</v>
      </c>
      <c r="AV385"/>
      <c r="AW385"/>
      <c r="AX385"/>
      <c r="AY385"/>
      <c r="AZ385"/>
      <c r="BA385"/>
      <c r="BB385">
        <v>226</v>
      </c>
      <c r="BC385">
        <v>229</v>
      </c>
      <c r="BD385"/>
      <c r="BE385"/>
      <c r="BF385"/>
      <c r="BG385"/>
      <c r="BH385"/>
      <c r="BI385"/>
      <c r="BJ385"/>
      <c r="BK385"/>
      <c r="BL385"/>
      <c r="BM385"/>
      <c r="BN385"/>
      <c r="BO385"/>
      <c r="BP385"/>
      <c r="BQ385"/>
      <c r="BR385"/>
      <c r="BS385" t="s">
        <v>2808</v>
      </c>
      <c r="BT385" t="str">
        <f>HYPERLINK("https%3A%2F%2Fwww.webofscience.com%2Fwos%2Fwoscc%2Ffull-record%2FWOS:000387159800059","View Full Record in Web of Science")</f>
        <v>View Full Record in Web of Science</v>
      </c>
    </row>
    <row r="386" spans="1:75" customHeight="1" ht="12.75">
      <c r="A386" t="s">
        <v>147</v>
      </c>
      <c r="B386" t="s">
        <v>1875</v>
      </c>
      <c r="C386"/>
      <c r="D386" t="s">
        <v>2809</v>
      </c>
      <c r="E386"/>
      <c r="F386" t="s">
        <v>2810</v>
      </c>
      <c r="G386"/>
      <c r="H386"/>
      <c r="I386" t="s">
        <v>2811</v>
      </c>
      <c r="J386" t="s">
        <v>2812</v>
      </c>
      <c r="K386" t="s">
        <v>907</v>
      </c>
      <c r="L386"/>
      <c r="M386"/>
      <c r="N386"/>
      <c r="O386" t="s">
        <v>2813</v>
      </c>
      <c r="P386" t="s">
        <v>2814</v>
      </c>
      <c r="Q386" t="s">
        <v>2563</v>
      </c>
      <c r="R386"/>
      <c r="S386"/>
      <c r="T386"/>
      <c r="U386"/>
      <c r="V386"/>
      <c r="W386"/>
      <c r="X386"/>
      <c r="Y386"/>
      <c r="Z386"/>
      <c r="AA386" t="s">
        <v>1885</v>
      </c>
      <c r="AB386" t="s">
        <v>1886</v>
      </c>
      <c r="AC386"/>
      <c r="AD386"/>
      <c r="AE386"/>
      <c r="AF386"/>
      <c r="AG386"/>
      <c r="AH386"/>
      <c r="AI386"/>
      <c r="AJ386"/>
      <c r="AK386"/>
      <c r="AL386"/>
      <c r="AM386"/>
      <c r="AN386"/>
      <c r="AO386" t="s">
        <v>912</v>
      </c>
      <c r="AP386"/>
      <c r="AQ386"/>
      <c r="AR386"/>
      <c r="AS386"/>
      <c r="AT386"/>
      <c r="AU386">
        <v>2016</v>
      </c>
      <c r="AV386">
        <v>165</v>
      </c>
      <c r="AW386"/>
      <c r="AX386"/>
      <c r="AY386"/>
      <c r="AZ386"/>
      <c r="BA386"/>
      <c r="BB386">
        <v>972</v>
      </c>
      <c r="BC386">
        <v>979</v>
      </c>
      <c r="BD386"/>
      <c r="BE386" t="s">
        <v>2815</v>
      </c>
      <c r="BF386" t="str">
        <f>HYPERLINK("http://dx.doi.org/10.1016/j.proeng.2016.11.808","http://dx.doi.org/10.1016/j.proeng.2016.11.808")</f>
        <v>http://dx.doi.org/10.1016/j.proeng.2016.11.808</v>
      </c>
      <c r="BG386"/>
      <c r="BH386"/>
      <c r="BI386"/>
      <c r="BJ386"/>
      <c r="BK386"/>
      <c r="BL386"/>
      <c r="BM386"/>
      <c r="BN386"/>
      <c r="BO386"/>
      <c r="BP386"/>
      <c r="BQ386"/>
      <c r="BR386"/>
      <c r="BS386" t="s">
        <v>2816</v>
      </c>
      <c r="BT386" t="str">
        <f>HYPERLINK("https%3A%2F%2Fwww.webofscience.com%2Fwos%2Fwoscc%2Ffull-record%2FWOS:000391640800110","View Full Record in Web of Science")</f>
        <v>View Full Record in Web of Science</v>
      </c>
    </row>
    <row r="387" spans="1:75" customHeight="1" ht="12.75">
      <c r="A387" t="s">
        <v>72</v>
      </c>
      <c r="B387" t="s">
        <v>2817</v>
      </c>
      <c r="C387"/>
      <c r="D387"/>
      <c r="E387"/>
      <c r="F387" t="s">
        <v>2818</v>
      </c>
      <c r="G387"/>
      <c r="H387"/>
      <c r="I387" t="s">
        <v>2819</v>
      </c>
      <c r="J387" t="s">
        <v>2820</v>
      </c>
      <c r="K387"/>
      <c r="L387"/>
      <c r="M387"/>
      <c r="N387"/>
      <c r="O387" t="s">
        <v>2821</v>
      </c>
      <c r="P387" t="s">
        <v>2822</v>
      </c>
      <c r="Q387" t="s">
        <v>2823</v>
      </c>
      <c r="R387"/>
      <c r="S387" t="s">
        <v>2824</v>
      </c>
      <c r="T387"/>
      <c r="U387"/>
      <c r="V387"/>
      <c r="W387"/>
      <c r="X387"/>
      <c r="Y387"/>
      <c r="Z387"/>
      <c r="AA387"/>
      <c r="AB387"/>
      <c r="AC387"/>
      <c r="AD387"/>
      <c r="AE387"/>
      <c r="AF387"/>
      <c r="AG387"/>
      <c r="AH387"/>
      <c r="AI387"/>
      <c r="AJ387"/>
      <c r="AK387"/>
      <c r="AL387"/>
      <c r="AM387"/>
      <c r="AN387"/>
      <c r="AO387" t="s">
        <v>2825</v>
      </c>
      <c r="AP387" t="s">
        <v>2826</v>
      </c>
      <c r="AQ387"/>
      <c r="AR387"/>
      <c r="AS387"/>
      <c r="AT387" t="s">
        <v>403</v>
      </c>
      <c r="AU387">
        <v>2015</v>
      </c>
      <c r="AV387">
        <v>49</v>
      </c>
      <c r="AW387">
        <v>14</v>
      </c>
      <c r="AX387"/>
      <c r="AY387"/>
      <c r="AZ387"/>
      <c r="BA387"/>
      <c r="BB387">
        <v>1657</v>
      </c>
      <c r="BC387">
        <v>1666</v>
      </c>
      <c r="BD387"/>
      <c r="BE387" t="s">
        <v>2827</v>
      </c>
      <c r="BF387" t="str">
        <f>HYPERLINK("http://dx.doi.org/10.1134/S0031030115140166","http://dx.doi.org/10.1134/S0031030115140166")</f>
        <v>http://dx.doi.org/10.1134/S0031030115140166</v>
      </c>
      <c r="BG387"/>
      <c r="BH387"/>
      <c r="BI387"/>
      <c r="BJ387"/>
      <c r="BK387"/>
      <c r="BL387"/>
      <c r="BM387"/>
      <c r="BN387"/>
      <c r="BO387"/>
      <c r="BP387"/>
      <c r="BQ387"/>
      <c r="BR387"/>
      <c r="BS387" t="s">
        <v>2828</v>
      </c>
      <c r="BT387" t="str">
        <f>HYPERLINK("https%3A%2F%2Fwww.webofscience.com%2Fwos%2Fwoscc%2Ffull-record%2FWOS:000367543100016","View Full Record in Web of Science")</f>
        <v>View Full Record in Web of Science</v>
      </c>
    </row>
    <row r="388" spans="1:75" customHeight="1" ht="12.75">
      <c r="A388" t="s">
        <v>147</v>
      </c>
      <c r="B388" t="s">
        <v>2829</v>
      </c>
      <c r="C388"/>
      <c r="D388"/>
      <c r="E388" t="s">
        <v>210</v>
      </c>
      <c r="F388" t="s">
        <v>2830</v>
      </c>
      <c r="G388"/>
      <c r="H388"/>
      <c r="I388" t="s">
        <v>2831</v>
      </c>
      <c r="J388" t="s">
        <v>2832</v>
      </c>
      <c r="K388"/>
      <c r="L388"/>
      <c r="M388"/>
      <c r="N388"/>
      <c r="O388" t="s">
        <v>744</v>
      </c>
      <c r="P388" t="s">
        <v>2833</v>
      </c>
      <c r="Q388" t="s">
        <v>888</v>
      </c>
      <c r="R388" t="s">
        <v>2834</v>
      </c>
      <c r="S388"/>
      <c r="T388"/>
      <c r="U388"/>
      <c r="V388"/>
      <c r="W388"/>
      <c r="X388"/>
      <c r="Y388"/>
      <c r="Z388"/>
      <c r="AA388"/>
      <c r="AB388"/>
      <c r="AC388"/>
      <c r="AD388"/>
      <c r="AE388"/>
      <c r="AF388"/>
      <c r="AG388"/>
      <c r="AH388"/>
      <c r="AI388"/>
      <c r="AJ388"/>
      <c r="AK388"/>
      <c r="AL388"/>
      <c r="AM388"/>
      <c r="AN388"/>
      <c r="AO388"/>
      <c r="AP388"/>
      <c r="AQ388" t="s">
        <v>2835</v>
      </c>
      <c r="AR388"/>
      <c r="AS388"/>
      <c r="AT388"/>
      <c r="AU388">
        <v>2015</v>
      </c>
      <c r="AV388"/>
      <c r="AW388"/>
      <c r="AX388"/>
      <c r="AY388"/>
      <c r="AZ388"/>
      <c r="BA388"/>
      <c r="BB388"/>
      <c r="BC388"/>
      <c r="BD388"/>
      <c r="BE388"/>
      <c r="BF388"/>
      <c r="BG388"/>
      <c r="BH388"/>
      <c r="BI388"/>
      <c r="BJ388"/>
      <c r="BK388"/>
      <c r="BL388"/>
      <c r="BM388"/>
      <c r="BN388"/>
      <c r="BO388"/>
      <c r="BP388"/>
      <c r="BQ388"/>
      <c r="BR388"/>
      <c r="BS388" t="s">
        <v>2836</v>
      </c>
      <c r="BT388" t="str">
        <f>HYPERLINK("https%3A%2F%2Fwww.webofscience.com%2Fwos%2Fwoscc%2Ffull-record%2FWOS:000380571600167","View Full Record in Web of Science")</f>
        <v>View Full Record in Web of Science</v>
      </c>
    </row>
    <row r="389" spans="1:75" customHeight="1" ht="12.75">
      <c r="A389" t="s">
        <v>72</v>
      </c>
      <c r="B389" t="s">
        <v>2837</v>
      </c>
      <c r="C389"/>
      <c r="D389"/>
      <c r="E389"/>
      <c r="F389" t="s">
        <v>2838</v>
      </c>
      <c r="G389"/>
      <c r="H389"/>
      <c r="I389" t="s">
        <v>2839</v>
      </c>
      <c r="J389" t="s">
        <v>244</v>
      </c>
      <c r="K389"/>
      <c r="L389"/>
      <c r="M389"/>
      <c r="N389"/>
      <c r="O389"/>
      <c r="P389"/>
      <c r="Q389"/>
      <c r="R389"/>
      <c r="S389"/>
      <c r="T389"/>
      <c r="U389"/>
      <c r="V389"/>
      <c r="W389"/>
      <c r="X389"/>
      <c r="Y389"/>
      <c r="Z389"/>
      <c r="AA389"/>
      <c r="AB389"/>
      <c r="AC389"/>
      <c r="AD389"/>
      <c r="AE389"/>
      <c r="AF389"/>
      <c r="AG389"/>
      <c r="AH389"/>
      <c r="AI389"/>
      <c r="AJ389"/>
      <c r="AK389"/>
      <c r="AL389"/>
      <c r="AM389"/>
      <c r="AN389"/>
      <c r="AO389" t="s">
        <v>245</v>
      </c>
      <c r="AP389" t="s">
        <v>246</v>
      </c>
      <c r="AQ389"/>
      <c r="AR389"/>
      <c r="AS389"/>
      <c r="AT389"/>
      <c r="AU389">
        <v>2015</v>
      </c>
      <c r="AV389"/>
      <c r="AW389">
        <v>12</v>
      </c>
      <c r="AX389"/>
      <c r="AY389"/>
      <c r="AZ389"/>
      <c r="BA389"/>
      <c r="BB389">
        <v>3</v>
      </c>
      <c r="BC389">
        <v>18</v>
      </c>
      <c r="BD389"/>
      <c r="BE389"/>
      <c r="BF389"/>
      <c r="BG389"/>
      <c r="BH389"/>
      <c r="BI389"/>
      <c r="BJ389"/>
      <c r="BK389"/>
      <c r="BL389"/>
      <c r="BM389"/>
      <c r="BN389"/>
      <c r="BO389"/>
      <c r="BP389"/>
      <c r="BQ389"/>
      <c r="BR389"/>
      <c r="BS389" t="s">
        <v>2840</v>
      </c>
      <c r="BT389" t="str">
        <f>HYPERLINK("https%3A%2F%2Fwww.webofscience.com%2Fwos%2Fwoscc%2Ffull-record%2FWOS:000367967600001","View Full Record in Web of Science")</f>
        <v>View Full Record in Web of Science</v>
      </c>
    </row>
    <row r="390" spans="1:75" customHeight="1" ht="12.75">
      <c r="A390" t="s">
        <v>147</v>
      </c>
      <c r="B390" t="s">
        <v>2841</v>
      </c>
      <c r="C390"/>
      <c r="D390"/>
      <c r="E390" t="s">
        <v>210</v>
      </c>
      <c r="F390" t="s">
        <v>2842</v>
      </c>
      <c r="G390"/>
      <c r="H390"/>
      <c r="I390" t="s">
        <v>2843</v>
      </c>
      <c r="J390" t="s">
        <v>2844</v>
      </c>
      <c r="K390"/>
      <c r="L390"/>
      <c r="M390"/>
      <c r="N390"/>
      <c r="O390" t="s">
        <v>421</v>
      </c>
      <c r="P390" t="s">
        <v>2845</v>
      </c>
      <c r="Q390" t="s">
        <v>2846</v>
      </c>
      <c r="R390" t="s">
        <v>2847</v>
      </c>
      <c r="S390"/>
      <c r="T390"/>
      <c r="U390"/>
      <c r="V390"/>
      <c r="W390"/>
      <c r="X390"/>
      <c r="Y390"/>
      <c r="Z390"/>
      <c r="AA390" t="s">
        <v>2848</v>
      </c>
      <c r="AB390" t="s">
        <v>2849</v>
      </c>
      <c r="AC390"/>
      <c r="AD390"/>
      <c r="AE390"/>
      <c r="AF390"/>
      <c r="AG390"/>
      <c r="AH390"/>
      <c r="AI390"/>
      <c r="AJ390"/>
      <c r="AK390"/>
      <c r="AL390"/>
      <c r="AM390"/>
      <c r="AN390"/>
      <c r="AO390"/>
      <c r="AP390"/>
      <c r="AQ390" t="s">
        <v>2850</v>
      </c>
      <c r="AR390"/>
      <c r="AS390"/>
      <c r="AT390"/>
      <c r="AU390">
        <v>2013</v>
      </c>
      <c r="AV390"/>
      <c r="AW390"/>
      <c r="AX390"/>
      <c r="AY390"/>
      <c r="AZ390"/>
      <c r="BA390"/>
      <c r="BB390"/>
      <c r="BC390"/>
      <c r="BD390"/>
      <c r="BE390"/>
      <c r="BF390"/>
      <c r="BG390"/>
      <c r="BH390"/>
      <c r="BI390"/>
      <c r="BJ390"/>
      <c r="BK390"/>
      <c r="BL390"/>
      <c r="BM390"/>
      <c r="BN390"/>
      <c r="BO390"/>
      <c r="BP390"/>
      <c r="BQ390"/>
      <c r="BR390"/>
      <c r="BS390" t="s">
        <v>2851</v>
      </c>
      <c r="BT390" t="str">
        <f>HYPERLINK("https%3A%2F%2Fwww.webofscience.com%2Fwos%2Fwoscc%2Ffull-record%2FWOS:000332042400059","View Full Record in Web of Science")</f>
        <v>View Full Record in Web of Science</v>
      </c>
    </row>
    <row r="391" spans="1:75" customHeight="1" ht="12.75">
      <c r="A391" t="s">
        <v>72</v>
      </c>
      <c r="B391" t="s">
        <v>986</v>
      </c>
      <c r="C391"/>
      <c r="D391"/>
      <c r="E391"/>
      <c r="F391" t="s">
        <v>987</v>
      </c>
      <c r="G391"/>
      <c r="H391"/>
      <c r="I391" t="s">
        <v>2852</v>
      </c>
      <c r="J391" t="s">
        <v>989</v>
      </c>
      <c r="K391"/>
      <c r="L391"/>
      <c r="M391"/>
      <c r="N391"/>
      <c r="O391"/>
      <c r="P391"/>
      <c r="Q391"/>
      <c r="R391"/>
      <c r="S391"/>
      <c r="T391"/>
      <c r="U391"/>
      <c r="V391"/>
      <c r="W391"/>
      <c r="X391"/>
      <c r="Y391"/>
      <c r="Z391"/>
      <c r="AA391" t="s">
        <v>2853</v>
      </c>
      <c r="AB391" t="s">
        <v>1760</v>
      </c>
      <c r="AC391"/>
      <c r="AD391"/>
      <c r="AE391"/>
      <c r="AF391"/>
      <c r="AG391"/>
      <c r="AH391"/>
      <c r="AI391"/>
      <c r="AJ391"/>
      <c r="AK391"/>
      <c r="AL391"/>
      <c r="AM391"/>
      <c r="AN391"/>
      <c r="AO391" t="s">
        <v>992</v>
      </c>
      <c r="AP391" t="s">
        <v>993</v>
      </c>
      <c r="AQ391"/>
      <c r="AR391"/>
      <c r="AS391"/>
      <c r="AT391" t="s">
        <v>313</v>
      </c>
      <c r="AU391">
        <v>2009</v>
      </c>
      <c r="AV391">
        <v>86</v>
      </c>
      <c r="AW391" t="s">
        <v>2451</v>
      </c>
      <c r="AX391"/>
      <c r="AY391"/>
      <c r="AZ391"/>
      <c r="BA391"/>
      <c r="BB391">
        <v>149</v>
      </c>
      <c r="BC391">
        <v>149</v>
      </c>
      <c r="BD391"/>
      <c r="BE391" t="s">
        <v>2854</v>
      </c>
      <c r="BF391" t="str">
        <f>HYPERLINK("http://dx.doi.org/10.1134/S0001434609070165","http://dx.doi.org/10.1134/S0001434609070165")</f>
        <v>http://dx.doi.org/10.1134/S0001434609070165</v>
      </c>
      <c r="BG391"/>
      <c r="BH391"/>
      <c r="BI391"/>
      <c r="BJ391"/>
      <c r="BK391"/>
      <c r="BL391"/>
      <c r="BM391"/>
      <c r="BN391"/>
      <c r="BO391"/>
      <c r="BP391"/>
      <c r="BQ391"/>
      <c r="BR391"/>
      <c r="BS391" t="s">
        <v>2855</v>
      </c>
      <c r="BT391" t="str">
        <f>HYPERLINK("https%3A%2F%2Fwww.webofscience.com%2Fwos%2Fwoscc%2Ffull-record%2FWOS:000269660400016","View Full Record in Web of Science")</f>
        <v>View Full Record in Web of Science</v>
      </c>
    </row>
    <row r="392" spans="1:75" customHeight="1" ht="12.75">
      <c r="A392" t="s">
        <v>72</v>
      </c>
      <c r="B392" t="s">
        <v>2856</v>
      </c>
      <c r="C392"/>
      <c r="D392"/>
      <c r="E392"/>
      <c r="F392" t="s">
        <v>2857</v>
      </c>
      <c r="G392"/>
      <c r="H392"/>
      <c r="I392" t="s">
        <v>2858</v>
      </c>
      <c r="J392" t="s">
        <v>614</v>
      </c>
      <c r="K392"/>
      <c r="L392"/>
      <c r="M392"/>
      <c r="N392"/>
      <c r="O392" t="s">
        <v>2859</v>
      </c>
      <c r="P392" t="s">
        <v>2860</v>
      </c>
      <c r="Q392" t="s">
        <v>2861</v>
      </c>
      <c r="R392"/>
      <c r="S392" t="s">
        <v>2862</v>
      </c>
      <c r="T392"/>
      <c r="U392"/>
      <c r="V392"/>
      <c r="W392"/>
      <c r="X392"/>
      <c r="Y392"/>
      <c r="Z392"/>
      <c r="AA392" t="s">
        <v>1718</v>
      </c>
      <c r="AB392" t="s">
        <v>1719</v>
      </c>
      <c r="AC392"/>
      <c r="AD392"/>
      <c r="AE392"/>
      <c r="AF392"/>
      <c r="AG392"/>
      <c r="AH392"/>
      <c r="AI392"/>
      <c r="AJ392"/>
      <c r="AK392"/>
      <c r="AL392"/>
      <c r="AM392"/>
      <c r="AN392"/>
      <c r="AO392" t="s">
        <v>617</v>
      </c>
      <c r="AP392"/>
      <c r="AQ392"/>
      <c r="AR392"/>
      <c r="AS392"/>
      <c r="AT392" t="s">
        <v>88</v>
      </c>
      <c r="AU392">
        <v>2007</v>
      </c>
      <c r="AV392">
        <v>43</v>
      </c>
      <c r="AW392">
        <v>5</v>
      </c>
      <c r="AX392"/>
      <c r="AY392"/>
      <c r="AZ392"/>
      <c r="BA392"/>
      <c r="BB392">
        <v>545</v>
      </c>
      <c r="BC392">
        <v>551</v>
      </c>
      <c r="BD392"/>
      <c r="BE392" t="s">
        <v>2863</v>
      </c>
      <c r="BF392" t="str">
        <f>HYPERLINK("http://dx.doi.org/10.1134/S1023193507050072","http://dx.doi.org/10.1134/S1023193507050072")</f>
        <v>http://dx.doi.org/10.1134/S1023193507050072</v>
      </c>
      <c r="BG392"/>
      <c r="BH392"/>
      <c r="BI392"/>
      <c r="BJ392"/>
      <c r="BK392"/>
      <c r="BL392"/>
      <c r="BM392"/>
      <c r="BN392"/>
      <c r="BO392"/>
      <c r="BP392"/>
      <c r="BQ392"/>
      <c r="BR392"/>
      <c r="BS392" t="s">
        <v>2864</v>
      </c>
      <c r="BT392" t="str">
        <f>HYPERLINK("https%3A%2F%2Fwww.webofscience.com%2Fwos%2Fwoscc%2Ffull-record%2FWOS:000247212300007","View Full Record in Web of Science")</f>
        <v>View Full Record in Web of Science</v>
      </c>
    </row>
    <row r="393" spans="1:75" customHeight="1" ht="12.75">
      <c r="A393" t="s">
        <v>72</v>
      </c>
      <c r="B393" t="s">
        <v>2865</v>
      </c>
      <c r="C393"/>
      <c r="D393"/>
      <c r="E393"/>
      <c r="F393" t="s">
        <v>2866</v>
      </c>
      <c r="G393"/>
      <c r="H393"/>
      <c r="I393" t="s">
        <v>2867</v>
      </c>
      <c r="J393" t="s">
        <v>304</v>
      </c>
      <c r="K393"/>
      <c r="L393"/>
      <c r="M393"/>
      <c r="N393"/>
      <c r="O393"/>
      <c r="P393"/>
      <c r="Q393"/>
      <c r="R393"/>
      <c r="S393"/>
      <c r="T393"/>
      <c r="U393"/>
      <c r="V393"/>
      <c r="W393"/>
      <c r="X393"/>
      <c r="Y393"/>
      <c r="Z393"/>
      <c r="AA393"/>
      <c r="AB393"/>
      <c r="AC393"/>
      <c r="AD393"/>
      <c r="AE393"/>
      <c r="AF393"/>
      <c r="AG393"/>
      <c r="AH393"/>
      <c r="AI393"/>
      <c r="AJ393"/>
      <c r="AK393"/>
      <c r="AL393"/>
      <c r="AM393"/>
      <c r="AN393"/>
      <c r="AO393" t="s">
        <v>77</v>
      </c>
      <c r="AP393"/>
      <c r="AQ393"/>
      <c r="AR393"/>
      <c r="AS393"/>
      <c r="AT393" t="s">
        <v>1012</v>
      </c>
      <c r="AU393">
        <v>2006</v>
      </c>
      <c r="AV393"/>
      <c r="AW393">
        <v>5</v>
      </c>
      <c r="AX393"/>
      <c r="AY393"/>
      <c r="AZ393"/>
      <c r="BA393"/>
      <c r="BB393">
        <v>86</v>
      </c>
      <c r="BC393">
        <v>91</v>
      </c>
      <c r="BD393"/>
      <c r="BE393"/>
      <c r="BF393"/>
      <c r="BG393"/>
      <c r="BH393"/>
      <c r="BI393"/>
      <c r="BJ393"/>
      <c r="BK393"/>
      <c r="BL393"/>
      <c r="BM393"/>
      <c r="BN393"/>
      <c r="BO393"/>
      <c r="BP393"/>
      <c r="BQ393"/>
      <c r="BR393"/>
      <c r="BS393" t="s">
        <v>2868</v>
      </c>
      <c r="BT393" t="str">
        <f>HYPERLINK("https%3A%2F%2Fwww.webofscience.com%2Fwos%2Fwoscc%2Ffull-record%2FWOS:000241086700008","View Full Record in Web of Science")</f>
        <v>View Full Record in Web of Science</v>
      </c>
    </row>
    <row r="394" spans="1:75" customHeight="1" ht="12.75">
      <c r="A394" t="s">
        <v>72</v>
      </c>
      <c r="B394" t="s">
        <v>2869</v>
      </c>
      <c r="C394"/>
      <c r="D394"/>
      <c r="E394"/>
      <c r="F394" t="s">
        <v>2869</v>
      </c>
      <c r="G394"/>
      <c r="H394"/>
      <c r="I394" t="s">
        <v>2870</v>
      </c>
      <c r="J394" t="s">
        <v>409</v>
      </c>
      <c r="K394"/>
      <c r="L394"/>
      <c r="M394"/>
      <c r="N394"/>
      <c r="O394"/>
      <c r="P394"/>
      <c r="Q394"/>
      <c r="R394"/>
      <c r="S394"/>
      <c r="T394"/>
      <c r="U394"/>
      <c r="V394"/>
      <c r="W394"/>
      <c r="X394"/>
      <c r="Y394"/>
      <c r="Z394"/>
      <c r="AA394" t="s">
        <v>480</v>
      </c>
      <c r="AB394" t="s">
        <v>481</v>
      </c>
      <c r="AC394"/>
      <c r="AD394"/>
      <c r="AE394"/>
      <c r="AF394"/>
      <c r="AG394"/>
      <c r="AH394"/>
      <c r="AI394"/>
      <c r="AJ394"/>
      <c r="AK394"/>
      <c r="AL394"/>
      <c r="AM394"/>
      <c r="AN394"/>
      <c r="AO394" t="s">
        <v>412</v>
      </c>
      <c r="AP394"/>
      <c r="AQ394"/>
      <c r="AR394"/>
      <c r="AS394"/>
      <c r="AT394" t="s">
        <v>830</v>
      </c>
      <c r="AU394">
        <v>2004</v>
      </c>
      <c r="AV394">
        <v>77</v>
      </c>
      <c r="AW394">
        <v>9</v>
      </c>
      <c r="AX394"/>
      <c r="AY394"/>
      <c r="AZ394"/>
      <c r="BA394"/>
      <c r="BB394">
        <v>1481</v>
      </c>
      <c r="BC394">
        <v>1486</v>
      </c>
      <c r="BD394"/>
      <c r="BE394" t="s">
        <v>2871</v>
      </c>
      <c r="BF394" t="str">
        <f>HYPERLINK("http://dx.doi.org/10.1007/s11167-005-0056-y","http://dx.doi.org/10.1007/s11167-005-0056-y")</f>
        <v>http://dx.doi.org/10.1007/s11167-005-0056-y</v>
      </c>
      <c r="BG394"/>
      <c r="BH394"/>
      <c r="BI394"/>
      <c r="BJ394"/>
      <c r="BK394"/>
      <c r="BL394"/>
      <c r="BM394"/>
      <c r="BN394"/>
      <c r="BO394"/>
      <c r="BP394"/>
      <c r="BQ394"/>
      <c r="BR394"/>
      <c r="BS394" t="s">
        <v>2872</v>
      </c>
      <c r="BT394" t="str">
        <f>HYPERLINK("https%3A%2F%2Fwww.webofscience.com%2Fwos%2Fwoscc%2Ffull-record%2FWOS:000225845100017","View Full Record in Web of Science")</f>
        <v>View Full Record in Web of Science</v>
      </c>
    </row>
    <row r="395" spans="1:75" customHeight="1" ht="12.75">
      <c r="A395" t="s">
        <v>72</v>
      </c>
      <c r="B395" t="s">
        <v>2287</v>
      </c>
      <c r="C395"/>
      <c r="D395"/>
      <c r="E395"/>
      <c r="F395" t="s">
        <v>2288</v>
      </c>
      <c r="G395"/>
      <c r="H395"/>
      <c r="I395" t="s">
        <v>2873</v>
      </c>
      <c r="J395" t="s">
        <v>2290</v>
      </c>
      <c r="K395"/>
      <c r="L395"/>
      <c r="M395"/>
      <c r="N395"/>
      <c r="O395"/>
      <c r="P395"/>
      <c r="Q395"/>
      <c r="R395"/>
      <c r="S395"/>
      <c r="T395"/>
      <c r="U395"/>
      <c r="V395"/>
      <c r="W395"/>
      <c r="X395"/>
      <c r="Y395"/>
      <c r="Z395"/>
      <c r="AA395" t="s">
        <v>2291</v>
      </c>
      <c r="AB395" t="s">
        <v>2292</v>
      </c>
      <c r="AC395"/>
      <c r="AD395"/>
      <c r="AE395"/>
      <c r="AF395"/>
      <c r="AG395"/>
      <c r="AH395"/>
      <c r="AI395"/>
      <c r="AJ395"/>
      <c r="AK395"/>
      <c r="AL395"/>
      <c r="AM395"/>
      <c r="AN395"/>
      <c r="AO395" t="s">
        <v>2293</v>
      </c>
      <c r="AP395" t="s">
        <v>2294</v>
      </c>
      <c r="AQ395"/>
      <c r="AR395"/>
      <c r="AS395"/>
      <c r="AT395" t="s">
        <v>2874</v>
      </c>
      <c r="AU395">
        <v>2023</v>
      </c>
      <c r="AV395">
        <v>75</v>
      </c>
      <c r="AW395">
        <v>3</v>
      </c>
      <c r="AX395"/>
      <c r="AY395"/>
      <c r="AZ395"/>
      <c r="BA395"/>
      <c r="BB395">
        <v>525</v>
      </c>
      <c r="BC395">
        <v>526</v>
      </c>
      <c r="BD395">
        <v>2181591</v>
      </c>
      <c r="BE395" t="s">
        <v>2875</v>
      </c>
      <c r="BF395" t="str">
        <f>HYPERLINK("http://dx.doi.org/10.1080/09668136.2023.2181591","http://dx.doi.org/10.1080/09668136.2023.2181591")</f>
        <v>http://dx.doi.org/10.1080/09668136.2023.2181591</v>
      </c>
      <c r="BG395"/>
      <c r="BH395"/>
      <c r="BI395"/>
      <c r="BJ395"/>
      <c r="BK395"/>
      <c r="BL395"/>
      <c r="BM395"/>
      <c r="BN395"/>
      <c r="BO395"/>
      <c r="BP395"/>
      <c r="BQ395"/>
      <c r="BR395"/>
      <c r="BS395" t="s">
        <v>2876</v>
      </c>
      <c r="BT395" t="str">
        <f>HYPERLINK("https%3A%2F%2Fwww.webofscience.com%2Fwos%2Fwoscc%2Ffull-record%2FWOS:000974908800008","View Full Record in Web of Science")</f>
        <v>View Full Record in Web of Science</v>
      </c>
    </row>
    <row r="396" spans="1:75" customHeight="1" ht="12.75">
      <c r="A396" t="s">
        <v>72</v>
      </c>
      <c r="B396" t="s">
        <v>2877</v>
      </c>
      <c r="C396"/>
      <c r="D396"/>
      <c r="E396"/>
      <c r="F396" t="s">
        <v>2878</v>
      </c>
      <c r="G396"/>
      <c r="H396"/>
      <c r="I396" t="s">
        <v>2879</v>
      </c>
      <c r="J396" t="s">
        <v>2880</v>
      </c>
      <c r="K396"/>
      <c r="L396"/>
      <c r="M396"/>
      <c r="N396"/>
      <c r="O396"/>
      <c r="P396"/>
      <c r="Q396"/>
      <c r="R396"/>
      <c r="S396"/>
      <c r="T396"/>
      <c r="U396"/>
      <c r="V396"/>
      <c r="W396"/>
      <c r="X396"/>
      <c r="Y396"/>
      <c r="Z396"/>
      <c r="AA396"/>
      <c r="AB396"/>
      <c r="AC396"/>
      <c r="AD396"/>
      <c r="AE396"/>
      <c r="AF396"/>
      <c r="AG396"/>
      <c r="AH396"/>
      <c r="AI396"/>
      <c r="AJ396"/>
      <c r="AK396"/>
      <c r="AL396"/>
      <c r="AM396"/>
      <c r="AN396"/>
      <c r="AO396" t="s">
        <v>2881</v>
      </c>
      <c r="AP396" t="s">
        <v>2882</v>
      </c>
      <c r="AQ396"/>
      <c r="AR396"/>
      <c r="AS396"/>
      <c r="AT396" t="s">
        <v>125</v>
      </c>
      <c r="AU396">
        <v>2022</v>
      </c>
      <c r="AV396">
        <v>56</v>
      </c>
      <c r="AW396">
        <v>2</v>
      </c>
      <c r="AX396"/>
      <c r="AY396"/>
      <c r="AZ396"/>
      <c r="BA396"/>
      <c r="BB396">
        <v>88</v>
      </c>
      <c r="BC396">
        <v>91</v>
      </c>
      <c r="BD396"/>
      <c r="BE396" t="s">
        <v>2883</v>
      </c>
      <c r="BF396" t="str">
        <f>HYPERLINK("http://dx.doi.org/10.1007/s10527-022-10173-8","http://dx.doi.org/10.1007/s10527-022-10173-8")</f>
        <v>http://dx.doi.org/10.1007/s10527-022-10173-8</v>
      </c>
      <c r="BG396"/>
      <c r="BH396"/>
      <c r="BI396"/>
      <c r="BJ396"/>
      <c r="BK396"/>
      <c r="BL396"/>
      <c r="BM396"/>
      <c r="BN396"/>
      <c r="BO396"/>
      <c r="BP396"/>
      <c r="BQ396"/>
      <c r="BR396"/>
      <c r="BS396" t="s">
        <v>2884</v>
      </c>
      <c r="BT396" t="str">
        <f>HYPERLINK("https%3A%2F%2Fwww.webofscience.com%2Fwos%2Fwoscc%2Ffull-record%2FWOS:000917953100003","View Full Record in Web of Science")</f>
        <v>View Full Record in Web of Science</v>
      </c>
    </row>
    <row r="397" spans="1:75" customHeight="1" ht="12.75">
      <c r="A397" t="s">
        <v>72</v>
      </c>
      <c r="B397" t="s">
        <v>2885</v>
      </c>
      <c r="C397"/>
      <c r="D397"/>
      <c r="E397"/>
      <c r="F397" t="s">
        <v>2886</v>
      </c>
      <c r="G397"/>
      <c r="H397"/>
      <c r="I397" t="s">
        <v>2887</v>
      </c>
      <c r="J397" t="s">
        <v>95</v>
      </c>
      <c r="K397"/>
      <c r="L397"/>
      <c r="M397"/>
      <c r="N397"/>
      <c r="O397"/>
      <c r="P397"/>
      <c r="Q397"/>
      <c r="R397"/>
      <c r="S397"/>
      <c r="T397"/>
      <c r="U397"/>
      <c r="V397"/>
      <c r="W397"/>
      <c r="X397"/>
      <c r="Y397"/>
      <c r="Z397"/>
      <c r="AA397"/>
      <c r="AB397"/>
      <c r="AC397"/>
      <c r="AD397"/>
      <c r="AE397"/>
      <c r="AF397"/>
      <c r="AG397"/>
      <c r="AH397"/>
      <c r="AI397"/>
      <c r="AJ397"/>
      <c r="AK397"/>
      <c r="AL397"/>
      <c r="AM397"/>
      <c r="AN397"/>
      <c r="AO397" t="s">
        <v>98</v>
      </c>
      <c r="AP397" t="s">
        <v>99</v>
      </c>
      <c r="AQ397"/>
      <c r="AR397"/>
      <c r="AS397"/>
      <c r="AT397"/>
      <c r="AU397">
        <v>2022</v>
      </c>
      <c r="AV397"/>
      <c r="AW397">
        <v>4</v>
      </c>
      <c r="AX397"/>
      <c r="AY397"/>
      <c r="AZ397"/>
      <c r="BA397"/>
      <c r="BB397">
        <v>224</v>
      </c>
      <c r="BC397">
        <v>231</v>
      </c>
      <c r="BD397"/>
      <c r="BE397" t="s">
        <v>2888</v>
      </c>
      <c r="BF397" t="str">
        <f>HYPERLINK("http://dx.doi.org/10.25750/1995-4301-2022-4-224-231","http://dx.doi.org/10.25750/1995-4301-2022-4-224-231")</f>
        <v>http://dx.doi.org/10.25750/1995-4301-2022-4-224-231</v>
      </c>
      <c r="BG397"/>
      <c r="BH397"/>
      <c r="BI397"/>
      <c r="BJ397"/>
      <c r="BK397"/>
      <c r="BL397"/>
      <c r="BM397"/>
      <c r="BN397"/>
      <c r="BO397"/>
      <c r="BP397"/>
      <c r="BQ397"/>
      <c r="BR397"/>
      <c r="BS397" t="s">
        <v>2889</v>
      </c>
      <c r="BT397" t="str">
        <f>HYPERLINK("https%3A%2F%2Fwww.webofscience.com%2Fwos%2Fwoscc%2Ffull-record%2FWOS:000929704700030","View Full Record in Web of Science")</f>
        <v>View Full Record in Web of Science</v>
      </c>
    </row>
    <row r="398" spans="1:75" customHeight="1" ht="12.75">
      <c r="A398" t="s">
        <v>72</v>
      </c>
      <c r="B398" t="s">
        <v>2287</v>
      </c>
      <c r="C398"/>
      <c r="D398"/>
      <c r="E398"/>
      <c r="F398" t="s">
        <v>2288</v>
      </c>
      <c r="G398"/>
      <c r="H398"/>
      <c r="I398" t="s">
        <v>2890</v>
      </c>
      <c r="J398" t="s">
        <v>2290</v>
      </c>
      <c r="K398"/>
      <c r="L398"/>
      <c r="M398"/>
      <c r="N398"/>
      <c r="O398"/>
      <c r="P398"/>
      <c r="Q398"/>
      <c r="R398"/>
      <c r="S398"/>
      <c r="T398"/>
      <c r="U398"/>
      <c r="V398"/>
      <c r="W398"/>
      <c r="X398"/>
      <c r="Y398"/>
      <c r="Z398"/>
      <c r="AA398" t="s">
        <v>2291</v>
      </c>
      <c r="AB398" t="s">
        <v>2292</v>
      </c>
      <c r="AC398"/>
      <c r="AD398"/>
      <c r="AE398"/>
      <c r="AF398"/>
      <c r="AG398"/>
      <c r="AH398"/>
      <c r="AI398"/>
      <c r="AJ398"/>
      <c r="AK398"/>
      <c r="AL398"/>
      <c r="AM398"/>
      <c r="AN398"/>
      <c r="AO398" t="s">
        <v>2293</v>
      </c>
      <c r="AP398" t="s">
        <v>2294</v>
      </c>
      <c r="AQ398"/>
      <c r="AR398"/>
      <c r="AS398"/>
      <c r="AT398" t="s">
        <v>2891</v>
      </c>
      <c r="AU398">
        <v>2022</v>
      </c>
      <c r="AV398">
        <v>74</v>
      </c>
      <c r="AW398">
        <v>10</v>
      </c>
      <c r="AX398"/>
      <c r="AY398"/>
      <c r="AZ398"/>
      <c r="BA398"/>
      <c r="BB398">
        <v>1769</v>
      </c>
      <c r="BC398">
        <v>1792</v>
      </c>
      <c r="BD398"/>
      <c r="BE398" t="s">
        <v>2892</v>
      </c>
      <c r="BF398" t="str">
        <f>HYPERLINK("http://dx.doi.org/10.1080/09668136.2021.1948972","http://dx.doi.org/10.1080/09668136.2021.1948972")</f>
        <v>http://dx.doi.org/10.1080/09668136.2021.1948972</v>
      </c>
      <c r="BG398"/>
      <c r="BH398" t="s">
        <v>2893</v>
      </c>
      <c r="BI398"/>
      <c r="BJ398"/>
      <c r="BK398"/>
      <c r="BL398"/>
      <c r="BM398"/>
      <c r="BN398"/>
      <c r="BO398"/>
      <c r="BP398"/>
      <c r="BQ398"/>
      <c r="BR398"/>
      <c r="BS398" t="s">
        <v>2894</v>
      </c>
      <c r="BT398" t="str">
        <f>HYPERLINK("https%3A%2F%2Fwww.webofscience.com%2Fwos%2Fwoscc%2Ffull-record%2FWOS:000674798100001","View Full Record in Web of Science")</f>
        <v>View Full Record in Web of Science</v>
      </c>
    </row>
    <row r="399" spans="1:75" customHeight="1" ht="12.75">
      <c r="A399" t="s">
        <v>72</v>
      </c>
      <c r="B399" t="s">
        <v>296</v>
      </c>
      <c r="C399"/>
      <c r="D399"/>
      <c r="E399"/>
      <c r="F399" t="s">
        <v>297</v>
      </c>
      <c r="G399"/>
      <c r="H399"/>
      <c r="I399" t="s">
        <v>2895</v>
      </c>
      <c r="J399" t="s">
        <v>1862</v>
      </c>
      <c r="K399"/>
      <c r="L399"/>
      <c r="M399"/>
      <c r="N399"/>
      <c r="O399"/>
      <c r="P399"/>
      <c r="Q399"/>
      <c r="R399"/>
      <c r="S399"/>
      <c r="T399"/>
      <c r="U399"/>
      <c r="V399"/>
      <c r="W399"/>
      <c r="X399"/>
      <c r="Y399"/>
      <c r="Z399"/>
      <c r="AA399" t="s">
        <v>299</v>
      </c>
      <c r="AB399" t="s">
        <v>300</v>
      </c>
      <c r="AC399"/>
      <c r="AD399"/>
      <c r="AE399"/>
      <c r="AF399"/>
      <c r="AG399"/>
      <c r="AH399"/>
      <c r="AI399"/>
      <c r="AJ399"/>
      <c r="AK399"/>
      <c r="AL399"/>
      <c r="AM399"/>
      <c r="AN399"/>
      <c r="AO399" t="s">
        <v>1863</v>
      </c>
      <c r="AP399"/>
      <c r="AQ399"/>
      <c r="AR399"/>
      <c r="AS399"/>
      <c r="AT399"/>
      <c r="AU399">
        <v>2020</v>
      </c>
      <c r="AV399">
        <v>48</v>
      </c>
      <c r="AW399">
        <v>1</v>
      </c>
      <c r="AX399"/>
      <c r="AY399"/>
      <c r="AZ399"/>
      <c r="BA399"/>
      <c r="BB399">
        <v>167</v>
      </c>
      <c r="BC399">
        <v>178</v>
      </c>
      <c r="BD399"/>
      <c r="BE399" t="s">
        <v>2896</v>
      </c>
      <c r="BF399" t="str">
        <f>HYPERLINK("http://dx.doi.org/10.17072/2219-3111-2020-1-167-178","http://dx.doi.org/10.17072/2219-3111-2020-1-167-178")</f>
        <v>http://dx.doi.org/10.17072/2219-3111-2020-1-167-178</v>
      </c>
      <c r="BG399"/>
      <c r="BH399"/>
      <c r="BI399"/>
      <c r="BJ399"/>
      <c r="BK399"/>
      <c r="BL399"/>
      <c r="BM399"/>
      <c r="BN399"/>
      <c r="BO399"/>
      <c r="BP399"/>
      <c r="BQ399"/>
      <c r="BR399"/>
      <c r="BS399" t="s">
        <v>2897</v>
      </c>
      <c r="BT399" t="str">
        <f>HYPERLINK("https%3A%2F%2Fwww.webofscience.com%2Fwos%2Fwoscc%2Ffull-record%2FWOS:000589794700015","View Full Record in Web of Science")</f>
        <v>View Full Record in Web of Science</v>
      </c>
    </row>
    <row r="400" spans="1:75" customHeight="1" ht="12.75">
      <c r="A400" t="s">
        <v>72</v>
      </c>
      <c r="B400" t="s">
        <v>723</v>
      </c>
      <c r="C400"/>
      <c r="D400"/>
      <c r="E400"/>
      <c r="F400" t="s">
        <v>2898</v>
      </c>
      <c r="G400"/>
      <c r="H400"/>
      <c r="I400" t="s">
        <v>2899</v>
      </c>
      <c r="J400" t="s">
        <v>244</v>
      </c>
      <c r="K400"/>
      <c r="L400"/>
      <c r="M400"/>
      <c r="N400"/>
      <c r="O400"/>
      <c r="P400"/>
      <c r="Q400"/>
      <c r="R400"/>
      <c r="S400"/>
      <c r="T400"/>
      <c r="U400"/>
      <c r="V400"/>
      <c r="W400"/>
      <c r="X400"/>
      <c r="Y400"/>
      <c r="Z400"/>
      <c r="AA400"/>
      <c r="AB400"/>
      <c r="AC400"/>
      <c r="AD400"/>
      <c r="AE400"/>
      <c r="AF400"/>
      <c r="AG400"/>
      <c r="AH400"/>
      <c r="AI400"/>
      <c r="AJ400"/>
      <c r="AK400"/>
      <c r="AL400"/>
      <c r="AM400"/>
      <c r="AN400"/>
      <c r="AO400" t="s">
        <v>245</v>
      </c>
      <c r="AP400" t="s">
        <v>246</v>
      </c>
      <c r="AQ400"/>
      <c r="AR400"/>
      <c r="AS400"/>
      <c r="AT400"/>
      <c r="AU400">
        <v>2020</v>
      </c>
      <c r="AV400"/>
      <c r="AW400">
        <v>10</v>
      </c>
      <c r="AX400">
        <v>4</v>
      </c>
      <c r="AY400"/>
      <c r="AZ400"/>
      <c r="BA400"/>
      <c r="BB400">
        <v>184</v>
      </c>
      <c r="BC400">
        <v>195</v>
      </c>
      <c r="BD400"/>
      <c r="BE400" t="s">
        <v>2900</v>
      </c>
      <c r="BF400" t="str">
        <f>HYPERLINK("http://dx.doi.org/10.31166/VoprosyIstorii202010Statyi82","http://dx.doi.org/10.31166/VoprosyIstorii202010Statyi82")</f>
        <v>http://dx.doi.org/10.31166/VoprosyIstorii202010Statyi82</v>
      </c>
      <c r="BG400"/>
      <c r="BH400"/>
      <c r="BI400"/>
      <c r="BJ400"/>
      <c r="BK400"/>
      <c r="BL400"/>
      <c r="BM400"/>
      <c r="BN400"/>
      <c r="BO400"/>
      <c r="BP400"/>
      <c r="BQ400"/>
      <c r="BR400"/>
      <c r="BS400" t="s">
        <v>2901</v>
      </c>
      <c r="BT400" t="str">
        <f>HYPERLINK("https%3A%2F%2Fwww.webofscience.com%2Fwos%2Fwoscc%2Ffull-record%2FWOS:000605445400019","View Full Record in Web of Science")</f>
        <v>View Full Record in Web of Science</v>
      </c>
    </row>
    <row r="401" spans="1:75" customHeight="1" ht="12.75">
      <c r="A401" t="s">
        <v>147</v>
      </c>
      <c r="B401" t="s">
        <v>1368</v>
      </c>
      <c r="C401"/>
      <c r="D401" t="s">
        <v>1801</v>
      </c>
      <c r="E401"/>
      <c r="F401" t="s">
        <v>1369</v>
      </c>
      <c r="G401"/>
      <c r="H401"/>
      <c r="I401" t="s">
        <v>2902</v>
      </c>
      <c r="J401" t="s">
        <v>1804</v>
      </c>
      <c r="K401" t="s">
        <v>1805</v>
      </c>
      <c r="L401"/>
      <c r="M401"/>
      <c r="N401"/>
      <c r="O401" t="s">
        <v>1806</v>
      </c>
      <c r="P401" t="s">
        <v>1807</v>
      </c>
      <c r="Q401" t="s">
        <v>1808</v>
      </c>
      <c r="R401"/>
      <c r="S401" t="s">
        <v>257</v>
      </c>
      <c r="T401"/>
      <c r="U401"/>
      <c r="V401"/>
      <c r="W401"/>
      <c r="X401"/>
      <c r="Y401"/>
      <c r="Z401"/>
      <c r="AA401"/>
      <c r="AB401"/>
      <c r="AC401"/>
      <c r="AD401"/>
      <c r="AE401"/>
      <c r="AF401"/>
      <c r="AG401"/>
      <c r="AH401"/>
      <c r="AI401"/>
      <c r="AJ401"/>
      <c r="AK401"/>
      <c r="AL401"/>
      <c r="AM401"/>
      <c r="AN401"/>
      <c r="AO401" t="s">
        <v>1809</v>
      </c>
      <c r="AP401"/>
      <c r="AQ401" t="s">
        <v>1810</v>
      </c>
      <c r="AR401"/>
      <c r="AS401"/>
      <c r="AT401"/>
      <c r="AU401">
        <v>2020</v>
      </c>
      <c r="AV401"/>
      <c r="AW401"/>
      <c r="AX401"/>
      <c r="AY401"/>
      <c r="AZ401"/>
      <c r="BA401"/>
      <c r="BB401">
        <v>2633</v>
      </c>
      <c r="BC401">
        <v>2646</v>
      </c>
      <c r="BD401"/>
      <c r="BE401" t="s">
        <v>2903</v>
      </c>
      <c r="BF401" t="str">
        <f>HYPERLINK("http://dx.doi.org/10.3897/ap.2.e2633","http://dx.doi.org/10.3897/ap.2.e2633")</f>
        <v>http://dx.doi.org/10.3897/ap.2.e2633</v>
      </c>
      <c r="BG401"/>
      <c r="BH401"/>
      <c r="BI401"/>
      <c r="BJ401"/>
      <c r="BK401"/>
      <c r="BL401"/>
      <c r="BM401"/>
      <c r="BN401"/>
      <c r="BO401"/>
      <c r="BP401"/>
      <c r="BQ401"/>
      <c r="BR401"/>
      <c r="BS401" t="s">
        <v>2904</v>
      </c>
      <c r="BT401" t="str">
        <f>HYPERLINK("https%3A%2F%2Fwww.webofscience.com%2Fwos%2Fwoscc%2Ffull-record%2FWOS:000671896200205","View Full Record in Web of Science")</f>
        <v>View Full Record in Web of Science</v>
      </c>
    </row>
    <row r="402" spans="1:75" customHeight="1" ht="12.75">
      <c r="A402" t="s">
        <v>72</v>
      </c>
      <c r="B402" t="s">
        <v>378</v>
      </c>
      <c r="C402"/>
      <c r="D402"/>
      <c r="E402"/>
      <c r="F402" t="s">
        <v>1226</v>
      </c>
      <c r="G402"/>
      <c r="H402"/>
      <c r="I402" t="s">
        <v>2905</v>
      </c>
      <c r="J402" t="s">
        <v>1652</v>
      </c>
      <c r="K402"/>
      <c r="L402"/>
      <c r="M402"/>
      <c r="N402"/>
      <c r="O402"/>
      <c r="P402"/>
      <c r="Q402"/>
      <c r="R402"/>
      <c r="S402"/>
      <c r="T402"/>
      <c r="U402"/>
      <c r="V402"/>
      <c r="W402"/>
      <c r="X402"/>
      <c r="Y402"/>
      <c r="Z402"/>
      <c r="AA402" t="s">
        <v>553</v>
      </c>
      <c r="AB402" t="s">
        <v>554</v>
      </c>
      <c r="AC402"/>
      <c r="AD402"/>
      <c r="AE402"/>
      <c r="AF402"/>
      <c r="AG402"/>
      <c r="AH402"/>
      <c r="AI402"/>
      <c r="AJ402"/>
      <c r="AK402"/>
      <c r="AL402"/>
      <c r="AM402"/>
      <c r="AN402"/>
      <c r="AO402" t="s">
        <v>1653</v>
      </c>
      <c r="AP402"/>
      <c r="AQ402"/>
      <c r="AR402"/>
      <c r="AS402"/>
      <c r="AT402" t="s">
        <v>338</v>
      </c>
      <c r="AU402">
        <v>2019</v>
      </c>
      <c r="AV402">
        <v>13</v>
      </c>
      <c r="AW402">
        <v>3</v>
      </c>
      <c r="AX402"/>
      <c r="AY402"/>
      <c r="AZ402"/>
      <c r="BA402"/>
      <c r="BB402">
        <v>971</v>
      </c>
      <c r="BC402">
        <v>973</v>
      </c>
      <c r="BD402"/>
      <c r="BE402"/>
      <c r="BF402"/>
      <c r="BG402"/>
      <c r="BH402"/>
      <c r="BI402"/>
      <c r="BJ402"/>
      <c r="BK402"/>
      <c r="BL402"/>
      <c r="BM402"/>
      <c r="BN402"/>
      <c r="BO402"/>
      <c r="BP402"/>
      <c r="BQ402"/>
      <c r="BR402"/>
      <c r="BS402" t="s">
        <v>2906</v>
      </c>
      <c r="BT402" t="str">
        <f>HYPERLINK("https%3A%2F%2Fwww.webofscience.com%2Fwos%2Fwoscc%2Ffull-record%2FWOS:000496818300132","View Full Record in Web of Science")</f>
        <v>View Full Record in Web of Science</v>
      </c>
    </row>
    <row r="403" spans="1:75" customHeight="1" ht="12.75">
      <c r="A403" t="s">
        <v>147</v>
      </c>
      <c r="B403" t="s">
        <v>2907</v>
      </c>
      <c r="C403"/>
      <c r="D403" t="s">
        <v>2908</v>
      </c>
      <c r="E403"/>
      <c r="F403" t="s">
        <v>2909</v>
      </c>
      <c r="G403"/>
      <c r="H403"/>
      <c r="I403" t="s">
        <v>2910</v>
      </c>
      <c r="J403" t="s">
        <v>2911</v>
      </c>
      <c r="K403" t="s">
        <v>2912</v>
      </c>
      <c r="L403"/>
      <c r="M403"/>
      <c r="N403"/>
      <c r="O403" t="s">
        <v>2913</v>
      </c>
      <c r="P403" t="s">
        <v>2914</v>
      </c>
      <c r="Q403" t="s">
        <v>2915</v>
      </c>
      <c r="R403"/>
      <c r="S403"/>
      <c r="T403"/>
      <c r="U403"/>
      <c r="V403"/>
      <c r="W403"/>
      <c r="X403"/>
      <c r="Y403"/>
      <c r="Z403"/>
      <c r="AA403"/>
      <c r="AB403"/>
      <c r="AC403"/>
      <c r="AD403"/>
      <c r="AE403"/>
      <c r="AF403"/>
      <c r="AG403"/>
      <c r="AH403"/>
      <c r="AI403"/>
      <c r="AJ403"/>
      <c r="AK403"/>
      <c r="AL403"/>
      <c r="AM403"/>
      <c r="AN403"/>
      <c r="AO403" t="s">
        <v>2916</v>
      </c>
      <c r="AP403"/>
      <c r="AQ403" t="s">
        <v>2917</v>
      </c>
      <c r="AR403"/>
      <c r="AS403"/>
      <c r="AT403"/>
      <c r="AU403">
        <v>2019</v>
      </c>
      <c r="AV403"/>
      <c r="AW403"/>
      <c r="AX403"/>
      <c r="AY403"/>
      <c r="AZ403"/>
      <c r="BA403"/>
      <c r="BB403">
        <v>9564</v>
      </c>
      <c r="BC403">
        <v>9569</v>
      </c>
      <c r="BD403"/>
      <c r="BE403"/>
      <c r="BF403"/>
      <c r="BG403"/>
      <c r="BH403"/>
      <c r="BI403"/>
      <c r="BJ403"/>
      <c r="BK403"/>
      <c r="BL403"/>
      <c r="BM403"/>
      <c r="BN403"/>
      <c r="BO403"/>
      <c r="BP403"/>
      <c r="BQ403"/>
      <c r="BR403"/>
      <c r="BS403" t="s">
        <v>2918</v>
      </c>
      <c r="BT403" t="str">
        <f>HYPERLINK("https%3A%2F%2Fwww.webofscience.com%2Fwos%2Fwoscc%2Ffull-record%2FWOS:000553304904024","View Full Record in Web of Science")</f>
        <v>View Full Record in Web of Science</v>
      </c>
    </row>
    <row r="404" spans="1:75" customHeight="1" ht="12.75">
      <c r="A404" t="s">
        <v>147</v>
      </c>
      <c r="B404" t="s">
        <v>2919</v>
      </c>
      <c r="C404"/>
      <c r="D404" t="s">
        <v>249</v>
      </c>
      <c r="E404"/>
      <c r="F404" t="s">
        <v>2920</v>
      </c>
      <c r="G404"/>
      <c r="H404"/>
      <c r="I404" t="s">
        <v>2921</v>
      </c>
      <c r="J404" t="s">
        <v>1371</v>
      </c>
      <c r="K404"/>
      <c r="L404"/>
      <c r="M404"/>
      <c r="N404"/>
      <c r="O404" t="s">
        <v>1372</v>
      </c>
      <c r="P404" t="s">
        <v>1373</v>
      </c>
      <c r="Q404" t="s">
        <v>256</v>
      </c>
      <c r="R404"/>
      <c r="S404" t="s">
        <v>257</v>
      </c>
      <c r="T404"/>
      <c r="U404"/>
      <c r="V404"/>
      <c r="W404"/>
      <c r="X404"/>
      <c r="Y404"/>
      <c r="Z404"/>
      <c r="AA404" t="s">
        <v>2922</v>
      </c>
      <c r="AB404" t="s">
        <v>2923</v>
      </c>
      <c r="AC404"/>
      <c r="AD404"/>
      <c r="AE404"/>
      <c r="AF404"/>
      <c r="AG404"/>
      <c r="AH404"/>
      <c r="AI404"/>
      <c r="AJ404"/>
      <c r="AK404"/>
      <c r="AL404"/>
      <c r="AM404"/>
      <c r="AN404"/>
      <c r="AO404"/>
      <c r="AP404"/>
      <c r="AQ404" t="s">
        <v>1374</v>
      </c>
      <c r="AR404"/>
      <c r="AS404"/>
      <c r="AT404"/>
      <c r="AU404">
        <v>2019</v>
      </c>
      <c r="AV404"/>
      <c r="AW404"/>
      <c r="AX404"/>
      <c r="AY404"/>
      <c r="AZ404"/>
      <c r="BA404"/>
      <c r="BB404">
        <v>575</v>
      </c>
      <c r="BC404">
        <v>587</v>
      </c>
      <c r="BD404"/>
      <c r="BE404" t="s">
        <v>2924</v>
      </c>
      <c r="BF404" t="str">
        <f>HYPERLINK("http://dx.doi.org/10.3897/ap.1.e0545","http://dx.doi.org/10.3897/ap.1.e0545")</f>
        <v>http://dx.doi.org/10.3897/ap.1.e0545</v>
      </c>
      <c r="BG404"/>
      <c r="BH404"/>
      <c r="BI404"/>
      <c r="BJ404"/>
      <c r="BK404"/>
      <c r="BL404"/>
      <c r="BM404"/>
      <c r="BN404"/>
      <c r="BO404"/>
      <c r="BP404"/>
      <c r="BQ404"/>
      <c r="BR404"/>
      <c r="BS404" t="s">
        <v>2925</v>
      </c>
      <c r="BT404" t="str">
        <f>HYPERLINK("https%3A%2F%2Fwww.webofscience.com%2Fwos%2Fwoscc%2Ffull-record%2FWOS:000520005200058","View Full Record in Web of Science")</f>
        <v>View Full Record in Web of Science</v>
      </c>
    </row>
    <row r="405" spans="1:75" customHeight="1" ht="12.75">
      <c r="A405" t="s">
        <v>147</v>
      </c>
      <c r="B405" t="s">
        <v>2926</v>
      </c>
      <c r="C405"/>
      <c r="D405" t="s">
        <v>2927</v>
      </c>
      <c r="E405"/>
      <c r="F405" t="s">
        <v>2928</v>
      </c>
      <c r="G405"/>
      <c r="H405"/>
      <c r="I405" t="s">
        <v>2929</v>
      </c>
      <c r="J405" t="s">
        <v>2930</v>
      </c>
      <c r="K405" t="s">
        <v>253</v>
      </c>
      <c r="L405"/>
      <c r="M405"/>
      <c r="N405"/>
      <c r="O405" t="s">
        <v>2931</v>
      </c>
      <c r="P405" t="s">
        <v>2932</v>
      </c>
      <c r="Q405" t="s">
        <v>2933</v>
      </c>
      <c r="R405"/>
      <c r="S405"/>
      <c r="T405"/>
      <c r="U405"/>
      <c r="V405"/>
      <c r="W405"/>
      <c r="X405"/>
      <c r="Y405"/>
      <c r="Z405"/>
      <c r="AA405" t="s">
        <v>2934</v>
      </c>
      <c r="AB405"/>
      <c r="AC405"/>
      <c r="AD405"/>
      <c r="AE405"/>
      <c r="AF405"/>
      <c r="AG405"/>
      <c r="AH405"/>
      <c r="AI405"/>
      <c r="AJ405"/>
      <c r="AK405"/>
      <c r="AL405"/>
      <c r="AM405"/>
      <c r="AN405"/>
      <c r="AO405"/>
      <c r="AP405" t="s">
        <v>259</v>
      </c>
      <c r="AQ405"/>
      <c r="AR405"/>
      <c r="AS405"/>
      <c r="AT405"/>
      <c r="AU405">
        <v>2019</v>
      </c>
      <c r="AV405">
        <v>67</v>
      </c>
      <c r="AW405"/>
      <c r="AX405"/>
      <c r="AY405"/>
      <c r="AZ405"/>
      <c r="BA405"/>
      <c r="BB405">
        <v>567</v>
      </c>
      <c r="BC405">
        <v>573</v>
      </c>
      <c r="BD405"/>
      <c r="BE405" t="s">
        <v>2935</v>
      </c>
      <c r="BF405" t="str">
        <f>HYPERLINK("http://dx.doi.org/10.15405/epsbs.2019.08.03.67","http://dx.doi.org/10.15405/epsbs.2019.08.03.67")</f>
        <v>http://dx.doi.org/10.15405/epsbs.2019.08.03.67</v>
      </c>
      <c r="BG405"/>
      <c r="BH405"/>
      <c r="BI405"/>
      <c r="BJ405"/>
      <c r="BK405"/>
      <c r="BL405"/>
      <c r="BM405"/>
      <c r="BN405"/>
      <c r="BO405"/>
      <c r="BP405"/>
      <c r="BQ405"/>
      <c r="BR405"/>
      <c r="BS405" t="s">
        <v>2936</v>
      </c>
      <c r="BT405" t="str">
        <f>HYPERLINK("https%3A%2F%2Fwww.webofscience.com%2Fwos%2Fwoscc%2Ffull-record%2FWOS:000582461100067","View Full Record in Web of Science")</f>
        <v>View Full Record in Web of Science</v>
      </c>
    </row>
    <row r="406" spans="1:75" customHeight="1" ht="12.75">
      <c r="A406" t="s">
        <v>72</v>
      </c>
      <c r="B406" t="s">
        <v>2937</v>
      </c>
      <c r="C406"/>
      <c r="D406"/>
      <c r="E406"/>
      <c r="F406" t="s">
        <v>2938</v>
      </c>
      <c r="G406"/>
      <c r="H406"/>
      <c r="I406" t="s">
        <v>2939</v>
      </c>
      <c r="J406" t="s">
        <v>141</v>
      </c>
      <c r="K406"/>
      <c r="L406"/>
      <c r="M406"/>
      <c r="N406"/>
      <c r="O406"/>
      <c r="P406"/>
      <c r="Q406"/>
      <c r="R406"/>
      <c r="S406"/>
      <c r="T406"/>
      <c r="U406"/>
      <c r="V406"/>
      <c r="W406"/>
      <c r="X406"/>
      <c r="Y406"/>
      <c r="Z406"/>
      <c r="AA406"/>
      <c r="AB406"/>
      <c r="AC406"/>
      <c r="AD406"/>
      <c r="AE406"/>
      <c r="AF406"/>
      <c r="AG406"/>
      <c r="AH406"/>
      <c r="AI406"/>
      <c r="AJ406"/>
      <c r="AK406"/>
      <c r="AL406"/>
      <c r="AM406"/>
      <c r="AN406"/>
      <c r="AO406" t="s">
        <v>144</v>
      </c>
      <c r="AP406"/>
      <c r="AQ406"/>
      <c r="AR406"/>
      <c r="AS406"/>
      <c r="AT406"/>
      <c r="AU406">
        <v>2019</v>
      </c>
      <c r="AV406"/>
      <c r="AW406">
        <v>3</v>
      </c>
      <c r="AX406"/>
      <c r="AY406"/>
      <c r="AZ406"/>
      <c r="BA406"/>
      <c r="BB406">
        <v>79</v>
      </c>
      <c r="BC406">
        <v>90</v>
      </c>
      <c r="BD406"/>
      <c r="BE406" t="s">
        <v>2940</v>
      </c>
      <c r="BF406" t="str">
        <f>HYPERLINK("http://dx.doi.org/10.5281/zenodo.3562205","http://dx.doi.org/10.5281/zenodo.3562205")</f>
        <v>http://dx.doi.org/10.5281/zenodo.3562205</v>
      </c>
      <c r="BG406"/>
      <c r="BH406"/>
      <c r="BI406"/>
      <c r="BJ406"/>
      <c r="BK406"/>
      <c r="BL406"/>
      <c r="BM406"/>
      <c r="BN406"/>
      <c r="BO406"/>
      <c r="BP406"/>
      <c r="BQ406"/>
      <c r="BR406"/>
      <c r="BS406" t="s">
        <v>2941</v>
      </c>
      <c r="BT406" t="str">
        <f>HYPERLINK("https%3A%2F%2Fwww.webofscience.com%2Fwos%2Fwoscc%2Ffull-record%2FWOS:000504406100007","View Full Record in Web of Science")</f>
        <v>View Full Record in Web of Science</v>
      </c>
    </row>
    <row r="407" spans="1:75" customHeight="1" ht="12.75">
      <c r="A407" t="s">
        <v>147</v>
      </c>
      <c r="B407" t="s">
        <v>2942</v>
      </c>
      <c r="C407"/>
      <c r="D407" t="s">
        <v>2943</v>
      </c>
      <c r="E407"/>
      <c r="F407" t="s">
        <v>2944</v>
      </c>
      <c r="G407"/>
      <c r="H407"/>
      <c r="I407" t="s">
        <v>2945</v>
      </c>
      <c r="J407" t="s">
        <v>2946</v>
      </c>
      <c r="K407" t="s">
        <v>1313</v>
      </c>
      <c r="L407"/>
      <c r="M407"/>
      <c r="N407"/>
      <c r="O407" t="s">
        <v>2672</v>
      </c>
      <c r="P407" t="s">
        <v>2673</v>
      </c>
      <c r="Q407" t="s">
        <v>2674</v>
      </c>
      <c r="R407"/>
      <c r="S407" t="s">
        <v>2675</v>
      </c>
      <c r="T407"/>
      <c r="U407"/>
      <c r="V407"/>
      <c r="W407"/>
      <c r="X407"/>
      <c r="Y407"/>
      <c r="Z407"/>
      <c r="AA407" t="s">
        <v>1885</v>
      </c>
      <c r="AB407" t="s">
        <v>2947</v>
      </c>
      <c r="AC407"/>
      <c r="AD407"/>
      <c r="AE407"/>
      <c r="AF407"/>
      <c r="AG407"/>
      <c r="AH407"/>
      <c r="AI407"/>
      <c r="AJ407"/>
      <c r="AK407"/>
      <c r="AL407"/>
      <c r="AM407"/>
      <c r="AN407"/>
      <c r="AO407" t="s">
        <v>1319</v>
      </c>
      <c r="AP407" t="s">
        <v>2948</v>
      </c>
      <c r="AQ407" t="s">
        <v>2949</v>
      </c>
      <c r="AR407"/>
      <c r="AS407"/>
      <c r="AT407"/>
      <c r="AU407">
        <v>2018</v>
      </c>
      <c r="AV407">
        <v>692</v>
      </c>
      <c r="AW407"/>
      <c r="AX407"/>
      <c r="AY407"/>
      <c r="AZ407"/>
      <c r="BA407"/>
      <c r="BB407">
        <v>318</v>
      </c>
      <c r="BC407">
        <v>325</v>
      </c>
      <c r="BD407"/>
      <c r="BE407" t="s">
        <v>2950</v>
      </c>
      <c r="BF407" t="str">
        <f>HYPERLINK("http://dx.doi.org/10.1007/978-3-319-70987-1_34","http://dx.doi.org/10.1007/978-3-319-70987-1_34")</f>
        <v>http://dx.doi.org/10.1007/978-3-319-70987-1_34</v>
      </c>
      <c r="BG407"/>
      <c r="BH407"/>
      <c r="BI407"/>
      <c r="BJ407"/>
      <c r="BK407"/>
      <c r="BL407"/>
      <c r="BM407"/>
      <c r="BN407"/>
      <c r="BO407"/>
      <c r="BP407"/>
      <c r="BQ407"/>
      <c r="BR407"/>
      <c r="BS407" t="s">
        <v>2951</v>
      </c>
      <c r="BT407" t="str">
        <f>HYPERLINK("https%3A%2F%2Fwww.webofscience.com%2Fwos%2Fwoscc%2Ffull-record%2FWOS:000436502300034","View Full Record in Web of Science")</f>
        <v>View Full Record in Web of Science</v>
      </c>
    </row>
    <row r="408" spans="1:75" customHeight="1" ht="12.75">
      <c r="A408" t="s">
        <v>72</v>
      </c>
      <c r="B408" t="s">
        <v>378</v>
      </c>
      <c r="C408"/>
      <c r="D408"/>
      <c r="E408"/>
      <c r="F408" t="s">
        <v>1226</v>
      </c>
      <c r="G408"/>
      <c r="H408"/>
      <c r="I408" t="s">
        <v>2952</v>
      </c>
      <c r="J408" t="s">
        <v>1228</v>
      </c>
      <c r="K408"/>
      <c r="L408"/>
      <c r="M408"/>
      <c r="N408"/>
      <c r="O408"/>
      <c r="P408"/>
      <c r="Q408"/>
      <c r="R408"/>
      <c r="S408"/>
      <c r="T408"/>
      <c r="U408"/>
      <c r="V408"/>
      <c r="W408"/>
      <c r="X408"/>
      <c r="Y408"/>
      <c r="Z408"/>
      <c r="AA408"/>
      <c r="AB408"/>
      <c r="AC408"/>
      <c r="AD408"/>
      <c r="AE408"/>
      <c r="AF408"/>
      <c r="AG408"/>
      <c r="AH408"/>
      <c r="AI408"/>
      <c r="AJ408"/>
      <c r="AK408"/>
      <c r="AL408"/>
      <c r="AM408"/>
      <c r="AN408"/>
      <c r="AO408" t="s">
        <v>1229</v>
      </c>
      <c r="AP408"/>
      <c r="AQ408"/>
      <c r="AR408"/>
      <c r="AS408"/>
      <c r="AT408"/>
      <c r="AU408">
        <v>2018</v>
      </c>
      <c r="AV408">
        <v>7</v>
      </c>
      <c r="AW408">
        <v>11</v>
      </c>
      <c r="AX408"/>
      <c r="AY408"/>
      <c r="AZ408"/>
      <c r="BA408"/>
      <c r="BB408">
        <v>166</v>
      </c>
      <c r="BC408">
        <v>170</v>
      </c>
      <c r="BD408"/>
      <c r="BE408"/>
      <c r="BF408"/>
      <c r="BG408"/>
      <c r="BH408"/>
      <c r="BI408"/>
      <c r="BJ408"/>
      <c r="BK408"/>
      <c r="BL408"/>
      <c r="BM408"/>
      <c r="BN408"/>
      <c r="BO408"/>
      <c r="BP408"/>
      <c r="BQ408"/>
      <c r="BR408"/>
      <c r="BS408" t="s">
        <v>2953</v>
      </c>
      <c r="BT408" t="str">
        <f>HYPERLINK("https%3A%2F%2Fwww.webofscience.com%2Fwos%2Fwoscc%2Ffull-record%2FWOS:000451688700021","View Full Record in Web of Science")</f>
        <v>View Full Record in Web of Science</v>
      </c>
    </row>
    <row r="409" spans="1:75" customHeight="1" ht="12.75">
      <c r="A409" t="s">
        <v>72</v>
      </c>
      <c r="B409" t="s">
        <v>2621</v>
      </c>
      <c r="C409"/>
      <c r="D409"/>
      <c r="E409"/>
      <c r="F409" t="s">
        <v>2954</v>
      </c>
      <c r="G409"/>
      <c r="H409"/>
      <c r="I409" t="s">
        <v>2955</v>
      </c>
      <c r="J409" t="s">
        <v>1862</v>
      </c>
      <c r="K409"/>
      <c r="L409"/>
      <c r="M409"/>
      <c r="N409"/>
      <c r="O409"/>
      <c r="P409"/>
      <c r="Q409"/>
      <c r="R409"/>
      <c r="S409"/>
      <c r="T409"/>
      <c r="U409"/>
      <c r="V409"/>
      <c r="W409"/>
      <c r="X409"/>
      <c r="Y409"/>
      <c r="Z409"/>
      <c r="AA409" t="s">
        <v>2654</v>
      </c>
      <c r="AB409" t="s">
        <v>2655</v>
      </c>
      <c r="AC409"/>
      <c r="AD409"/>
      <c r="AE409"/>
      <c r="AF409"/>
      <c r="AG409"/>
      <c r="AH409"/>
      <c r="AI409"/>
      <c r="AJ409"/>
      <c r="AK409"/>
      <c r="AL409"/>
      <c r="AM409"/>
      <c r="AN409"/>
      <c r="AO409" t="s">
        <v>1863</v>
      </c>
      <c r="AP409"/>
      <c r="AQ409"/>
      <c r="AR409"/>
      <c r="AS409"/>
      <c r="AT409"/>
      <c r="AU409">
        <v>2018</v>
      </c>
      <c r="AV409">
        <v>43</v>
      </c>
      <c r="AW409">
        <v>4</v>
      </c>
      <c r="AX409"/>
      <c r="AY409"/>
      <c r="AZ409"/>
      <c r="BA409"/>
      <c r="BB409">
        <v>40</v>
      </c>
      <c r="BC409">
        <v>49</v>
      </c>
      <c r="BD409"/>
      <c r="BE409" t="s">
        <v>2956</v>
      </c>
      <c r="BF409" t="str">
        <f>HYPERLINK("http://dx.doi.org/10.17072/2219-3111-2018-4-40-49","http://dx.doi.org/10.17072/2219-3111-2018-4-40-49")</f>
        <v>http://dx.doi.org/10.17072/2219-3111-2018-4-40-49</v>
      </c>
      <c r="BG409"/>
      <c r="BH409"/>
      <c r="BI409"/>
      <c r="BJ409"/>
      <c r="BK409"/>
      <c r="BL409"/>
      <c r="BM409"/>
      <c r="BN409"/>
      <c r="BO409"/>
      <c r="BP409"/>
      <c r="BQ409"/>
      <c r="BR409"/>
      <c r="BS409" t="s">
        <v>2957</v>
      </c>
      <c r="BT409" t="str">
        <f>HYPERLINK("https%3A%2F%2Fwww.webofscience.com%2Fwos%2Fwoscc%2Ffull-record%2FWOS:000456115100005","View Full Record in Web of Science")</f>
        <v>View Full Record in Web of Science</v>
      </c>
    </row>
    <row r="410" spans="1:75" customHeight="1" ht="12.75">
      <c r="A410" t="s">
        <v>147</v>
      </c>
      <c r="B410" t="s">
        <v>2690</v>
      </c>
      <c r="C410"/>
      <c r="D410"/>
      <c r="E410" t="s">
        <v>210</v>
      </c>
      <c r="F410" t="s">
        <v>2691</v>
      </c>
      <c r="G410"/>
      <c r="H410"/>
      <c r="I410" t="s">
        <v>2958</v>
      </c>
      <c r="J410" t="s">
        <v>213</v>
      </c>
      <c r="K410"/>
      <c r="L410"/>
      <c r="M410"/>
      <c r="N410"/>
      <c r="O410" t="s">
        <v>214</v>
      </c>
      <c r="P410" t="s">
        <v>215</v>
      </c>
      <c r="Q410" t="s">
        <v>216</v>
      </c>
      <c r="R410"/>
      <c r="S410" t="s">
        <v>217</v>
      </c>
      <c r="T410"/>
      <c r="U410"/>
      <c r="V410"/>
      <c r="W410"/>
      <c r="X410"/>
      <c r="Y410"/>
      <c r="Z410"/>
      <c r="AA410" t="s">
        <v>2024</v>
      </c>
      <c r="AB410" t="s">
        <v>2693</v>
      </c>
      <c r="AC410"/>
      <c r="AD410"/>
      <c r="AE410"/>
      <c r="AF410"/>
      <c r="AG410"/>
      <c r="AH410"/>
      <c r="AI410"/>
      <c r="AJ410"/>
      <c r="AK410"/>
      <c r="AL410"/>
      <c r="AM410"/>
      <c r="AN410"/>
      <c r="AO410"/>
      <c r="AP410"/>
      <c r="AQ410" t="s">
        <v>218</v>
      </c>
      <c r="AR410"/>
      <c r="AS410"/>
      <c r="AT410"/>
      <c r="AU410">
        <v>2018</v>
      </c>
      <c r="AV410"/>
      <c r="AW410"/>
      <c r="AX410"/>
      <c r="AY410"/>
      <c r="AZ410"/>
      <c r="BA410"/>
      <c r="BB410"/>
      <c r="BC410"/>
      <c r="BD410"/>
      <c r="BE410"/>
      <c r="BF410"/>
      <c r="BG410"/>
      <c r="BH410"/>
      <c r="BI410"/>
      <c r="BJ410"/>
      <c r="BK410"/>
      <c r="BL410"/>
      <c r="BM410"/>
      <c r="BN410"/>
      <c r="BO410"/>
      <c r="BP410"/>
      <c r="BQ410"/>
      <c r="BR410"/>
      <c r="BS410" t="s">
        <v>2959</v>
      </c>
      <c r="BT410" t="str">
        <f>HYPERLINK("https%3A%2F%2Fwww.webofscience.com%2Fwos%2Fwoscc%2Ffull-record%2FWOS:000478963800147","View Full Record in Web of Science")</f>
        <v>View Full Record in Web of Science</v>
      </c>
    </row>
    <row r="411" spans="1:75" customHeight="1" ht="12.75">
      <c r="A411" t="s">
        <v>147</v>
      </c>
      <c r="B411" t="s">
        <v>2383</v>
      </c>
      <c r="C411"/>
      <c r="D411"/>
      <c r="E411" t="s">
        <v>210</v>
      </c>
      <c r="F411" t="s">
        <v>2384</v>
      </c>
      <c r="G411"/>
      <c r="H411"/>
      <c r="I411" t="s">
        <v>2960</v>
      </c>
      <c r="J411" t="s">
        <v>419</v>
      </c>
      <c r="K411" t="s">
        <v>420</v>
      </c>
      <c r="L411"/>
      <c r="M411"/>
      <c r="N411"/>
      <c r="O411" t="s">
        <v>421</v>
      </c>
      <c r="P411" t="s">
        <v>422</v>
      </c>
      <c r="Q411" t="s">
        <v>423</v>
      </c>
      <c r="R411" t="s">
        <v>424</v>
      </c>
      <c r="S411"/>
      <c r="T411"/>
      <c r="U411"/>
      <c r="V411"/>
      <c r="W411"/>
      <c r="X411"/>
      <c r="Y411"/>
      <c r="Z411"/>
      <c r="AA411" t="s">
        <v>2386</v>
      </c>
      <c r="AB411" t="s">
        <v>2387</v>
      </c>
      <c r="AC411"/>
      <c r="AD411"/>
      <c r="AE411"/>
      <c r="AF411"/>
      <c r="AG411"/>
      <c r="AH411"/>
      <c r="AI411"/>
      <c r="AJ411"/>
      <c r="AK411"/>
      <c r="AL411"/>
      <c r="AM411"/>
      <c r="AN411"/>
      <c r="AO411" t="s">
        <v>427</v>
      </c>
      <c r="AP411" t="s">
        <v>428</v>
      </c>
      <c r="AQ411" t="s">
        <v>429</v>
      </c>
      <c r="AR411"/>
      <c r="AS411"/>
      <c r="AT411"/>
      <c r="AU411">
        <v>2018</v>
      </c>
      <c r="AV411"/>
      <c r="AW411"/>
      <c r="AX411"/>
      <c r="AY411"/>
      <c r="AZ411"/>
      <c r="BA411"/>
      <c r="BB411"/>
      <c r="BC411"/>
      <c r="BD411"/>
      <c r="BE411"/>
      <c r="BF411"/>
      <c r="BG411"/>
      <c r="BH411"/>
      <c r="BI411"/>
      <c r="BJ411"/>
      <c r="BK411"/>
      <c r="BL411"/>
      <c r="BM411"/>
      <c r="BN411"/>
      <c r="BO411"/>
      <c r="BP411"/>
      <c r="BQ411"/>
      <c r="BR411"/>
      <c r="BS411" t="s">
        <v>2961</v>
      </c>
      <c r="BT411" t="str">
        <f>HYPERLINK("https%3A%2F%2Fwww.webofscience.com%2Fwos%2Fwoscc%2Ffull-record%2FWOS:000517795800124","View Full Record in Web of Science")</f>
        <v>View Full Record in Web of Science</v>
      </c>
    </row>
    <row r="412" spans="1:75" customHeight="1" ht="12.75">
      <c r="A412" t="s">
        <v>72</v>
      </c>
      <c r="B412" t="s">
        <v>2962</v>
      </c>
      <c r="C412"/>
      <c r="D412"/>
      <c r="E412"/>
      <c r="F412" t="s">
        <v>2963</v>
      </c>
      <c r="G412"/>
      <c r="H412"/>
      <c r="I412" t="s">
        <v>2964</v>
      </c>
      <c r="J412" t="s">
        <v>244</v>
      </c>
      <c r="K412"/>
      <c r="L412"/>
      <c r="M412"/>
      <c r="N412"/>
      <c r="O412"/>
      <c r="P412"/>
      <c r="Q412"/>
      <c r="R412"/>
      <c r="S412"/>
      <c r="T412"/>
      <c r="U412"/>
      <c r="V412"/>
      <c r="W412"/>
      <c r="X412"/>
      <c r="Y412"/>
      <c r="Z412"/>
      <c r="AA412" t="s">
        <v>2965</v>
      </c>
      <c r="AB412" t="s">
        <v>2966</v>
      </c>
      <c r="AC412"/>
      <c r="AD412"/>
      <c r="AE412"/>
      <c r="AF412"/>
      <c r="AG412"/>
      <c r="AH412"/>
      <c r="AI412"/>
      <c r="AJ412"/>
      <c r="AK412"/>
      <c r="AL412"/>
      <c r="AM412"/>
      <c r="AN412"/>
      <c r="AO412" t="s">
        <v>245</v>
      </c>
      <c r="AP412" t="s">
        <v>246</v>
      </c>
      <c r="AQ412"/>
      <c r="AR412"/>
      <c r="AS412"/>
      <c r="AT412"/>
      <c r="AU412">
        <v>2017</v>
      </c>
      <c r="AV412"/>
      <c r="AW412">
        <v>8</v>
      </c>
      <c r="AX412"/>
      <c r="AY412"/>
      <c r="AZ412"/>
      <c r="BA412"/>
      <c r="BB412">
        <v>141</v>
      </c>
      <c r="BC412">
        <v>148</v>
      </c>
      <c r="BD412"/>
      <c r="BE412"/>
      <c r="BF412"/>
      <c r="BG412"/>
      <c r="BH412"/>
      <c r="BI412"/>
      <c r="BJ412"/>
      <c r="BK412"/>
      <c r="BL412"/>
      <c r="BM412"/>
      <c r="BN412"/>
      <c r="BO412"/>
      <c r="BP412"/>
      <c r="BQ412"/>
      <c r="BR412"/>
      <c r="BS412" t="s">
        <v>2967</v>
      </c>
      <c r="BT412" t="str">
        <f>HYPERLINK("https%3A%2F%2Fwww.webofscience.com%2Fwos%2Fwoscc%2Ffull-record%2FWOS:000410460100012","View Full Record in Web of Science")</f>
        <v>View Full Record in Web of Science</v>
      </c>
    </row>
    <row r="413" spans="1:75" customHeight="1" ht="12.75">
      <c r="A413" t="s">
        <v>147</v>
      </c>
      <c r="B413" t="s">
        <v>2968</v>
      </c>
      <c r="C413"/>
      <c r="D413"/>
      <c r="E413" t="s">
        <v>210</v>
      </c>
      <c r="F413" t="s">
        <v>2969</v>
      </c>
      <c r="G413"/>
      <c r="H413"/>
      <c r="I413" t="s">
        <v>2970</v>
      </c>
      <c r="J413" t="s">
        <v>1539</v>
      </c>
      <c r="K413"/>
      <c r="L413"/>
      <c r="M413"/>
      <c r="N413"/>
      <c r="O413" t="s">
        <v>1540</v>
      </c>
      <c r="P413" t="s">
        <v>1541</v>
      </c>
      <c r="Q413" t="s">
        <v>1542</v>
      </c>
      <c r="R413" t="s">
        <v>1543</v>
      </c>
      <c r="S413"/>
      <c r="T413"/>
      <c r="U413"/>
      <c r="V413"/>
      <c r="W413"/>
      <c r="X413"/>
      <c r="Y413"/>
      <c r="Z413"/>
      <c r="AA413" t="s">
        <v>142</v>
      </c>
      <c r="AB413" t="s">
        <v>526</v>
      </c>
      <c r="AC413"/>
      <c r="AD413"/>
      <c r="AE413"/>
      <c r="AF413"/>
      <c r="AG413"/>
      <c r="AH413"/>
      <c r="AI413"/>
      <c r="AJ413"/>
      <c r="AK413"/>
      <c r="AL413"/>
      <c r="AM413"/>
      <c r="AN413"/>
      <c r="AO413"/>
      <c r="AP413"/>
      <c r="AQ413" t="s">
        <v>1544</v>
      </c>
      <c r="AR413"/>
      <c r="AS413"/>
      <c r="AT413"/>
      <c r="AU413">
        <v>2016</v>
      </c>
      <c r="AV413"/>
      <c r="AW413"/>
      <c r="AX413"/>
      <c r="AY413"/>
      <c r="AZ413"/>
      <c r="BA413"/>
      <c r="BB413"/>
      <c r="BC413"/>
      <c r="BD413"/>
      <c r="BE413"/>
      <c r="BF413"/>
      <c r="BG413"/>
      <c r="BH413"/>
      <c r="BI413"/>
      <c r="BJ413"/>
      <c r="BK413"/>
      <c r="BL413"/>
      <c r="BM413"/>
      <c r="BN413"/>
      <c r="BO413"/>
      <c r="BP413"/>
      <c r="BQ413"/>
      <c r="BR413"/>
      <c r="BS413" t="s">
        <v>2971</v>
      </c>
      <c r="BT413" t="str">
        <f>HYPERLINK("https%3A%2F%2Fwww.webofscience.com%2Fwos%2Fwoscc%2Ffull-record%2FWOS:000403604400157","View Full Record in Web of Science")</f>
        <v>View Full Record in Web of Science</v>
      </c>
    </row>
    <row r="414" spans="1:75" customHeight="1" ht="12.75">
      <c r="A414" t="s">
        <v>147</v>
      </c>
      <c r="B414" t="s">
        <v>2972</v>
      </c>
      <c r="C414"/>
      <c r="D414"/>
      <c r="E414" t="s">
        <v>210</v>
      </c>
      <c r="F414" t="s">
        <v>2973</v>
      </c>
      <c r="G414"/>
      <c r="H414"/>
      <c r="I414" t="s">
        <v>2974</v>
      </c>
      <c r="J414" t="s">
        <v>2832</v>
      </c>
      <c r="K414"/>
      <c r="L414"/>
      <c r="M414"/>
      <c r="N414"/>
      <c r="O414" t="s">
        <v>744</v>
      </c>
      <c r="P414" t="s">
        <v>2833</v>
      </c>
      <c r="Q414" t="s">
        <v>888</v>
      </c>
      <c r="R414" t="s">
        <v>2834</v>
      </c>
      <c r="S414"/>
      <c r="T414"/>
      <c r="U414"/>
      <c r="V414"/>
      <c r="W414"/>
      <c r="X414"/>
      <c r="Y414"/>
      <c r="Z414"/>
      <c r="AA414"/>
      <c r="AB414"/>
      <c r="AC414"/>
      <c r="AD414"/>
      <c r="AE414"/>
      <c r="AF414"/>
      <c r="AG414"/>
      <c r="AH414"/>
      <c r="AI414"/>
      <c r="AJ414"/>
      <c r="AK414"/>
      <c r="AL414"/>
      <c r="AM414"/>
      <c r="AN414"/>
      <c r="AO414"/>
      <c r="AP414"/>
      <c r="AQ414" t="s">
        <v>2835</v>
      </c>
      <c r="AR414"/>
      <c r="AS414"/>
      <c r="AT414"/>
      <c r="AU414">
        <v>2015</v>
      </c>
      <c r="AV414"/>
      <c r="AW414"/>
      <c r="AX414"/>
      <c r="AY414"/>
      <c r="AZ414"/>
      <c r="BA414"/>
      <c r="BB414"/>
      <c r="BC414"/>
      <c r="BD414"/>
      <c r="BE414"/>
      <c r="BF414"/>
      <c r="BG414"/>
      <c r="BH414"/>
      <c r="BI414"/>
      <c r="BJ414"/>
      <c r="BK414"/>
      <c r="BL414"/>
      <c r="BM414"/>
      <c r="BN414"/>
      <c r="BO414"/>
      <c r="BP414"/>
      <c r="BQ414"/>
      <c r="BR414"/>
      <c r="BS414" t="s">
        <v>2975</v>
      </c>
      <c r="BT414" t="str">
        <f>HYPERLINK("https%3A%2F%2Fwww.webofscience.com%2Fwos%2Fwoscc%2Ffull-record%2FWOS:000380571600294","View Full Record in Web of Science")</f>
        <v>View Full Record in Web of Science</v>
      </c>
    </row>
    <row r="415" spans="1:75" customHeight="1" ht="12.75">
      <c r="A415" t="s">
        <v>147</v>
      </c>
      <c r="B415" t="s">
        <v>568</v>
      </c>
      <c r="C415"/>
      <c r="D415"/>
      <c r="E415" t="s">
        <v>210</v>
      </c>
      <c r="F415" t="s">
        <v>569</v>
      </c>
      <c r="G415"/>
      <c r="H415"/>
      <c r="I415" t="s">
        <v>2976</v>
      </c>
      <c r="J415" t="s">
        <v>1724</v>
      </c>
      <c r="K415"/>
      <c r="L415"/>
      <c r="M415"/>
      <c r="N415"/>
      <c r="O415" t="s">
        <v>421</v>
      </c>
      <c r="P415" t="s">
        <v>1725</v>
      </c>
      <c r="Q415" t="s">
        <v>1726</v>
      </c>
      <c r="R415" t="s">
        <v>1727</v>
      </c>
      <c r="S415"/>
      <c r="T415"/>
      <c r="U415"/>
      <c r="V415"/>
      <c r="W415"/>
      <c r="X415"/>
      <c r="Y415"/>
      <c r="Z415"/>
      <c r="AA415" t="s">
        <v>2977</v>
      </c>
      <c r="AB415" t="s">
        <v>2978</v>
      </c>
      <c r="AC415"/>
      <c r="AD415"/>
      <c r="AE415"/>
      <c r="AF415"/>
      <c r="AG415"/>
      <c r="AH415"/>
      <c r="AI415"/>
      <c r="AJ415"/>
      <c r="AK415"/>
      <c r="AL415"/>
      <c r="AM415"/>
      <c r="AN415"/>
      <c r="AO415"/>
      <c r="AP415"/>
      <c r="AQ415" t="s">
        <v>1728</v>
      </c>
      <c r="AR415"/>
      <c r="AS415"/>
      <c r="AT415"/>
      <c r="AU415">
        <v>2015</v>
      </c>
      <c r="AV415"/>
      <c r="AW415"/>
      <c r="AX415"/>
      <c r="AY415"/>
      <c r="AZ415"/>
      <c r="BA415"/>
      <c r="BB415"/>
      <c r="BC415"/>
      <c r="BD415"/>
      <c r="BE415"/>
      <c r="BF415"/>
      <c r="BG415"/>
      <c r="BH415"/>
      <c r="BI415"/>
      <c r="BJ415"/>
      <c r="BK415"/>
      <c r="BL415"/>
      <c r="BM415"/>
      <c r="BN415"/>
      <c r="BO415"/>
      <c r="BP415"/>
      <c r="BQ415"/>
      <c r="BR415"/>
      <c r="BS415" t="s">
        <v>2979</v>
      </c>
      <c r="BT415" t="str">
        <f>HYPERLINK("https%3A%2F%2Fwww.webofscience.com%2Fwos%2Fwoscc%2Ffull-record%2FWOS:000382527700060","View Full Record in Web of Science")</f>
        <v>View Full Record in Web of Science</v>
      </c>
    </row>
    <row r="416" spans="1:75" customHeight="1" ht="12.75">
      <c r="A416" t="s">
        <v>147</v>
      </c>
      <c r="B416" t="s">
        <v>1294</v>
      </c>
      <c r="C416"/>
      <c r="D416" t="s">
        <v>1295</v>
      </c>
      <c r="E416"/>
      <c r="F416" t="s">
        <v>1296</v>
      </c>
      <c r="G416"/>
      <c r="H416"/>
      <c r="I416" t="s">
        <v>2980</v>
      </c>
      <c r="J416" t="s">
        <v>2981</v>
      </c>
      <c r="K416" t="s">
        <v>1299</v>
      </c>
      <c r="L416"/>
      <c r="M416"/>
      <c r="N416"/>
      <c r="O416" t="s">
        <v>2982</v>
      </c>
      <c r="P416" t="s">
        <v>2983</v>
      </c>
      <c r="Q416" t="s">
        <v>2563</v>
      </c>
      <c r="R416"/>
      <c r="S416"/>
      <c r="T416"/>
      <c r="U416"/>
      <c r="V416"/>
      <c r="W416"/>
      <c r="X416"/>
      <c r="Y416"/>
      <c r="Z416"/>
      <c r="AA416"/>
      <c r="AB416"/>
      <c r="AC416"/>
      <c r="AD416"/>
      <c r="AE416"/>
      <c r="AF416"/>
      <c r="AG416"/>
      <c r="AH416"/>
      <c r="AI416"/>
      <c r="AJ416"/>
      <c r="AK416"/>
      <c r="AL416"/>
      <c r="AM416"/>
      <c r="AN416"/>
      <c r="AO416" t="s">
        <v>1500</v>
      </c>
      <c r="AP416" t="s">
        <v>1304</v>
      </c>
      <c r="AQ416" t="s">
        <v>2984</v>
      </c>
      <c r="AR416"/>
      <c r="AS416"/>
      <c r="AT416"/>
      <c r="AU416">
        <v>2014</v>
      </c>
      <c r="AV416">
        <v>8557</v>
      </c>
      <c r="AW416"/>
      <c r="AX416"/>
      <c r="AY416"/>
      <c r="AZ416"/>
      <c r="BA416"/>
      <c r="BB416">
        <v>85</v>
      </c>
      <c r="BC416">
        <v>99</v>
      </c>
      <c r="BD416"/>
      <c r="BE416"/>
      <c r="BF416"/>
      <c r="BG416"/>
      <c r="BH416"/>
      <c r="BI416"/>
      <c r="BJ416"/>
      <c r="BK416"/>
      <c r="BL416"/>
      <c r="BM416"/>
      <c r="BN416"/>
      <c r="BO416"/>
      <c r="BP416"/>
      <c r="BQ416"/>
      <c r="BR416"/>
      <c r="BS416" t="s">
        <v>2985</v>
      </c>
      <c r="BT416" t="str">
        <f>HYPERLINK("https%3A%2F%2Fwww.webofscience.com%2Fwos%2Fwoscc%2Ffull-record%2FWOS:000353450900007","View Full Record in Web of Science")</f>
        <v>View Full Record in Web of Science</v>
      </c>
    </row>
    <row r="417" spans="1:75" customHeight="1" ht="12.75">
      <c r="A417" t="s">
        <v>72</v>
      </c>
      <c r="B417" t="s">
        <v>2986</v>
      </c>
      <c r="C417"/>
      <c r="D417"/>
      <c r="E417"/>
      <c r="F417" t="s">
        <v>2987</v>
      </c>
      <c r="G417"/>
      <c r="H417"/>
      <c r="I417" t="s">
        <v>2988</v>
      </c>
      <c r="J417" t="s">
        <v>614</v>
      </c>
      <c r="K417"/>
      <c r="L417"/>
      <c r="M417"/>
      <c r="N417"/>
      <c r="O417"/>
      <c r="P417"/>
      <c r="Q417"/>
      <c r="R417"/>
      <c r="S417"/>
      <c r="T417"/>
      <c r="U417"/>
      <c r="V417"/>
      <c r="W417"/>
      <c r="X417"/>
      <c r="Y417"/>
      <c r="Z417"/>
      <c r="AA417" t="s">
        <v>615</v>
      </c>
      <c r="AB417" t="s">
        <v>616</v>
      </c>
      <c r="AC417"/>
      <c r="AD417"/>
      <c r="AE417"/>
      <c r="AF417"/>
      <c r="AG417"/>
      <c r="AH417"/>
      <c r="AI417"/>
      <c r="AJ417"/>
      <c r="AK417"/>
      <c r="AL417"/>
      <c r="AM417"/>
      <c r="AN417"/>
      <c r="AO417" t="s">
        <v>617</v>
      </c>
      <c r="AP417"/>
      <c r="AQ417"/>
      <c r="AR417"/>
      <c r="AS417"/>
      <c r="AT417" t="s">
        <v>125</v>
      </c>
      <c r="AU417">
        <v>2011</v>
      </c>
      <c r="AV417">
        <v>47</v>
      </c>
      <c r="AW417">
        <v>7</v>
      </c>
      <c r="AX417"/>
      <c r="AY417"/>
      <c r="AZ417"/>
      <c r="BA417"/>
      <c r="BB417">
        <v>865</v>
      </c>
      <c r="BC417">
        <v>868</v>
      </c>
      <c r="BD417"/>
      <c r="BE417" t="s">
        <v>2989</v>
      </c>
      <c r="BF417" t="str">
        <f>HYPERLINK("http://dx.doi.org/10.1134/S1023193511070068","http://dx.doi.org/10.1134/S1023193511070068")</f>
        <v>http://dx.doi.org/10.1134/S1023193511070068</v>
      </c>
      <c r="BG417"/>
      <c r="BH417"/>
      <c r="BI417"/>
      <c r="BJ417"/>
      <c r="BK417"/>
      <c r="BL417"/>
      <c r="BM417"/>
      <c r="BN417"/>
      <c r="BO417"/>
      <c r="BP417"/>
      <c r="BQ417"/>
      <c r="BR417"/>
      <c r="BS417" t="s">
        <v>2990</v>
      </c>
      <c r="BT417" t="str">
        <f>HYPERLINK("https%3A%2F%2Fwww.webofscience.com%2Fwos%2Fwoscc%2Ffull-record%2FWOS:000295530300015","View Full Record in Web of Science")</f>
        <v>View Full Record in Web of Science</v>
      </c>
    </row>
    <row r="418" spans="1:75" customHeight="1" ht="12.75">
      <c r="A418" t="s">
        <v>72</v>
      </c>
      <c r="B418" t="s">
        <v>2991</v>
      </c>
      <c r="C418"/>
      <c r="D418"/>
      <c r="E418"/>
      <c r="F418" t="s">
        <v>2991</v>
      </c>
      <c r="G418"/>
      <c r="H418"/>
      <c r="I418" t="s">
        <v>2992</v>
      </c>
      <c r="J418" t="s">
        <v>614</v>
      </c>
      <c r="K418"/>
      <c r="L418"/>
      <c r="M418"/>
      <c r="N418"/>
      <c r="O418" t="s">
        <v>1747</v>
      </c>
      <c r="P418" t="s">
        <v>1748</v>
      </c>
      <c r="Q418" t="s">
        <v>1749</v>
      </c>
      <c r="R418"/>
      <c r="S418" t="s">
        <v>1750</v>
      </c>
      <c r="T418"/>
      <c r="U418"/>
      <c r="V418"/>
      <c r="W418"/>
      <c r="X418"/>
      <c r="Y418"/>
      <c r="Z418"/>
      <c r="AA418"/>
      <c r="AB418"/>
      <c r="AC418"/>
      <c r="AD418"/>
      <c r="AE418"/>
      <c r="AF418"/>
      <c r="AG418"/>
      <c r="AH418"/>
      <c r="AI418"/>
      <c r="AJ418"/>
      <c r="AK418"/>
      <c r="AL418"/>
      <c r="AM418"/>
      <c r="AN418"/>
      <c r="AO418" t="s">
        <v>617</v>
      </c>
      <c r="AP418"/>
      <c r="AQ418"/>
      <c r="AR418"/>
      <c r="AS418"/>
      <c r="AT418" t="s">
        <v>88</v>
      </c>
      <c r="AU418">
        <v>2003</v>
      </c>
      <c r="AV418">
        <v>39</v>
      </c>
      <c r="AW418">
        <v>5</v>
      </c>
      <c r="AX418"/>
      <c r="AY418"/>
      <c r="AZ418"/>
      <c r="BA418"/>
      <c r="BB418">
        <v>487</v>
      </c>
      <c r="BC418">
        <v>494</v>
      </c>
      <c r="BD418"/>
      <c r="BE418" t="s">
        <v>2993</v>
      </c>
      <c r="BF418" t="str">
        <f>HYPERLINK("http://dx.doi.org/10.1023/A:1023816608198","http://dx.doi.org/10.1023/A:1023816608198")</f>
        <v>http://dx.doi.org/10.1023/A:1023816608198</v>
      </c>
      <c r="BG418"/>
      <c r="BH418"/>
      <c r="BI418"/>
      <c r="BJ418"/>
      <c r="BK418"/>
      <c r="BL418"/>
      <c r="BM418"/>
      <c r="BN418"/>
      <c r="BO418"/>
      <c r="BP418"/>
      <c r="BQ418"/>
      <c r="BR418"/>
      <c r="BS418" t="s">
        <v>2994</v>
      </c>
      <c r="BT418" t="str">
        <f>HYPERLINK("https%3A%2F%2Fwww.webofscience.com%2Fwos%2Fwoscc%2Ffull-record%2FWOS:000183347900008","View Full Record in Web of Science")</f>
        <v>View Full Record in Web of Science</v>
      </c>
    </row>
    <row r="419" spans="1:75" customHeight="1" ht="12.75">
      <c r="A419" t="s">
        <v>72</v>
      </c>
      <c r="B419" t="s">
        <v>2995</v>
      </c>
      <c r="C419"/>
      <c r="D419"/>
      <c r="E419"/>
      <c r="F419" t="s">
        <v>2995</v>
      </c>
      <c r="G419"/>
      <c r="H419"/>
      <c r="I419" t="s">
        <v>2996</v>
      </c>
      <c r="J419" t="s">
        <v>311</v>
      </c>
      <c r="K419"/>
      <c r="L419"/>
      <c r="M419"/>
      <c r="N419"/>
      <c r="O419"/>
      <c r="P419"/>
      <c r="Q419"/>
      <c r="R419"/>
      <c r="S419"/>
      <c r="T419"/>
      <c r="U419"/>
      <c r="V419"/>
      <c r="W419"/>
      <c r="X419"/>
      <c r="Y419"/>
      <c r="Z419"/>
      <c r="AA419"/>
      <c r="AB419"/>
      <c r="AC419"/>
      <c r="AD419"/>
      <c r="AE419"/>
      <c r="AF419"/>
      <c r="AG419"/>
      <c r="AH419"/>
      <c r="AI419"/>
      <c r="AJ419"/>
      <c r="AK419"/>
      <c r="AL419"/>
      <c r="AM419"/>
      <c r="AN419"/>
      <c r="AO419" t="s">
        <v>312</v>
      </c>
      <c r="AP419"/>
      <c r="AQ419"/>
      <c r="AR419"/>
      <c r="AS419"/>
      <c r="AT419" t="s">
        <v>2803</v>
      </c>
      <c r="AU419">
        <v>1996</v>
      </c>
      <c r="AV419">
        <v>30</v>
      </c>
      <c r="AW419">
        <v>2</v>
      </c>
      <c r="AX419"/>
      <c r="AY419"/>
      <c r="AZ419"/>
      <c r="BA419"/>
      <c r="BB419">
        <v>192</v>
      </c>
      <c r="BC419">
        <v>195</v>
      </c>
      <c r="BD419"/>
      <c r="BE419"/>
      <c r="BF419"/>
      <c r="BG419"/>
      <c r="BH419"/>
      <c r="BI419"/>
      <c r="BJ419"/>
      <c r="BK419"/>
      <c r="BL419"/>
      <c r="BM419"/>
      <c r="BN419"/>
      <c r="BO419"/>
      <c r="BP419"/>
      <c r="BQ419"/>
      <c r="BR419"/>
      <c r="BS419" t="s">
        <v>2997</v>
      </c>
      <c r="BT419" t="str">
        <f>HYPERLINK("https%3A%2F%2Fwww.webofscience.com%2Fwos%2Fwoscc%2Ffull-record%2FWOS:A1996UZ60600014","View Full Record in Web of Science")</f>
        <v>View Full Record in Web of Science</v>
      </c>
    </row>
    <row r="420" spans="1:75" customHeight="1" ht="12.75">
      <c r="A420" t="s">
        <v>72</v>
      </c>
      <c r="B420" t="s">
        <v>2998</v>
      </c>
      <c r="C420"/>
      <c r="D420"/>
      <c r="E420"/>
      <c r="F420" t="s">
        <v>2999</v>
      </c>
      <c r="G420"/>
      <c r="H420"/>
      <c r="I420" t="s">
        <v>3000</v>
      </c>
      <c r="J420" t="s">
        <v>1780</v>
      </c>
      <c r="K420"/>
      <c r="L420"/>
      <c r="M420"/>
      <c r="N420"/>
      <c r="O420"/>
      <c r="P420"/>
      <c r="Q420"/>
      <c r="R420"/>
      <c r="S420"/>
      <c r="T420"/>
      <c r="U420"/>
      <c r="V420"/>
      <c r="W420"/>
      <c r="X420"/>
      <c r="Y420"/>
      <c r="Z420"/>
      <c r="AA420"/>
      <c r="AB420"/>
      <c r="AC420"/>
      <c r="AD420"/>
      <c r="AE420"/>
      <c r="AF420"/>
      <c r="AG420"/>
      <c r="AH420"/>
      <c r="AI420"/>
      <c r="AJ420"/>
      <c r="AK420"/>
      <c r="AL420"/>
      <c r="AM420"/>
      <c r="AN420"/>
      <c r="AO420" t="s">
        <v>1783</v>
      </c>
      <c r="AP420"/>
      <c r="AQ420"/>
      <c r="AR420"/>
      <c r="AS420"/>
      <c r="AT420" t="s">
        <v>313</v>
      </c>
      <c r="AU420">
        <v>2022</v>
      </c>
      <c r="AV420"/>
      <c r="AW420">
        <v>4</v>
      </c>
      <c r="AX420"/>
      <c r="AY420"/>
      <c r="AZ420"/>
      <c r="BA420"/>
      <c r="BB420">
        <v>108</v>
      </c>
      <c r="BC420">
        <v>121</v>
      </c>
      <c r="BD420"/>
      <c r="BE420" t="s">
        <v>3001</v>
      </c>
      <c r="BF420" t="str">
        <f>HYPERLINK("http://dx.doi.org/10.31857/S0201708322040088","http://dx.doi.org/10.31857/S0201708322040088")</f>
        <v>http://dx.doi.org/10.31857/S0201708322040088</v>
      </c>
      <c r="BG420"/>
      <c r="BH420"/>
      <c r="BI420"/>
      <c r="BJ420"/>
      <c r="BK420"/>
      <c r="BL420"/>
      <c r="BM420"/>
      <c r="BN420"/>
      <c r="BO420"/>
      <c r="BP420"/>
      <c r="BQ420"/>
      <c r="BR420"/>
      <c r="BS420" t="s">
        <v>3002</v>
      </c>
      <c r="BT420" t="str">
        <f>HYPERLINK("https%3A%2F%2Fwww.webofscience.com%2Fwos%2Fwoscc%2Ffull-record%2FWOS:000894195500008","View Full Record in Web of Science")</f>
        <v>View Full Record in Web of Science</v>
      </c>
    </row>
    <row r="421" spans="1:75" customHeight="1" ht="12.75">
      <c r="A421" t="s">
        <v>72</v>
      </c>
      <c r="B421" t="s">
        <v>3003</v>
      </c>
      <c r="C421"/>
      <c r="D421"/>
      <c r="E421"/>
      <c r="F421" t="s">
        <v>3004</v>
      </c>
      <c r="G421"/>
      <c r="H421"/>
      <c r="I421" t="s">
        <v>3005</v>
      </c>
      <c r="J421" t="s">
        <v>650</v>
      </c>
      <c r="K421"/>
      <c r="L421"/>
      <c r="M421"/>
      <c r="N421"/>
      <c r="O421"/>
      <c r="P421"/>
      <c r="Q421"/>
      <c r="R421"/>
      <c r="S421"/>
      <c r="T421"/>
      <c r="U421"/>
      <c r="V421"/>
      <c r="W421"/>
      <c r="X421"/>
      <c r="Y421"/>
      <c r="Z421"/>
      <c r="AA421" t="s">
        <v>3006</v>
      </c>
      <c r="AB421" t="s">
        <v>3007</v>
      </c>
      <c r="AC421"/>
      <c r="AD421"/>
      <c r="AE421"/>
      <c r="AF421"/>
      <c r="AG421"/>
      <c r="AH421"/>
      <c r="AI421"/>
      <c r="AJ421"/>
      <c r="AK421"/>
      <c r="AL421"/>
      <c r="AM421"/>
      <c r="AN421"/>
      <c r="AO421" t="s">
        <v>653</v>
      </c>
      <c r="AP421" t="s">
        <v>654</v>
      </c>
      <c r="AQ421"/>
      <c r="AR421"/>
      <c r="AS421"/>
      <c r="AT421" t="s">
        <v>655</v>
      </c>
      <c r="AU421">
        <v>2022</v>
      </c>
      <c r="AV421">
        <v>2022</v>
      </c>
      <c r="AW421">
        <v>2</v>
      </c>
      <c r="AX421"/>
      <c r="AY421"/>
      <c r="AZ421"/>
      <c r="BA421"/>
      <c r="BB421">
        <v>161</v>
      </c>
      <c r="BC421">
        <v>166</v>
      </c>
      <c r="BD421"/>
      <c r="BE421" t="s">
        <v>3008</v>
      </c>
      <c r="BF421" t="str">
        <f>HYPERLINK("http://dx.doi.org/10.1134/S0036029522020033","http://dx.doi.org/10.1134/S0036029522020033")</f>
        <v>http://dx.doi.org/10.1134/S0036029522020033</v>
      </c>
      <c r="BG421"/>
      <c r="BH421"/>
      <c r="BI421"/>
      <c r="BJ421"/>
      <c r="BK421"/>
      <c r="BL421"/>
      <c r="BM421"/>
      <c r="BN421"/>
      <c r="BO421"/>
      <c r="BP421"/>
      <c r="BQ421"/>
      <c r="BR421"/>
      <c r="BS421" t="s">
        <v>3009</v>
      </c>
      <c r="BT421" t="str">
        <f>HYPERLINK("https%3A%2F%2Fwww.webofscience.com%2Fwos%2Fwoscc%2Ffull-record%2FWOS:000787803600016","View Full Record in Web of Science")</f>
        <v>View Full Record in Web of Science</v>
      </c>
    </row>
    <row r="422" spans="1:75" customHeight="1" ht="12.75">
      <c r="A422" t="s">
        <v>72</v>
      </c>
      <c r="B422" t="s">
        <v>3010</v>
      </c>
      <c r="C422"/>
      <c r="D422"/>
      <c r="E422"/>
      <c r="F422" t="s">
        <v>3011</v>
      </c>
      <c r="G422"/>
      <c r="H422"/>
      <c r="I422" t="s">
        <v>3012</v>
      </c>
      <c r="J422" t="s">
        <v>95</v>
      </c>
      <c r="K422"/>
      <c r="L422"/>
      <c r="M422"/>
      <c r="N422"/>
      <c r="O422"/>
      <c r="P422"/>
      <c r="Q422"/>
      <c r="R422"/>
      <c r="S422"/>
      <c r="T422"/>
      <c r="U422"/>
      <c r="V422"/>
      <c r="W422"/>
      <c r="X422"/>
      <c r="Y422"/>
      <c r="Z422"/>
      <c r="AA422"/>
      <c r="AB422"/>
      <c r="AC422"/>
      <c r="AD422"/>
      <c r="AE422"/>
      <c r="AF422"/>
      <c r="AG422"/>
      <c r="AH422"/>
      <c r="AI422"/>
      <c r="AJ422"/>
      <c r="AK422"/>
      <c r="AL422"/>
      <c r="AM422"/>
      <c r="AN422"/>
      <c r="AO422" t="s">
        <v>98</v>
      </c>
      <c r="AP422" t="s">
        <v>99</v>
      </c>
      <c r="AQ422"/>
      <c r="AR422"/>
      <c r="AS422"/>
      <c r="AT422"/>
      <c r="AU422">
        <v>2022</v>
      </c>
      <c r="AV422"/>
      <c r="AW422">
        <v>3</v>
      </c>
      <c r="AX422"/>
      <c r="AY422"/>
      <c r="AZ422"/>
      <c r="BA422"/>
      <c r="BB422">
        <v>41</v>
      </c>
      <c r="BC422">
        <v>48</v>
      </c>
      <c r="BD422"/>
      <c r="BE422" t="s">
        <v>3013</v>
      </c>
      <c r="BF422" t="str">
        <f>HYPERLINK("http://dx.doi.org/10.25750/1995-4301-2022-3-041-048","http://dx.doi.org/10.25750/1995-4301-2022-3-041-048")</f>
        <v>http://dx.doi.org/10.25750/1995-4301-2022-3-041-048</v>
      </c>
      <c r="BG422"/>
      <c r="BH422"/>
      <c r="BI422"/>
      <c r="BJ422"/>
      <c r="BK422"/>
      <c r="BL422"/>
      <c r="BM422"/>
      <c r="BN422"/>
      <c r="BO422"/>
      <c r="BP422"/>
      <c r="BQ422"/>
      <c r="BR422"/>
      <c r="BS422" t="s">
        <v>3014</v>
      </c>
      <c r="BT422" t="str">
        <f>HYPERLINK("https%3A%2F%2Fwww.webofscience.com%2Fwos%2Fwoscc%2Ffull-record%2FWOS:000885393200005","View Full Record in Web of Science")</f>
        <v>View Full Record in Web of Science</v>
      </c>
    </row>
    <row r="423" spans="1:75" customHeight="1" ht="12.75">
      <c r="A423" t="s">
        <v>72</v>
      </c>
      <c r="B423" t="s">
        <v>3015</v>
      </c>
      <c r="C423"/>
      <c r="D423"/>
      <c r="E423"/>
      <c r="F423" t="s">
        <v>3016</v>
      </c>
      <c r="G423"/>
      <c r="H423"/>
      <c r="I423" t="s">
        <v>3017</v>
      </c>
      <c r="J423" t="s">
        <v>95</v>
      </c>
      <c r="K423"/>
      <c r="L423"/>
      <c r="M423"/>
      <c r="N423"/>
      <c r="O423"/>
      <c r="P423"/>
      <c r="Q423"/>
      <c r="R423"/>
      <c r="S423"/>
      <c r="T423"/>
      <c r="U423"/>
      <c r="V423"/>
      <c r="W423"/>
      <c r="X423"/>
      <c r="Y423"/>
      <c r="Z423"/>
      <c r="AA423" t="s">
        <v>3018</v>
      </c>
      <c r="AB423" t="s">
        <v>3019</v>
      </c>
      <c r="AC423"/>
      <c r="AD423"/>
      <c r="AE423"/>
      <c r="AF423"/>
      <c r="AG423"/>
      <c r="AH423"/>
      <c r="AI423"/>
      <c r="AJ423"/>
      <c r="AK423"/>
      <c r="AL423"/>
      <c r="AM423"/>
      <c r="AN423"/>
      <c r="AO423" t="s">
        <v>98</v>
      </c>
      <c r="AP423" t="s">
        <v>99</v>
      </c>
      <c r="AQ423"/>
      <c r="AR423"/>
      <c r="AS423"/>
      <c r="AT423"/>
      <c r="AU423">
        <v>2022</v>
      </c>
      <c r="AV423"/>
      <c r="AW423">
        <v>3</v>
      </c>
      <c r="AX423"/>
      <c r="AY423"/>
      <c r="AZ423"/>
      <c r="BA423"/>
      <c r="BB423">
        <v>103</v>
      </c>
      <c r="BC423">
        <v>109</v>
      </c>
      <c r="BD423"/>
      <c r="BE423" t="s">
        <v>3020</v>
      </c>
      <c r="BF423" t="str">
        <f>HYPERLINK("http://dx.doi.org/10.25750/1995-4301-2022-3-103-109","http://dx.doi.org/10.25750/1995-4301-2022-3-103-109")</f>
        <v>http://dx.doi.org/10.25750/1995-4301-2022-3-103-109</v>
      </c>
      <c r="BG423"/>
      <c r="BH423"/>
      <c r="BI423"/>
      <c r="BJ423"/>
      <c r="BK423"/>
      <c r="BL423"/>
      <c r="BM423"/>
      <c r="BN423"/>
      <c r="BO423"/>
      <c r="BP423"/>
      <c r="BQ423"/>
      <c r="BR423"/>
      <c r="BS423" t="s">
        <v>3021</v>
      </c>
      <c r="BT423" t="str">
        <f>HYPERLINK("https%3A%2F%2Fwww.webofscience.com%2Fwos%2Fwoscc%2Ffull-record%2FWOS:000885393200013","View Full Record in Web of Science")</f>
        <v>View Full Record in Web of Science</v>
      </c>
    </row>
    <row r="424" spans="1:75" customHeight="1" ht="12.75">
      <c r="A424" t="s">
        <v>72</v>
      </c>
      <c r="B424" t="s">
        <v>3022</v>
      </c>
      <c r="C424"/>
      <c r="D424"/>
      <c r="E424"/>
      <c r="F424" t="s">
        <v>3023</v>
      </c>
      <c r="G424"/>
      <c r="H424"/>
      <c r="I424" t="s">
        <v>3024</v>
      </c>
      <c r="J424" t="s">
        <v>668</v>
      </c>
      <c r="K424"/>
      <c r="L424"/>
      <c r="M424"/>
      <c r="N424"/>
      <c r="O424"/>
      <c r="P424"/>
      <c r="Q424"/>
      <c r="R424"/>
      <c r="S424"/>
      <c r="T424"/>
      <c r="U424"/>
      <c r="V424"/>
      <c r="W424"/>
      <c r="X424"/>
      <c r="Y424"/>
      <c r="Z424"/>
      <c r="AA424" t="s">
        <v>3025</v>
      </c>
      <c r="AB424" t="s">
        <v>3026</v>
      </c>
      <c r="AC424"/>
      <c r="AD424"/>
      <c r="AE424"/>
      <c r="AF424"/>
      <c r="AG424"/>
      <c r="AH424"/>
      <c r="AI424"/>
      <c r="AJ424"/>
      <c r="AK424"/>
      <c r="AL424"/>
      <c r="AM424"/>
      <c r="AN424"/>
      <c r="AO424" t="s">
        <v>669</v>
      </c>
      <c r="AP424" t="s">
        <v>670</v>
      </c>
      <c r="AQ424"/>
      <c r="AR424"/>
      <c r="AS424"/>
      <c r="AT424"/>
      <c r="AU424">
        <v>2021</v>
      </c>
      <c r="AV424"/>
      <c r="AW424">
        <v>11</v>
      </c>
      <c r="AX424"/>
      <c r="AY424"/>
      <c r="AZ424"/>
      <c r="BA424"/>
      <c r="BB424">
        <v>216</v>
      </c>
      <c r="BC424">
        <v>234</v>
      </c>
      <c r="BD424"/>
      <c r="BE424" t="s">
        <v>3027</v>
      </c>
      <c r="BF424" t="str">
        <f>HYPERLINK("http://dx.doi.org/10.24224/2227-1295-2021-11-216-234","http://dx.doi.org/10.24224/2227-1295-2021-11-216-234")</f>
        <v>http://dx.doi.org/10.24224/2227-1295-2021-11-216-234</v>
      </c>
      <c r="BG424"/>
      <c r="BH424"/>
      <c r="BI424"/>
      <c r="BJ424"/>
      <c r="BK424"/>
      <c r="BL424"/>
      <c r="BM424"/>
      <c r="BN424"/>
      <c r="BO424"/>
      <c r="BP424"/>
      <c r="BQ424"/>
      <c r="BR424"/>
      <c r="BS424" t="s">
        <v>3028</v>
      </c>
      <c r="BT424" t="str">
        <f>HYPERLINK("https%3A%2F%2Fwww.webofscience.com%2Fwos%2Fwoscc%2Ffull-record%2FWOS:000726493300012","View Full Record in Web of Science")</f>
        <v>View Full Record in Web of Science</v>
      </c>
    </row>
    <row r="425" spans="1:75" customHeight="1" ht="12.75">
      <c r="A425" t="s">
        <v>72</v>
      </c>
      <c r="B425" t="s">
        <v>503</v>
      </c>
      <c r="C425"/>
      <c r="D425"/>
      <c r="E425"/>
      <c r="F425" t="s">
        <v>2231</v>
      </c>
      <c r="G425"/>
      <c r="H425"/>
      <c r="I425" t="s">
        <v>3029</v>
      </c>
      <c r="J425" t="s">
        <v>661</v>
      </c>
      <c r="K425"/>
      <c r="L425"/>
      <c r="M425"/>
      <c r="N425"/>
      <c r="O425"/>
      <c r="P425"/>
      <c r="Q425"/>
      <c r="R425"/>
      <c r="S425"/>
      <c r="T425"/>
      <c r="U425"/>
      <c r="V425"/>
      <c r="W425"/>
      <c r="X425"/>
      <c r="Y425"/>
      <c r="Z425"/>
      <c r="AA425" t="s">
        <v>507</v>
      </c>
      <c r="AB425" t="s">
        <v>508</v>
      </c>
      <c r="AC425"/>
      <c r="AD425"/>
      <c r="AE425"/>
      <c r="AF425"/>
      <c r="AG425"/>
      <c r="AH425"/>
      <c r="AI425"/>
      <c r="AJ425"/>
      <c r="AK425"/>
      <c r="AL425"/>
      <c r="AM425"/>
      <c r="AN425"/>
      <c r="AO425" t="s">
        <v>662</v>
      </c>
      <c r="AP425"/>
      <c r="AQ425"/>
      <c r="AR425"/>
      <c r="AS425"/>
      <c r="AT425"/>
      <c r="AU425">
        <v>2021</v>
      </c>
      <c r="AV425">
        <v>11</v>
      </c>
      <c r="AW425">
        <v>4</v>
      </c>
      <c r="AX425"/>
      <c r="AY425"/>
      <c r="AZ425"/>
      <c r="BA425"/>
      <c r="BB425">
        <v>64</v>
      </c>
      <c r="BC425">
        <v>76</v>
      </c>
      <c r="BD425"/>
      <c r="BE425" t="s">
        <v>3030</v>
      </c>
      <c r="BF425" t="str">
        <f>HYPERLINK("http://dx.doi.org/10.17759/psylaw.2021110405","http://dx.doi.org/10.17759/psylaw.2021110405")</f>
        <v>http://dx.doi.org/10.17759/psylaw.2021110405</v>
      </c>
      <c r="BG425"/>
      <c r="BH425"/>
      <c r="BI425"/>
      <c r="BJ425"/>
      <c r="BK425"/>
      <c r="BL425"/>
      <c r="BM425"/>
      <c r="BN425"/>
      <c r="BO425"/>
      <c r="BP425"/>
      <c r="BQ425"/>
      <c r="BR425"/>
      <c r="BS425" t="s">
        <v>3031</v>
      </c>
      <c r="BT425" t="str">
        <f>HYPERLINK("https%3A%2F%2Fwww.webofscience.com%2Fwos%2Fwoscc%2Ffull-record%2FWOS:000739852400005","View Full Record in Web of Science")</f>
        <v>View Full Record in Web of Science</v>
      </c>
    </row>
    <row r="426" spans="1:75" customHeight="1" ht="12.75">
      <c r="A426" t="s">
        <v>1342</v>
      </c>
      <c r="B426" t="s">
        <v>3032</v>
      </c>
      <c r="C426"/>
      <c r="D426" t="s">
        <v>1344</v>
      </c>
      <c r="E426"/>
      <c r="F426" t="s">
        <v>3033</v>
      </c>
      <c r="G426"/>
      <c r="H426"/>
      <c r="I426" t="s">
        <v>3034</v>
      </c>
      <c r="J426" t="s">
        <v>1347</v>
      </c>
      <c r="K426" t="s">
        <v>1348</v>
      </c>
      <c r="L426"/>
      <c r="M426"/>
      <c r="N426"/>
      <c r="O426"/>
      <c r="P426"/>
      <c r="Q426"/>
      <c r="R426"/>
      <c r="S426"/>
      <c r="T426"/>
      <c r="U426"/>
      <c r="V426"/>
      <c r="W426"/>
      <c r="X426"/>
      <c r="Y426"/>
      <c r="Z426"/>
      <c r="AA426"/>
      <c r="AB426"/>
      <c r="AC426"/>
      <c r="AD426"/>
      <c r="AE426"/>
      <c r="AF426"/>
      <c r="AG426"/>
      <c r="AH426"/>
      <c r="AI426"/>
      <c r="AJ426"/>
      <c r="AK426"/>
      <c r="AL426"/>
      <c r="AM426"/>
      <c r="AN426"/>
      <c r="AO426" t="s">
        <v>1349</v>
      </c>
      <c r="AP426" t="s">
        <v>1350</v>
      </c>
      <c r="AQ426" t="s">
        <v>1351</v>
      </c>
      <c r="AR426"/>
      <c r="AS426"/>
      <c r="AT426"/>
      <c r="AU426">
        <v>2021</v>
      </c>
      <c r="AV426"/>
      <c r="AW426"/>
      <c r="AX426"/>
      <c r="AY426"/>
      <c r="AZ426"/>
      <c r="BA426"/>
      <c r="BB426">
        <v>351</v>
      </c>
      <c r="BC426">
        <v>358</v>
      </c>
      <c r="BD426"/>
      <c r="BE426" t="s">
        <v>3035</v>
      </c>
      <c r="BF426" t="str">
        <f>HYPERLINK("http://dx.doi.org/10.1007/978-3-030-70194-9_35","http://dx.doi.org/10.1007/978-3-030-70194-9_35")</f>
        <v>http://dx.doi.org/10.1007/978-3-030-70194-9_35</v>
      </c>
      <c r="BG426" t="s">
        <v>1353</v>
      </c>
      <c r="BH426"/>
      <c r="BI426"/>
      <c r="BJ426"/>
      <c r="BK426"/>
      <c r="BL426"/>
      <c r="BM426"/>
      <c r="BN426"/>
      <c r="BO426"/>
      <c r="BP426"/>
      <c r="BQ426"/>
      <c r="BR426"/>
      <c r="BS426" t="s">
        <v>3036</v>
      </c>
      <c r="BT426" t="str">
        <f>HYPERLINK("https%3A%2F%2Fwww.webofscience.com%2Fwos%2Fwoscc%2Ffull-record%2FWOS:000849737100034","View Full Record in Web of Science")</f>
        <v>View Full Record in Web of Science</v>
      </c>
    </row>
    <row r="427" spans="1:75" customHeight="1" ht="12.75">
      <c r="A427" t="s">
        <v>72</v>
      </c>
      <c r="B427" t="s">
        <v>3037</v>
      </c>
      <c r="C427"/>
      <c r="D427"/>
      <c r="E427"/>
      <c r="F427" t="s">
        <v>3038</v>
      </c>
      <c r="G427"/>
      <c r="H427"/>
      <c r="I427" t="s">
        <v>3039</v>
      </c>
      <c r="J427" t="s">
        <v>95</v>
      </c>
      <c r="K427"/>
      <c r="L427"/>
      <c r="M427"/>
      <c r="N427"/>
      <c r="O427"/>
      <c r="P427"/>
      <c r="Q427"/>
      <c r="R427"/>
      <c r="S427"/>
      <c r="T427"/>
      <c r="U427"/>
      <c r="V427"/>
      <c r="W427"/>
      <c r="X427"/>
      <c r="Y427"/>
      <c r="Z427"/>
      <c r="AA427"/>
      <c r="AB427"/>
      <c r="AC427"/>
      <c r="AD427"/>
      <c r="AE427"/>
      <c r="AF427"/>
      <c r="AG427"/>
      <c r="AH427"/>
      <c r="AI427"/>
      <c r="AJ427"/>
      <c r="AK427"/>
      <c r="AL427"/>
      <c r="AM427"/>
      <c r="AN427"/>
      <c r="AO427" t="s">
        <v>98</v>
      </c>
      <c r="AP427" t="s">
        <v>99</v>
      </c>
      <c r="AQ427"/>
      <c r="AR427"/>
      <c r="AS427"/>
      <c r="AT427"/>
      <c r="AU427">
        <v>2021</v>
      </c>
      <c r="AV427"/>
      <c r="AW427">
        <v>4</v>
      </c>
      <c r="AX427"/>
      <c r="AY427"/>
      <c r="AZ427"/>
      <c r="BA427"/>
      <c r="BB427">
        <v>58</v>
      </c>
      <c r="BC427">
        <v>63</v>
      </c>
      <c r="BD427"/>
      <c r="BE427" t="s">
        <v>3040</v>
      </c>
      <c r="BF427" t="str">
        <f>HYPERLINK("http://dx.doi.org/10.25750/995-4301-2021-4-058-063","http://dx.doi.org/10.25750/995-4301-2021-4-058-063")</f>
        <v>http://dx.doi.org/10.25750/995-4301-2021-4-058-063</v>
      </c>
      <c r="BG427"/>
      <c r="BH427"/>
      <c r="BI427"/>
      <c r="BJ427"/>
      <c r="BK427"/>
      <c r="BL427"/>
      <c r="BM427"/>
      <c r="BN427"/>
      <c r="BO427"/>
      <c r="BP427"/>
      <c r="BQ427"/>
      <c r="BR427"/>
      <c r="BS427" t="s">
        <v>3041</v>
      </c>
      <c r="BT427" t="str">
        <f>HYPERLINK("https%3A%2F%2Fwww.webofscience.com%2Fwos%2Fwoscc%2Ffull-record%2FWOS:000755154100008","View Full Record in Web of Science")</f>
        <v>View Full Record in Web of Science</v>
      </c>
    </row>
    <row r="428" spans="1:75" customHeight="1" ht="12.75">
      <c r="A428" t="s">
        <v>72</v>
      </c>
      <c r="B428" t="s">
        <v>3042</v>
      </c>
      <c r="C428"/>
      <c r="D428"/>
      <c r="E428"/>
      <c r="F428" t="s">
        <v>3043</v>
      </c>
      <c r="G428"/>
      <c r="H428"/>
      <c r="I428" t="s">
        <v>3044</v>
      </c>
      <c r="J428" t="s">
        <v>716</v>
      </c>
      <c r="K428"/>
      <c r="L428"/>
      <c r="M428"/>
      <c r="N428"/>
      <c r="O428"/>
      <c r="P428"/>
      <c r="Q428"/>
      <c r="R428"/>
      <c r="S428"/>
      <c r="T428"/>
      <c r="U428"/>
      <c r="V428"/>
      <c r="W428"/>
      <c r="X428"/>
      <c r="Y428"/>
      <c r="Z428"/>
      <c r="AA428"/>
      <c r="AB428"/>
      <c r="AC428"/>
      <c r="AD428"/>
      <c r="AE428"/>
      <c r="AF428"/>
      <c r="AG428"/>
      <c r="AH428"/>
      <c r="AI428"/>
      <c r="AJ428"/>
      <c r="AK428"/>
      <c r="AL428"/>
      <c r="AM428"/>
      <c r="AN428"/>
      <c r="AO428" t="s">
        <v>719</v>
      </c>
      <c r="AP428" t="s">
        <v>720</v>
      </c>
      <c r="AQ428"/>
      <c r="AR428"/>
      <c r="AS428"/>
      <c r="AT428" t="s">
        <v>655</v>
      </c>
      <c r="AU428">
        <v>2020</v>
      </c>
      <c r="AV428"/>
      <c r="AW428">
        <v>451</v>
      </c>
      <c r="AX428"/>
      <c r="AY428"/>
      <c r="AZ428"/>
      <c r="BA428"/>
      <c r="BB428">
        <v>56</v>
      </c>
      <c r="BC428">
        <v>68</v>
      </c>
      <c r="BD428"/>
      <c r="BE428" t="s">
        <v>3045</v>
      </c>
      <c r="BF428" t="str">
        <f>HYPERLINK("http://dx.doi.org/10.17223/15617793/451/8","http://dx.doi.org/10.17223/15617793/451/8")</f>
        <v>http://dx.doi.org/10.17223/15617793/451/8</v>
      </c>
      <c r="BG428"/>
      <c r="BH428"/>
      <c r="BI428"/>
      <c r="BJ428"/>
      <c r="BK428"/>
      <c r="BL428"/>
      <c r="BM428"/>
      <c r="BN428"/>
      <c r="BO428"/>
      <c r="BP428"/>
      <c r="BQ428"/>
      <c r="BR428"/>
      <c r="BS428" t="s">
        <v>3046</v>
      </c>
      <c r="BT428" t="str">
        <f>HYPERLINK("https%3A%2F%2Fwww.webofscience.com%2Fwos%2Fwoscc%2Ffull-record%2FWOS:000530049500008","View Full Record in Web of Science")</f>
        <v>View Full Record in Web of Science</v>
      </c>
    </row>
    <row r="429" spans="1:75" customHeight="1" ht="12.75">
      <c r="A429" t="s">
        <v>72</v>
      </c>
      <c r="B429" t="s">
        <v>3047</v>
      </c>
      <c r="C429"/>
      <c r="D429"/>
      <c r="E429"/>
      <c r="F429" t="s">
        <v>3048</v>
      </c>
      <c r="G429"/>
      <c r="H429"/>
      <c r="I429" t="s">
        <v>3049</v>
      </c>
      <c r="J429" t="s">
        <v>3050</v>
      </c>
      <c r="K429"/>
      <c r="L429"/>
      <c r="M429"/>
      <c r="N429"/>
      <c r="O429"/>
      <c r="P429"/>
      <c r="Q429"/>
      <c r="R429"/>
      <c r="S429"/>
      <c r="T429"/>
      <c r="U429"/>
      <c r="V429"/>
      <c r="W429"/>
      <c r="X429"/>
      <c r="Y429"/>
      <c r="Z429"/>
      <c r="AA429"/>
      <c r="AB429"/>
      <c r="AC429"/>
      <c r="AD429"/>
      <c r="AE429"/>
      <c r="AF429"/>
      <c r="AG429"/>
      <c r="AH429"/>
      <c r="AI429"/>
      <c r="AJ429"/>
      <c r="AK429"/>
      <c r="AL429"/>
      <c r="AM429"/>
      <c r="AN429"/>
      <c r="AO429" t="s">
        <v>3051</v>
      </c>
      <c r="AP429"/>
      <c r="AQ429"/>
      <c r="AR429"/>
      <c r="AS429"/>
      <c r="AT429"/>
      <c r="AU429">
        <v>2020</v>
      </c>
      <c r="AV429">
        <v>17</v>
      </c>
      <c r="AW429">
        <v>4</v>
      </c>
      <c r="AX429"/>
      <c r="AY429"/>
      <c r="AZ429"/>
      <c r="BA429"/>
      <c r="BB429">
        <v>696</v>
      </c>
      <c r="BC429">
        <v>718</v>
      </c>
      <c r="BD429"/>
      <c r="BE429" t="s">
        <v>3052</v>
      </c>
      <c r="BF429" t="str">
        <f>HYPERLINK("http://dx.doi.org/10.17323/1813-8918-2020-4-696-718","http://dx.doi.org/10.17323/1813-8918-2020-4-696-718")</f>
        <v>http://dx.doi.org/10.17323/1813-8918-2020-4-696-718</v>
      </c>
      <c r="BG429"/>
      <c r="BH429"/>
      <c r="BI429"/>
      <c r="BJ429"/>
      <c r="BK429"/>
      <c r="BL429"/>
      <c r="BM429"/>
      <c r="BN429"/>
      <c r="BO429"/>
      <c r="BP429"/>
      <c r="BQ429"/>
      <c r="BR429"/>
      <c r="BS429" t="s">
        <v>3053</v>
      </c>
      <c r="BT429" t="str">
        <f>HYPERLINK("https%3A%2F%2Fwww.webofscience.com%2Fwos%2Fwoscc%2Ffull-record%2FWOS:000607584700007","View Full Record in Web of Science")</f>
        <v>View Full Record in Web of Science</v>
      </c>
    </row>
    <row r="430" spans="1:75" customHeight="1" ht="12.75">
      <c r="A430" t="s">
        <v>72</v>
      </c>
      <c r="B430" t="s">
        <v>3054</v>
      </c>
      <c r="C430"/>
      <c r="D430"/>
      <c r="E430"/>
      <c r="F430" t="s">
        <v>3055</v>
      </c>
      <c r="G430"/>
      <c r="H430"/>
      <c r="I430" t="s">
        <v>3056</v>
      </c>
      <c r="J430" t="s">
        <v>141</v>
      </c>
      <c r="K430"/>
      <c r="L430"/>
      <c r="M430"/>
      <c r="N430"/>
      <c r="O430"/>
      <c r="P430"/>
      <c r="Q430"/>
      <c r="R430"/>
      <c r="S430"/>
      <c r="T430"/>
      <c r="U430"/>
      <c r="V430"/>
      <c r="W430"/>
      <c r="X430"/>
      <c r="Y430"/>
      <c r="Z430"/>
      <c r="AA430" t="s">
        <v>3057</v>
      </c>
      <c r="AB430"/>
      <c r="AC430"/>
      <c r="AD430"/>
      <c r="AE430"/>
      <c r="AF430"/>
      <c r="AG430"/>
      <c r="AH430"/>
      <c r="AI430"/>
      <c r="AJ430"/>
      <c r="AK430"/>
      <c r="AL430"/>
      <c r="AM430"/>
      <c r="AN430"/>
      <c r="AO430" t="s">
        <v>144</v>
      </c>
      <c r="AP430"/>
      <c r="AQ430"/>
      <c r="AR430"/>
      <c r="AS430"/>
      <c r="AT430"/>
      <c r="AU430">
        <v>2020</v>
      </c>
      <c r="AV430"/>
      <c r="AW430">
        <v>4</v>
      </c>
      <c r="AX430"/>
      <c r="AY430"/>
      <c r="AZ430"/>
      <c r="BA430"/>
      <c r="BB430">
        <v>69</v>
      </c>
      <c r="BC430">
        <v>77</v>
      </c>
      <c r="BD430"/>
      <c r="BE430" t="s">
        <v>3058</v>
      </c>
      <c r="BF430" t="str">
        <f>HYPERLINK("http://dx.doi.org/10.5281/zenodo.4317048","http://dx.doi.org/10.5281/zenodo.4317048")</f>
        <v>http://dx.doi.org/10.5281/zenodo.4317048</v>
      </c>
      <c r="BG430"/>
      <c r="BH430"/>
      <c r="BI430"/>
      <c r="BJ430"/>
      <c r="BK430"/>
      <c r="BL430"/>
      <c r="BM430"/>
      <c r="BN430"/>
      <c r="BO430"/>
      <c r="BP430"/>
      <c r="BQ430"/>
      <c r="BR430"/>
      <c r="BS430" t="s">
        <v>3059</v>
      </c>
      <c r="BT430" t="str">
        <f>HYPERLINK("https%3A%2F%2Fwww.webofscience.com%2Fwos%2Fwoscc%2Ffull-record%2FWOS:000599902400007","View Full Record in Web of Science")</f>
        <v>View Full Record in Web of Science</v>
      </c>
    </row>
    <row r="431" spans="1:75" customHeight="1" ht="12.75">
      <c r="A431" t="s">
        <v>72</v>
      </c>
      <c r="B431" t="s">
        <v>3060</v>
      </c>
      <c r="C431"/>
      <c r="D431"/>
      <c r="E431"/>
      <c r="F431" t="s">
        <v>3061</v>
      </c>
      <c r="G431"/>
      <c r="H431"/>
      <c r="I431" t="s">
        <v>3062</v>
      </c>
      <c r="J431" t="s">
        <v>861</v>
      </c>
      <c r="K431"/>
      <c r="L431"/>
      <c r="M431"/>
      <c r="N431"/>
      <c r="O431"/>
      <c r="P431"/>
      <c r="Q431"/>
      <c r="R431"/>
      <c r="S431"/>
      <c r="T431"/>
      <c r="U431"/>
      <c r="V431"/>
      <c r="W431"/>
      <c r="X431"/>
      <c r="Y431"/>
      <c r="Z431"/>
      <c r="AA431" t="s">
        <v>1739</v>
      </c>
      <c r="AB431"/>
      <c r="AC431"/>
      <c r="AD431"/>
      <c r="AE431"/>
      <c r="AF431"/>
      <c r="AG431"/>
      <c r="AH431"/>
      <c r="AI431"/>
      <c r="AJ431"/>
      <c r="AK431"/>
      <c r="AL431"/>
      <c r="AM431"/>
      <c r="AN431"/>
      <c r="AO431" t="s">
        <v>864</v>
      </c>
      <c r="AP431" t="s">
        <v>865</v>
      </c>
      <c r="AQ431"/>
      <c r="AR431"/>
      <c r="AS431"/>
      <c r="AT431"/>
      <c r="AU431">
        <v>2020</v>
      </c>
      <c r="AV431">
        <v>63</v>
      </c>
      <c r="AW431">
        <v>2</v>
      </c>
      <c r="AX431"/>
      <c r="AY431"/>
      <c r="AZ431"/>
      <c r="BA431"/>
      <c r="BB431">
        <v>99</v>
      </c>
      <c r="BC431">
        <v>104</v>
      </c>
      <c r="BD431"/>
      <c r="BE431" t="s">
        <v>3063</v>
      </c>
      <c r="BF431" t="str">
        <f>HYPERLINK("http://dx.doi.org/10.6060/ivkkt.20206302.6055","http://dx.doi.org/10.6060/ivkkt.20206302.6055")</f>
        <v>http://dx.doi.org/10.6060/ivkkt.20206302.6055</v>
      </c>
      <c r="BG431"/>
      <c r="BH431"/>
      <c r="BI431"/>
      <c r="BJ431"/>
      <c r="BK431"/>
      <c r="BL431"/>
      <c r="BM431"/>
      <c r="BN431"/>
      <c r="BO431"/>
      <c r="BP431"/>
      <c r="BQ431"/>
      <c r="BR431"/>
      <c r="BS431" t="s">
        <v>3064</v>
      </c>
      <c r="BT431" t="str">
        <f>HYPERLINK("https%3A%2F%2Fwww.webofscience.com%2Fwos%2Fwoscc%2Ffull-record%2FWOS:000518856900015","View Full Record in Web of Science")</f>
        <v>View Full Record in Web of Science</v>
      </c>
    </row>
    <row r="432" spans="1:75" customHeight="1" ht="12.75">
      <c r="A432" t="s">
        <v>72</v>
      </c>
      <c r="B432" t="s">
        <v>3065</v>
      </c>
      <c r="C432"/>
      <c r="D432"/>
      <c r="E432"/>
      <c r="F432" t="s">
        <v>3066</v>
      </c>
      <c r="G432"/>
      <c r="H432"/>
      <c r="I432" t="s">
        <v>3067</v>
      </c>
      <c r="J432" t="s">
        <v>95</v>
      </c>
      <c r="K432"/>
      <c r="L432"/>
      <c r="M432"/>
      <c r="N432"/>
      <c r="O432"/>
      <c r="P432"/>
      <c r="Q432"/>
      <c r="R432"/>
      <c r="S432"/>
      <c r="T432"/>
      <c r="U432"/>
      <c r="V432"/>
      <c r="W432"/>
      <c r="X432"/>
      <c r="Y432"/>
      <c r="Z432"/>
      <c r="AA432" t="s">
        <v>3068</v>
      </c>
      <c r="AB432" t="s">
        <v>3069</v>
      </c>
      <c r="AC432"/>
      <c r="AD432"/>
      <c r="AE432"/>
      <c r="AF432"/>
      <c r="AG432"/>
      <c r="AH432"/>
      <c r="AI432"/>
      <c r="AJ432"/>
      <c r="AK432"/>
      <c r="AL432"/>
      <c r="AM432"/>
      <c r="AN432"/>
      <c r="AO432" t="s">
        <v>98</v>
      </c>
      <c r="AP432" t="s">
        <v>99</v>
      </c>
      <c r="AQ432"/>
      <c r="AR432"/>
      <c r="AS432"/>
      <c r="AT432"/>
      <c r="AU432">
        <v>2019</v>
      </c>
      <c r="AV432"/>
      <c r="AW432">
        <v>2</v>
      </c>
      <c r="AX432"/>
      <c r="AY432"/>
      <c r="AZ432"/>
      <c r="BA432"/>
      <c r="BB432">
        <v>143</v>
      </c>
      <c r="BC432">
        <v>148</v>
      </c>
      <c r="BD432"/>
      <c r="BE432" t="s">
        <v>3070</v>
      </c>
      <c r="BF432" t="str">
        <f>HYPERLINK("http://dx.doi.org/10.25750/1995-4301-2019-2-143-148","http://dx.doi.org/10.25750/1995-4301-2019-2-143-148")</f>
        <v>http://dx.doi.org/10.25750/1995-4301-2019-2-143-148</v>
      </c>
      <c r="BG432"/>
      <c r="BH432"/>
      <c r="BI432"/>
      <c r="BJ432"/>
      <c r="BK432"/>
      <c r="BL432"/>
      <c r="BM432"/>
      <c r="BN432"/>
      <c r="BO432"/>
      <c r="BP432"/>
      <c r="BQ432"/>
      <c r="BR432"/>
      <c r="BS432" t="s">
        <v>3071</v>
      </c>
      <c r="BT432" t="str">
        <f>HYPERLINK("https%3A%2F%2Fwww.webofscience.com%2Fwos%2Fwoscc%2Ffull-record%2FWOS:000477826000018","View Full Record in Web of Science")</f>
        <v>View Full Record in Web of Science</v>
      </c>
    </row>
    <row r="433" spans="1:75" customHeight="1" ht="12.75">
      <c r="A433" t="s">
        <v>147</v>
      </c>
      <c r="B433" t="s">
        <v>3072</v>
      </c>
      <c r="C433"/>
      <c r="D433" t="s">
        <v>846</v>
      </c>
      <c r="E433"/>
      <c r="F433" t="s">
        <v>3073</v>
      </c>
      <c r="G433"/>
      <c r="H433"/>
      <c r="I433" t="s">
        <v>3074</v>
      </c>
      <c r="J433" t="s">
        <v>849</v>
      </c>
      <c r="K433" t="s">
        <v>850</v>
      </c>
      <c r="L433"/>
      <c r="M433"/>
      <c r="N433"/>
      <c r="O433" t="s">
        <v>851</v>
      </c>
      <c r="P433" t="s">
        <v>852</v>
      </c>
      <c r="Q433" t="s">
        <v>853</v>
      </c>
      <c r="R433"/>
      <c r="S433" t="s">
        <v>854</v>
      </c>
      <c r="T433"/>
      <c r="U433"/>
      <c r="V433"/>
      <c r="W433"/>
      <c r="X433"/>
      <c r="Y433"/>
      <c r="Z433"/>
      <c r="AA433" t="s">
        <v>3075</v>
      </c>
      <c r="AB433" t="s">
        <v>3076</v>
      </c>
      <c r="AC433"/>
      <c r="AD433"/>
      <c r="AE433"/>
      <c r="AF433"/>
      <c r="AG433"/>
      <c r="AH433"/>
      <c r="AI433"/>
      <c r="AJ433"/>
      <c r="AK433"/>
      <c r="AL433"/>
      <c r="AM433"/>
      <c r="AN433"/>
      <c r="AO433" t="s">
        <v>855</v>
      </c>
      <c r="AP433"/>
      <c r="AQ433" t="s">
        <v>856</v>
      </c>
      <c r="AR433"/>
      <c r="AS433"/>
      <c r="AT433"/>
      <c r="AU433">
        <v>2019</v>
      </c>
      <c r="AV433">
        <v>17</v>
      </c>
      <c r="AW433"/>
      <c r="AX433"/>
      <c r="AY433"/>
      <c r="AZ433"/>
      <c r="BA433"/>
      <c r="BB433">
        <v>147</v>
      </c>
      <c r="BC433">
        <v>149</v>
      </c>
      <c r="BD433"/>
      <c r="BE433"/>
      <c r="BF433"/>
      <c r="BG433"/>
      <c r="BH433"/>
      <c r="BI433"/>
      <c r="BJ433"/>
      <c r="BK433"/>
      <c r="BL433"/>
      <c r="BM433"/>
      <c r="BN433"/>
      <c r="BO433"/>
      <c r="BP433"/>
      <c r="BQ433"/>
      <c r="BR433"/>
      <c r="BS433" t="s">
        <v>3077</v>
      </c>
      <c r="BT433" t="str">
        <f>HYPERLINK("https%3A%2F%2Fwww.webofscience.com%2Fwos%2Fwoscc%2Ffull-record%2FWOS:000625435700039","View Full Record in Web of Science")</f>
        <v>View Full Record in Web of Science</v>
      </c>
    </row>
    <row r="434" spans="1:75" customHeight="1" ht="12.75">
      <c r="A434" t="s">
        <v>72</v>
      </c>
      <c r="B434" t="s">
        <v>3078</v>
      </c>
      <c r="C434"/>
      <c r="D434"/>
      <c r="E434"/>
      <c r="F434" t="s">
        <v>3079</v>
      </c>
      <c r="G434"/>
      <c r="H434"/>
      <c r="I434" t="s">
        <v>3080</v>
      </c>
      <c r="J434" t="s">
        <v>869</v>
      </c>
      <c r="K434"/>
      <c r="L434"/>
      <c r="M434"/>
      <c r="N434"/>
      <c r="O434"/>
      <c r="P434"/>
      <c r="Q434"/>
      <c r="R434"/>
      <c r="S434"/>
      <c r="T434"/>
      <c r="U434"/>
      <c r="V434"/>
      <c r="W434"/>
      <c r="X434"/>
      <c r="Y434"/>
      <c r="Z434"/>
      <c r="AA434" t="s">
        <v>238</v>
      </c>
      <c r="AB434" t="s">
        <v>239</v>
      </c>
      <c r="AC434"/>
      <c r="AD434"/>
      <c r="AE434"/>
      <c r="AF434"/>
      <c r="AG434"/>
      <c r="AH434"/>
      <c r="AI434"/>
      <c r="AJ434"/>
      <c r="AK434"/>
      <c r="AL434"/>
      <c r="AM434"/>
      <c r="AN434"/>
      <c r="AO434" t="s">
        <v>870</v>
      </c>
      <c r="AP434"/>
      <c r="AQ434"/>
      <c r="AR434"/>
      <c r="AS434"/>
      <c r="AT434" t="s">
        <v>125</v>
      </c>
      <c r="AU434">
        <v>2018</v>
      </c>
      <c r="AV434">
        <v>19</v>
      </c>
      <c r="AW434"/>
      <c r="AX434"/>
      <c r="AY434">
        <v>2</v>
      </c>
      <c r="AZ434"/>
      <c r="BA434"/>
      <c r="BB434">
        <v>3</v>
      </c>
      <c r="BC434">
        <v>7</v>
      </c>
      <c r="BD434"/>
      <c r="BE434"/>
      <c r="BF434"/>
      <c r="BG434"/>
      <c r="BH434"/>
      <c r="BI434"/>
      <c r="BJ434"/>
      <c r="BK434"/>
      <c r="BL434"/>
      <c r="BM434"/>
      <c r="BN434"/>
      <c r="BO434"/>
      <c r="BP434"/>
      <c r="BQ434"/>
      <c r="BR434"/>
      <c r="BS434" t="s">
        <v>3081</v>
      </c>
      <c r="BT434" t="str">
        <f>HYPERLINK("https%3A%2F%2Fwww.webofscience.com%2Fwos%2Fwoscc%2Ffull-record%2FWOS:000450658500001","View Full Record in Web of Science")</f>
        <v>View Full Record in Web of Science</v>
      </c>
    </row>
    <row r="435" spans="1:75" customHeight="1" ht="12.75">
      <c r="A435" t="s">
        <v>72</v>
      </c>
      <c r="B435" t="s">
        <v>2133</v>
      </c>
      <c r="C435"/>
      <c r="D435"/>
      <c r="E435"/>
      <c r="F435" t="s">
        <v>3082</v>
      </c>
      <c r="G435"/>
      <c r="H435"/>
      <c r="I435" t="s">
        <v>3083</v>
      </c>
      <c r="J435" t="s">
        <v>1045</v>
      </c>
      <c r="K435"/>
      <c r="L435"/>
      <c r="M435"/>
      <c r="N435"/>
      <c r="O435"/>
      <c r="P435"/>
      <c r="Q435"/>
      <c r="R435"/>
      <c r="S435"/>
      <c r="T435"/>
      <c r="U435"/>
      <c r="V435"/>
      <c r="W435"/>
      <c r="X435"/>
      <c r="Y435"/>
      <c r="Z435"/>
      <c r="AA435" t="s">
        <v>1046</v>
      </c>
      <c r="AB435" t="s">
        <v>1047</v>
      </c>
      <c r="AC435"/>
      <c r="AD435"/>
      <c r="AE435"/>
      <c r="AF435"/>
      <c r="AG435"/>
      <c r="AH435"/>
      <c r="AI435"/>
      <c r="AJ435"/>
      <c r="AK435"/>
      <c r="AL435"/>
      <c r="AM435"/>
      <c r="AN435"/>
      <c r="AO435" t="s">
        <v>1048</v>
      </c>
      <c r="AP435" t="s">
        <v>1049</v>
      </c>
      <c r="AQ435"/>
      <c r="AR435"/>
      <c r="AS435"/>
      <c r="AT435" t="s">
        <v>125</v>
      </c>
      <c r="AU435">
        <v>2018</v>
      </c>
      <c r="AV435">
        <v>45</v>
      </c>
      <c r="AW435">
        <v>3</v>
      </c>
      <c r="AX435"/>
      <c r="AY435"/>
      <c r="AZ435"/>
      <c r="BA435"/>
      <c r="BB435">
        <v>128</v>
      </c>
      <c r="BC435">
        <v>134</v>
      </c>
      <c r="BD435"/>
      <c r="BE435" t="s">
        <v>3084</v>
      </c>
      <c r="BF435" t="str">
        <f>HYPERLINK("http://dx.doi.org/10.3103/S0147688218030036","http://dx.doi.org/10.3103/S0147688218030036")</f>
        <v>http://dx.doi.org/10.3103/S0147688218030036</v>
      </c>
      <c r="BG435"/>
      <c r="BH435"/>
      <c r="BI435"/>
      <c r="BJ435"/>
      <c r="BK435"/>
      <c r="BL435"/>
      <c r="BM435"/>
      <c r="BN435"/>
      <c r="BO435"/>
      <c r="BP435"/>
      <c r="BQ435"/>
      <c r="BR435"/>
      <c r="BS435" t="s">
        <v>3085</v>
      </c>
      <c r="BT435" t="str">
        <f>HYPERLINK("https%3A%2F%2Fwww.webofscience.com%2Fwos%2Fwoscc%2Ffull-record%2FWOS:000449782000002","View Full Record in Web of Science")</f>
        <v>View Full Record in Web of Science</v>
      </c>
    </row>
    <row r="436" spans="1:75" customHeight="1" ht="12.75">
      <c r="A436" t="s">
        <v>72</v>
      </c>
      <c r="B436" t="s">
        <v>3086</v>
      </c>
      <c r="C436"/>
      <c r="D436"/>
      <c r="E436"/>
      <c r="F436" t="s">
        <v>3087</v>
      </c>
      <c r="G436"/>
      <c r="H436"/>
      <c r="I436" t="s">
        <v>3088</v>
      </c>
      <c r="J436" t="s">
        <v>2478</v>
      </c>
      <c r="K436"/>
      <c r="L436"/>
      <c r="M436"/>
      <c r="N436"/>
      <c r="O436"/>
      <c r="P436"/>
      <c r="Q436"/>
      <c r="R436"/>
      <c r="S436"/>
      <c r="T436"/>
      <c r="U436"/>
      <c r="V436"/>
      <c r="W436"/>
      <c r="X436"/>
      <c r="Y436"/>
      <c r="Z436"/>
      <c r="AA436" t="s">
        <v>3089</v>
      </c>
      <c r="AB436" t="s">
        <v>3090</v>
      </c>
      <c r="AC436"/>
      <c r="AD436"/>
      <c r="AE436"/>
      <c r="AF436"/>
      <c r="AG436"/>
      <c r="AH436"/>
      <c r="AI436"/>
      <c r="AJ436"/>
      <c r="AK436"/>
      <c r="AL436"/>
      <c r="AM436"/>
      <c r="AN436"/>
      <c r="AO436" t="s">
        <v>2479</v>
      </c>
      <c r="AP436"/>
      <c r="AQ436"/>
      <c r="AR436"/>
      <c r="AS436"/>
      <c r="AT436"/>
      <c r="AU436">
        <v>2018</v>
      </c>
      <c r="AV436">
        <v>15</v>
      </c>
      <c r="AW436"/>
      <c r="AX436"/>
      <c r="AY436"/>
      <c r="AZ436"/>
      <c r="BA436"/>
      <c r="BB436">
        <v>677</v>
      </c>
      <c r="BC436">
        <v>684</v>
      </c>
      <c r="BD436"/>
      <c r="BE436" t="s">
        <v>3091</v>
      </c>
      <c r="BF436" t="str">
        <f>HYPERLINK("http://dx.doi.org/10.17377/semi.2018.15.053","http://dx.doi.org/10.17377/semi.2018.15.053")</f>
        <v>http://dx.doi.org/10.17377/semi.2018.15.053</v>
      </c>
      <c r="BG436"/>
      <c r="BH436"/>
      <c r="BI436"/>
      <c r="BJ436"/>
      <c r="BK436"/>
      <c r="BL436"/>
      <c r="BM436"/>
      <c r="BN436"/>
      <c r="BO436"/>
      <c r="BP436"/>
      <c r="BQ436"/>
      <c r="BR436"/>
      <c r="BS436" t="s">
        <v>3092</v>
      </c>
      <c r="BT436" t="str">
        <f>HYPERLINK("https%3A%2F%2Fwww.webofscience.com%2Fwos%2Fwoscc%2Ffull-record%2FWOS:000438412200053","View Full Record in Web of Science")</f>
        <v>View Full Record in Web of Science</v>
      </c>
    </row>
    <row r="437" spans="1:75" customHeight="1" ht="12.75">
      <c r="A437" t="s">
        <v>72</v>
      </c>
      <c r="B437" t="s">
        <v>3093</v>
      </c>
      <c r="C437"/>
      <c r="D437"/>
      <c r="E437"/>
      <c r="F437" t="s">
        <v>3094</v>
      </c>
      <c r="G437"/>
      <c r="H437"/>
      <c r="I437" t="s">
        <v>3095</v>
      </c>
      <c r="J437" t="s">
        <v>1131</v>
      </c>
      <c r="K437"/>
      <c r="L437"/>
      <c r="M437"/>
      <c r="N437"/>
      <c r="O437"/>
      <c r="P437"/>
      <c r="Q437"/>
      <c r="R437"/>
      <c r="S437"/>
      <c r="T437"/>
      <c r="U437"/>
      <c r="V437"/>
      <c r="W437"/>
      <c r="X437"/>
      <c r="Y437"/>
      <c r="Z437"/>
      <c r="AA437" t="s">
        <v>3096</v>
      </c>
      <c r="AB437" t="s">
        <v>3097</v>
      </c>
      <c r="AC437"/>
      <c r="AD437"/>
      <c r="AE437"/>
      <c r="AF437"/>
      <c r="AG437"/>
      <c r="AH437"/>
      <c r="AI437"/>
      <c r="AJ437"/>
      <c r="AK437"/>
      <c r="AL437"/>
      <c r="AM437"/>
      <c r="AN437"/>
      <c r="AO437" t="s">
        <v>1132</v>
      </c>
      <c r="AP437" t="s">
        <v>1133</v>
      </c>
      <c r="AQ437"/>
      <c r="AR437"/>
      <c r="AS437"/>
      <c r="AT437"/>
      <c r="AU437">
        <v>2018</v>
      </c>
      <c r="AV437"/>
      <c r="AW437">
        <v>1</v>
      </c>
      <c r="AX437"/>
      <c r="AY437"/>
      <c r="AZ437"/>
      <c r="BA437"/>
      <c r="BB437">
        <v>30</v>
      </c>
      <c r="BC437">
        <v>32</v>
      </c>
      <c r="BD437"/>
      <c r="BE437"/>
      <c r="BF437"/>
      <c r="BG437"/>
      <c r="BH437"/>
      <c r="BI437"/>
      <c r="BJ437"/>
      <c r="BK437"/>
      <c r="BL437"/>
      <c r="BM437"/>
      <c r="BN437"/>
      <c r="BO437"/>
      <c r="BP437"/>
      <c r="BQ437"/>
      <c r="BR437"/>
      <c r="BS437" t="s">
        <v>3098</v>
      </c>
      <c r="BT437" t="str">
        <f>HYPERLINK("https%3A%2F%2Fwww.webofscience.com%2Fwos%2Fwoscc%2Ffull-record%2FWOS:000432656200010","View Full Record in Web of Science")</f>
        <v>View Full Record in Web of Science</v>
      </c>
    </row>
    <row r="438" spans="1:75" customHeight="1" ht="12.75">
      <c r="A438" t="s">
        <v>147</v>
      </c>
      <c r="B438" t="s">
        <v>3099</v>
      </c>
      <c r="C438"/>
      <c r="D438" t="s">
        <v>3100</v>
      </c>
      <c r="E438"/>
      <c r="F438" t="s">
        <v>3101</v>
      </c>
      <c r="G438"/>
      <c r="H438"/>
      <c r="I438" t="s">
        <v>3102</v>
      </c>
      <c r="J438" t="s">
        <v>3103</v>
      </c>
      <c r="K438" t="s">
        <v>1669</v>
      </c>
      <c r="L438"/>
      <c r="M438"/>
      <c r="N438"/>
      <c r="O438" t="s">
        <v>3104</v>
      </c>
      <c r="P438" t="s">
        <v>3105</v>
      </c>
      <c r="Q438" t="s">
        <v>910</v>
      </c>
      <c r="R438" t="s">
        <v>3106</v>
      </c>
      <c r="S438"/>
      <c r="T438"/>
      <c r="U438"/>
      <c r="V438"/>
      <c r="W438"/>
      <c r="X438"/>
      <c r="Y438"/>
      <c r="Z438"/>
      <c r="AA438" t="s">
        <v>3107</v>
      </c>
      <c r="AB438" t="s">
        <v>3108</v>
      </c>
      <c r="AC438"/>
      <c r="AD438"/>
      <c r="AE438"/>
      <c r="AF438"/>
      <c r="AG438"/>
      <c r="AH438"/>
      <c r="AI438"/>
      <c r="AJ438"/>
      <c r="AK438"/>
      <c r="AL438"/>
      <c r="AM438"/>
      <c r="AN438"/>
      <c r="AO438" t="s">
        <v>1675</v>
      </c>
      <c r="AP438" t="s">
        <v>1676</v>
      </c>
      <c r="AQ438" t="s">
        <v>3109</v>
      </c>
      <c r="AR438"/>
      <c r="AS438"/>
      <c r="AT438"/>
      <c r="AU438">
        <v>2018</v>
      </c>
      <c r="AV438">
        <v>789</v>
      </c>
      <c r="AW438"/>
      <c r="AX438"/>
      <c r="AY438"/>
      <c r="AZ438"/>
      <c r="BA438"/>
      <c r="BB438">
        <v>131</v>
      </c>
      <c r="BC438">
        <v>142</v>
      </c>
      <c r="BD438"/>
      <c r="BE438" t="s">
        <v>3110</v>
      </c>
      <c r="BF438" t="str">
        <f>HYPERLINK("http://dx.doi.org/10.1007/978-3-319-71746-3_12","http://dx.doi.org/10.1007/978-3-319-71746-3_12")</f>
        <v>http://dx.doi.org/10.1007/978-3-319-71746-3_12</v>
      </c>
      <c r="BG438"/>
      <c r="BH438"/>
      <c r="BI438"/>
      <c r="BJ438"/>
      <c r="BK438"/>
      <c r="BL438"/>
      <c r="BM438"/>
      <c r="BN438"/>
      <c r="BO438"/>
      <c r="BP438"/>
      <c r="BQ438"/>
      <c r="BR438"/>
      <c r="BS438" t="s">
        <v>3111</v>
      </c>
      <c r="BT438" t="str">
        <f>HYPERLINK("https%3A%2F%2Fwww.webofscience.com%2Fwos%2Fwoscc%2Ffull-record%2FWOS:000437301200012","View Full Record in Web of Science")</f>
        <v>View Full Record in Web of Science</v>
      </c>
    </row>
    <row r="439" spans="1:75" customHeight="1" ht="12.75">
      <c r="A439" t="s">
        <v>72</v>
      </c>
      <c r="B439" t="s">
        <v>2287</v>
      </c>
      <c r="C439"/>
      <c r="D439"/>
      <c r="E439"/>
      <c r="F439" t="s">
        <v>2288</v>
      </c>
      <c r="G439"/>
      <c r="H439"/>
      <c r="I439" t="s">
        <v>3112</v>
      </c>
      <c r="J439" t="s">
        <v>2290</v>
      </c>
      <c r="K439"/>
      <c r="L439"/>
      <c r="M439"/>
      <c r="N439"/>
      <c r="O439"/>
      <c r="P439"/>
      <c r="Q439"/>
      <c r="R439"/>
      <c r="S439"/>
      <c r="T439"/>
      <c r="U439"/>
      <c r="V439"/>
      <c r="W439"/>
      <c r="X439"/>
      <c r="Y439"/>
      <c r="Z439"/>
      <c r="AA439" t="s">
        <v>2291</v>
      </c>
      <c r="AB439" t="s">
        <v>2292</v>
      </c>
      <c r="AC439"/>
      <c r="AD439"/>
      <c r="AE439"/>
      <c r="AF439"/>
      <c r="AG439"/>
      <c r="AH439"/>
      <c r="AI439"/>
      <c r="AJ439"/>
      <c r="AK439"/>
      <c r="AL439"/>
      <c r="AM439"/>
      <c r="AN439"/>
      <c r="AO439" t="s">
        <v>2293</v>
      </c>
      <c r="AP439" t="s">
        <v>2294</v>
      </c>
      <c r="AQ439"/>
      <c r="AR439"/>
      <c r="AS439"/>
      <c r="AT439"/>
      <c r="AU439">
        <v>2018</v>
      </c>
      <c r="AV439">
        <v>70</v>
      </c>
      <c r="AW439">
        <v>7</v>
      </c>
      <c r="AX439"/>
      <c r="AY439"/>
      <c r="AZ439"/>
      <c r="BA439"/>
      <c r="BB439">
        <v>1174</v>
      </c>
      <c r="BC439">
        <v>1175</v>
      </c>
      <c r="BD439"/>
      <c r="BE439" t="s">
        <v>3113</v>
      </c>
      <c r="BF439" t="str">
        <f>HYPERLINK("http://dx.doi.org/10.1080/09668136.2018.1503891","http://dx.doi.org/10.1080/09668136.2018.1503891")</f>
        <v>http://dx.doi.org/10.1080/09668136.2018.1503891</v>
      </c>
      <c r="BG439"/>
      <c r="BH439"/>
      <c r="BI439"/>
      <c r="BJ439"/>
      <c r="BK439"/>
      <c r="BL439"/>
      <c r="BM439"/>
      <c r="BN439"/>
      <c r="BO439"/>
      <c r="BP439"/>
      <c r="BQ439"/>
      <c r="BR439"/>
      <c r="BS439" t="s">
        <v>3114</v>
      </c>
      <c r="BT439" t="str">
        <f>HYPERLINK("https%3A%2F%2Fwww.webofscience.com%2Fwos%2Fwoscc%2Ffull-record%2FWOS:000446581900017","View Full Record in Web of Science")</f>
        <v>View Full Record in Web of Science</v>
      </c>
    </row>
    <row r="440" spans="1:75" customHeight="1" ht="12.75">
      <c r="A440" t="s">
        <v>72</v>
      </c>
      <c r="B440" t="s">
        <v>110</v>
      </c>
      <c r="C440"/>
      <c r="D440"/>
      <c r="E440"/>
      <c r="F440" t="s">
        <v>111</v>
      </c>
      <c r="G440"/>
      <c r="H440"/>
      <c r="I440" t="s">
        <v>3115</v>
      </c>
      <c r="J440" t="s">
        <v>113</v>
      </c>
      <c r="K440"/>
      <c r="L440"/>
      <c r="M440"/>
      <c r="N440"/>
      <c r="O440"/>
      <c r="P440"/>
      <c r="Q440"/>
      <c r="R440"/>
      <c r="S440"/>
      <c r="T440"/>
      <c r="U440"/>
      <c r="V440"/>
      <c r="W440"/>
      <c r="X440"/>
      <c r="Y440"/>
      <c r="Z440"/>
      <c r="AA440" t="s">
        <v>677</v>
      </c>
      <c r="AB440" t="s">
        <v>678</v>
      </c>
      <c r="AC440"/>
      <c r="AD440"/>
      <c r="AE440"/>
      <c r="AF440"/>
      <c r="AG440"/>
      <c r="AH440"/>
      <c r="AI440"/>
      <c r="AJ440"/>
      <c r="AK440"/>
      <c r="AL440"/>
      <c r="AM440"/>
      <c r="AN440"/>
      <c r="AO440" t="s">
        <v>116</v>
      </c>
      <c r="AP440" t="s">
        <v>117</v>
      </c>
      <c r="AQ440"/>
      <c r="AR440"/>
      <c r="AS440"/>
      <c r="AT440"/>
      <c r="AU440">
        <v>2018</v>
      </c>
      <c r="AV440">
        <v>23</v>
      </c>
      <c r="AW440">
        <v>4</v>
      </c>
      <c r="AX440"/>
      <c r="AY440"/>
      <c r="AZ440"/>
      <c r="BA440"/>
      <c r="BB440">
        <v>109</v>
      </c>
      <c r="BC440">
        <v>123</v>
      </c>
      <c r="BD440"/>
      <c r="BE440" t="s">
        <v>3116</v>
      </c>
      <c r="BF440" t="str">
        <f>HYPERLINK("http://dx.doi.org/10.15688/jvolsu4.2018.4.10","http://dx.doi.org/10.15688/jvolsu4.2018.4.10")</f>
        <v>http://dx.doi.org/10.15688/jvolsu4.2018.4.10</v>
      </c>
      <c r="BG440"/>
      <c r="BH440"/>
      <c r="BI440"/>
      <c r="BJ440"/>
      <c r="BK440"/>
      <c r="BL440"/>
      <c r="BM440"/>
      <c r="BN440"/>
      <c r="BO440"/>
      <c r="BP440"/>
      <c r="BQ440"/>
      <c r="BR440"/>
      <c r="BS440" t="s">
        <v>3117</v>
      </c>
      <c r="BT440" t="str">
        <f>HYPERLINK("https%3A%2F%2Fwww.webofscience.com%2Fwos%2Fwoscc%2Ffull-record%2FWOS:000442951100010","View Full Record in Web of Science")</f>
        <v>View Full Record in Web of Science</v>
      </c>
    </row>
    <row r="441" spans="1:75" customHeight="1" ht="12.75">
      <c r="A441" t="s">
        <v>72</v>
      </c>
      <c r="B441" t="s">
        <v>673</v>
      </c>
      <c r="C441"/>
      <c r="D441"/>
      <c r="E441"/>
      <c r="F441" t="s">
        <v>786</v>
      </c>
      <c r="G441"/>
      <c r="H441"/>
      <c r="I441" t="s">
        <v>3118</v>
      </c>
      <c r="J441" t="s">
        <v>76</v>
      </c>
      <c r="K441"/>
      <c r="L441"/>
      <c r="M441"/>
      <c r="N441"/>
      <c r="O441"/>
      <c r="P441"/>
      <c r="Q441"/>
      <c r="R441"/>
      <c r="S441"/>
      <c r="T441"/>
      <c r="U441"/>
      <c r="V441"/>
      <c r="W441"/>
      <c r="X441"/>
      <c r="Y441"/>
      <c r="Z441"/>
      <c r="AA441" t="s">
        <v>677</v>
      </c>
      <c r="AB441" t="s">
        <v>678</v>
      </c>
      <c r="AC441"/>
      <c r="AD441"/>
      <c r="AE441"/>
      <c r="AF441"/>
      <c r="AG441"/>
      <c r="AH441"/>
      <c r="AI441"/>
      <c r="AJ441"/>
      <c r="AK441"/>
      <c r="AL441"/>
      <c r="AM441"/>
      <c r="AN441"/>
      <c r="AO441" t="s">
        <v>77</v>
      </c>
      <c r="AP441"/>
      <c r="AQ441"/>
      <c r="AR441"/>
      <c r="AS441"/>
      <c r="AT441" t="s">
        <v>313</v>
      </c>
      <c r="AU441">
        <v>2017</v>
      </c>
      <c r="AV441"/>
      <c r="AW441">
        <v>4</v>
      </c>
      <c r="AX441"/>
      <c r="AY441"/>
      <c r="AZ441"/>
      <c r="BA441"/>
      <c r="BB441">
        <v>151</v>
      </c>
      <c r="BC441">
        <v>163</v>
      </c>
      <c r="BD441"/>
      <c r="BE441"/>
      <c r="BF441"/>
      <c r="BG441"/>
      <c r="BH441"/>
      <c r="BI441"/>
      <c r="BJ441"/>
      <c r="BK441"/>
      <c r="BL441"/>
      <c r="BM441"/>
      <c r="BN441"/>
      <c r="BO441"/>
      <c r="BP441"/>
      <c r="BQ441"/>
      <c r="BR441"/>
      <c r="BS441" t="s">
        <v>3119</v>
      </c>
      <c r="BT441" t="str">
        <f>HYPERLINK("https%3A%2F%2Fwww.webofscience.com%2Fwos%2Fwoscc%2Ffull-record%2FWOS:000408075600011","View Full Record in Web of Science")</f>
        <v>View Full Record in Web of Science</v>
      </c>
    </row>
    <row r="442" spans="1:75" customHeight="1" ht="12.75">
      <c r="A442" t="s">
        <v>147</v>
      </c>
      <c r="B442" t="s">
        <v>3120</v>
      </c>
      <c r="C442"/>
      <c r="D442" t="s">
        <v>3121</v>
      </c>
      <c r="E442"/>
      <c r="F442" t="s">
        <v>3122</v>
      </c>
      <c r="G442"/>
      <c r="H442"/>
      <c r="I442" t="s">
        <v>3123</v>
      </c>
      <c r="J442" t="s">
        <v>3124</v>
      </c>
      <c r="K442"/>
      <c r="L442"/>
      <c r="M442"/>
      <c r="N442"/>
      <c r="O442" t="s">
        <v>3125</v>
      </c>
      <c r="P442" t="s">
        <v>3126</v>
      </c>
      <c r="Q442" t="s">
        <v>746</v>
      </c>
      <c r="R442" t="s">
        <v>3127</v>
      </c>
      <c r="S442"/>
      <c r="T442"/>
      <c r="U442"/>
      <c r="V442"/>
      <c r="W442"/>
      <c r="X442"/>
      <c r="Y442"/>
      <c r="Z442"/>
      <c r="AA442" t="s">
        <v>934</v>
      </c>
      <c r="AB442" t="s">
        <v>935</v>
      </c>
      <c r="AC442"/>
      <c r="AD442"/>
      <c r="AE442"/>
      <c r="AF442"/>
      <c r="AG442"/>
      <c r="AH442"/>
      <c r="AI442"/>
      <c r="AJ442"/>
      <c r="AK442"/>
      <c r="AL442"/>
      <c r="AM442"/>
      <c r="AN442"/>
      <c r="AO442"/>
      <c r="AP442"/>
      <c r="AQ442" t="s">
        <v>3128</v>
      </c>
      <c r="AR442"/>
      <c r="AS442"/>
      <c r="AT442"/>
      <c r="AU442">
        <v>2017</v>
      </c>
      <c r="AV442"/>
      <c r="AW442"/>
      <c r="AX442"/>
      <c r="AY442"/>
      <c r="AZ442"/>
      <c r="BA442"/>
      <c r="BB442">
        <v>135</v>
      </c>
      <c r="BC442">
        <v>139</v>
      </c>
      <c r="BD442"/>
      <c r="BE442" t="s">
        <v>3129</v>
      </c>
      <c r="BF442" t="str">
        <f>HYPERLINK("http://dx.doi.org/10.1109/ICEnT.2017.36","http://dx.doi.org/10.1109/ICEnT.2017.36")</f>
        <v>http://dx.doi.org/10.1109/ICEnT.2017.36</v>
      </c>
      <c r="BG442"/>
      <c r="BH442"/>
      <c r="BI442"/>
      <c r="BJ442"/>
      <c r="BK442"/>
      <c r="BL442"/>
      <c r="BM442"/>
      <c r="BN442"/>
      <c r="BO442"/>
      <c r="BP442"/>
      <c r="BQ442"/>
      <c r="BR442"/>
      <c r="BS442" t="s">
        <v>3130</v>
      </c>
      <c r="BT442" t="str">
        <f>HYPERLINK("https%3A%2F%2Fwww.webofscience.com%2Fwos%2Fwoscc%2Ffull-record%2FWOS:000427144900030","View Full Record in Web of Science")</f>
        <v>View Full Record in Web of Science</v>
      </c>
    </row>
    <row r="443" spans="1:75" customHeight="1" ht="12.75">
      <c r="A443" t="s">
        <v>147</v>
      </c>
      <c r="B443" t="s">
        <v>2208</v>
      </c>
      <c r="C443"/>
      <c r="D443"/>
      <c r="E443" t="s">
        <v>210</v>
      </c>
      <c r="F443" t="s">
        <v>2209</v>
      </c>
      <c r="G443"/>
      <c r="H443"/>
      <c r="I443" t="s">
        <v>3131</v>
      </c>
      <c r="J443" t="s">
        <v>1261</v>
      </c>
      <c r="K443"/>
      <c r="L443"/>
      <c r="M443"/>
      <c r="N443"/>
      <c r="O443" t="s">
        <v>214</v>
      </c>
      <c r="P443" t="s">
        <v>909</v>
      </c>
      <c r="Q443" t="s">
        <v>910</v>
      </c>
      <c r="R443" t="s">
        <v>1262</v>
      </c>
      <c r="S443"/>
      <c r="T443"/>
      <c r="U443"/>
      <c r="V443"/>
      <c r="W443"/>
      <c r="X443"/>
      <c r="Y443"/>
      <c r="Z443"/>
      <c r="AA443" t="s">
        <v>3132</v>
      </c>
      <c r="AB443" t="s">
        <v>3133</v>
      </c>
      <c r="AC443"/>
      <c r="AD443"/>
      <c r="AE443"/>
      <c r="AF443"/>
      <c r="AG443"/>
      <c r="AH443"/>
      <c r="AI443"/>
      <c r="AJ443"/>
      <c r="AK443"/>
      <c r="AL443"/>
      <c r="AM443"/>
      <c r="AN443"/>
      <c r="AO443"/>
      <c r="AP443"/>
      <c r="AQ443" t="s">
        <v>1263</v>
      </c>
      <c r="AR443"/>
      <c r="AS443"/>
      <c r="AT443"/>
      <c r="AU443">
        <v>2017</v>
      </c>
      <c r="AV443"/>
      <c r="AW443"/>
      <c r="AX443"/>
      <c r="AY443"/>
      <c r="AZ443"/>
      <c r="BA443"/>
      <c r="BB443"/>
      <c r="BC443"/>
      <c r="BD443"/>
      <c r="BE443"/>
      <c r="BF443"/>
      <c r="BG443"/>
      <c r="BH443"/>
      <c r="BI443"/>
      <c r="BJ443"/>
      <c r="BK443"/>
      <c r="BL443"/>
      <c r="BM443"/>
      <c r="BN443"/>
      <c r="BO443"/>
      <c r="BP443"/>
      <c r="BQ443"/>
      <c r="BR443"/>
      <c r="BS443" t="s">
        <v>3134</v>
      </c>
      <c r="BT443" t="str">
        <f>HYPERLINK("https%3A%2F%2Fwww.webofscience.com%2Fwos%2Fwoscc%2Ffull-record%2FWOS:000414282400354","View Full Record in Web of Science")</f>
        <v>View Full Record in Web of Science</v>
      </c>
    </row>
    <row r="444" spans="1:75" customHeight="1" ht="12.75">
      <c r="A444" t="s">
        <v>147</v>
      </c>
      <c r="B444" t="s">
        <v>3135</v>
      </c>
      <c r="C444"/>
      <c r="D444" t="s">
        <v>233</v>
      </c>
      <c r="E444"/>
      <c r="F444" t="s">
        <v>3136</v>
      </c>
      <c r="G444"/>
      <c r="H444"/>
      <c r="I444" t="s">
        <v>3137</v>
      </c>
      <c r="J444" t="s">
        <v>444</v>
      </c>
      <c r="K444" t="s">
        <v>445</v>
      </c>
      <c r="L444"/>
      <c r="M444"/>
      <c r="N444"/>
      <c r="O444" t="s">
        <v>446</v>
      </c>
      <c r="P444" t="s">
        <v>447</v>
      </c>
      <c r="Q444" t="s">
        <v>448</v>
      </c>
      <c r="R444"/>
      <c r="S444"/>
      <c r="T444"/>
      <c r="U444"/>
      <c r="V444"/>
      <c r="W444"/>
      <c r="X444"/>
      <c r="Y444"/>
      <c r="Z444"/>
      <c r="AA444"/>
      <c r="AB444" t="s">
        <v>2526</v>
      </c>
      <c r="AC444"/>
      <c r="AD444"/>
      <c r="AE444"/>
      <c r="AF444"/>
      <c r="AG444"/>
      <c r="AH444"/>
      <c r="AI444"/>
      <c r="AJ444"/>
      <c r="AK444"/>
      <c r="AL444"/>
      <c r="AM444"/>
      <c r="AN444"/>
      <c r="AO444" t="s">
        <v>450</v>
      </c>
      <c r="AP444"/>
      <c r="AQ444" t="s">
        <v>451</v>
      </c>
      <c r="AR444"/>
      <c r="AS444"/>
      <c r="AT444"/>
      <c r="AU444">
        <v>2017</v>
      </c>
      <c r="AV444"/>
      <c r="AW444"/>
      <c r="AX444"/>
      <c r="AY444"/>
      <c r="AZ444"/>
      <c r="BA444"/>
      <c r="BB444">
        <v>21</v>
      </c>
      <c r="BC444">
        <v>30</v>
      </c>
      <c r="BD444"/>
      <c r="BE444" t="s">
        <v>3138</v>
      </c>
      <c r="BF444" t="str">
        <f>HYPERLINK("http://dx.doi.org/10.1007/978-3-319-60696-5_4","http://dx.doi.org/10.1007/978-3-319-60696-5_4")</f>
        <v>http://dx.doi.org/10.1007/978-3-319-60696-5_4</v>
      </c>
      <c r="BG444"/>
      <c r="BH444"/>
      <c r="BI444"/>
      <c r="BJ444"/>
      <c r="BK444"/>
      <c r="BL444"/>
      <c r="BM444"/>
      <c r="BN444"/>
      <c r="BO444"/>
      <c r="BP444"/>
      <c r="BQ444"/>
      <c r="BR444"/>
      <c r="BS444" t="s">
        <v>3139</v>
      </c>
      <c r="BT444" t="str">
        <f>HYPERLINK("https%3A%2F%2Fwww.webofscience.com%2Fwos%2Fwoscc%2Ffull-record%2FWOS:000426114200004","View Full Record in Web of Science")</f>
        <v>View Full Record in Web of Science</v>
      </c>
    </row>
    <row r="445" spans="1:75" customHeight="1" ht="12.75">
      <c r="A445" t="s">
        <v>147</v>
      </c>
      <c r="B445" t="s">
        <v>3140</v>
      </c>
      <c r="C445"/>
      <c r="D445" t="s">
        <v>233</v>
      </c>
      <c r="E445"/>
      <c r="F445" t="s">
        <v>3141</v>
      </c>
      <c r="G445"/>
      <c r="H445"/>
      <c r="I445" t="s">
        <v>3142</v>
      </c>
      <c r="J445" t="s">
        <v>444</v>
      </c>
      <c r="K445" t="s">
        <v>445</v>
      </c>
      <c r="L445"/>
      <c r="M445"/>
      <c r="N445"/>
      <c r="O445" t="s">
        <v>446</v>
      </c>
      <c r="P445" t="s">
        <v>447</v>
      </c>
      <c r="Q445" t="s">
        <v>448</v>
      </c>
      <c r="R445"/>
      <c r="S445"/>
      <c r="T445"/>
      <c r="U445"/>
      <c r="V445"/>
      <c r="W445"/>
      <c r="X445"/>
      <c r="Y445"/>
      <c r="Z445"/>
      <c r="AA445" t="s">
        <v>3143</v>
      </c>
      <c r="AB445" t="s">
        <v>3144</v>
      </c>
      <c r="AC445"/>
      <c r="AD445"/>
      <c r="AE445"/>
      <c r="AF445"/>
      <c r="AG445"/>
      <c r="AH445"/>
      <c r="AI445"/>
      <c r="AJ445"/>
      <c r="AK445"/>
      <c r="AL445"/>
      <c r="AM445"/>
      <c r="AN445"/>
      <c r="AO445" t="s">
        <v>450</v>
      </c>
      <c r="AP445"/>
      <c r="AQ445" t="s">
        <v>451</v>
      </c>
      <c r="AR445"/>
      <c r="AS445"/>
      <c r="AT445"/>
      <c r="AU445">
        <v>2017</v>
      </c>
      <c r="AV445"/>
      <c r="AW445"/>
      <c r="AX445"/>
      <c r="AY445"/>
      <c r="AZ445"/>
      <c r="BA445"/>
      <c r="BB445">
        <v>403</v>
      </c>
      <c r="BC445">
        <v>415</v>
      </c>
      <c r="BD445"/>
      <c r="BE445" t="s">
        <v>3145</v>
      </c>
      <c r="BF445" t="str">
        <f>HYPERLINK("http://dx.doi.org/10.1007/978-3-319-60696-5_51","http://dx.doi.org/10.1007/978-3-319-60696-5_51")</f>
        <v>http://dx.doi.org/10.1007/978-3-319-60696-5_51</v>
      </c>
      <c r="BG445"/>
      <c r="BH445"/>
      <c r="BI445"/>
      <c r="BJ445"/>
      <c r="BK445"/>
      <c r="BL445"/>
      <c r="BM445"/>
      <c r="BN445"/>
      <c r="BO445"/>
      <c r="BP445"/>
      <c r="BQ445"/>
      <c r="BR445"/>
      <c r="BS445" t="s">
        <v>3146</v>
      </c>
      <c r="BT445" t="str">
        <f>HYPERLINK("https%3A%2F%2Fwww.webofscience.com%2Fwos%2Fwoscc%2Ffull-record%2FWOS:000426114200051","View Full Record in Web of Science")</f>
        <v>View Full Record in Web of Science</v>
      </c>
    </row>
    <row r="446" spans="1:75" customHeight="1" ht="12.75">
      <c r="A446" t="s">
        <v>72</v>
      </c>
      <c r="B446" t="s">
        <v>3147</v>
      </c>
      <c r="C446"/>
      <c r="D446"/>
      <c r="E446"/>
      <c r="F446" t="s">
        <v>3148</v>
      </c>
      <c r="G446"/>
      <c r="H446"/>
      <c r="I446" t="s">
        <v>3149</v>
      </c>
      <c r="J446" t="s">
        <v>3150</v>
      </c>
      <c r="K446"/>
      <c r="L446"/>
      <c r="M446"/>
      <c r="N446"/>
      <c r="O446"/>
      <c r="P446"/>
      <c r="Q446"/>
      <c r="R446"/>
      <c r="S446"/>
      <c r="T446"/>
      <c r="U446"/>
      <c r="V446"/>
      <c r="W446"/>
      <c r="X446"/>
      <c r="Y446"/>
      <c r="Z446"/>
      <c r="AA446"/>
      <c r="AB446"/>
      <c r="AC446"/>
      <c r="AD446"/>
      <c r="AE446"/>
      <c r="AF446"/>
      <c r="AG446"/>
      <c r="AH446"/>
      <c r="AI446"/>
      <c r="AJ446"/>
      <c r="AK446"/>
      <c r="AL446"/>
      <c r="AM446"/>
      <c r="AN446"/>
      <c r="AO446" t="s">
        <v>3151</v>
      </c>
      <c r="AP446" t="s">
        <v>3152</v>
      </c>
      <c r="AQ446"/>
      <c r="AR446"/>
      <c r="AS446"/>
      <c r="AT446" t="s">
        <v>171</v>
      </c>
      <c r="AU446">
        <v>2014</v>
      </c>
      <c r="AV446">
        <v>55</v>
      </c>
      <c r="AW446">
        <v>2</v>
      </c>
      <c r="AX446"/>
      <c r="AY446"/>
      <c r="AZ446"/>
      <c r="BA446"/>
      <c r="BB446">
        <v>125</v>
      </c>
      <c r="BC446">
        <v>129</v>
      </c>
      <c r="BD446"/>
      <c r="BE446" t="s">
        <v>3153</v>
      </c>
      <c r="BF446" t="str">
        <f>HYPERLINK("http://dx.doi.org/10.3103/S1067821214020096","http://dx.doi.org/10.3103/S1067821214020096")</f>
        <v>http://dx.doi.org/10.3103/S1067821214020096</v>
      </c>
      <c r="BG446"/>
      <c r="BH446"/>
      <c r="BI446"/>
      <c r="BJ446"/>
      <c r="BK446"/>
      <c r="BL446"/>
      <c r="BM446"/>
      <c r="BN446"/>
      <c r="BO446"/>
      <c r="BP446"/>
      <c r="BQ446"/>
      <c r="BR446"/>
      <c r="BS446" t="s">
        <v>3154</v>
      </c>
      <c r="BT446" t="str">
        <f>HYPERLINK("https%3A%2F%2Fwww.webofscience.com%2Fwos%2Fwoscc%2Ffull-record%2FWOS:000335735500004","View Full Record in Web of Science")</f>
        <v>View Full Record in Web of Science</v>
      </c>
    </row>
    <row r="447" spans="1:75" customHeight="1" ht="12.75">
      <c r="A447" t="s">
        <v>72</v>
      </c>
      <c r="B447" t="s">
        <v>3155</v>
      </c>
      <c r="C447"/>
      <c r="D447"/>
      <c r="E447"/>
      <c r="F447" t="s">
        <v>3156</v>
      </c>
      <c r="G447"/>
      <c r="H447"/>
      <c r="I447" t="s">
        <v>3157</v>
      </c>
      <c r="J447" t="s">
        <v>614</v>
      </c>
      <c r="K447"/>
      <c r="L447"/>
      <c r="M447"/>
      <c r="N447"/>
      <c r="O447" t="s">
        <v>3158</v>
      </c>
      <c r="P447">
        <v>2010</v>
      </c>
      <c r="Q447" t="s">
        <v>3159</v>
      </c>
      <c r="R447"/>
      <c r="S447"/>
      <c r="T447"/>
      <c r="U447"/>
      <c r="V447"/>
      <c r="W447"/>
      <c r="X447"/>
      <c r="Y447"/>
      <c r="Z447"/>
      <c r="AA447"/>
      <c r="AB447" t="s">
        <v>2399</v>
      </c>
      <c r="AC447"/>
      <c r="AD447"/>
      <c r="AE447"/>
      <c r="AF447"/>
      <c r="AG447"/>
      <c r="AH447"/>
      <c r="AI447"/>
      <c r="AJ447"/>
      <c r="AK447"/>
      <c r="AL447"/>
      <c r="AM447"/>
      <c r="AN447"/>
      <c r="AO447" t="s">
        <v>617</v>
      </c>
      <c r="AP447" t="s">
        <v>1720</v>
      </c>
      <c r="AQ447"/>
      <c r="AR447"/>
      <c r="AS447"/>
      <c r="AT447" t="s">
        <v>88</v>
      </c>
      <c r="AU447">
        <v>2011</v>
      </c>
      <c r="AV447">
        <v>47</v>
      </c>
      <c r="AW447">
        <v>5</v>
      </c>
      <c r="AX447"/>
      <c r="AY447"/>
      <c r="AZ447"/>
      <c r="BA447"/>
      <c r="BB447">
        <v>556</v>
      </c>
      <c r="BC447">
        <v>562</v>
      </c>
      <c r="BD447"/>
      <c r="BE447" t="s">
        <v>3160</v>
      </c>
      <c r="BF447" t="str">
        <f>HYPERLINK("http://dx.doi.org/10.1134/S1023193511050089","http://dx.doi.org/10.1134/S1023193511050089")</f>
        <v>http://dx.doi.org/10.1134/S1023193511050089</v>
      </c>
      <c r="BG447"/>
      <c r="BH447"/>
      <c r="BI447"/>
      <c r="BJ447"/>
      <c r="BK447"/>
      <c r="BL447"/>
      <c r="BM447"/>
      <c r="BN447"/>
      <c r="BO447"/>
      <c r="BP447"/>
      <c r="BQ447"/>
      <c r="BR447"/>
      <c r="BS447" t="s">
        <v>3161</v>
      </c>
      <c r="BT447" t="str">
        <f>HYPERLINK("https%3A%2F%2Fwww.webofscience.com%2Fwos%2Fwoscc%2Ffull-record%2FWOS:000292270900007","View Full Record in Web of Science")</f>
        <v>View Full Record in Web of Science</v>
      </c>
    </row>
    <row r="448" spans="1:75" customHeight="1" ht="12.75">
      <c r="A448" t="s">
        <v>72</v>
      </c>
      <c r="B448" t="s">
        <v>3162</v>
      </c>
      <c r="C448"/>
      <c r="D448"/>
      <c r="E448"/>
      <c r="F448" t="s">
        <v>3163</v>
      </c>
      <c r="G448"/>
      <c r="H448"/>
      <c r="I448" t="s">
        <v>3164</v>
      </c>
      <c r="J448" t="s">
        <v>1206</v>
      </c>
      <c r="K448"/>
      <c r="L448"/>
      <c r="M448"/>
      <c r="N448"/>
      <c r="O448" t="s">
        <v>3165</v>
      </c>
      <c r="P448" t="s">
        <v>3166</v>
      </c>
      <c r="Q448" t="s">
        <v>746</v>
      </c>
      <c r="R448" t="s">
        <v>3167</v>
      </c>
      <c r="S448"/>
      <c r="T448"/>
      <c r="U448"/>
      <c r="V448"/>
      <c r="W448"/>
      <c r="X448"/>
      <c r="Y448"/>
      <c r="Z448"/>
      <c r="AA448"/>
      <c r="AB448" t="s">
        <v>2399</v>
      </c>
      <c r="AC448"/>
      <c r="AD448"/>
      <c r="AE448"/>
      <c r="AF448"/>
      <c r="AG448"/>
      <c r="AH448"/>
      <c r="AI448"/>
      <c r="AJ448"/>
      <c r="AK448"/>
      <c r="AL448"/>
      <c r="AM448"/>
      <c r="AN448"/>
      <c r="AO448" t="s">
        <v>624</v>
      </c>
      <c r="AP448"/>
      <c r="AQ448"/>
      <c r="AR448"/>
      <c r="AS448"/>
      <c r="AT448" t="s">
        <v>319</v>
      </c>
      <c r="AU448">
        <v>2006</v>
      </c>
      <c r="AV448">
        <v>80</v>
      </c>
      <c r="AW448">
        <v>11</v>
      </c>
      <c r="AX448"/>
      <c r="AY448"/>
      <c r="AZ448"/>
      <c r="BA448"/>
      <c r="BB448">
        <v>1731</v>
      </c>
      <c r="BC448">
        <v>1736</v>
      </c>
      <c r="BD448"/>
      <c r="BE448" t="s">
        <v>3168</v>
      </c>
      <c r="BF448" t="str">
        <f>HYPERLINK("http://dx.doi.org/10.1134/S0036024406110069","http://dx.doi.org/10.1134/S0036024406110069")</f>
        <v>http://dx.doi.org/10.1134/S0036024406110069</v>
      </c>
      <c r="BG448"/>
      <c r="BH448"/>
      <c r="BI448"/>
      <c r="BJ448"/>
      <c r="BK448"/>
      <c r="BL448"/>
      <c r="BM448"/>
      <c r="BN448"/>
      <c r="BO448"/>
      <c r="BP448"/>
      <c r="BQ448"/>
      <c r="BR448"/>
      <c r="BS448" t="s">
        <v>3169</v>
      </c>
      <c r="BT448" t="str">
        <f>HYPERLINK("https%3A%2F%2Fwww.webofscience.com%2Fwos%2Fwoscc%2Ffull-record%2FWOS:000245667100006","View Full Record in Web of Science")</f>
        <v>View Full Record in Web of Science</v>
      </c>
    </row>
    <row r="449" spans="1:75" customHeight="1" ht="12.75">
      <c r="A449" t="s">
        <v>147</v>
      </c>
      <c r="B449" t="s">
        <v>3170</v>
      </c>
      <c r="C449"/>
      <c r="D449" t="s">
        <v>233</v>
      </c>
      <c r="E449"/>
      <c r="F449" t="s">
        <v>3171</v>
      </c>
      <c r="G449"/>
      <c r="H449"/>
      <c r="I449" t="s">
        <v>3172</v>
      </c>
      <c r="J449" t="s">
        <v>1766</v>
      </c>
      <c r="K449" t="s">
        <v>1767</v>
      </c>
      <c r="L449"/>
      <c r="M449"/>
      <c r="N449"/>
      <c r="O449" t="s">
        <v>1768</v>
      </c>
      <c r="P449" t="s">
        <v>1769</v>
      </c>
      <c r="Q449" t="s">
        <v>1770</v>
      </c>
      <c r="R449"/>
      <c r="S449" t="s">
        <v>1771</v>
      </c>
      <c r="T449"/>
      <c r="U449"/>
      <c r="V449"/>
      <c r="W449"/>
      <c r="X449"/>
      <c r="Y449"/>
      <c r="Z449"/>
      <c r="AA449"/>
      <c r="AB449" t="s">
        <v>3173</v>
      </c>
      <c r="AC449"/>
      <c r="AD449"/>
      <c r="AE449"/>
      <c r="AF449"/>
      <c r="AG449"/>
      <c r="AH449"/>
      <c r="AI449"/>
      <c r="AJ449"/>
      <c r="AK449"/>
      <c r="AL449"/>
      <c r="AM449"/>
      <c r="AN449"/>
      <c r="AO449" t="s">
        <v>1772</v>
      </c>
      <c r="AP449" t="s">
        <v>1773</v>
      </c>
      <c r="AQ449" t="s">
        <v>1774</v>
      </c>
      <c r="AR449"/>
      <c r="AS449"/>
      <c r="AT449"/>
      <c r="AU449">
        <v>2022</v>
      </c>
      <c r="AV449">
        <v>368</v>
      </c>
      <c r="AW449"/>
      <c r="AX449"/>
      <c r="AY449"/>
      <c r="AZ449"/>
      <c r="BA449"/>
      <c r="BB449">
        <v>772</v>
      </c>
      <c r="BC449">
        <v>783</v>
      </c>
      <c r="BD449"/>
      <c r="BE449" t="s">
        <v>3174</v>
      </c>
      <c r="BF449" t="str">
        <f>HYPERLINK("http://dx.doi.org/10.1007/978-3-030-93244-2_83","http://dx.doi.org/10.1007/978-3-030-93244-2_83")</f>
        <v>http://dx.doi.org/10.1007/978-3-030-93244-2_83</v>
      </c>
      <c r="BG449"/>
      <c r="BH449"/>
      <c r="BI449"/>
      <c r="BJ449"/>
      <c r="BK449"/>
      <c r="BL449"/>
      <c r="BM449"/>
      <c r="BN449"/>
      <c r="BO449"/>
      <c r="BP449"/>
      <c r="BQ449"/>
      <c r="BR449"/>
      <c r="BS449" t="s">
        <v>3175</v>
      </c>
      <c r="BT449" t="str">
        <f>HYPERLINK("https%3A%2F%2Fwww.webofscience.com%2Fwos%2Fwoscc%2Ffull-record%2FWOS:000759460600083","View Full Record in Web of Science")</f>
        <v>View Full Record in Web of Science</v>
      </c>
    </row>
    <row r="450" spans="1:75" customHeight="1" ht="12.75">
      <c r="A450" t="s">
        <v>72</v>
      </c>
      <c r="B450" t="s">
        <v>3176</v>
      </c>
      <c r="C450"/>
      <c r="D450"/>
      <c r="E450"/>
      <c r="F450" t="s">
        <v>3177</v>
      </c>
      <c r="G450"/>
      <c r="H450"/>
      <c r="I450" t="s">
        <v>3178</v>
      </c>
      <c r="J450" t="s">
        <v>1608</v>
      </c>
      <c r="K450"/>
      <c r="L450"/>
      <c r="M450"/>
      <c r="N450"/>
      <c r="O450"/>
      <c r="P450"/>
      <c r="Q450"/>
      <c r="R450"/>
      <c r="S450"/>
      <c r="T450"/>
      <c r="U450"/>
      <c r="V450"/>
      <c r="W450"/>
      <c r="X450"/>
      <c r="Y450"/>
      <c r="Z450"/>
      <c r="AA450"/>
      <c r="AB450"/>
      <c r="AC450"/>
      <c r="AD450"/>
      <c r="AE450"/>
      <c r="AF450"/>
      <c r="AG450"/>
      <c r="AH450"/>
      <c r="AI450"/>
      <c r="AJ450"/>
      <c r="AK450"/>
      <c r="AL450"/>
      <c r="AM450"/>
      <c r="AN450"/>
      <c r="AO450" t="s">
        <v>1611</v>
      </c>
      <c r="AP450" t="s">
        <v>1612</v>
      </c>
      <c r="AQ450"/>
      <c r="AR450"/>
      <c r="AS450"/>
      <c r="AT450"/>
      <c r="AU450">
        <v>2022</v>
      </c>
      <c r="AV450">
        <v>32</v>
      </c>
      <c r="AW450">
        <v>2</v>
      </c>
      <c r="AX450"/>
      <c r="AY450"/>
      <c r="AZ450"/>
      <c r="BA450"/>
      <c r="BB450">
        <v>279</v>
      </c>
      <c r="BC450">
        <v>294</v>
      </c>
      <c r="BD450"/>
      <c r="BE450" t="s">
        <v>3179</v>
      </c>
      <c r="BF450" t="str">
        <f>HYPERLINK("http://dx.doi.org/10.15507/2658-4123.032.202202.279-294","http://dx.doi.org/10.15507/2658-4123.032.202202.279-294")</f>
        <v>http://dx.doi.org/10.15507/2658-4123.032.202202.279-294</v>
      </c>
      <c r="BG450"/>
      <c r="BH450"/>
      <c r="BI450"/>
      <c r="BJ450"/>
      <c r="BK450"/>
      <c r="BL450"/>
      <c r="BM450"/>
      <c r="BN450"/>
      <c r="BO450"/>
      <c r="BP450"/>
      <c r="BQ450"/>
      <c r="BR450"/>
      <c r="BS450" t="s">
        <v>3180</v>
      </c>
      <c r="BT450" t="str">
        <f>HYPERLINK("https%3A%2F%2Fwww.webofscience.com%2Fwos%2Fwoscc%2Ffull-record%2FWOS:000822052400007","View Full Record in Web of Science")</f>
        <v>View Full Record in Web of Science</v>
      </c>
    </row>
    <row r="451" spans="1:75" customHeight="1" ht="12.75">
      <c r="A451" t="s">
        <v>72</v>
      </c>
      <c r="B451" t="s">
        <v>713</v>
      </c>
      <c r="C451"/>
      <c r="D451"/>
      <c r="E451"/>
      <c r="F451" t="s">
        <v>714</v>
      </c>
      <c r="G451"/>
      <c r="H451"/>
      <c r="I451" t="s">
        <v>3181</v>
      </c>
      <c r="J451" t="s">
        <v>716</v>
      </c>
      <c r="K451"/>
      <c r="L451"/>
      <c r="M451"/>
      <c r="N451"/>
      <c r="O451"/>
      <c r="P451"/>
      <c r="Q451"/>
      <c r="R451"/>
      <c r="S451"/>
      <c r="T451"/>
      <c r="U451"/>
      <c r="V451"/>
      <c r="W451"/>
      <c r="X451"/>
      <c r="Y451"/>
      <c r="Z451"/>
      <c r="AA451"/>
      <c r="AB451"/>
      <c r="AC451"/>
      <c r="AD451"/>
      <c r="AE451"/>
      <c r="AF451"/>
      <c r="AG451"/>
      <c r="AH451"/>
      <c r="AI451"/>
      <c r="AJ451"/>
      <c r="AK451"/>
      <c r="AL451"/>
      <c r="AM451"/>
      <c r="AN451"/>
      <c r="AO451" t="s">
        <v>719</v>
      </c>
      <c r="AP451" t="s">
        <v>720</v>
      </c>
      <c r="AQ451"/>
      <c r="AR451"/>
      <c r="AS451"/>
      <c r="AT451" t="s">
        <v>198</v>
      </c>
      <c r="AU451">
        <v>2021</v>
      </c>
      <c r="AV451"/>
      <c r="AW451">
        <v>465</v>
      </c>
      <c r="AX451"/>
      <c r="AY451"/>
      <c r="AZ451"/>
      <c r="BA451"/>
      <c r="BB451">
        <v>106</v>
      </c>
      <c r="BC451">
        <v>115</v>
      </c>
      <c r="BD451"/>
      <c r="BE451" t="s">
        <v>3182</v>
      </c>
      <c r="BF451" t="str">
        <f>HYPERLINK("http://dx.doi.org/10.17223/15617793/465/15","http://dx.doi.org/10.17223/15617793/465/15")</f>
        <v>http://dx.doi.org/10.17223/15617793/465/15</v>
      </c>
      <c r="BG451"/>
      <c r="BH451"/>
      <c r="BI451"/>
      <c r="BJ451"/>
      <c r="BK451"/>
      <c r="BL451"/>
      <c r="BM451"/>
      <c r="BN451"/>
      <c r="BO451"/>
      <c r="BP451"/>
      <c r="BQ451"/>
      <c r="BR451"/>
      <c r="BS451" t="s">
        <v>3183</v>
      </c>
      <c r="BT451" t="str">
        <f>HYPERLINK("https%3A%2F%2Fwww.webofscience.com%2Fwos%2Fwoscc%2Ffull-record%2FWOS:000691270200015","View Full Record in Web of Science")</f>
        <v>View Full Record in Web of Science</v>
      </c>
    </row>
    <row r="452" spans="1:75" customHeight="1" ht="12.75">
      <c r="A452" t="s">
        <v>72</v>
      </c>
      <c r="B452" t="s">
        <v>110</v>
      </c>
      <c r="C452"/>
      <c r="D452"/>
      <c r="E452"/>
      <c r="F452" t="s">
        <v>111</v>
      </c>
      <c r="G452"/>
      <c r="H452"/>
      <c r="I452" t="s">
        <v>3184</v>
      </c>
      <c r="J452" t="s">
        <v>434</v>
      </c>
      <c r="K452"/>
      <c r="L452"/>
      <c r="M452"/>
      <c r="N452"/>
      <c r="O452"/>
      <c r="P452"/>
      <c r="Q452"/>
      <c r="R452"/>
      <c r="S452"/>
      <c r="T452"/>
      <c r="U452"/>
      <c r="V452"/>
      <c r="W452"/>
      <c r="X452"/>
      <c r="Y452"/>
      <c r="Z452"/>
      <c r="AA452" t="s">
        <v>677</v>
      </c>
      <c r="AB452" t="s">
        <v>678</v>
      </c>
      <c r="AC452"/>
      <c r="AD452"/>
      <c r="AE452"/>
      <c r="AF452"/>
      <c r="AG452"/>
      <c r="AH452"/>
      <c r="AI452"/>
      <c r="AJ452"/>
      <c r="AK452"/>
      <c r="AL452"/>
      <c r="AM452"/>
      <c r="AN452"/>
      <c r="AO452" t="s">
        <v>437</v>
      </c>
      <c r="AP452" t="s">
        <v>438</v>
      </c>
      <c r="AQ452"/>
      <c r="AR452"/>
      <c r="AS452"/>
      <c r="AT452"/>
      <c r="AU452">
        <v>2021</v>
      </c>
      <c r="AV452">
        <v>14</v>
      </c>
      <c r="AW452">
        <v>4</v>
      </c>
      <c r="AX452"/>
      <c r="AY452"/>
      <c r="AZ452"/>
      <c r="BA452"/>
      <c r="BB452">
        <v>26</v>
      </c>
      <c r="BC452">
        <v>50</v>
      </c>
      <c r="BD452"/>
      <c r="BE452" t="s">
        <v>3185</v>
      </c>
      <c r="BF452" t="str">
        <f>HYPERLINK("http://dx.doi.org/10.24833/2071-8160-2021-4-79-26-50","http://dx.doi.org/10.24833/2071-8160-2021-4-79-26-50")</f>
        <v>http://dx.doi.org/10.24833/2071-8160-2021-4-79-26-50</v>
      </c>
      <c r="BG452"/>
      <c r="BH452"/>
      <c r="BI452"/>
      <c r="BJ452"/>
      <c r="BK452"/>
      <c r="BL452"/>
      <c r="BM452"/>
      <c r="BN452"/>
      <c r="BO452"/>
      <c r="BP452"/>
      <c r="BQ452"/>
      <c r="BR452"/>
      <c r="BS452" t="s">
        <v>3186</v>
      </c>
      <c r="BT452" t="str">
        <f>HYPERLINK("https%3A%2F%2Fwww.webofscience.com%2Fwos%2Fwoscc%2Ffull-record%2FWOS:000695496900002","View Full Record in Web of Science")</f>
        <v>View Full Record in Web of Science</v>
      </c>
    </row>
    <row r="453" spans="1:75" customHeight="1" ht="12.75">
      <c r="A453" t="s">
        <v>72</v>
      </c>
      <c r="B453" t="s">
        <v>1037</v>
      </c>
      <c r="C453"/>
      <c r="D453"/>
      <c r="E453"/>
      <c r="F453" t="s">
        <v>1038</v>
      </c>
      <c r="G453"/>
      <c r="H453"/>
      <c r="I453" t="s">
        <v>3187</v>
      </c>
      <c r="J453" t="s">
        <v>716</v>
      </c>
      <c r="K453"/>
      <c r="L453"/>
      <c r="M453"/>
      <c r="N453"/>
      <c r="O453"/>
      <c r="P453"/>
      <c r="Q453"/>
      <c r="R453"/>
      <c r="S453"/>
      <c r="T453"/>
      <c r="U453"/>
      <c r="V453"/>
      <c r="W453"/>
      <c r="X453"/>
      <c r="Y453"/>
      <c r="Z453"/>
      <c r="AA453"/>
      <c r="AB453"/>
      <c r="AC453"/>
      <c r="AD453"/>
      <c r="AE453"/>
      <c r="AF453"/>
      <c r="AG453"/>
      <c r="AH453"/>
      <c r="AI453"/>
      <c r="AJ453"/>
      <c r="AK453"/>
      <c r="AL453"/>
      <c r="AM453"/>
      <c r="AN453"/>
      <c r="AO453" t="s">
        <v>719</v>
      </c>
      <c r="AP453" t="s">
        <v>720</v>
      </c>
      <c r="AQ453"/>
      <c r="AR453"/>
      <c r="AS453"/>
      <c r="AT453" t="s">
        <v>319</v>
      </c>
      <c r="AU453">
        <v>2020</v>
      </c>
      <c r="AV453"/>
      <c r="AW453">
        <v>460</v>
      </c>
      <c r="AX453"/>
      <c r="AY453"/>
      <c r="AZ453"/>
      <c r="BA453"/>
      <c r="BB453">
        <v>190</v>
      </c>
      <c r="BC453">
        <v>201</v>
      </c>
      <c r="BD453"/>
      <c r="BE453" t="s">
        <v>3188</v>
      </c>
      <c r="BF453" t="str">
        <f>HYPERLINK("http://dx.doi.org/10.17223/15617793/460/23","http://dx.doi.org/10.17223/15617793/460/23")</f>
        <v>http://dx.doi.org/10.17223/15617793/460/23</v>
      </c>
      <c r="BG453"/>
      <c r="BH453"/>
      <c r="BI453"/>
      <c r="BJ453"/>
      <c r="BK453"/>
      <c r="BL453"/>
      <c r="BM453"/>
      <c r="BN453"/>
      <c r="BO453"/>
      <c r="BP453"/>
      <c r="BQ453"/>
      <c r="BR453"/>
      <c r="BS453" t="s">
        <v>3189</v>
      </c>
      <c r="BT453" t="str">
        <f>HYPERLINK("https%3A%2F%2Fwww.webofscience.com%2Fwos%2Fwoscc%2Ffull-record%2FWOS:000624428700023","View Full Record in Web of Science")</f>
        <v>View Full Record in Web of Science</v>
      </c>
    </row>
    <row r="454" spans="1:75" customHeight="1" ht="12.75">
      <c r="A454" t="s">
        <v>72</v>
      </c>
      <c r="B454" t="s">
        <v>3190</v>
      </c>
      <c r="C454"/>
      <c r="D454"/>
      <c r="E454"/>
      <c r="F454" t="s">
        <v>3191</v>
      </c>
      <c r="G454"/>
      <c r="H454"/>
      <c r="I454" t="s">
        <v>3192</v>
      </c>
      <c r="J454" t="s">
        <v>123</v>
      </c>
      <c r="K454"/>
      <c r="L454"/>
      <c r="M454"/>
      <c r="N454"/>
      <c r="O454"/>
      <c r="P454"/>
      <c r="Q454"/>
      <c r="R454"/>
      <c r="S454"/>
      <c r="T454"/>
      <c r="U454"/>
      <c r="V454"/>
      <c r="W454"/>
      <c r="X454"/>
      <c r="Y454"/>
      <c r="Z454"/>
      <c r="AA454"/>
      <c r="AB454"/>
      <c r="AC454"/>
      <c r="AD454"/>
      <c r="AE454"/>
      <c r="AF454"/>
      <c r="AG454"/>
      <c r="AH454"/>
      <c r="AI454"/>
      <c r="AJ454"/>
      <c r="AK454"/>
      <c r="AL454"/>
      <c r="AM454"/>
      <c r="AN454"/>
      <c r="AO454" t="s">
        <v>124</v>
      </c>
      <c r="AP454"/>
      <c r="AQ454"/>
      <c r="AR454"/>
      <c r="AS454"/>
      <c r="AT454" t="s">
        <v>1167</v>
      </c>
      <c r="AU454">
        <v>2020</v>
      </c>
      <c r="AV454">
        <v>21</v>
      </c>
      <c r="AW454">
        <v>7</v>
      </c>
      <c r="AX454"/>
      <c r="AY454"/>
      <c r="AZ454"/>
      <c r="BA454"/>
      <c r="BB454">
        <v>11</v>
      </c>
      <c r="BC454">
        <v>16</v>
      </c>
      <c r="BD454"/>
      <c r="BE454" t="s">
        <v>3193</v>
      </c>
      <c r="BF454" t="str">
        <f>HYPERLINK("http://dx.doi.org/10.12911/22998993/125459","http://dx.doi.org/10.12911/22998993/125459")</f>
        <v>http://dx.doi.org/10.12911/22998993/125459</v>
      </c>
      <c r="BG454"/>
      <c r="BH454"/>
      <c r="BI454"/>
      <c r="BJ454"/>
      <c r="BK454"/>
      <c r="BL454"/>
      <c r="BM454"/>
      <c r="BN454"/>
      <c r="BO454"/>
      <c r="BP454"/>
      <c r="BQ454"/>
      <c r="BR454"/>
      <c r="BS454" t="s">
        <v>3194</v>
      </c>
      <c r="BT454" t="str">
        <f>HYPERLINK("https%3A%2F%2Fwww.webofscience.com%2Fwos%2Fwoscc%2Ffull-record%2FWOS:000576664500002","View Full Record in Web of Science")</f>
        <v>View Full Record in Web of Science</v>
      </c>
    </row>
    <row r="455" spans="1:75" customHeight="1" ht="12.75">
      <c r="A455" t="s">
        <v>147</v>
      </c>
      <c r="B455" t="s">
        <v>568</v>
      </c>
      <c r="C455"/>
      <c r="D455" t="s">
        <v>3195</v>
      </c>
      <c r="E455"/>
      <c r="F455" t="s">
        <v>569</v>
      </c>
      <c r="G455"/>
      <c r="H455"/>
      <c r="I455" t="s">
        <v>3196</v>
      </c>
      <c r="J455" t="s">
        <v>3197</v>
      </c>
      <c r="K455" t="s">
        <v>390</v>
      </c>
      <c r="L455"/>
      <c r="M455"/>
      <c r="N455"/>
      <c r="O455" t="s">
        <v>3198</v>
      </c>
      <c r="P455" t="s">
        <v>3199</v>
      </c>
      <c r="Q455" t="s">
        <v>393</v>
      </c>
      <c r="R455" t="s">
        <v>3200</v>
      </c>
      <c r="S455"/>
      <c r="T455"/>
      <c r="U455"/>
      <c r="V455"/>
      <c r="W455"/>
      <c r="X455"/>
      <c r="Y455"/>
      <c r="Z455"/>
      <c r="AA455" t="s">
        <v>3201</v>
      </c>
      <c r="AB455" t="s">
        <v>922</v>
      </c>
      <c r="AC455"/>
      <c r="AD455"/>
      <c r="AE455"/>
      <c r="AF455"/>
      <c r="AG455"/>
      <c r="AH455"/>
      <c r="AI455"/>
      <c r="AJ455"/>
      <c r="AK455"/>
      <c r="AL455"/>
      <c r="AM455"/>
      <c r="AN455"/>
      <c r="AO455" t="s">
        <v>395</v>
      </c>
      <c r="AP455"/>
      <c r="AQ455" t="s">
        <v>3202</v>
      </c>
      <c r="AR455"/>
      <c r="AS455"/>
      <c r="AT455"/>
      <c r="AU455">
        <v>2020</v>
      </c>
      <c r="AV455"/>
      <c r="AW455"/>
      <c r="AX455"/>
      <c r="AY455"/>
      <c r="AZ455"/>
      <c r="BA455"/>
      <c r="BB455">
        <v>512</v>
      </c>
      <c r="BC455">
        <v>515</v>
      </c>
      <c r="BD455"/>
      <c r="BE455"/>
      <c r="BF455"/>
      <c r="BG455"/>
      <c r="BH455"/>
      <c r="BI455"/>
      <c r="BJ455"/>
      <c r="BK455"/>
      <c r="BL455"/>
      <c r="BM455"/>
      <c r="BN455"/>
      <c r="BO455"/>
      <c r="BP455"/>
      <c r="BQ455"/>
      <c r="BR455"/>
      <c r="BS455" t="s">
        <v>3203</v>
      </c>
      <c r="BT455" t="str">
        <f>HYPERLINK("https%3A%2F%2Fwww.webofscience.com%2Fwos%2Fwoscc%2Ffull-record%2FWOS:000612854100118","View Full Record in Web of Science")</f>
        <v>View Full Record in Web of Science</v>
      </c>
    </row>
    <row r="456" spans="1:75" customHeight="1" ht="12.75">
      <c r="A456" t="s">
        <v>147</v>
      </c>
      <c r="B456" t="s">
        <v>3204</v>
      </c>
      <c r="C456"/>
      <c r="D456" t="s">
        <v>3205</v>
      </c>
      <c r="E456"/>
      <c r="F456" t="s">
        <v>3206</v>
      </c>
      <c r="G456"/>
      <c r="H456"/>
      <c r="I456" t="s">
        <v>3207</v>
      </c>
      <c r="J456" t="s">
        <v>3208</v>
      </c>
      <c r="K456" t="s">
        <v>1313</v>
      </c>
      <c r="L456"/>
      <c r="M456"/>
      <c r="N456"/>
      <c r="O456" t="s">
        <v>3209</v>
      </c>
      <c r="P456" t="s">
        <v>3210</v>
      </c>
      <c r="Q456" t="s">
        <v>3211</v>
      </c>
      <c r="R456" t="s">
        <v>3212</v>
      </c>
      <c r="S456"/>
      <c r="T456"/>
      <c r="U456"/>
      <c r="V456"/>
      <c r="W456"/>
      <c r="X456"/>
      <c r="Y456"/>
      <c r="Z456"/>
      <c r="AA456"/>
      <c r="AB456" t="s">
        <v>3213</v>
      </c>
      <c r="AC456"/>
      <c r="AD456"/>
      <c r="AE456"/>
      <c r="AF456"/>
      <c r="AG456"/>
      <c r="AH456"/>
      <c r="AI456"/>
      <c r="AJ456"/>
      <c r="AK456"/>
      <c r="AL456"/>
      <c r="AM456"/>
      <c r="AN456"/>
      <c r="AO456" t="s">
        <v>1319</v>
      </c>
      <c r="AP456" t="s">
        <v>2948</v>
      </c>
      <c r="AQ456" t="s">
        <v>3214</v>
      </c>
      <c r="AR456"/>
      <c r="AS456"/>
      <c r="AT456"/>
      <c r="AU456">
        <v>2019</v>
      </c>
      <c r="AV456">
        <v>985</v>
      </c>
      <c r="AW456"/>
      <c r="AX456"/>
      <c r="AY456"/>
      <c r="AZ456"/>
      <c r="BA456"/>
      <c r="BB456">
        <v>1</v>
      </c>
      <c r="BC456">
        <v>10</v>
      </c>
      <c r="BD456"/>
      <c r="BE456" t="s">
        <v>3215</v>
      </c>
      <c r="BF456" t="str">
        <f>HYPERLINK("http://dx.doi.org/10.1007/978-3-030-19810-7_1","http://dx.doi.org/10.1007/978-3-030-19810-7_1")</f>
        <v>http://dx.doi.org/10.1007/978-3-030-19810-7_1</v>
      </c>
      <c r="BG456"/>
      <c r="BH456"/>
      <c r="BI456"/>
      <c r="BJ456"/>
      <c r="BK456"/>
      <c r="BL456"/>
      <c r="BM456"/>
      <c r="BN456"/>
      <c r="BO456"/>
      <c r="BP456"/>
      <c r="BQ456"/>
      <c r="BR456"/>
      <c r="BS456" t="s">
        <v>3216</v>
      </c>
      <c r="BT456" t="str">
        <f>HYPERLINK("https%3A%2F%2Fwww.webofscience.com%2Fwos%2Fwoscc%2Ffull-record%2FWOS:000503762800001","View Full Record in Web of Science")</f>
        <v>View Full Record in Web of Science</v>
      </c>
    </row>
    <row r="457" spans="1:75" customHeight="1" ht="12.75">
      <c r="A457" t="s">
        <v>147</v>
      </c>
      <c r="B457" t="s">
        <v>3217</v>
      </c>
      <c r="C457"/>
      <c r="D457"/>
      <c r="E457" t="s">
        <v>210</v>
      </c>
      <c r="F457" t="s">
        <v>3218</v>
      </c>
      <c r="G457"/>
      <c r="H457"/>
      <c r="I457" t="s">
        <v>3219</v>
      </c>
      <c r="J457" t="s">
        <v>3220</v>
      </c>
      <c r="K457"/>
      <c r="L457"/>
      <c r="M457"/>
      <c r="N457"/>
      <c r="O457" t="s">
        <v>3221</v>
      </c>
      <c r="P457" t="s">
        <v>2914</v>
      </c>
      <c r="Q457" t="s">
        <v>3222</v>
      </c>
      <c r="R457" t="s">
        <v>3223</v>
      </c>
      <c r="S457" t="s">
        <v>3224</v>
      </c>
      <c r="T457"/>
      <c r="U457"/>
      <c r="V457"/>
      <c r="W457"/>
      <c r="X457"/>
      <c r="Y457"/>
      <c r="Z457"/>
      <c r="AA457"/>
      <c r="AB457"/>
      <c r="AC457"/>
      <c r="AD457"/>
      <c r="AE457"/>
      <c r="AF457"/>
      <c r="AG457"/>
      <c r="AH457"/>
      <c r="AI457"/>
      <c r="AJ457"/>
      <c r="AK457"/>
      <c r="AL457"/>
      <c r="AM457"/>
      <c r="AN457"/>
      <c r="AO457"/>
      <c r="AP457"/>
      <c r="AQ457" t="s">
        <v>3225</v>
      </c>
      <c r="AR457"/>
      <c r="AS457"/>
      <c r="AT457"/>
      <c r="AU457">
        <v>2019</v>
      </c>
      <c r="AV457"/>
      <c r="AW457"/>
      <c r="AX457"/>
      <c r="AY457"/>
      <c r="AZ457"/>
      <c r="BA457"/>
      <c r="BB457"/>
      <c r="BC457"/>
      <c r="BD457"/>
      <c r="BE457"/>
      <c r="BF457"/>
      <c r="BG457"/>
      <c r="BH457"/>
      <c r="BI457"/>
      <c r="BJ457"/>
      <c r="BK457"/>
      <c r="BL457"/>
      <c r="BM457"/>
      <c r="BN457"/>
      <c r="BO457"/>
      <c r="BP457"/>
      <c r="BQ457"/>
      <c r="BR457"/>
      <c r="BS457" t="s">
        <v>3226</v>
      </c>
      <c r="BT457" t="str">
        <f>HYPERLINK("https%3A%2F%2Fwww.webofscience.com%2Fwos%2Fwoscc%2Ffull-record%2FWOS:000560311400085","View Full Record in Web of Science")</f>
        <v>View Full Record in Web of Science</v>
      </c>
    </row>
    <row r="458" spans="1:75" customHeight="1" ht="12.75">
      <c r="A458" t="s">
        <v>72</v>
      </c>
      <c r="B458" t="s">
        <v>1074</v>
      </c>
      <c r="C458"/>
      <c r="D458"/>
      <c r="E458"/>
      <c r="F458" t="s">
        <v>2476</v>
      </c>
      <c r="G458"/>
      <c r="H458"/>
      <c r="I458" t="s">
        <v>3227</v>
      </c>
      <c r="J458" t="s">
        <v>2478</v>
      </c>
      <c r="K458"/>
      <c r="L458"/>
      <c r="M458"/>
      <c r="N458"/>
      <c r="O458"/>
      <c r="P458"/>
      <c r="Q458"/>
      <c r="R458"/>
      <c r="S458"/>
      <c r="T458"/>
      <c r="U458"/>
      <c r="V458"/>
      <c r="W458"/>
      <c r="X458"/>
      <c r="Y458"/>
      <c r="Z458"/>
      <c r="AA458" t="s">
        <v>1078</v>
      </c>
      <c r="AB458" t="s">
        <v>1079</v>
      </c>
      <c r="AC458"/>
      <c r="AD458"/>
      <c r="AE458"/>
      <c r="AF458"/>
      <c r="AG458"/>
      <c r="AH458"/>
      <c r="AI458"/>
      <c r="AJ458"/>
      <c r="AK458"/>
      <c r="AL458"/>
      <c r="AM458"/>
      <c r="AN458"/>
      <c r="AO458" t="s">
        <v>2479</v>
      </c>
      <c r="AP458"/>
      <c r="AQ458"/>
      <c r="AR458"/>
      <c r="AS458"/>
      <c r="AT458"/>
      <c r="AU458">
        <v>2019</v>
      </c>
      <c r="AV458">
        <v>16</v>
      </c>
      <c r="AW458"/>
      <c r="AX458"/>
      <c r="AY458"/>
      <c r="AZ458"/>
      <c r="BA458"/>
      <c r="BB458">
        <v>1493</v>
      </c>
      <c r="BC458">
        <v>1530</v>
      </c>
      <c r="BD458"/>
      <c r="BE458" t="s">
        <v>3228</v>
      </c>
      <c r="BF458" t="str">
        <f>HYPERLINK("http://dx.doi.org/10.33048/semi.2019.16.103","http://dx.doi.org/10.33048/semi.2019.16.103")</f>
        <v>http://dx.doi.org/10.33048/semi.2019.16.103</v>
      </c>
      <c r="BG458"/>
      <c r="BH458"/>
      <c r="BI458"/>
      <c r="BJ458"/>
      <c r="BK458"/>
      <c r="BL458"/>
      <c r="BM458"/>
      <c r="BN458"/>
      <c r="BO458"/>
      <c r="BP458"/>
      <c r="BQ458"/>
      <c r="BR458"/>
      <c r="BS458" t="s">
        <v>3229</v>
      </c>
      <c r="BT458" t="str">
        <f>HYPERLINK("https%3A%2F%2Fwww.webofscience.com%2Fwos%2Fwoscc%2Ffull-record%2FWOS:000491071700001","View Full Record in Web of Science")</f>
        <v>View Full Record in Web of Science</v>
      </c>
    </row>
    <row r="459" spans="1:75" customHeight="1" ht="12.75">
      <c r="A459" t="s">
        <v>72</v>
      </c>
      <c r="B459" t="s">
        <v>3230</v>
      </c>
      <c r="C459"/>
      <c r="D459"/>
      <c r="E459"/>
      <c r="F459" t="s">
        <v>3231</v>
      </c>
      <c r="G459"/>
      <c r="H459"/>
      <c r="I459" t="s">
        <v>3232</v>
      </c>
      <c r="J459" t="s">
        <v>3233</v>
      </c>
      <c r="K459"/>
      <c r="L459"/>
      <c r="M459"/>
      <c r="N459"/>
      <c r="O459"/>
      <c r="P459"/>
      <c r="Q459"/>
      <c r="R459"/>
      <c r="S459"/>
      <c r="T459"/>
      <c r="U459"/>
      <c r="V459"/>
      <c r="W459"/>
      <c r="X459"/>
      <c r="Y459"/>
      <c r="Z459"/>
      <c r="AA459" t="s">
        <v>3234</v>
      </c>
      <c r="AB459" t="s">
        <v>3235</v>
      </c>
      <c r="AC459"/>
      <c r="AD459"/>
      <c r="AE459"/>
      <c r="AF459"/>
      <c r="AG459"/>
      <c r="AH459"/>
      <c r="AI459"/>
      <c r="AJ459"/>
      <c r="AK459"/>
      <c r="AL459"/>
      <c r="AM459"/>
      <c r="AN459"/>
      <c r="AO459" t="s">
        <v>3236</v>
      </c>
      <c r="AP459" t="s">
        <v>3237</v>
      </c>
      <c r="AQ459"/>
      <c r="AR459"/>
      <c r="AS459"/>
      <c r="AT459" t="s">
        <v>171</v>
      </c>
      <c r="AU459">
        <v>2018</v>
      </c>
      <c r="AV459"/>
      <c r="AW459">
        <v>41</v>
      </c>
      <c r="AX459"/>
      <c r="AY459"/>
      <c r="AZ459"/>
      <c r="BA459"/>
      <c r="BB459">
        <v>255</v>
      </c>
      <c r="BC459">
        <v>270</v>
      </c>
      <c r="BD459"/>
      <c r="BE459" t="s">
        <v>3238</v>
      </c>
      <c r="BF459" t="str">
        <f>HYPERLINK("http://dx.doi.org/10.17223/19996195/41/16","http://dx.doi.org/10.17223/19996195/41/16")</f>
        <v>http://dx.doi.org/10.17223/19996195/41/16</v>
      </c>
      <c r="BG459"/>
      <c r="BH459"/>
      <c r="BI459"/>
      <c r="BJ459"/>
      <c r="BK459"/>
      <c r="BL459"/>
      <c r="BM459"/>
      <c r="BN459"/>
      <c r="BO459"/>
      <c r="BP459"/>
      <c r="BQ459"/>
      <c r="BR459"/>
      <c r="BS459" t="s">
        <v>3239</v>
      </c>
      <c r="BT459" t="str">
        <f>HYPERLINK("https%3A%2F%2Fwww.webofscience.com%2Fwos%2Fwoscc%2Ffull-record%2FWOS:000437910300016","View Full Record in Web of Science")</f>
        <v>View Full Record in Web of Science</v>
      </c>
    </row>
    <row r="460" spans="1:75" customHeight="1" ht="12.75">
      <c r="A460" t="s">
        <v>147</v>
      </c>
      <c r="B460" t="s">
        <v>3240</v>
      </c>
      <c r="C460"/>
      <c r="D460"/>
      <c r="E460" t="s">
        <v>210</v>
      </c>
      <c r="F460" t="s">
        <v>3241</v>
      </c>
      <c r="G460"/>
      <c r="H460"/>
      <c r="I460" t="s">
        <v>3242</v>
      </c>
      <c r="J460" t="s">
        <v>3243</v>
      </c>
      <c r="K460"/>
      <c r="L460"/>
      <c r="M460"/>
      <c r="N460"/>
      <c r="O460" t="s">
        <v>3244</v>
      </c>
      <c r="P460" t="s">
        <v>3245</v>
      </c>
      <c r="Q460" t="s">
        <v>746</v>
      </c>
      <c r="R460"/>
      <c r="S460"/>
      <c r="T460"/>
      <c r="U460"/>
      <c r="V460"/>
      <c r="W460"/>
      <c r="X460"/>
      <c r="Y460"/>
      <c r="Z460"/>
      <c r="AA460" t="s">
        <v>84</v>
      </c>
      <c r="AB460" t="s">
        <v>85</v>
      </c>
      <c r="AC460"/>
      <c r="AD460"/>
      <c r="AE460"/>
      <c r="AF460"/>
      <c r="AG460"/>
      <c r="AH460"/>
      <c r="AI460"/>
      <c r="AJ460"/>
      <c r="AK460"/>
      <c r="AL460"/>
      <c r="AM460"/>
      <c r="AN460"/>
      <c r="AO460"/>
      <c r="AP460"/>
      <c r="AQ460" t="s">
        <v>3246</v>
      </c>
      <c r="AR460"/>
      <c r="AS460"/>
      <c r="AT460"/>
      <c r="AU460">
        <v>2018</v>
      </c>
      <c r="AV460"/>
      <c r="AW460"/>
      <c r="AX460"/>
      <c r="AY460"/>
      <c r="AZ460"/>
      <c r="BA460"/>
      <c r="BB460">
        <v>153</v>
      </c>
      <c r="BC460">
        <v>157</v>
      </c>
      <c r="BD460"/>
      <c r="BE460" t="s">
        <v>3247</v>
      </c>
      <c r="BF460" t="str">
        <f>HYPERLINK("http://dx.doi.org/10.1109/EnT-MIPT.2018.00042","http://dx.doi.org/10.1109/EnT-MIPT.2018.00042")</f>
        <v>http://dx.doi.org/10.1109/EnT-MIPT.2018.00042</v>
      </c>
      <c r="BG460"/>
      <c r="BH460"/>
      <c r="BI460"/>
      <c r="BJ460"/>
      <c r="BK460"/>
      <c r="BL460"/>
      <c r="BM460"/>
      <c r="BN460"/>
      <c r="BO460"/>
      <c r="BP460"/>
      <c r="BQ460"/>
      <c r="BR460"/>
      <c r="BS460" t="s">
        <v>3248</v>
      </c>
      <c r="BT460" t="str">
        <f>HYPERLINK("https%3A%2F%2Fwww.webofscience.com%2Fwos%2Fwoscc%2Ffull-record%2FWOS:000490858200035","View Full Record in Web of Science")</f>
        <v>View Full Record in Web of Science</v>
      </c>
    </row>
    <row r="461" spans="1:75" customHeight="1" ht="12.75">
      <c r="A461" t="s">
        <v>147</v>
      </c>
      <c r="B461" t="s">
        <v>3249</v>
      </c>
      <c r="C461"/>
      <c r="D461"/>
      <c r="E461" t="s">
        <v>175</v>
      </c>
      <c r="F461" t="s">
        <v>3250</v>
      </c>
      <c r="G461"/>
      <c r="H461"/>
      <c r="I461" t="s">
        <v>3251</v>
      </c>
      <c r="J461" t="s">
        <v>885</v>
      </c>
      <c r="K461" t="s">
        <v>179</v>
      </c>
      <c r="L461"/>
      <c r="M461"/>
      <c r="N461"/>
      <c r="O461" t="s">
        <v>886</v>
      </c>
      <c r="P461" t="s">
        <v>887</v>
      </c>
      <c r="Q461" t="s">
        <v>888</v>
      </c>
      <c r="R461"/>
      <c r="S461"/>
      <c r="T461"/>
      <c r="U461"/>
      <c r="V461"/>
      <c r="W461"/>
      <c r="X461"/>
      <c r="Y461"/>
      <c r="Z461"/>
      <c r="AA461" t="s">
        <v>1107</v>
      </c>
      <c r="AB461" t="s">
        <v>1108</v>
      </c>
      <c r="AC461"/>
      <c r="AD461"/>
      <c r="AE461"/>
      <c r="AF461"/>
      <c r="AG461"/>
      <c r="AH461"/>
      <c r="AI461"/>
      <c r="AJ461"/>
      <c r="AK461"/>
      <c r="AL461"/>
      <c r="AM461"/>
      <c r="AN461"/>
      <c r="AO461" t="s">
        <v>187</v>
      </c>
      <c r="AP461" t="s">
        <v>188</v>
      </c>
      <c r="AQ461"/>
      <c r="AR461"/>
      <c r="AS461"/>
      <c r="AT461"/>
      <c r="AU461">
        <v>2018</v>
      </c>
      <c r="AV461">
        <v>944</v>
      </c>
      <c r="AW461"/>
      <c r="AX461"/>
      <c r="AY461"/>
      <c r="AZ461"/>
      <c r="BA461"/>
      <c r="BB461"/>
      <c r="BC461"/>
      <c r="BD461">
        <v>12045</v>
      </c>
      <c r="BE461" t="s">
        <v>3252</v>
      </c>
      <c r="BF461" t="str">
        <f>HYPERLINK("http://dx.doi.org/10.1088/1742-6596/944/1/012045","http://dx.doi.org/10.1088/1742-6596/944/1/012045")</f>
        <v>http://dx.doi.org/10.1088/1742-6596/944/1/012045</v>
      </c>
      <c r="BG461"/>
      <c r="BH461"/>
      <c r="BI461"/>
      <c r="BJ461"/>
      <c r="BK461"/>
      <c r="BL461"/>
      <c r="BM461"/>
      <c r="BN461"/>
      <c r="BO461"/>
      <c r="BP461"/>
      <c r="BQ461"/>
      <c r="BR461"/>
      <c r="BS461" t="s">
        <v>3253</v>
      </c>
      <c r="BT461" t="str">
        <f>HYPERLINK("https%3A%2F%2Fwww.webofscience.com%2Fwos%2Fwoscc%2Ffull-record%2FWOS:000431622000045","View Full Record in Web of Science")</f>
        <v>View Full Record in Web of Science</v>
      </c>
    </row>
    <row r="462" spans="1:75" customHeight="1" ht="12.75">
      <c r="A462" t="s">
        <v>147</v>
      </c>
      <c r="B462" t="s">
        <v>3254</v>
      </c>
      <c r="C462"/>
      <c r="D462" t="s">
        <v>2500</v>
      </c>
      <c r="E462"/>
      <c r="F462" t="s">
        <v>3255</v>
      </c>
      <c r="G462"/>
      <c r="H462"/>
      <c r="I462" t="s">
        <v>3256</v>
      </c>
      <c r="J462" t="s">
        <v>2503</v>
      </c>
      <c r="K462" t="s">
        <v>2504</v>
      </c>
      <c r="L462"/>
      <c r="M462"/>
      <c r="N462"/>
      <c r="O462" t="s">
        <v>2505</v>
      </c>
      <c r="P462" t="s">
        <v>2506</v>
      </c>
      <c r="Q462" t="s">
        <v>2507</v>
      </c>
      <c r="R462" t="s">
        <v>2508</v>
      </c>
      <c r="S462"/>
      <c r="T462"/>
      <c r="U462"/>
      <c r="V462"/>
      <c r="W462"/>
      <c r="X462"/>
      <c r="Y462"/>
      <c r="Z462"/>
      <c r="AA462" t="s">
        <v>1885</v>
      </c>
      <c r="AB462" t="s">
        <v>3257</v>
      </c>
      <c r="AC462"/>
      <c r="AD462"/>
      <c r="AE462"/>
      <c r="AF462"/>
      <c r="AG462"/>
      <c r="AH462"/>
      <c r="AI462"/>
      <c r="AJ462"/>
      <c r="AK462"/>
      <c r="AL462"/>
      <c r="AM462"/>
      <c r="AN462"/>
      <c r="AO462" t="s">
        <v>2509</v>
      </c>
      <c r="AP462"/>
      <c r="AQ462" t="s">
        <v>2510</v>
      </c>
      <c r="AR462"/>
      <c r="AS462"/>
      <c r="AT462"/>
      <c r="AU462">
        <v>2018</v>
      </c>
      <c r="AV462">
        <v>47</v>
      </c>
      <c r="AW462"/>
      <c r="AX462"/>
      <c r="AY462"/>
      <c r="AZ462"/>
      <c r="BA462"/>
      <c r="BB462">
        <v>680</v>
      </c>
      <c r="BC462">
        <v>682</v>
      </c>
      <c r="BD462"/>
      <c r="BE462"/>
      <c r="BF462"/>
      <c r="BG462"/>
      <c r="BH462"/>
      <c r="BI462"/>
      <c r="BJ462"/>
      <c r="BK462"/>
      <c r="BL462"/>
      <c r="BM462"/>
      <c r="BN462"/>
      <c r="BO462"/>
      <c r="BP462"/>
      <c r="BQ462"/>
      <c r="BR462"/>
      <c r="BS462" t="s">
        <v>3258</v>
      </c>
      <c r="BT462" t="str">
        <f>HYPERLINK("https%3A%2F%2Fwww.webofscience.com%2Fwos%2Fwoscc%2Ffull-record%2FWOS:000679066800151","View Full Record in Web of Science")</f>
        <v>View Full Record in Web of Science</v>
      </c>
    </row>
    <row r="463" spans="1:75" customHeight="1" ht="12.75">
      <c r="A463" t="s">
        <v>72</v>
      </c>
      <c r="B463" t="s">
        <v>3259</v>
      </c>
      <c r="C463"/>
      <c r="D463"/>
      <c r="E463"/>
      <c r="F463" t="s">
        <v>3260</v>
      </c>
      <c r="G463"/>
      <c r="H463"/>
      <c r="I463" t="s">
        <v>3261</v>
      </c>
      <c r="J463" t="s">
        <v>1944</v>
      </c>
      <c r="K463"/>
      <c r="L463"/>
      <c r="M463"/>
      <c r="N463"/>
      <c r="O463"/>
      <c r="P463"/>
      <c r="Q463"/>
      <c r="R463"/>
      <c r="S463"/>
      <c r="T463"/>
      <c r="U463"/>
      <c r="V463"/>
      <c r="W463"/>
      <c r="X463"/>
      <c r="Y463"/>
      <c r="Z463"/>
      <c r="AA463" t="s">
        <v>2348</v>
      </c>
      <c r="AB463" t="s">
        <v>2349</v>
      </c>
      <c r="AC463"/>
      <c r="AD463"/>
      <c r="AE463"/>
      <c r="AF463"/>
      <c r="AG463"/>
      <c r="AH463"/>
      <c r="AI463"/>
      <c r="AJ463"/>
      <c r="AK463"/>
      <c r="AL463"/>
      <c r="AM463"/>
      <c r="AN463"/>
      <c r="AO463" t="s">
        <v>1947</v>
      </c>
      <c r="AP463"/>
      <c r="AQ463"/>
      <c r="AR463"/>
      <c r="AS463"/>
      <c r="AT463"/>
      <c r="AU463">
        <v>2018</v>
      </c>
      <c r="AV463">
        <v>63</v>
      </c>
      <c r="AW463">
        <v>4</v>
      </c>
      <c r="AX463"/>
      <c r="AY463"/>
      <c r="AZ463"/>
      <c r="BA463"/>
      <c r="BB463">
        <v>1289</v>
      </c>
      <c r="BC463">
        <v>1302</v>
      </c>
      <c r="BD463"/>
      <c r="BE463" t="s">
        <v>3262</v>
      </c>
      <c r="BF463" t="str">
        <f>HYPERLINK("http://dx.doi.org/10.21638/11701/spbu02.2018.417","http://dx.doi.org/10.21638/11701/spbu02.2018.417")</f>
        <v>http://dx.doi.org/10.21638/11701/spbu02.2018.417</v>
      </c>
      <c r="BG463"/>
      <c r="BH463"/>
      <c r="BI463"/>
      <c r="BJ463"/>
      <c r="BK463"/>
      <c r="BL463"/>
      <c r="BM463"/>
      <c r="BN463"/>
      <c r="BO463"/>
      <c r="BP463"/>
      <c r="BQ463"/>
      <c r="BR463"/>
      <c r="BS463" t="s">
        <v>3263</v>
      </c>
      <c r="BT463" t="str">
        <f>HYPERLINK("https%3A%2F%2Fwww.webofscience.com%2Fwos%2Fwoscc%2Ffull-record%2FWOS:000456948700017","View Full Record in Web of Science")</f>
        <v>View Full Record in Web of Science</v>
      </c>
    </row>
    <row r="464" spans="1:75" customHeight="1" ht="12.75">
      <c r="A464" t="s">
        <v>72</v>
      </c>
      <c r="B464" t="s">
        <v>302</v>
      </c>
      <c r="C464"/>
      <c r="D464"/>
      <c r="E464"/>
      <c r="F464" t="s">
        <v>3264</v>
      </c>
      <c r="G464"/>
      <c r="H464"/>
      <c r="I464" t="s">
        <v>3265</v>
      </c>
      <c r="J464" t="s">
        <v>244</v>
      </c>
      <c r="K464"/>
      <c r="L464"/>
      <c r="M464"/>
      <c r="N464"/>
      <c r="O464"/>
      <c r="P464"/>
      <c r="Q464"/>
      <c r="R464"/>
      <c r="S464"/>
      <c r="T464"/>
      <c r="U464"/>
      <c r="V464"/>
      <c r="W464"/>
      <c r="X464"/>
      <c r="Y464"/>
      <c r="Z464"/>
      <c r="AA464" t="s">
        <v>305</v>
      </c>
      <c r="AB464" t="s">
        <v>306</v>
      </c>
      <c r="AC464"/>
      <c r="AD464"/>
      <c r="AE464"/>
      <c r="AF464"/>
      <c r="AG464"/>
      <c r="AH464"/>
      <c r="AI464"/>
      <c r="AJ464"/>
      <c r="AK464"/>
      <c r="AL464"/>
      <c r="AM464"/>
      <c r="AN464"/>
      <c r="AO464" t="s">
        <v>245</v>
      </c>
      <c r="AP464" t="s">
        <v>246</v>
      </c>
      <c r="AQ464"/>
      <c r="AR464"/>
      <c r="AS464"/>
      <c r="AT464"/>
      <c r="AU464">
        <v>2017</v>
      </c>
      <c r="AV464"/>
      <c r="AW464">
        <v>2</v>
      </c>
      <c r="AX464"/>
      <c r="AY464"/>
      <c r="AZ464"/>
      <c r="BA464"/>
      <c r="BB464">
        <v>126</v>
      </c>
      <c r="BC464">
        <v>137</v>
      </c>
      <c r="BD464"/>
      <c r="BE464"/>
      <c r="BF464"/>
      <c r="BG464"/>
      <c r="BH464"/>
      <c r="BI464"/>
      <c r="BJ464"/>
      <c r="BK464"/>
      <c r="BL464"/>
      <c r="BM464"/>
      <c r="BN464"/>
      <c r="BO464"/>
      <c r="BP464"/>
      <c r="BQ464"/>
      <c r="BR464"/>
      <c r="BS464" t="s">
        <v>3266</v>
      </c>
      <c r="BT464" t="str">
        <f>HYPERLINK("https%3A%2F%2Fwww.webofscience.com%2Fwos%2Fwoscc%2Ffull-record%2FWOS:000396961700009","View Full Record in Web of Science")</f>
        <v>View Full Record in Web of Science</v>
      </c>
    </row>
    <row r="465" spans="1:75" customHeight="1" ht="12.75">
      <c r="A465" t="s">
        <v>72</v>
      </c>
      <c r="B465" t="s">
        <v>1660</v>
      </c>
      <c r="C465"/>
      <c r="D465"/>
      <c r="E465"/>
      <c r="F465" t="s">
        <v>1661</v>
      </c>
      <c r="G465"/>
      <c r="H465"/>
      <c r="I465" t="s">
        <v>3267</v>
      </c>
      <c r="J465" t="s">
        <v>244</v>
      </c>
      <c r="K465"/>
      <c r="L465"/>
      <c r="M465"/>
      <c r="N465"/>
      <c r="O465"/>
      <c r="P465"/>
      <c r="Q465"/>
      <c r="R465"/>
      <c r="S465"/>
      <c r="T465"/>
      <c r="U465"/>
      <c r="V465"/>
      <c r="W465"/>
      <c r="X465"/>
      <c r="Y465"/>
      <c r="Z465"/>
      <c r="AA465" t="s">
        <v>1460</v>
      </c>
      <c r="AB465" t="s">
        <v>1461</v>
      </c>
      <c r="AC465"/>
      <c r="AD465"/>
      <c r="AE465"/>
      <c r="AF465"/>
      <c r="AG465"/>
      <c r="AH465"/>
      <c r="AI465"/>
      <c r="AJ465"/>
      <c r="AK465"/>
      <c r="AL465"/>
      <c r="AM465"/>
      <c r="AN465"/>
      <c r="AO465" t="s">
        <v>245</v>
      </c>
      <c r="AP465" t="s">
        <v>246</v>
      </c>
      <c r="AQ465"/>
      <c r="AR465"/>
      <c r="AS465"/>
      <c r="AT465"/>
      <c r="AU465">
        <v>2017</v>
      </c>
      <c r="AV465"/>
      <c r="AW465">
        <v>2</v>
      </c>
      <c r="AX465"/>
      <c r="AY465"/>
      <c r="AZ465"/>
      <c r="BA465"/>
      <c r="BB465">
        <v>146</v>
      </c>
      <c r="BC465">
        <v>151</v>
      </c>
      <c r="BD465"/>
      <c r="BE465"/>
      <c r="BF465"/>
      <c r="BG465"/>
      <c r="BH465"/>
      <c r="BI465"/>
      <c r="BJ465"/>
      <c r="BK465"/>
      <c r="BL465"/>
      <c r="BM465"/>
      <c r="BN465"/>
      <c r="BO465"/>
      <c r="BP465"/>
      <c r="BQ465"/>
      <c r="BR465"/>
      <c r="BS465" t="s">
        <v>3268</v>
      </c>
      <c r="BT465" t="str">
        <f>HYPERLINK("https%3A%2F%2Fwww.webofscience.com%2Fwos%2Fwoscc%2Ffull-record%2FWOS:000396961700011","View Full Record in Web of Science")</f>
        <v>View Full Record in Web of Science</v>
      </c>
    </row>
    <row r="466" spans="1:75" customHeight="1" ht="12.75">
      <c r="A466" t="s">
        <v>147</v>
      </c>
      <c r="B466" t="s">
        <v>3269</v>
      </c>
      <c r="C466"/>
      <c r="D466" t="s">
        <v>3270</v>
      </c>
      <c r="E466"/>
      <c r="F466" t="s">
        <v>3271</v>
      </c>
      <c r="G466"/>
      <c r="H466"/>
      <c r="I466" t="s">
        <v>3272</v>
      </c>
      <c r="J466" t="s">
        <v>3273</v>
      </c>
      <c r="K466" t="s">
        <v>1494</v>
      </c>
      <c r="L466"/>
      <c r="M466"/>
      <c r="N466"/>
      <c r="O466" t="s">
        <v>3274</v>
      </c>
      <c r="P466" t="s">
        <v>3275</v>
      </c>
      <c r="Q466" t="s">
        <v>3276</v>
      </c>
      <c r="R466" t="s">
        <v>3277</v>
      </c>
      <c r="S466"/>
      <c r="T466"/>
      <c r="U466"/>
      <c r="V466"/>
      <c r="W466"/>
      <c r="X466"/>
      <c r="Y466"/>
      <c r="Z466"/>
      <c r="AA466" t="s">
        <v>3278</v>
      </c>
      <c r="AB466" t="s">
        <v>3279</v>
      </c>
      <c r="AC466"/>
      <c r="AD466"/>
      <c r="AE466"/>
      <c r="AF466"/>
      <c r="AG466"/>
      <c r="AH466"/>
      <c r="AI466"/>
      <c r="AJ466"/>
      <c r="AK466"/>
      <c r="AL466"/>
      <c r="AM466"/>
      <c r="AN466"/>
      <c r="AO466" t="s">
        <v>1500</v>
      </c>
      <c r="AP466" t="s">
        <v>1304</v>
      </c>
      <c r="AQ466" t="s">
        <v>3280</v>
      </c>
      <c r="AR466"/>
      <c r="AS466"/>
      <c r="AT466"/>
      <c r="AU466">
        <v>2017</v>
      </c>
      <c r="AV466">
        <v>10421</v>
      </c>
      <c r="AW466"/>
      <c r="AX466"/>
      <c r="AY466"/>
      <c r="AZ466"/>
      <c r="BA466"/>
      <c r="BB466">
        <v>196</v>
      </c>
      <c r="BC466">
        <v>204</v>
      </c>
      <c r="BD466"/>
      <c r="BE466" t="s">
        <v>3281</v>
      </c>
      <c r="BF466" t="str">
        <f>HYPERLINK("http://dx.doi.org/10.1007/978-3-319-62932-2_18","http://dx.doi.org/10.1007/978-3-319-62932-2_18")</f>
        <v>http://dx.doi.org/10.1007/978-3-319-62932-2_18</v>
      </c>
      <c r="BG466"/>
      <c r="BH466"/>
      <c r="BI466"/>
      <c r="BJ466"/>
      <c r="BK466"/>
      <c r="BL466"/>
      <c r="BM466"/>
      <c r="BN466"/>
      <c r="BO466"/>
      <c r="BP466"/>
      <c r="BQ466"/>
      <c r="BR466"/>
      <c r="BS466" t="s">
        <v>3282</v>
      </c>
      <c r="BT466" t="str">
        <f>HYPERLINK("https%3A%2F%2Fwww.webofscience.com%2Fwos%2Fwoscc%2Ffull-record%2FWOS:000444105600018","View Full Record in Web of Science")</f>
        <v>View Full Record in Web of Science</v>
      </c>
    </row>
    <row r="467" spans="1:75" customHeight="1" ht="12.75">
      <c r="A467" t="s">
        <v>147</v>
      </c>
      <c r="B467" t="s">
        <v>2678</v>
      </c>
      <c r="C467"/>
      <c r="D467" t="s">
        <v>2011</v>
      </c>
      <c r="E467"/>
      <c r="F467" t="s">
        <v>2679</v>
      </c>
      <c r="G467"/>
      <c r="H467"/>
      <c r="I467" t="s">
        <v>3283</v>
      </c>
      <c r="J467" t="s">
        <v>2014</v>
      </c>
      <c r="K467" t="s">
        <v>390</v>
      </c>
      <c r="L467"/>
      <c r="M467"/>
      <c r="N467"/>
      <c r="O467" t="s">
        <v>2015</v>
      </c>
      <c r="P467" t="s">
        <v>2016</v>
      </c>
      <c r="Q467" t="s">
        <v>1553</v>
      </c>
      <c r="R467"/>
      <c r="S467"/>
      <c r="T467"/>
      <c r="U467"/>
      <c r="V467"/>
      <c r="W467"/>
      <c r="X467"/>
      <c r="Y467"/>
      <c r="Z467"/>
      <c r="AA467" t="s">
        <v>1143</v>
      </c>
      <c r="AB467" t="s">
        <v>1144</v>
      </c>
      <c r="AC467"/>
      <c r="AD467"/>
      <c r="AE467"/>
      <c r="AF467"/>
      <c r="AG467"/>
      <c r="AH467"/>
      <c r="AI467"/>
      <c r="AJ467"/>
      <c r="AK467"/>
      <c r="AL467"/>
      <c r="AM467"/>
      <c r="AN467"/>
      <c r="AO467" t="s">
        <v>395</v>
      </c>
      <c r="AP467"/>
      <c r="AQ467" t="s">
        <v>2019</v>
      </c>
      <c r="AR467"/>
      <c r="AS467"/>
      <c r="AT467"/>
      <c r="AU467">
        <v>2017</v>
      </c>
      <c r="AV467"/>
      <c r="AW467"/>
      <c r="AX467"/>
      <c r="AY467"/>
      <c r="AZ467"/>
      <c r="BA467"/>
      <c r="BB467">
        <v>155</v>
      </c>
      <c r="BC467">
        <v>158</v>
      </c>
      <c r="BD467"/>
      <c r="BE467"/>
      <c r="BF467"/>
      <c r="BG467"/>
      <c r="BH467"/>
      <c r="BI467"/>
      <c r="BJ467"/>
      <c r="BK467"/>
      <c r="BL467"/>
      <c r="BM467"/>
      <c r="BN467"/>
      <c r="BO467"/>
      <c r="BP467"/>
      <c r="BQ467"/>
      <c r="BR467"/>
      <c r="BS467" t="s">
        <v>3284</v>
      </c>
      <c r="BT467" t="str">
        <f>HYPERLINK("https%3A%2F%2Fwww.webofscience.com%2Fwos%2Fwoscc%2Ffull-record%2FWOS:000428759500042","View Full Record in Web of Science")</f>
        <v>View Full Record in Web of Science</v>
      </c>
    </row>
    <row r="468" spans="1:75" customHeight="1" ht="12.75">
      <c r="A468" t="s">
        <v>147</v>
      </c>
      <c r="B468" t="s">
        <v>3285</v>
      </c>
      <c r="C468"/>
      <c r="D468"/>
      <c r="E468" t="s">
        <v>210</v>
      </c>
      <c r="F468" t="s">
        <v>3286</v>
      </c>
      <c r="G468"/>
      <c r="H468"/>
      <c r="I468" t="s">
        <v>3287</v>
      </c>
      <c r="J468" t="s">
        <v>1539</v>
      </c>
      <c r="K468"/>
      <c r="L468"/>
      <c r="M468"/>
      <c r="N468"/>
      <c r="O468" t="s">
        <v>1540</v>
      </c>
      <c r="P468" t="s">
        <v>1541</v>
      </c>
      <c r="Q468" t="s">
        <v>1542</v>
      </c>
      <c r="R468" t="s">
        <v>1543</v>
      </c>
      <c r="S468"/>
      <c r="T468"/>
      <c r="U468"/>
      <c r="V468"/>
      <c r="W468"/>
      <c r="X468"/>
      <c r="Y468"/>
      <c r="Z468"/>
      <c r="AA468"/>
      <c r="AB468"/>
      <c r="AC468"/>
      <c r="AD468"/>
      <c r="AE468"/>
      <c r="AF468"/>
      <c r="AG468"/>
      <c r="AH468"/>
      <c r="AI468"/>
      <c r="AJ468"/>
      <c r="AK468"/>
      <c r="AL468"/>
      <c r="AM468"/>
      <c r="AN468"/>
      <c r="AO468"/>
      <c r="AP468"/>
      <c r="AQ468" t="s">
        <v>1544</v>
      </c>
      <c r="AR468"/>
      <c r="AS468"/>
      <c r="AT468"/>
      <c r="AU468">
        <v>2016</v>
      </c>
      <c r="AV468"/>
      <c r="AW468"/>
      <c r="AX468"/>
      <c r="AY468"/>
      <c r="AZ468"/>
      <c r="BA468"/>
      <c r="BB468"/>
      <c r="BC468"/>
      <c r="BD468"/>
      <c r="BE468"/>
      <c r="BF468"/>
      <c r="BG468"/>
      <c r="BH468"/>
      <c r="BI468"/>
      <c r="BJ468"/>
      <c r="BK468"/>
      <c r="BL468"/>
      <c r="BM468"/>
      <c r="BN468"/>
      <c r="BO468"/>
      <c r="BP468"/>
      <c r="BQ468"/>
      <c r="BR468"/>
      <c r="BS468" t="s">
        <v>3288</v>
      </c>
      <c r="BT468" t="str">
        <f>HYPERLINK("https%3A%2F%2Fwww.webofscience.com%2Fwos%2Fwoscc%2Ffull-record%2FWOS:000403604400117","View Full Record in Web of Science")</f>
        <v>View Full Record in Web of Science</v>
      </c>
    </row>
    <row r="469" spans="1:75" customHeight="1" ht="12.75">
      <c r="A469" t="s">
        <v>147</v>
      </c>
      <c r="B469" t="s">
        <v>3289</v>
      </c>
      <c r="C469"/>
      <c r="D469"/>
      <c r="E469" t="s">
        <v>280</v>
      </c>
      <c r="F469" t="s">
        <v>3290</v>
      </c>
      <c r="G469"/>
      <c r="H469"/>
      <c r="I469" t="s">
        <v>3291</v>
      </c>
      <c r="J469" t="s">
        <v>1411</v>
      </c>
      <c r="K469" t="s">
        <v>284</v>
      </c>
      <c r="L469"/>
      <c r="M469"/>
      <c r="N469"/>
      <c r="O469" t="s">
        <v>285</v>
      </c>
      <c r="P469" t="s">
        <v>286</v>
      </c>
      <c r="Q469" t="s">
        <v>287</v>
      </c>
      <c r="R469" t="s">
        <v>288</v>
      </c>
      <c r="S469"/>
      <c r="T469"/>
      <c r="U469"/>
      <c r="V469"/>
      <c r="W469"/>
      <c r="X469"/>
      <c r="Y469"/>
      <c r="Z469"/>
      <c r="AA469"/>
      <c r="AB469"/>
      <c r="AC469"/>
      <c r="AD469"/>
      <c r="AE469"/>
      <c r="AF469"/>
      <c r="AG469"/>
      <c r="AH469"/>
      <c r="AI469"/>
      <c r="AJ469"/>
      <c r="AK469"/>
      <c r="AL469"/>
      <c r="AM469"/>
      <c r="AN469"/>
      <c r="AO469" t="s">
        <v>289</v>
      </c>
      <c r="AP469"/>
      <c r="AQ469" t="s">
        <v>1414</v>
      </c>
      <c r="AR469"/>
      <c r="AS469"/>
      <c r="AT469"/>
      <c r="AU469">
        <v>2014</v>
      </c>
      <c r="AV469"/>
      <c r="AW469"/>
      <c r="AX469"/>
      <c r="AY469"/>
      <c r="AZ469"/>
      <c r="BA469"/>
      <c r="BB469">
        <v>501</v>
      </c>
      <c r="BC469">
        <v>508</v>
      </c>
      <c r="BD469"/>
      <c r="BE469"/>
      <c r="BF469"/>
      <c r="BG469"/>
      <c r="BH469"/>
      <c r="BI469"/>
      <c r="BJ469"/>
      <c r="BK469"/>
      <c r="BL469"/>
      <c r="BM469"/>
      <c r="BN469"/>
      <c r="BO469"/>
      <c r="BP469"/>
      <c r="BQ469"/>
      <c r="BR469"/>
      <c r="BS469" t="s">
        <v>3292</v>
      </c>
      <c r="BT469" t="str">
        <f>HYPERLINK("https%3A%2F%2Fwww.webofscience.com%2Fwos%2Fwoscc%2Ffull-record%2FWOS:000357943500061","View Full Record in Web of Science")</f>
        <v>View Full Record in Web of Science</v>
      </c>
    </row>
    <row r="470" spans="1:75" customHeight="1" ht="12.75">
      <c r="A470" t="s">
        <v>72</v>
      </c>
      <c r="B470" t="s">
        <v>292</v>
      </c>
      <c r="C470"/>
      <c r="D470"/>
      <c r="E470"/>
      <c r="F470" t="s">
        <v>293</v>
      </c>
      <c r="G470"/>
      <c r="H470"/>
      <c r="I470" t="s">
        <v>3293</v>
      </c>
      <c r="J470" t="s">
        <v>76</v>
      </c>
      <c r="K470"/>
      <c r="L470"/>
      <c r="M470"/>
      <c r="N470"/>
      <c r="O470"/>
      <c r="P470"/>
      <c r="Q470"/>
      <c r="R470"/>
      <c r="S470"/>
      <c r="T470"/>
      <c r="U470"/>
      <c r="V470"/>
      <c r="W470"/>
      <c r="X470"/>
      <c r="Y470"/>
      <c r="Z470"/>
      <c r="AA470"/>
      <c r="AB470"/>
      <c r="AC470"/>
      <c r="AD470"/>
      <c r="AE470"/>
      <c r="AF470"/>
      <c r="AG470"/>
      <c r="AH470"/>
      <c r="AI470"/>
      <c r="AJ470"/>
      <c r="AK470"/>
      <c r="AL470"/>
      <c r="AM470"/>
      <c r="AN470"/>
      <c r="AO470" t="s">
        <v>77</v>
      </c>
      <c r="AP470"/>
      <c r="AQ470"/>
      <c r="AR470"/>
      <c r="AS470"/>
      <c r="AT470" t="s">
        <v>1012</v>
      </c>
      <c r="AU470">
        <v>2011</v>
      </c>
      <c r="AV470"/>
      <c r="AW470">
        <v>5</v>
      </c>
      <c r="AX470"/>
      <c r="AY470"/>
      <c r="AZ470"/>
      <c r="BA470"/>
      <c r="BB470">
        <v>112</v>
      </c>
      <c r="BC470">
        <v>120</v>
      </c>
      <c r="BD470"/>
      <c r="BE470"/>
      <c r="BF470"/>
      <c r="BG470"/>
      <c r="BH470"/>
      <c r="BI470"/>
      <c r="BJ470"/>
      <c r="BK470"/>
      <c r="BL470"/>
      <c r="BM470"/>
      <c r="BN470"/>
      <c r="BO470"/>
      <c r="BP470"/>
      <c r="BQ470"/>
      <c r="BR470"/>
      <c r="BS470" t="s">
        <v>3294</v>
      </c>
      <c r="BT470" t="str">
        <f>HYPERLINK("https%3A%2F%2Fwww.webofscience.com%2Fwos%2Fwoscc%2Ffull-record%2FWOS:000296675600009","View Full Record in Web of Science")</f>
        <v>View Full Record in Web of Science</v>
      </c>
    </row>
    <row r="471" spans="1:75" customHeight="1" ht="12.75">
      <c r="A471" t="s">
        <v>72</v>
      </c>
      <c r="B471" t="s">
        <v>3295</v>
      </c>
      <c r="C471"/>
      <c r="D471"/>
      <c r="E471"/>
      <c r="F471" t="s">
        <v>3296</v>
      </c>
      <c r="G471"/>
      <c r="H471"/>
      <c r="I471" t="s">
        <v>3297</v>
      </c>
      <c r="J471" t="s">
        <v>3298</v>
      </c>
      <c r="K471"/>
      <c r="L471"/>
      <c r="M471"/>
      <c r="N471"/>
      <c r="O471"/>
      <c r="P471"/>
      <c r="Q471"/>
      <c r="R471"/>
      <c r="S471"/>
      <c r="T471"/>
      <c r="U471"/>
      <c r="V471"/>
      <c r="W471"/>
      <c r="X471"/>
      <c r="Y471"/>
      <c r="Z471"/>
      <c r="AA471" t="s">
        <v>990</v>
      </c>
      <c r="AB471" t="s">
        <v>3299</v>
      </c>
      <c r="AC471"/>
      <c r="AD471"/>
      <c r="AE471"/>
      <c r="AF471"/>
      <c r="AG471"/>
      <c r="AH471"/>
      <c r="AI471"/>
      <c r="AJ471"/>
      <c r="AK471"/>
      <c r="AL471"/>
      <c r="AM471"/>
      <c r="AN471"/>
      <c r="AO471" t="s">
        <v>3300</v>
      </c>
      <c r="AP471"/>
      <c r="AQ471"/>
      <c r="AR471"/>
      <c r="AS471"/>
      <c r="AT471" t="s">
        <v>307</v>
      </c>
      <c r="AU471">
        <v>2007</v>
      </c>
      <c r="AV471">
        <v>62</v>
      </c>
      <c r="AW471">
        <v>1</v>
      </c>
      <c r="AX471"/>
      <c r="AY471"/>
      <c r="AZ471"/>
      <c r="BA471"/>
      <c r="BB471">
        <v>199</v>
      </c>
      <c r="BC471">
        <v>201</v>
      </c>
      <c r="BD471"/>
      <c r="BE471" t="s">
        <v>3301</v>
      </c>
      <c r="BF471" t="str">
        <f>HYPERLINK("http://dx.doi.org/10.1070/RM2007v062n01ABEH004387","http://dx.doi.org/10.1070/RM2007v062n01ABEH004387")</f>
        <v>http://dx.doi.org/10.1070/RM2007v062n01ABEH004387</v>
      </c>
      <c r="BG471"/>
      <c r="BH471"/>
      <c r="BI471"/>
      <c r="BJ471"/>
      <c r="BK471"/>
      <c r="BL471"/>
      <c r="BM471"/>
      <c r="BN471"/>
      <c r="BO471"/>
      <c r="BP471"/>
      <c r="BQ471"/>
      <c r="BR471"/>
      <c r="BS471" t="s">
        <v>3302</v>
      </c>
      <c r="BT471" t="str">
        <f>HYPERLINK("https%3A%2F%2Fwww.webofscience.com%2Fwos%2Fwoscc%2Ffull-record%2FWOS:000247727000013","View Full Record in Web of Science")</f>
        <v>View Full Record in Web of Science</v>
      </c>
    </row>
    <row r="472" spans="1:75" customHeight="1" ht="12.75">
      <c r="A472" t="s">
        <v>72</v>
      </c>
      <c r="B472" t="s">
        <v>3303</v>
      </c>
      <c r="C472"/>
      <c r="D472"/>
      <c r="E472"/>
      <c r="F472" t="s">
        <v>3304</v>
      </c>
      <c r="G472"/>
      <c r="H472"/>
      <c r="I472" t="s">
        <v>3305</v>
      </c>
      <c r="J472" t="s">
        <v>614</v>
      </c>
      <c r="K472"/>
      <c r="L472"/>
      <c r="M472"/>
      <c r="N472"/>
      <c r="O472"/>
      <c r="P472"/>
      <c r="Q472"/>
      <c r="R472"/>
      <c r="S472"/>
      <c r="T472"/>
      <c r="U472"/>
      <c r="V472"/>
      <c r="W472"/>
      <c r="X472"/>
      <c r="Y472"/>
      <c r="Z472"/>
      <c r="AA472" t="s">
        <v>1024</v>
      </c>
      <c r="AB472" t="s">
        <v>1025</v>
      </c>
      <c r="AC472"/>
      <c r="AD472"/>
      <c r="AE472"/>
      <c r="AF472"/>
      <c r="AG472"/>
      <c r="AH472"/>
      <c r="AI472"/>
      <c r="AJ472"/>
      <c r="AK472"/>
      <c r="AL472"/>
      <c r="AM472"/>
      <c r="AN472"/>
      <c r="AO472" t="s">
        <v>617</v>
      </c>
      <c r="AP472" t="s">
        <v>1720</v>
      </c>
      <c r="AQ472"/>
      <c r="AR472"/>
      <c r="AS472"/>
      <c r="AT472" t="s">
        <v>403</v>
      </c>
      <c r="AU472">
        <v>2006</v>
      </c>
      <c r="AV472">
        <v>42</v>
      </c>
      <c r="AW472">
        <v>12</v>
      </c>
      <c r="AX472"/>
      <c r="AY472"/>
      <c r="AZ472"/>
      <c r="BA472"/>
      <c r="BB472">
        <v>1310</v>
      </c>
      <c r="BC472">
        <v>1318</v>
      </c>
      <c r="BD472"/>
      <c r="BE472" t="s">
        <v>3306</v>
      </c>
      <c r="BF472" t="str">
        <f>HYPERLINK("http://dx.doi.org/10.1134/S102319350612007X","http://dx.doi.org/10.1134/S102319350612007X")</f>
        <v>http://dx.doi.org/10.1134/S102319350612007X</v>
      </c>
      <c r="BG472"/>
      <c r="BH472"/>
      <c r="BI472"/>
      <c r="BJ472"/>
      <c r="BK472"/>
      <c r="BL472"/>
      <c r="BM472"/>
      <c r="BN472"/>
      <c r="BO472"/>
      <c r="BP472"/>
      <c r="BQ472"/>
      <c r="BR472"/>
      <c r="BS472" t="s">
        <v>3307</v>
      </c>
      <c r="BT472" t="str">
        <f>HYPERLINK("https%3A%2F%2Fwww.webofscience.com%2Fwos%2Fwoscc%2Ffull-record%2FWOS:000243338000007","View Full Record in Web of Science")</f>
        <v>View Full Record in Web of Science</v>
      </c>
    </row>
    <row r="473" spans="1:75" customHeight="1" ht="12.75">
      <c r="A473" t="s">
        <v>72</v>
      </c>
      <c r="B473" t="s">
        <v>3308</v>
      </c>
      <c r="C473"/>
      <c r="D473"/>
      <c r="E473"/>
      <c r="F473" t="s">
        <v>3308</v>
      </c>
      <c r="G473"/>
      <c r="H473"/>
      <c r="I473" t="s">
        <v>3309</v>
      </c>
      <c r="J473" t="s">
        <v>3310</v>
      </c>
      <c r="K473"/>
      <c r="L473"/>
      <c r="M473"/>
      <c r="N473"/>
      <c r="O473"/>
      <c r="P473"/>
      <c r="Q473"/>
      <c r="R473"/>
      <c r="S473"/>
      <c r="T473"/>
      <c r="U473"/>
      <c r="V473"/>
      <c r="W473"/>
      <c r="X473"/>
      <c r="Y473"/>
      <c r="Z473"/>
      <c r="AA473" t="s">
        <v>3311</v>
      </c>
      <c r="AB473" t="s">
        <v>3312</v>
      </c>
      <c r="AC473"/>
      <c r="AD473"/>
      <c r="AE473"/>
      <c r="AF473"/>
      <c r="AG473"/>
      <c r="AH473"/>
      <c r="AI473"/>
      <c r="AJ473"/>
      <c r="AK473"/>
      <c r="AL473"/>
      <c r="AM473"/>
      <c r="AN473"/>
      <c r="AO473" t="s">
        <v>3313</v>
      </c>
      <c r="AP473"/>
      <c r="AQ473"/>
      <c r="AR473"/>
      <c r="AS473"/>
      <c r="AT473" t="s">
        <v>78</v>
      </c>
      <c r="AU473">
        <v>2005</v>
      </c>
      <c r="AV473">
        <v>26</v>
      </c>
      <c r="AW473">
        <v>3</v>
      </c>
      <c r="AX473"/>
      <c r="AY473"/>
      <c r="AZ473"/>
      <c r="BA473"/>
      <c r="BB473">
        <v>25</v>
      </c>
      <c r="BC473">
        <v>37</v>
      </c>
      <c r="BD473"/>
      <c r="BE473"/>
      <c r="BF473"/>
      <c r="BG473"/>
      <c r="BH473"/>
      <c r="BI473"/>
      <c r="BJ473"/>
      <c r="BK473"/>
      <c r="BL473"/>
      <c r="BM473"/>
      <c r="BN473"/>
      <c r="BO473"/>
      <c r="BP473"/>
      <c r="BQ473"/>
      <c r="BR473"/>
      <c r="BS473" t="s">
        <v>3314</v>
      </c>
      <c r="BT473" t="str">
        <f>HYPERLINK("https%3A%2F%2Fwww.webofscience.com%2Fwos%2Fwoscc%2Ffull-record%2FWOS:000229563300003","View Full Record in Web of Science")</f>
        <v>View Full Record in Web of Science</v>
      </c>
    </row>
    <row r="474" spans="1:75" customHeight="1" ht="12.75">
      <c r="A474" t="s">
        <v>72</v>
      </c>
      <c r="B474" t="s">
        <v>3315</v>
      </c>
      <c r="C474"/>
      <c r="D474"/>
      <c r="E474"/>
      <c r="F474" t="s">
        <v>3315</v>
      </c>
      <c r="G474"/>
      <c r="H474"/>
      <c r="I474" t="s">
        <v>3316</v>
      </c>
      <c r="J474" t="s">
        <v>3317</v>
      </c>
      <c r="K474"/>
      <c r="L474"/>
      <c r="M474"/>
      <c r="N474"/>
      <c r="O474"/>
      <c r="P474"/>
      <c r="Q474"/>
      <c r="R474"/>
      <c r="S474"/>
      <c r="T474"/>
      <c r="U474"/>
      <c r="V474"/>
      <c r="W474"/>
      <c r="X474"/>
      <c r="Y474"/>
      <c r="Z474"/>
      <c r="AA474"/>
      <c r="AB474"/>
      <c r="AC474"/>
      <c r="AD474"/>
      <c r="AE474"/>
      <c r="AF474"/>
      <c r="AG474"/>
      <c r="AH474"/>
      <c r="AI474"/>
      <c r="AJ474"/>
      <c r="AK474"/>
      <c r="AL474"/>
      <c r="AM474"/>
      <c r="AN474"/>
      <c r="AO474" t="s">
        <v>3318</v>
      </c>
      <c r="AP474"/>
      <c r="AQ474"/>
      <c r="AR474"/>
      <c r="AS474"/>
      <c r="AT474" t="s">
        <v>198</v>
      </c>
      <c r="AU474">
        <v>2001</v>
      </c>
      <c r="AV474">
        <v>56</v>
      </c>
      <c r="AW474">
        <v>4</v>
      </c>
      <c r="AX474"/>
      <c r="AY474"/>
      <c r="AZ474"/>
      <c r="BA474"/>
      <c r="BB474">
        <v>388</v>
      </c>
      <c r="BC474">
        <v>389</v>
      </c>
      <c r="BD474"/>
      <c r="BE474" t="s">
        <v>3319</v>
      </c>
      <c r="BF474" t="str">
        <f>HYPERLINK("http://dx.doi.org/10.1023/A:1016616732627","http://dx.doi.org/10.1023/A:1016616732627")</f>
        <v>http://dx.doi.org/10.1023/A:1016616732627</v>
      </c>
      <c r="BG474"/>
      <c r="BH474"/>
      <c r="BI474"/>
      <c r="BJ474"/>
      <c r="BK474"/>
      <c r="BL474"/>
      <c r="BM474"/>
      <c r="BN474"/>
      <c r="BO474"/>
      <c r="BP474"/>
      <c r="BQ474"/>
      <c r="BR474"/>
      <c r="BS474" t="s">
        <v>3320</v>
      </c>
      <c r="BT474" t="str">
        <f>HYPERLINK("https%3A%2F%2Fwww.webofscience.com%2Fwos%2Fwoscc%2Ffull-record%2FWOS:000168892900016","View Full Record in Web of Science")</f>
        <v>View Full Record in Web of Science</v>
      </c>
    </row>
    <row r="475" spans="1:75" customHeight="1" ht="12.75">
      <c r="A475" t="s">
        <v>72</v>
      </c>
      <c r="B475" t="s">
        <v>3321</v>
      </c>
      <c r="C475"/>
      <c r="D475"/>
      <c r="E475"/>
      <c r="F475" t="s">
        <v>3322</v>
      </c>
      <c r="G475"/>
      <c r="H475"/>
      <c r="I475" t="s">
        <v>3323</v>
      </c>
      <c r="J475" t="s">
        <v>3324</v>
      </c>
      <c r="K475"/>
      <c r="L475"/>
      <c r="M475"/>
      <c r="N475"/>
      <c r="O475"/>
      <c r="P475"/>
      <c r="Q475"/>
      <c r="R475"/>
      <c r="S475"/>
      <c r="T475"/>
      <c r="U475"/>
      <c r="V475"/>
      <c r="W475"/>
      <c r="X475"/>
      <c r="Y475"/>
      <c r="Z475"/>
      <c r="AA475" t="s">
        <v>1402</v>
      </c>
      <c r="AB475" t="s">
        <v>1403</v>
      </c>
      <c r="AC475"/>
      <c r="AD475"/>
      <c r="AE475"/>
      <c r="AF475"/>
      <c r="AG475"/>
      <c r="AH475"/>
      <c r="AI475"/>
      <c r="AJ475"/>
      <c r="AK475"/>
      <c r="AL475"/>
      <c r="AM475"/>
      <c r="AN475"/>
      <c r="AO475" t="s">
        <v>3325</v>
      </c>
      <c r="AP475"/>
      <c r="AQ475"/>
      <c r="AR475"/>
      <c r="AS475"/>
      <c r="AT475"/>
      <c r="AU475">
        <v>2023</v>
      </c>
      <c r="AV475">
        <v>11</v>
      </c>
      <c r="AW475"/>
      <c r="AX475"/>
      <c r="AY475"/>
      <c r="AZ475"/>
      <c r="BA475"/>
      <c r="BB475">
        <v>41061</v>
      </c>
      <c r="BC475">
        <v>41074</v>
      </c>
      <c r="BD475"/>
      <c r="BE475" t="s">
        <v>3326</v>
      </c>
      <c r="BF475" t="str">
        <f>HYPERLINK("http://dx.doi.org/10.1109/ACCESS.2023.3269720","http://dx.doi.org/10.1109/ACCESS.2023.3269720")</f>
        <v>http://dx.doi.org/10.1109/ACCESS.2023.3269720</v>
      </c>
      <c r="BG475"/>
      <c r="BH475"/>
      <c r="BI475"/>
      <c r="BJ475"/>
      <c r="BK475"/>
      <c r="BL475"/>
      <c r="BM475"/>
      <c r="BN475"/>
      <c r="BO475"/>
      <c r="BP475"/>
      <c r="BQ475"/>
      <c r="BR475"/>
      <c r="BS475" t="s">
        <v>3327</v>
      </c>
      <c r="BT475" t="str">
        <f>HYPERLINK("https%3A%2F%2Fwww.webofscience.com%2Fwos%2Fwoscc%2Ffull-record%2FWOS:000981905100001","View Full Record in Web of Science")</f>
        <v>View Full Record in Web of Science</v>
      </c>
    </row>
    <row r="476" spans="1:75" customHeight="1" ht="12.75">
      <c r="A476" t="s">
        <v>72</v>
      </c>
      <c r="B476" t="s">
        <v>2287</v>
      </c>
      <c r="C476"/>
      <c r="D476"/>
      <c r="E476"/>
      <c r="F476" t="s">
        <v>2288</v>
      </c>
      <c r="G476"/>
      <c r="H476"/>
      <c r="I476" t="s">
        <v>3328</v>
      </c>
      <c r="J476" t="s">
        <v>2290</v>
      </c>
      <c r="K476"/>
      <c r="L476"/>
      <c r="M476"/>
      <c r="N476"/>
      <c r="O476"/>
      <c r="P476"/>
      <c r="Q476"/>
      <c r="R476"/>
      <c r="S476"/>
      <c r="T476"/>
      <c r="U476"/>
      <c r="V476"/>
      <c r="W476"/>
      <c r="X476"/>
      <c r="Y476"/>
      <c r="Z476"/>
      <c r="AA476" t="s">
        <v>2291</v>
      </c>
      <c r="AB476" t="s">
        <v>2292</v>
      </c>
      <c r="AC476"/>
      <c r="AD476"/>
      <c r="AE476"/>
      <c r="AF476"/>
      <c r="AG476"/>
      <c r="AH476"/>
      <c r="AI476"/>
      <c r="AJ476"/>
      <c r="AK476"/>
      <c r="AL476"/>
      <c r="AM476"/>
      <c r="AN476"/>
      <c r="AO476" t="s">
        <v>2293</v>
      </c>
      <c r="AP476" t="s">
        <v>2294</v>
      </c>
      <c r="AQ476"/>
      <c r="AR476"/>
      <c r="AS476"/>
      <c r="AT476" t="s">
        <v>3329</v>
      </c>
      <c r="AU476">
        <v>2022</v>
      </c>
      <c r="AV476">
        <v>74</v>
      </c>
      <c r="AW476">
        <v>5</v>
      </c>
      <c r="AX476"/>
      <c r="AY476"/>
      <c r="AZ476"/>
      <c r="BA476"/>
      <c r="BB476">
        <v>873</v>
      </c>
      <c r="BC476">
        <v>875</v>
      </c>
      <c r="BD476"/>
      <c r="BE476" t="s">
        <v>3330</v>
      </c>
      <c r="BF476" t="str">
        <f>HYPERLINK("http://dx.doi.org/10.1080/09668136.2022.2083309","http://dx.doi.org/10.1080/09668136.2022.2083309")</f>
        <v>http://dx.doi.org/10.1080/09668136.2022.2083309</v>
      </c>
      <c r="BG476"/>
      <c r="BH476"/>
      <c r="BI476"/>
      <c r="BJ476"/>
      <c r="BK476"/>
      <c r="BL476"/>
      <c r="BM476"/>
      <c r="BN476"/>
      <c r="BO476"/>
      <c r="BP476"/>
      <c r="BQ476"/>
      <c r="BR476"/>
      <c r="BS476" t="s">
        <v>3331</v>
      </c>
      <c r="BT476" t="str">
        <f>HYPERLINK("https%3A%2F%2Fwww.webofscience.com%2Fwos%2Fwoscc%2Ffull-record%2FWOS:000814439200009","View Full Record in Web of Science")</f>
        <v>View Full Record in Web of Science</v>
      </c>
    </row>
    <row r="477" spans="1:75" customHeight="1" ht="12.75">
      <c r="A477" t="s">
        <v>72</v>
      </c>
      <c r="B477" t="s">
        <v>3332</v>
      </c>
      <c r="C477"/>
      <c r="D477"/>
      <c r="E477"/>
      <c r="F477" t="s">
        <v>3333</v>
      </c>
      <c r="G477"/>
      <c r="H477"/>
      <c r="I477" t="s">
        <v>3334</v>
      </c>
      <c r="J477" t="s">
        <v>3335</v>
      </c>
      <c r="K477"/>
      <c r="L477"/>
      <c r="M477"/>
      <c r="N477"/>
      <c r="O477"/>
      <c r="P477"/>
      <c r="Q477"/>
      <c r="R477"/>
      <c r="S477"/>
      <c r="T477"/>
      <c r="U477"/>
      <c r="V477"/>
      <c r="W477"/>
      <c r="X477"/>
      <c r="Y477"/>
      <c r="Z477"/>
      <c r="AA477"/>
      <c r="AB477"/>
      <c r="AC477"/>
      <c r="AD477"/>
      <c r="AE477"/>
      <c r="AF477"/>
      <c r="AG477"/>
      <c r="AH477"/>
      <c r="AI477"/>
      <c r="AJ477"/>
      <c r="AK477"/>
      <c r="AL477"/>
      <c r="AM477"/>
      <c r="AN477"/>
      <c r="AO477" t="s">
        <v>3336</v>
      </c>
      <c r="AP477" t="s">
        <v>3337</v>
      </c>
      <c r="AQ477"/>
      <c r="AR477"/>
      <c r="AS477"/>
      <c r="AT477"/>
      <c r="AU477">
        <v>2022</v>
      </c>
      <c r="AV477">
        <v>44</v>
      </c>
      <c r="AW477"/>
      <c r="AX477"/>
      <c r="AY477"/>
      <c r="AZ477"/>
      <c r="BA477"/>
      <c r="BB477"/>
      <c r="BC477"/>
      <c r="BD477" t="s">
        <v>3338</v>
      </c>
      <c r="BE477" t="s">
        <v>3339</v>
      </c>
      <c r="BF477" t="str">
        <f>HYPERLINK("http://dx.doi.org/10.4025/actascihealthsci.v44i1.56397","http://dx.doi.org/10.4025/actascihealthsci.v44i1.56397")</f>
        <v>http://dx.doi.org/10.4025/actascihealthsci.v44i1.56397</v>
      </c>
      <c r="BG477"/>
      <c r="BH477"/>
      <c r="BI477"/>
      <c r="BJ477"/>
      <c r="BK477"/>
      <c r="BL477"/>
      <c r="BM477"/>
      <c r="BN477"/>
      <c r="BO477"/>
      <c r="BP477"/>
      <c r="BQ477"/>
      <c r="BR477"/>
      <c r="BS477" t="s">
        <v>3340</v>
      </c>
      <c r="BT477" t="str">
        <f>HYPERLINK("https%3A%2F%2Fwww.webofscience.com%2Fwos%2Fwoscc%2Ffull-record%2FWOS:000744117000001","View Full Record in Web of Science")</f>
        <v>View Full Record in Web of Science</v>
      </c>
    </row>
    <row r="478" spans="1:75" customHeight="1" ht="12.75">
      <c r="A478" t="s">
        <v>72</v>
      </c>
      <c r="B478" t="s">
        <v>3341</v>
      </c>
      <c r="C478"/>
      <c r="D478"/>
      <c r="E478"/>
      <c r="F478" t="s">
        <v>3342</v>
      </c>
      <c r="G478"/>
      <c r="H478"/>
      <c r="I478" t="s">
        <v>3343</v>
      </c>
      <c r="J478" t="s">
        <v>668</v>
      </c>
      <c r="K478"/>
      <c r="L478"/>
      <c r="M478"/>
      <c r="N478"/>
      <c r="O478"/>
      <c r="P478"/>
      <c r="Q478"/>
      <c r="R478"/>
      <c r="S478"/>
      <c r="T478"/>
      <c r="U478"/>
      <c r="V478"/>
      <c r="W478"/>
      <c r="X478"/>
      <c r="Y478"/>
      <c r="Z478"/>
      <c r="AA478" t="s">
        <v>3344</v>
      </c>
      <c r="AB478" t="s">
        <v>518</v>
      </c>
      <c r="AC478"/>
      <c r="AD478"/>
      <c r="AE478"/>
      <c r="AF478"/>
      <c r="AG478"/>
      <c r="AH478"/>
      <c r="AI478"/>
      <c r="AJ478"/>
      <c r="AK478"/>
      <c r="AL478"/>
      <c r="AM478"/>
      <c r="AN478"/>
      <c r="AO478" t="s">
        <v>669</v>
      </c>
      <c r="AP478" t="s">
        <v>670</v>
      </c>
      <c r="AQ478"/>
      <c r="AR478"/>
      <c r="AS478"/>
      <c r="AT478"/>
      <c r="AU478">
        <v>2022</v>
      </c>
      <c r="AV478">
        <v>11</v>
      </c>
      <c r="AW478">
        <v>7</v>
      </c>
      <c r="AX478"/>
      <c r="AY478"/>
      <c r="AZ478"/>
      <c r="BA478"/>
      <c r="BB478">
        <v>59</v>
      </c>
      <c r="BC478">
        <v>73</v>
      </c>
      <c r="BD478"/>
      <c r="BE478" t="s">
        <v>3345</v>
      </c>
      <c r="BF478" t="str">
        <f>HYPERLINK("http://dx.doi.org/10.24224/2227-1295-2022-11-7-59-73","http://dx.doi.org/10.24224/2227-1295-2022-11-7-59-73")</f>
        <v>http://dx.doi.org/10.24224/2227-1295-2022-11-7-59-73</v>
      </c>
      <c r="BG478"/>
      <c r="BH478"/>
      <c r="BI478"/>
      <c r="BJ478"/>
      <c r="BK478"/>
      <c r="BL478"/>
      <c r="BM478"/>
      <c r="BN478"/>
      <c r="BO478"/>
      <c r="BP478"/>
      <c r="BQ478"/>
      <c r="BR478"/>
      <c r="BS478" t="s">
        <v>3346</v>
      </c>
      <c r="BT478" t="str">
        <f>HYPERLINK("https%3A%2F%2Fwww.webofscience.com%2Fwos%2Fwoscc%2Ffull-record%2FWOS:000886616200004","View Full Record in Web of Science")</f>
        <v>View Full Record in Web of Science</v>
      </c>
    </row>
    <row r="479" spans="1:75" customHeight="1" ht="12.75">
      <c r="A479" t="s">
        <v>72</v>
      </c>
      <c r="B479" t="s">
        <v>2287</v>
      </c>
      <c r="C479"/>
      <c r="D479"/>
      <c r="E479"/>
      <c r="F479" t="s">
        <v>2288</v>
      </c>
      <c r="G479"/>
      <c r="H479"/>
      <c r="I479" t="s">
        <v>3347</v>
      </c>
      <c r="J479" t="s">
        <v>2290</v>
      </c>
      <c r="K479"/>
      <c r="L479"/>
      <c r="M479"/>
      <c r="N479"/>
      <c r="O479"/>
      <c r="P479"/>
      <c r="Q479"/>
      <c r="R479"/>
      <c r="S479"/>
      <c r="T479"/>
      <c r="U479"/>
      <c r="V479"/>
      <c r="W479"/>
      <c r="X479"/>
      <c r="Y479"/>
      <c r="Z479"/>
      <c r="AA479" t="s">
        <v>2291</v>
      </c>
      <c r="AB479" t="s">
        <v>2292</v>
      </c>
      <c r="AC479"/>
      <c r="AD479"/>
      <c r="AE479"/>
      <c r="AF479"/>
      <c r="AG479"/>
      <c r="AH479"/>
      <c r="AI479"/>
      <c r="AJ479"/>
      <c r="AK479"/>
      <c r="AL479"/>
      <c r="AM479"/>
      <c r="AN479"/>
      <c r="AO479" t="s">
        <v>2293</v>
      </c>
      <c r="AP479" t="s">
        <v>2294</v>
      </c>
      <c r="AQ479"/>
      <c r="AR479"/>
      <c r="AS479"/>
      <c r="AT479" t="s">
        <v>2891</v>
      </c>
      <c r="AU479">
        <v>2021</v>
      </c>
      <c r="AV479">
        <v>73</v>
      </c>
      <c r="AW479">
        <v>10</v>
      </c>
      <c r="AX479"/>
      <c r="AY479"/>
      <c r="AZ479"/>
      <c r="BA479"/>
      <c r="BB479">
        <v>1965</v>
      </c>
      <c r="BC479">
        <v>1966</v>
      </c>
      <c r="BD479"/>
      <c r="BE479" t="s">
        <v>3348</v>
      </c>
      <c r="BF479" t="str">
        <f>HYPERLINK("http://dx.doi.org/10.1080/09668136.2021.1977037","http://dx.doi.org/10.1080/09668136.2021.1977037")</f>
        <v>http://dx.doi.org/10.1080/09668136.2021.1977037</v>
      </c>
      <c r="BG479"/>
      <c r="BH479"/>
      <c r="BI479"/>
      <c r="BJ479"/>
      <c r="BK479"/>
      <c r="BL479"/>
      <c r="BM479"/>
      <c r="BN479"/>
      <c r="BO479"/>
      <c r="BP479"/>
      <c r="BQ479"/>
      <c r="BR479"/>
      <c r="BS479" t="s">
        <v>3349</v>
      </c>
      <c r="BT479" t="str">
        <f>HYPERLINK("https%3A%2F%2Fwww.webofscience.com%2Fwos%2Fwoscc%2Ffull-record%2FWOS:000734240600010","View Full Record in Web of Science")</f>
        <v>View Full Record in Web of Science</v>
      </c>
    </row>
    <row r="480" spans="1:75" customHeight="1" ht="12.75">
      <c r="A480" t="s">
        <v>147</v>
      </c>
      <c r="B480" t="s">
        <v>3350</v>
      </c>
      <c r="C480"/>
      <c r="D480" t="s">
        <v>1062</v>
      </c>
      <c r="E480"/>
      <c r="F480" t="s">
        <v>3351</v>
      </c>
      <c r="G480"/>
      <c r="H480"/>
      <c r="I480" t="s">
        <v>3352</v>
      </c>
      <c r="J480" t="s">
        <v>1065</v>
      </c>
      <c r="K480" t="s">
        <v>253</v>
      </c>
      <c r="L480"/>
      <c r="M480"/>
      <c r="N480"/>
      <c r="O480" t="s">
        <v>1066</v>
      </c>
      <c r="P480" t="s">
        <v>1067</v>
      </c>
      <c r="Q480" t="s">
        <v>1068</v>
      </c>
      <c r="R480" t="s">
        <v>1069</v>
      </c>
      <c r="S480" t="s">
        <v>1070</v>
      </c>
      <c r="T480"/>
      <c r="U480"/>
      <c r="V480"/>
      <c r="W480"/>
      <c r="X480"/>
      <c r="Y480"/>
      <c r="Z480"/>
      <c r="AA480"/>
      <c r="AB480"/>
      <c r="AC480"/>
      <c r="AD480"/>
      <c r="AE480"/>
      <c r="AF480"/>
      <c r="AG480"/>
      <c r="AH480"/>
      <c r="AI480"/>
      <c r="AJ480"/>
      <c r="AK480"/>
      <c r="AL480"/>
      <c r="AM480"/>
      <c r="AN480"/>
      <c r="AO480"/>
      <c r="AP480" t="s">
        <v>259</v>
      </c>
      <c r="AQ480" t="s">
        <v>1071</v>
      </c>
      <c r="AR480"/>
      <c r="AS480"/>
      <c r="AT480"/>
      <c r="AU480">
        <v>2021</v>
      </c>
      <c r="AV480">
        <v>114</v>
      </c>
      <c r="AW480"/>
      <c r="AX480"/>
      <c r="AY480"/>
      <c r="AZ480"/>
      <c r="BA480"/>
      <c r="BB480">
        <v>388</v>
      </c>
      <c r="BC480">
        <v>396</v>
      </c>
      <c r="BD480"/>
      <c r="BE480" t="s">
        <v>3353</v>
      </c>
      <c r="BF480" t="str">
        <f>HYPERLINK("http://dx.doi.org/10.15405/epsbs.2021.07.02.46","http://dx.doi.org/10.15405/epsbs.2021.07.02.46")</f>
        <v>http://dx.doi.org/10.15405/epsbs.2021.07.02.46</v>
      </c>
      <c r="BG480"/>
      <c r="BH480"/>
      <c r="BI480"/>
      <c r="BJ480"/>
      <c r="BK480"/>
      <c r="BL480"/>
      <c r="BM480"/>
      <c r="BN480"/>
      <c r="BO480"/>
      <c r="BP480"/>
      <c r="BQ480"/>
      <c r="BR480"/>
      <c r="BS480" t="s">
        <v>3354</v>
      </c>
      <c r="BT480" t="str">
        <f>HYPERLINK("https%3A%2F%2Fwww.webofscience.com%2Fwos%2Fwoscc%2Ffull-record%2FWOS:000771919100046","View Full Record in Web of Science")</f>
        <v>View Full Record in Web of Science</v>
      </c>
    </row>
    <row r="481" spans="1:75" customHeight="1" ht="12.75">
      <c r="A481" t="s">
        <v>72</v>
      </c>
      <c r="B481" t="s">
        <v>3355</v>
      </c>
      <c r="C481"/>
      <c r="D481"/>
      <c r="E481"/>
      <c r="F481" t="s">
        <v>3356</v>
      </c>
      <c r="G481"/>
      <c r="H481"/>
      <c r="I481" t="s">
        <v>3357</v>
      </c>
      <c r="J481" t="s">
        <v>2640</v>
      </c>
      <c r="K481"/>
      <c r="L481"/>
      <c r="M481"/>
      <c r="N481"/>
      <c r="O481"/>
      <c r="P481"/>
      <c r="Q481"/>
      <c r="R481"/>
      <c r="S481"/>
      <c r="T481"/>
      <c r="U481"/>
      <c r="V481"/>
      <c r="W481"/>
      <c r="X481"/>
      <c r="Y481"/>
      <c r="Z481"/>
      <c r="AA481"/>
      <c r="AB481"/>
      <c r="AC481"/>
      <c r="AD481"/>
      <c r="AE481"/>
      <c r="AF481"/>
      <c r="AG481"/>
      <c r="AH481"/>
      <c r="AI481"/>
      <c r="AJ481"/>
      <c r="AK481"/>
      <c r="AL481"/>
      <c r="AM481"/>
      <c r="AN481"/>
      <c r="AO481" t="s">
        <v>2643</v>
      </c>
      <c r="AP481"/>
      <c r="AQ481"/>
      <c r="AR481"/>
      <c r="AS481"/>
      <c r="AT481"/>
      <c r="AU481">
        <v>2020</v>
      </c>
      <c r="AV481">
        <v>25</v>
      </c>
      <c r="AW481">
        <v>3</v>
      </c>
      <c r="AX481"/>
      <c r="AY481"/>
      <c r="AZ481"/>
      <c r="BA481"/>
      <c r="BB481">
        <v>129</v>
      </c>
      <c r="BC481">
        <v>140</v>
      </c>
      <c r="BD481"/>
      <c r="BE481" t="s">
        <v>3358</v>
      </c>
      <c r="BF481" t="str">
        <f>HYPERLINK("http://dx.doi.org/10.26170/FK20-03-11","http://dx.doi.org/10.26170/FK20-03-11")</f>
        <v>http://dx.doi.org/10.26170/FK20-03-11</v>
      </c>
      <c r="BG481"/>
      <c r="BH481"/>
      <c r="BI481"/>
      <c r="BJ481"/>
      <c r="BK481"/>
      <c r="BL481"/>
      <c r="BM481"/>
      <c r="BN481"/>
      <c r="BO481"/>
      <c r="BP481"/>
      <c r="BQ481"/>
      <c r="BR481"/>
      <c r="BS481" t="s">
        <v>3359</v>
      </c>
      <c r="BT481" t="str">
        <f>HYPERLINK("https%3A%2F%2Fwww.webofscience.com%2Fwos%2Fwoscc%2Ffull-record%2FWOS:000607937300011","View Full Record in Web of Science")</f>
        <v>View Full Record in Web of Science</v>
      </c>
    </row>
    <row r="482" spans="1:75" customHeight="1" ht="12.75">
      <c r="A482" t="s">
        <v>72</v>
      </c>
      <c r="B482" t="s">
        <v>3360</v>
      </c>
      <c r="C482"/>
      <c r="D482"/>
      <c r="E482"/>
      <c r="F482" t="s">
        <v>3361</v>
      </c>
      <c r="G482"/>
      <c r="H482"/>
      <c r="I482" t="s">
        <v>3362</v>
      </c>
      <c r="J482" t="s">
        <v>325</v>
      </c>
      <c r="K482"/>
      <c r="L482"/>
      <c r="M482"/>
      <c r="N482"/>
      <c r="O482"/>
      <c r="P482"/>
      <c r="Q482"/>
      <c r="R482"/>
      <c r="S482"/>
      <c r="T482"/>
      <c r="U482"/>
      <c r="V482"/>
      <c r="W482"/>
      <c r="X482"/>
      <c r="Y482"/>
      <c r="Z482"/>
      <c r="AA482" t="s">
        <v>3363</v>
      </c>
      <c r="AB482" t="s">
        <v>327</v>
      </c>
      <c r="AC482"/>
      <c r="AD482"/>
      <c r="AE482"/>
      <c r="AF482"/>
      <c r="AG482"/>
      <c r="AH482"/>
      <c r="AI482"/>
      <c r="AJ482"/>
      <c r="AK482"/>
      <c r="AL482"/>
      <c r="AM482"/>
      <c r="AN482"/>
      <c r="AO482" t="s">
        <v>328</v>
      </c>
      <c r="AP482" t="s">
        <v>329</v>
      </c>
      <c r="AQ482"/>
      <c r="AR482"/>
      <c r="AS482"/>
      <c r="AT482"/>
      <c r="AU482">
        <v>2020</v>
      </c>
      <c r="AV482">
        <v>14</v>
      </c>
      <c r="AW482">
        <v>1</v>
      </c>
      <c r="AX482"/>
      <c r="AY482"/>
      <c r="AZ482"/>
      <c r="BA482"/>
      <c r="BB482">
        <v>253</v>
      </c>
      <c r="BC482">
        <v>270</v>
      </c>
      <c r="BD482"/>
      <c r="BE482" t="s">
        <v>3364</v>
      </c>
      <c r="BF482" t="str">
        <f>HYPERLINK("http://dx.doi.org/10.24874/IJQR14.01-16","http://dx.doi.org/10.24874/IJQR14.01-16")</f>
        <v>http://dx.doi.org/10.24874/IJQR14.01-16</v>
      </c>
      <c r="BG482"/>
      <c r="BH482"/>
      <c r="BI482"/>
      <c r="BJ482"/>
      <c r="BK482"/>
      <c r="BL482"/>
      <c r="BM482"/>
      <c r="BN482"/>
      <c r="BO482"/>
      <c r="BP482"/>
      <c r="BQ482"/>
      <c r="BR482"/>
      <c r="BS482" t="s">
        <v>3365</v>
      </c>
      <c r="BT482" t="str">
        <f>HYPERLINK("https%3A%2F%2Fwww.webofscience.com%2Fwos%2Fwoscc%2Ffull-record%2FWOS:000518417300016","View Full Record in Web of Science")</f>
        <v>View Full Record in Web of Science</v>
      </c>
    </row>
    <row r="483" spans="1:75" customHeight="1" ht="12.75">
      <c r="A483" t="s">
        <v>72</v>
      </c>
      <c r="B483" t="s">
        <v>3366</v>
      </c>
      <c r="C483"/>
      <c r="D483"/>
      <c r="E483"/>
      <c r="F483" t="s">
        <v>3367</v>
      </c>
      <c r="G483"/>
      <c r="H483"/>
      <c r="I483" t="s">
        <v>3368</v>
      </c>
      <c r="J483" t="s">
        <v>434</v>
      </c>
      <c r="K483"/>
      <c r="L483"/>
      <c r="M483"/>
      <c r="N483"/>
      <c r="O483"/>
      <c r="P483"/>
      <c r="Q483"/>
      <c r="R483"/>
      <c r="S483"/>
      <c r="T483"/>
      <c r="U483"/>
      <c r="V483"/>
      <c r="W483"/>
      <c r="X483"/>
      <c r="Y483"/>
      <c r="Z483"/>
      <c r="AA483" t="s">
        <v>3369</v>
      </c>
      <c r="AB483" t="s">
        <v>3370</v>
      </c>
      <c r="AC483"/>
      <c r="AD483"/>
      <c r="AE483"/>
      <c r="AF483"/>
      <c r="AG483"/>
      <c r="AH483"/>
      <c r="AI483"/>
      <c r="AJ483"/>
      <c r="AK483"/>
      <c r="AL483"/>
      <c r="AM483"/>
      <c r="AN483"/>
      <c r="AO483" t="s">
        <v>437</v>
      </c>
      <c r="AP483" t="s">
        <v>438</v>
      </c>
      <c r="AQ483"/>
      <c r="AR483"/>
      <c r="AS483"/>
      <c r="AT483"/>
      <c r="AU483">
        <v>2020</v>
      </c>
      <c r="AV483">
        <v>13</v>
      </c>
      <c r="AW483">
        <v>2</v>
      </c>
      <c r="AX483"/>
      <c r="AY483"/>
      <c r="AZ483"/>
      <c r="BA483"/>
      <c r="BB483">
        <v>7</v>
      </c>
      <c r="BC483">
        <v>39</v>
      </c>
      <c r="BD483"/>
      <c r="BE483" t="s">
        <v>3371</v>
      </c>
      <c r="BF483" t="str">
        <f>HYPERLINK("http://dx.doi.org/10.24833/2071-8160-2020-2-71-7-39","http://dx.doi.org/10.24833/2071-8160-2020-2-71-7-39")</f>
        <v>http://dx.doi.org/10.24833/2071-8160-2020-2-71-7-39</v>
      </c>
      <c r="BG483"/>
      <c r="BH483"/>
      <c r="BI483"/>
      <c r="BJ483"/>
      <c r="BK483"/>
      <c r="BL483"/>
      <c r="BM483"/>
      <c r="BN483"/>
      <c r="BO483"/>
      <c r="BP483"/>
      <c r="BQ483"/>
      <c r="BR483"/>
      <c r="BS483" t="s">
        <v>3372</v>
      </c>
      <c r="BT483" t="str">
        <f>HYPERLINK("https%3A%2F%2Fwww.webofscience.com%2Fwos%2Fwoscc%2Ffull-record%2FWOS:000530164600001","View Full Record in Web of Science")</f>
        <v>View Full Record in Web of Science</v>
      </c>
    </row>
    <row r="484" spans="1:75" customHeight="1" ht="12.75">
      <c r="A484" t="s">
        <v>72</v>
      </c>
      <c r="B484" t="s">
        <v>378</v>
      </c>
      <c r="C484"/>
      <c r="D484"/>
      <c r="E484"/>
      <c r="F484" t="s">
        <v>1226</v>
      </c>
      <c r="G484"/>
      <c r="H484"/>
      <c r="I484" t="s">
        <v>3373</v>
      </c>
      <c r="J484" t="s">
        <v>1228</v>
      </c>
      <c r="K484"/>
      <c r="L484"/>
      <c r="M484"/>
      <c r="N484"/>
      <c r="O484"/>
      <c r="P484"/>
      <c r="Q484"/>
      <c r="R484"/>
      <c r="S484"/>
      <c r="T484"/>
      <c r="U484"/>
      <c r="V484"/>
      <c r="W484"/>
      <c r="X484"/>
      <c r="Y484"/>
      <c r="Z484"/>
      <c r="AA484" t="s">
        <v>553</v>
      </c>
      <c r="AB484" t="s">
        <v>554</v>
      </c>
      <c r="AC484"/>
      <c r="AD484"/>
      <c r="AE484"/>
      <c r="AF484"/>
      <c r="AG484"/>
      <c r="AH484"/>
      <c r="AI484"/>
      <c r="AJ484"/>
      <c r="AK484"/>
      <c r="AL484"/>
      <c r="AM484"/>
      <c r="AN484"/>
      <c r="AO484" t="s">
        <v>1229</v>
      </c>
      <c r="AP484"/>
      <c r="AQ484"/>
      <c r="AR484"/>
      <c r="AS484"/>
      <c r="AT484"/>
      <c r="AU484">
        <v>2019</v>
      </c>
      <c r="AV484">
        <v>8</v>
      </c>
      <c r="AW484">
        <v>6</v>
      </c>
      <c r="AX484"/>
      <c r="AY484"/>
      <c r="AZ484"/>
      <c r="BA484"/>
      <c r="BB484">
        <v>151</v>
      </c>
      <c r="BC484">
        <v>156</v>
      </c>
      <c r="BD484"/>
      <c r="BE484"/>
      <c r="BF484"/>
      <c r="BG484"/>
      <c r="BH484"/>
      <c r="BI484"/>
      <c r="BJ484"/>
      <c r="BK484"/>
      <c r="BL484"/>
      <c r="BM484"/>
      <c r="BN484"/>
      <c r="BO484"/>
      <c r="BP484"/>
      <c r="BQ484"/>
      <c r="BR484"/>
      <c r="BS484" t="s">
        <v>3374</v>
      </c>
      <c r="BT484" t="str">
        <f>HYPERLINK("https%3A%2F%2Fwww.webofscience.com%2Fwos%2Fwoscc%2Ffull-record%2FWOS:000477564000021","View Full Record in Web of Science")</f>
        <v>View Full Record in Web of Science</v>
      </c>
    </row>
    <row r="485" spans="1:75" customHeight="1" ht="12.75">
      <c r="A485" t="s">
        <v>72</v>
      </c>
      <c r="B485" t="s">
        <v>3375</v>
      </c>
      <c r="C485"/>
      <c r="D485"/>
      <c r="E485"/>
      <c r="F485" t="s">
        <v>3376</v>
      </c>
      <c r="G485"/>
      <c r="H485"/>
      <c r="I485" t="s">
        <v>3377</v>
      </c>
      <c r="J485" t="s">
        <v>668</v>
      </c>
      <c r="K485"/>
      <c r="L485"/>
      <c r="M485"/>
      <c r="N485"/>
      <c r="O485"/>
      <c r="P485"/>
      <c r="Q485"/>
      <c r="R485"/>
      <c r="S485"/>
      <c r="T485"/>
      <c r="U485"/>
      <c r="V485"/>
      <c r="W485"/>
      <c r="X485"/>
      <c r="Y485"/>
      <c r="Z485"/>
      <c r="AA485"/>
      <c r="AB485" t="s">
        <v>3378</v>
      </c>
      <c r="AC485"/>
      <c r="AD485"/>
      <c r="AE485"/>
      <c r="AF485"/>
      <c r="AG485"/>
      <c r="AH485"/>
      <c r="AI485"/>
      <c r="AJ485"/>
      <c r="AK485"/>
      <c r="AL485"/>
      <c r="AM485"/>
      <c r="AN485"/>
      <c r="AO485" t="s">
        <v>669</v>
      </c>
      <c r="AP485" t="s">
        <v>670</v>
      </c>
      <c r="AQ485"/>
      <c r="AR485"/>
      <c r="AS485"/>
      <c r="AT485"/>
      <c r="AU485">
        <v>2019</v>
      </c>
      <c r="AV485"/>
      <c r="AW485">
        <v>9</v>
      </c>
      <c r="AX485"/>
      <c r="AY485"/>
      <c r="AZ485"/>
      <c r="BA485"/>
      <c r="BB485">
        <v>159</v>
      </c>
      <c r="BC485">
        <v>172</v>
      </c>
      <c r="BD485"/>
      <c r="BE485" t="s">
        <v>3379</v>
      </c>
      <c r="BF485" t="str">
        <f>HYPERLINK("http://dx.doi.org/10.24224/2227-1295-2019-9-159-172","http://dx.doi.org/10.24224/2227-1295-2019-9-159-172")</f>
        <v>http://dx.doi.org/10.24224/2227-1295-2019-9-159-172</v>
      </c>
      <c r="BG485"/>
      <c r="BH485"/>
      <c r="BI485"/>
      <c r="BJ485"/>
      <c r="BK485"/>
      <c r="BL485"/>
      <c r="BM485"/>
      <c r="BN485"/>
      <c r="BO485"/>
      <c r="BP485"/>
      <c r="BQ485"/>
      <c r="BR485"/>
      <c r="BS485" t="s">
        <v>3380</v>
      </c>
      <c r="BT485" t="str">
        <f>HYPERLINK("https%3A%2F%2Fwww.webofscience.com%2Fwos%2Fwoscc%2Ffull-record%2FWOS:000484392200010","View Full Record in Web of Science")</f>
        <v>View Full Record in Web of Science</v>
      </c>
    </row>
    <row r="486" spans="1:75" customHeight="1" ht="12.75">
      <c r="A486" t="s">
        <v>147</v>
      </c>
      <c r="B486" t="s">
        <v>3381</v>
      </c>
      <c r="C486"/>
      <c r="D486"/>
      <c r="E486" t="s">
        <v>3382</v>
      </c>
      <c r="F486" t="s">
        <v>3383</v>
      </c>
      <c r="G486"/>
      <c r="H486"/>
      <c r="I486" t="s">
        <v>3384</v>
      </c>
      <c r="J486" t="s">
        <v>3385</v>
      </c>
      <c r="K486"/>
      <c r="L486"/>
      <c r="M486"/>
      <c r="N486"/>
      <c r="O486" t="s">
        <v>3386</v>
      </c>
      <c r="P486" t="s">
        <v>3387</v>
      </c>
      <c r="Q486" t="s">
        <v>1316</v>
      </c>
      <c r="R486"/>
      <c r="S486"/>
      <c r="T486"/>
      <c r="U486"/>
      <c r="V486"/>
      <c r="W486"/>
      <c r="X486"/>
      <c r="Y486"/>
      <c r="Z486"/>
      <c r="AA486" t="s">
        <v>3388</v>
      </c>
      <c r="AB486" t="s">
        <v>3389</v>
      </c>
      <c r="AC486"/>
      <c r="AD486"/>
      <c r="AE486"/>
      <c r="AF486"/>
      <c r="AG486"/>
      <c r="AH486"/>
      <c r="AI486"/>
      <c r="AJ486"/>
      <c r="AK486"/>
      <c r="AL486"/>
      <c r="AM486"/>
      <c r="AN486"/>
      <c r="AO486"/>
      <c r="AP486"/>
      <c r="AQ486" t="s">
        <v>3390</v>
      </c>
      <c r="AR486"/>
      <c r="AS486"/>
      <c r="AT486"/>
      <c r="AU486">
        <v>2019</v>
      </c>
      <c r="AV486"/>
      <c r="AW486"/>
      <c r="AX486"/>
      <c r="AY486"/>
      <c r="AZ486"/>
      <c r="BA486"/>
      <c r="BB486">
        <v>43</v>
      </c>
      <c r="BC486">
        <v>47</v>
      </c>
      <c r="BD486"/>
      <c r="BE486" t="s">
        <v>3391</v>
      </c>
      <c r="BF486" t="str">
        <f>HYPERLINK("http://dx.doi.org/10.1145/3357419.3357430","http://dx.doi.org/10.1145/3357419.3357430")</f>
        <v>http://dx.doi.org/10.1145/3357419.3357430</v>
      </c>
      <c r="BG486"/>
      <c r="BH486"/>
      <c r="BI486"/>
      <c r="BJ486"/>
      <c r="BK486"/>
      <c r="BL486"/>
      <c r="BM486"/>
      <c r="BN486"/>
      <c r="BO486"/>
      <c r="BP486"/>
      <c r="BQ486"/>
      <c r="BR486"/>
      <c r="BS486" t="s">
        <v>3392</v>
      </c>
      <c r="BT486" t="str">
        <f>HYPERLINK("https%3A%2F%2Fwww.webofscience.com%2Fwos%2Fwoscc%2Ffull-record%2FWOS:000518414100009","View Full Record in Web of Science")</f>
        <v>View Full Record in Web of Science</v>
      </c>
    </row>
    <row r="487" spans="1:75" customHeight="1" ht="12.75">
      <c r="A487" t="s">
        <v>72</v>
      </c>
      <c r="B487" t="s">
        <v>378</v>
      </c>
      <c r="C487"/>
      <c r="D487"/>
      <c r="E487"/>
      <c r="F487" t="s">
        <v>379</v>
      </c>
      <c r="G487"/>
      <c r="H487"/>
      <c r="I487" t="s">
        <v>3393</v>
      </c>
      <c r="J487" t="s">
        <v>381</v>
      </c>
      <c r="K487"/>
      <c r="L487"/>
      <c r="M487"/>
      <c r="N487"/>
      <c r="O487"/>
      <c r="P487"/>
      <c r="Q487"/>
      <c r="R487"/>
      <c r="S487"/>
      <c r="T487"/>
      <c r="U487"/>
      <c r="V487"/>
      <c r="W487"/>
      <c r="X487"/>
      <c r="Y487"/>
      <c r="Z487"/>
      <c r="AA487"/>
      <c r="AB487"/>
      <c r="AC487"/>
      <c r="AD487"/>
      <c r="AE487"/>
      <c r="AF487"/>
      <c r="AG487"/>
      <c r="AH487"/>
      <c r="AI487"/>
      <c r="AJ487"/>
      <c r="AK487"/>
      <c r="AL487"/>
      <c r="AM487"/>
      <c r="AN487"/>
      <c r="AO487" t="s">
        <v>382</v>
      </c>
      <c r="AP487"/>
      <c r="AQ487"/>
      <c r="AR487"/>
      <c r="AS487"/>
      <c r="AT487" t="s">
        <v>383</v>
      </c>
      <c r="AU487">
        <v>2018</v>
      </c>
      <c r="AV487">
        <v>10</v>
      </c>
      <c r="AW487">
        <v>37</v>
      </c>
      <c r="AX487"/>
      <c r="AY487"/>
      <c r="AZ487"/>
      <c r="BA487"/>
      <c r="BB487">
        <v>235</v>
      </c>
      <c r="BC487">
        <v>241</v>
      </c>
      <c r="BD487"/>
      <c r="BE487"/>
      <c r="BF487"/>
      <c r="BG487"/>
      <c r="BH487"/>
      <c r="BI487"/>
      <c r="BJ487"/>
      <c r="BK487"/>
      <c r="BL487"/>
      <c r="BM487"/>
      <c r="BN487"/>
      <c r="BO487"/>
      <c r="BP487"/>
      <c r="BQ487"/>
      <c r="BR487"/>
      <c r="BS487" t="s">
        <v>3394</v>
      </c>
      <c r="BT487" t="str">
        <f>HYPERLINK("https%3A%2F%2Fwww.webofscience.com%2Fwos%2Fwoscc%2Ffull-record%2FWOS:000434451000017","View Full Record in Web of Science")</f>
        <v>View Full Record in Web of Science</v>
      </c>
    </row>
    <row r="488" spans="1:75" customHeight="1" ht="12.75">
      <c r="A488" t="s">
        <v>72</v>
      </c>
      <c r="B488" t="s">
        <v>2324</v>
      </c>
      <c r="C488"/>
      <c r="D488"/>
      <c r="E488"/>
      <c r="F488" t="s">
        <v>3395</v>
      </c>
      <c r="G488"/>
      <c r="H488"/>
      <c r="I488" t="s">
        <v>3396</v>
      </c>
      <c r="J488" t="s">
        <v>204</v>
      </c>
      <c r="K488"/>
      <c r="L488"/>
      <c r="M488"/>
      <c r="N488"/>
      <c r="O488"/>
      <c r="P488"/>
      <c r="Q488"/>
      <c r="R488"/>
      <c r="S488"/>
      <c r="T488"/>
      <c r="U488"/>
      <c r="V488"/>
      <c r="W488"/>
      <c r="X488"/>
      <c r="Y488"/>
      <c r="Z488"/>
      <c r="AA488" t="s">
        <v>3397</v>
      </c>
      <c r="AB488" t="s">
        <v>3398</v>
      </c>
      <c r="AC488"/>
      <c r="AD488"/>
      <c r="AE488"/>
      <c r="AF488"/>
      <c r="AG488"/>
      <c r="AH488"/>
      <c r="AI488"/>
      <c r="AJ488"/>
      <c r="AK488"/>
      <c r="AL488"/>
      <c r="AM488"/>
      <c r="AN488"/>
      <c r="AO488" t="s">
        <v>205</v>
      </c>
      <c r="AP488" t="s">
        <v>206</v>
      </c>
      <c r="AQ488"/>
      <c r="AR488"/>
      <c r="AS488"/>
      <c r="AT488" t="s">
        <v>171</v>
      </c>
      <c r="AU488">
        <v>2018</v>
      </c>
      <c r="AV488">
        <v>20</v>
      </c>
      <c r="AW488">
        <v>3</v>
      </c>
      <c r="AX488"/>
      <c r="AY488"/>
      <c r="AZ488"/>
      <c r="BA488"/>
      <c r="BB488">
        <v>53</v>
      </c>
      <c r="BC488">
        <v>82</v>
      </c>
      <c r="BD488"/>
      <c r="BE488" t="s">
        <v>3399</v>
      </c>
      <c r="BF488" t="str">
        <f>HYPERLINK("http://dx.doi.org/10.17853/1994-5639-2018-3-53-82","http://dx.doi.org/10.17853/1994-5639-2018-3-53-82")</f>
        <v>http://dx.doi.org/10.17853/1994-5639-2018-3-53-82</v>
      </c>
      <c r="BG488"/>
      <c r="BH488"/>
      <c r="BI488"/>
      <c r="BJ488"/>
      <c r="BK488"/>
      <c r="BL488"/>
      <c r="BM488"/>
      <c r="BN488"/>
      <c r="BO488"/>
      <c r="BP488"/>
      <c r="BQ488"/>
      <c r="BR488"/>
      <c r="BS488" t="s">
        <v>3400</v>
      </c>
      <c r="BT488" t="str">
        <f>HYPERLINK("https%3A%2F%2Fwww.webofscience.com%2Fwos%2Fwoscc%2Ffull-record%2FWOS:000461120400003","View Full Record in Web of Science")</f>
        <v>View Full Record in Web of Science</v>
      </c>
    </row>
    <row r="489" spans="1:75" customHeight="1" ht="12.75">
      <c r="A489" t="s">
        <v>72</v>
      </c>
      <c r="B489" t="s">
        <v>925</v>
      </c>
      <c r="C489"/>
      <c r="D489"/>
      <c r="E489"/>
      <c r="F489" t="s">
        <v>926</v>
      </c>
      <c r="G489"/>
      <c r="H489"/>
      <c r="I489" t="s">
        <v>3401</v>
      </c>
      <c r="J489" t="s">
        <v>3402</v>
      </c>
      <c r="K489"/>
      <c r="L489"/>
      <c r="M489"/>
      <c r="N489"/>
      <c r="O489"/>
      <c r="P489"/>
      <c r="Q489"/>
      <c r="R489"/>
      <c r="S489"/>
      <c r="T489"/>
      <c r="U489"/>
      <c r="V489"/>
      <c r="W489"/>
      <c r="X489"/>
      <c r="Y489"/>
      <c r="Z489"/>
      <c r="AA489" t="s">
        <v>3403</v>
      </c>
      <c r="AB489" t="s">
        <v>3404</v>
      </c>
      <c r="AC489"/>
      <c r="AD489"/>
      <c r="AE489"/>
      <c r="AF489"/>
      <c r="AG489"/>
      <c r="AH489"/>
      <c r="AI489"/>
      <c r="AJ489"/>
      <c r="AK489"/>
      <c r="AL489"/>
      <c r="AM489"/>
      <c r="AN489"/>
      <c r="AO489" t="s">
        <v>3405</v>
      </c>
      <c r="AP489" t="s">
        <v>3406</v>
      </c>
      <c r="AQ489"/>
      <c r="AR489"/>
      <c r="AS489"/>
      <c r="AT489" t="s">
        <v>541</v>
      </c>
      <c r="AU489">
        <v>2018</v>
      </c>
      <c r="AV489">
        <v>27</v>
      </c>
      <c r="AW489">
        <v>1</v>
      </c>
      <c r="AX489"/>
      <c r="AY489"/>
      <c r="AZ489"/>
      <c r="BA489"/>
      <c r="BB489"/>
      <c r="BC489"/>
      <c r="BD489">
        <v>1850004</v>
      </c>
      <c r="BE489" t="s">
        <v>3407</v>
      </c>
      <c r="BF489" t="str">
        <f>HYPERLINK("http://dx.doi.org/10.1142/S0218126618500044","http://dx.doi.org/10.1142/S0218126618500044")</f>
        <v>http://dx.doi.org/10.1142/S0218126618500044</v>
      </c>
      <c r="BG489"/>
      <c r="BH489"/>
      <c r="BI489"/>
      <c r="BJ489"/>
      <c r="BK489"/>
      <c r="BL489"/>
      <c r="BM489"/>
      <c r="BN489"/>
      <c r="BO489"/>
      <c r="BP489"/>
      <c r="BQ489"/>
      <c r="BR489"/>
      <c r="BS489" t="s">
        <v>3408</v>
      </c>
      <c r="BT489" t="str">
        <f>HYPERLINK("https%3A%2F%2Fwww.webofscience.com%2Fwos%2Fwoscc%2Ffull-record%2FWOS:000408205300004","View Full Record in Web of Science")</f>
        <v>View Full Record in Web of Science</v>
      </c>
    </row>
    <row r="490" spans="1:75" customHeight="1" ht="12.75">
      <c r="A490" t="s">
        <v>72</v>
      </c>
      <c r="B490" t="s">
        <v>3409</v>
      </c>
      <c r="C490"/>
      <c r="D490"/>
      <c r="E490"/>
      <c r="F490" t="s">
        <v>3410</v>
      </c>
      <c r="G490"/>
      <c r="H490"/>
      <c r="I490" t="s">
        <v>3411</v>
      </c>
      <c r="J490" t="s">
        <v>3412</v>
      </c>
      <c r="K490"/>
      <c r="L490"/>
      <c r="M490"/>
      <c r="N490"/>
      <c r="O490"/>
      <c r="P490"/>
      <c r="Q490"/>
      <c r="R490"/>
      <c r="S490"/>
      <c r="T490"/>
      <c r="U490"/>
      <c r="V490"/>
      <c r="W490"/>
      <c r="X490"/>
      <c r="Y490"/>
      <c r="Z490"/>
      <c r="AA490" t="s">
        <v>3413</v>
      </c>
      <c r="AB490" t="s">
        <v>3414</v>
      </c>
      <c r="AC490"/>
      <c r="AD490"/>
      <c r="AE490"/>
      <c r="AF490"/>
      <c r="AG490"/>
      <c r="AH490"/>
      <c r="AI490"/>
      <c r="AJ490"/>
      <c r="AK490"/>
      <c r="AL490"/>
      <c r="AM490"/>
      <c r="AN490"/>
      <c r="AO490" t="s">
        <v>3415</v>
      </c>
      <c r="AP490" t="s">
        <v>3416</v>
      </c>
      <c r="AQ490"/>
      <c r="AR490"/>
      <c r="AS490"/>
      <c r="AT490"/>
      <c r="AU490">
        <v>2018</v>
      </c>
      <c r="AV490">
        <v>28</v>
      </c>
      <c r="AW490">
        <v>3</v>
      </c>
      <c r="AX490"/>
      <c r="AY490"/>
      <c r="AZ490"/>
      <c r="BA490"/>
      <c r="BB490">
        <v>416</v>
      </c>
      <c r="BC490">
        <v>428</v>
      </c>
      <c r="BD490"/>
      <c r="BE490" t="s">
        <v>3417</v>
      </c>
      <c r="BF490" t="str">
        <f>HYPERLINK("http://dx.doi.org/10.15507/0236-2910.028.201803.416-428","http://dx.doi.org/10.15507/0236-2910.028.201803.416-428")</f>
        <v>http://dx.doi.org/10.15507/0236-2910.028.201803.416-428</v>
      </c>
      <c r="BG490"/>
      <c r="BH490"/>
      <c r="BI490"/>
      <c r="BJ490"/>
      <c r="BK490"/>
      <c r="BL490"/>
      <c r="BM490"/>
      <c r="BN490"/>
      <c r="BO490"/>
      <c r="BP490"/>
      <c r="BQ490"/>
      <c r="BR490"/>
      <c r="BS490" t="s">
        <v>3418</v>
      </c>
      <c r="BT490" t="str">
        <f>HYPERLINK("https%3A%2F%2Fwww.webofscience.com%2Fwos%2Fwoscc%2Ffull-record%2FWOS:000444121400010","View Full Record in Web of Science")</f>
        <v>View Full Record in Web of Science</v>
      </c>
    </row>
    <row r="491" spans="1:75" customHeight="1" ht="12.75">
      <c r="A491" t="s">
        <v>72</v>
      </c>
      <c r="B491" t="s">
        <v>698</v>
      </c>
      <c r="C491"/>
      <c r="D491"/>
      <c r="E491"/>
      <c r="F491" t="s">
        <v>2370</v>
      </c>
      <c r="G491"/>
      <c r="H491"/>
      <c r="I491" t="s">
        <v>3419</v>
      </c>
      <c r="J491" t="s">
        <v>1652</v>
      </c>
      <c r="K491"/>
      <c r="L491"/>
      <c r="M491"/>
      <c r="N491"/>
      <c r="O491"/>
      <c r="P491"/>
      <c r="Q491"/>
      <c r="R491"/>
      <c r="S491"/>
      <c r="T491"/>
      <c r="U491"/>
      <c r="V491"/>
      <c r="W491"/>
      <c r="X491"/>
      <c r="Y491"/>
      <c r="Z491"/>
      <c r="AA491" t="s">
        <v>553</v>
      </c>
      <c r="AB491" t="s">
        <v>554</v>
      </c>
      <c r="AC491"/>
      <c r="AD491"/>
      <c r="AE491"/>
      <c r="AF491"/>
      <c r="AG491"/>
      <c r="AH491"/>
      <c r="AI491"/>
      <c r="AJ491"/>
      <c r="AK491"/>
      <c r="AL491"/>
      <c r="AM491"/>
      <c r="AN491"/>
      <c r="AO491" t="s">
        <v>1653</v>
      </c>
      <c r="AP491"/>
      <c r="AQ491"/>
      <c r="AR491"/>
      <c r="AS491"/>
      <c r="AT491" t="s">
        <v>3420</v>
      </c>
      <c r="AU491">
        <v>2018</v>
      </c>
      <c r="AV491">
        <v>12</v>
      </c>
      <c r="AW491">
        <v>1</v>
      </c>
      <c r="AX491"/>
      <c r="AY491"/>
      <c r="AZ491"/>
      <c r="BA491"/>
      <c r="BB491">
        <v>496</v>
      </c>
      <c r="BC491">
        <v>499</v>
      </c>
      <c r="BD491"/>
      <c r="BE491"/>
      <c r="BF491"/>
      <c r="BG491"/>
      <c r="BH491"/>
      <c r="BI491"/>
      <c r="BJ491"/>
      <c r="BK491"/>
      <c r="BL491"/>
      <c r="BM491"/>
      <c r="BN491"/>
      <c r="BO491"/>
      <c r="BP491"/>
      <c r="BQ491"/>
      <c r="BR491"/>
      <c r="BS491" t="s">
        <v>3421</v>
      </c>
      <c r="BT491" t="str">
        <f>HYPERLINK("https%3A%2F%2Fwww.webofscience.com%2Fwos%2Fwoscc%2Ffull-record%2FWOS:000432248900136","View Full Record in Web of Science")</f>
        <v>View Full Record in Web of Science</v>
      </c>
    </row>
    <row r="492" spans="1:75" customHeight="1" ht="12.75">
      <c r="A492" t="s">
        <v>147</v>
      </c>
      <c r="B492" t="s">
        <v>3422</v>
      </c>
      <c r="C492"/>
      <c r="D492" t="s">
        <v>3423</v>
      </c>
      <c r="E492"/>
      <c r="F492" t="s">
        <v>3424</v>
      </c>
      <c r="G492"/>
      <c r="H492"/>
      <c r="I492" t="s">
        <v>3425</v>
      </c>
      <c r="J492" t="s">
        <v>3426</v>
      </c>
      <c r="K492"/>
      <c r="L492"/>
      <c r="M492"/>
      <c r="N492"/>
      <c r="O492" t="s">
        <v>3427</v>
      </c>
      <c r="P492" t="s">
        <v>3428</v>
      </c>
      <c r="Q492" t="s">
        <v>3429</v>
      </c>
      <c r="R492" t="s">
        <v>3430</v>
      </c>
      <c r="S492" t="s">
        <v>3431</v>
      </c>
      <c r="T492"/>
      <c r="U492"/>
      <c r="V492"/>
      <c r="W492"/>
      <c r="X492"/>
      <c r="Y492"/>
      <c r="Z492"/>
      <c r="AA492" t="s">
        <v>2486</v>
      </c>
      <c r="AB492" t="s">
        <v>2487</v>
      </c>
      <c r="AC492"/>
      <c r="AD492"/>
      <c r="AE492"/>
      <c r="AF492"/>
      <c r="AG492"/>
      <c r="AH492"/>
      <c r="AI492"/>
      <c r="AJ492"/>
      <c r="AK492"/>
      <c r="AL492"/>
      <c r="AM492"/>
      <c r="AN492"/>
      <c r="AO492"/>
      <c r="AP492"/>
      <c r="AQ492" t="s">
        <v>3432</v>
      </c>
      <c r="AR492"/>
      <c r="AS492"/>
      <c r="AT492"/>
      <c r="AU492">
        <v>2018</v>
      </c>
      <c r="AV492"/>
      <c r="AW492"/>
      <c r="AX492"/>
      <c r="AY492"/>
      <c r="AZ492"/>
      <c r="BA492"/>
      <c r="BB492">
        <v>240</v>
      </c>
      <c r="BC492">
        <v>245</v>
      </c>
      <c r="BD492"/>
      <c r="BE492"/>
      <c r="BF492"/>
      <c r="BG492"/>
      <c r="BH492"/>
      <c r="BI492"/>
      <c r="BJ492"/>
      <c r="BK492"/>
      <c r="BL492"/>
      <c r="BM492"/>
      <c r="BN492"/>
      <c r="BO492"/>
      <c r="BP492"/>
      <c r="BQ492"/>
      <c r="BR492"/>
      <c r="BS492" t="s">
        <v>3433</v>
      </c>
      <c r="BT492" t="str">
        <f>HYPERLINK("https%3A%2F%2Fwww.webofscience.com%2Fwos%2Fwoscc%2Ffull-record%2FWOS:000618551100040","View Full Record in Web of Science")</f>
        <v>View Full Record in Web of Science</v>
      </c>
    </row>
    <row r="493" spans="1:75" customHeight="1" ht="12.75">
      <c r="A493" t="s">
        <v>147</v>
      </c>
      <c r="B493" t="s">
        <v>3434</v>
      </c>
      <c r="C493"/>
      <c r="D493" t="s">
        <v>2500</v>
      </c>
      <c r="E493"/>
      <c r="F493" t="s">
        <v>3435</v>
      </c>
      <c r="G493"/>
      <c r="H493"/>
      <c r="I493" t="s">
        <v>3436</v>
      </c>
      <c r="J493" t="s">
        <v>2503</v>
      </c>
      <c r="K493" t="s">
        <v>2504</v>
      </c>
      <c r="L493"/>
      <c r="M493"/>
      <c r="N493"/>
      <c r="O493" t="s">
        <v>2505</v>
      </c>
      <c r="P493" t="s">
        <v>2506</v>
      </c>
      <c r="Q493" t="s">
        <v>2507</v>
      </c>
      <c r="R493" t="s">
        <v>2508</v>
      </c>
      <c r="S493"/>
      <c r="T493"/>
      <c r="U493"/>
      <c r="V493"/>
      <c r="W493"/>
      <c r="X493"/>
      <c r="Y493"/>
      <c r="Z493"/>
      <c r="AA493"/>
      <c r="AB493"/>
      <c r="AC493"/>
      <c r="AD493"/>
      <c r="AE493"/>
      <c r="AF493"/>
      <c r="AG493"/>
      <c r="AH493"/>
      <c r="AI493"/>
      <c r="AJ493"/>
      <c r="AK493"/>
      <c r="AL493"/>
      <c r="AM493"/>
      <c r="AN493"/>
      <c r="AO493" t="s">
        <v>2509</v>
      </c>
      <c r="AP493"/>
      <c r="AQ493" t="s">
        <v>2510</v>
      </c>
      <c r="AR493"/>
      <c r="AS493"/>
      <c r="AT493"/>
      <c r="AU493">
        <v>2018</v>
      </c>
      <c r="AV493">
        <v>47</v>
      </c>
      <c r="AW493"/>
      <c r="AX493"/>
      <c r="AY493"/>
      <c r="AZ493"/>
      <c r="BA493"/>
      <c r="BB493">
        <v>988</v>
      </c>
      <c r="BC493">
        <v>991</v>
      </c>
      <c r="BD493"/>
      <c r="BE493"/>
      <c r="BF493"/>
      <c r="BG493"/>
      <c r="BH493"/>
      <c r="BI493"/>
      <c r="BJ493"/>
      <c r="BK493"/>
      <c r="BL493"/>
      <c r="BM493"/>
      <c r="BN493"/>
      <c r="BO493"/>
      <c r="BP493"/>
      <c r="BQ493"/>
      <c r="BR493"/>
      <c r="BS493" t="s">
        <v>3437</v>
      </c>
      <c r="BT493" t="str">
        <f>HYPERLINK("https%3A%2F%2Fwww.webofscience.com%2Fwos%2Fwoscc%2Ffull-record%2FWOS:000679066800223","View Full Record in Web of Science")</f>
        <v>View Full Record in Web of Science</v>
      </c>
    </row>
    <row r="494" spans="1:75" customHeight="1" ht="12.75">
      <c r="A494" t="s">
        <v>72</v>
      </c>
      <c r="B494" t="s">
        <v>3438</v>
      </c>
      <c r="C494"/>
      <c r="D494"/>
      <c r="E494"/>
      <c r="F494" t="s">
        <v>3439</v>
      </c>
      <c r="G494"/>
      <c r="H494"/>
      <c r="I494" t="s">
        <v>3440</v>
      </c>
      <c r="J494" t="s">
        <v>3441</v>
      </c>
      <c r="K494"/>
      <c r="L494"/>
      <c r="M494"/>
      <c r="N494"/>
      <c r="O494"/>
      <c r="P494"/>
      <c r="Q494"/>
      <c r="R494"/>
      <c r="S494"/>
      <c r="T494"/>
      <c r="U494"/>
      <c r="V494"/>
      <c r="W494"/>
      <c r="X494"/>
      <c r="Y494"/>
      <c r="Z494"/>
      <c r="AA494" t="s">
        <v>3442</v>
      </c>
      <c r="AB494" t="s">
        <v>3443</v>
      </c>
      <c r="AC494"/>
      <c r="AD494"/>
      <c r="AE494"/>
      <c r="AF494"/>
      <c r="AG494"/>
      <c r="AH494"/>
      <c r="AI494"/>
      <c r="AJ494"/>
      <c r="AK494"/>
      <c r="AL494"/>
      <c r="AM494"/>
      <c r="AN494"/>
      <c r="AO494" t="s">
        <v>3444</v>
      </c>
      <c r="AP494" t="s">
        <v>3445</v>
      </c>
      <c r="AQ494"/>
      <c r="AR494"/>
      <c r="AS494"/>
      <c r="AT494" t="s">
        <v>198</v>
      </c>
      <c r="AU494">
        <v>2017</v>
      </c>
      <c r="AV494">
        <v>41</v>
      </c>
      <c r="AW494">
        <v>1</v>
      </c>
      <c r="AX494"/>
      <c r="AY494"/>
      <c r="AZ494"/>
      <c r="BA494"/>
      <c r="BB494">
        <v>43</v>
      </c>
      <c r="BC494">
        <v>60</v>
      </c>
      <c r="BD494"/>
      <c r="BE494" t="s">
        <v>3446</v>
      </c>
      <c r="BF494" t="str">
        <f>HYPERLINK("http://dx.doi.org/10.1007/s11185-016-9174-9","http://dx.doi.org/10.1007/s11185-016-9174-9")</f>
        <v>http://dx.doi.org/10.1007/s11185-016-9174-9</v>
      </c>
      <c r="BG494"/>
      <c r="BH494"/>
      <c r="BI494"/>
      <c r="BJ494"/>
      <c r="BK494"/>
      <c r="BL494"/>
      <c r="BM494"/>
      <c r="BN494"/>
      <c r="BO494"/>
      <c r="BP494"/>
      <c r="BQ494"/>
      <c r="BR494"/>
      <c r="BS494" t="s">
        <v>3447</v>
      </c>
      <c r="BT494" t="str">
        <f>HYPERLINK("https%3A%2F%2Fwww.webofscience.com%2Fwos%2Fwoscc%2Ffull-record%2FWOS:000398165000003","View Full Record in Web of Science")</f>
        <v>View Full Record in Web of Science</v>
      </c>
    </row>
    <row r="495" spans="1:75" customHeight="1" ht="12.75">
      <c r="A495" t="s">
        <v>147</v>
      </c>
      <c r="B495" t="s">
        <v>2152</v>
      </c>
      <c r="C495"/>
      <c r="D495"/>
      <c r="E495" t="s">
        <v>210</v>
      </c>
      <c r="F495" t="s">
        <v>2153</v>
      </c>
      <c r="G495"/>
      <c r="H495"/>
      <c r="I495" t="s">
        <v>3448</v>
      </c>
      <c r="J495" t="s">
        <v>1261</v>
      </c>
      <c r="K495"/>
      <c r="L495"/>
      <c r="M495"/>
      <c r="N495"/>
      <c r="O495" t="s">
        <v>214</v>
      </c>
      <c r="P495" t="s">
        <v>909</v>
      </c>
      <c r="Q495" t="s">
        <v>910</v>
      </c>
      <c r="R495" t="s">
        <v>1262</v>
      </c>
      <c r="S495"/>
      <c r="T495"/>
      <c r="U495"/>
      <c r="V495"/>
      <c r="W495"/>
      <c r="X495"/>
      <c r="Y495"/>
      <c r="Z495"/>
      <c r="AA495" t="s">
        <v>562</v>
      </c>
      <c r="AB495" t="s">
        <v>563</v>
      </c>
      <c r="AC495"/>
      <c r="AD495"/>
      <c r="AE495"/>
      <c r="AF495"/>
      <c r="AG495"/>
      <c r="AH495"/>
      <c r="AI495"/>
      <c r="AJ495"/>
      <c r="AK495"/>
      <c r="AL495"/>
      <c r="AM495"/>
      <c r="AN495"/>
      <c r="AO495"/>
      <c r="AP495"/>
      <c r="AQ495" t="s">
        <v>1263</v>
      </c>
      <c r="AR495"/>
      <c r="AS495"/>
      <c r="AT495"/>
      <c r="AU495">
        <v>2017</v>
      </c>
      <c r="AV495"/>
      <c r="AW495"/>
      <c r="AX495"/>
      <c r="AY495"/>
      <c r="AZ495"/>
      <c r="BA495"/>
      <c r="BB495"/>
      <c r="BC495"/>
      <c r="BD495"/>
      <c r="BE495"/>
      <c r="BF495"/>
      <c r="BG495"/>
      <c r="BH495"/>
      <c r="BI495"/>
      <c r="BJ495"/>
      <c r="BK495"/>
      <c r="BL495"/>
      <c r="BM495"/>
      <c r="BN495"/>
      <c r="BO495"/>
      <c r="BP495"/>
      <c r="BQ495"/>
      <c r="BR495"/>
      <c r="BS495" t="s">
        <v>3449</v>
      </c>
      <c r="BT495" t="str">
        <f>HYPERLINK("https%3A%2F%2Fwww.webofscience.com%2Fwos%2Fwoscc%2Ffull-record%2FWOS:000414282400359","View Full Record in Web of Science")</f>
        <v>View Full Record in Web of Science</v>
      </c>
    </row>
    <row r="496" spans="1:75" customHeight="1" ht="12.75">
      <c r="A496" t="s">
        <v>147</v>
      </c>
      <c r="B496" t="s">
        <v>3450</v>
      </c>
      <c r="C496"/>
      <c r="D496" t="s">
        <v>903</v>
      </c>
      <c r="E496"/>
      <c r="F496" t="s">
        <v>3451</v>
      </c>
      <c r="G496"/>
      <c r="H496"/>
      <c r="I496" t="s">
        <v>3452</v>
      </c>
      <c r="J496" t="s">
        <v>906</v>
      </c>
      <c r="K496" t="s">
        <v>907</v>
      </c>
      <c r="L496"/>
      <c r="M496"/>
      <c r="N496"/>
      <c r="O496" t="s">
        <v>908</v>
      </c>
      <c r="P496" t="s">
        <v>909</v>
      </c>
      <c r="Q496" t="s">
        <v>910</v>
      </c>
      <c r="R496" t="s">
        <v>911</v>
      </c>
      <c r="S496"/>
      <c r="T496"/>
      <c r="U496"/>
      <c r="V496"/>
      <c r="W496"/>
      <c r="X496"/>
      <c r="Y496"/>
      <c r="Z496"/>
      <c r="AA496" t="s">
        <v>1609</v>
      </c>
      <c r="AB496" t="s">
        <v>1610</v>
      </c>
      <c r="AC496"/>
      <c r="AD496"/>
      <c r="AE496"/>
      <c r="AF496"/>
      <c r="AG496"/>
      <c r="AH496"/>
      <c r="AI496"/>
      <c r="AJ496"/>
      <c r="AK496"/>
      <c r="AL496"/>
      <c r="AM496"/>
      <c r="AN496"/>
      <c r="AO496" t="s">
        <v>912</v>
      </c>
      <c r="AP496"/>
      <c r="AQ496"/>
      <c r="AR496"/>
      <c r="AS496"/>
      <c r="AT496"/>
      <c r="AU496">
        <v>2017</v>
      </c>
      <c r="AV496">
        <v>206</v>
      </c>
      <c r="AW496"/>
      <c r="AX496"/>
      <c r="AY496"/>
      <c r="AZ496"/>
      <c r="BA496"/>
      <c r="BB496">
        <v>1648</v>
      </c>
      <c r="BC496">
        <v>1653</v>
      </c>
      <c r="BD496"/>
      <c r="BE496" t="s">
        <v>3453</v>
      </c>
      <c r="BF496" t="str">
        <f>HYPERLINK("http://dx.doi.org/10.1016/j.proeng.2017.10.692","http://dx.doi.org/10.1016/j.proeng.2017.10.692")</f>
        <v>http://dx.doi.org/10.1016/j.proeng.2017.10.692</v>
      </c>
      <c r="BG496"/>
      <c r="BH496"/>
      <c r="BI496"/>
      <c r="BJ496"/>
      <c r="BK496"/>
      <c r="BL496"/>
      <c r="BM496"/>
      <c r="BN496"/>
      <c r="BO496"/>
      <c r="BP496"/>
      <c r="BQ496"/>
      <c r="BR496"/>
      <c r="BS496" t="s">
        <v>3454</v>
      </c>
      <c r="BT496" t="str">
        <f>HYPERLINK("https%3A%2F%2Fwww.webofscience.com%2Fwos%2Fwoscc%2Ffull-record%2FWOS:000425674300266","View Full Record in Web of Science")</f>
        <v>View Full Record in Web of Science</v>
      </c>
    </row>
    <row r="497" spans="1:75" customHeight="1" ht="12.75">
      <c r="A497" t="s">
        <v>147</v>
      </c>
      <c r="B497" t="s">
        <v>3455</v>
      </c>
      <c r="C497"/>
      <c r="D497"/>
      <c r="E497" t="s">
        <v>210</v>
      </c>
      <c r="F497" t="s">
        <v>3456</v>
      </c>
      <c r="G497"/>
      <c r="H497"/>
      <c r="I497" t="s">
        <v>3457</v>
      </c>
      <c r="J497" t="s">
        <v>1261</v>
      </c>
      <c r="K497"/>
      <c r="L497"/>
      <c r="M497"/>
      <c r="N497"/>
      <c r="O497" t="s">
        <v>214</v>
      </c>
      <c r="P497" t="s">
        <v>909</v>
      </c>
      <c r="Q497" t="s">
        <v>910</v>
      </c>
      <c r="R497" t="s">
        <v>1262</v>
      </c>
      <c r="S497"/>
      <c r="T497"/>
      <c r="U497"/>
      <c r="V497"/>
      <c r="W497"/>
      <c r="X497"/>
      <c r="Y497"/>
      <c r="Z497"/>
      <c r="AA497"/>
      <c r="AB497"/>
      <c r="AC497"/>
      <c r="AD497"/>
      <c r="AE497"/>
      <c r="AF497"/>
      <c r="AG497"/>
      <c r="AH497"/>
      <c r="AI497"/>
      <c r="AJ497"/>
      <c r="AK497"/>
      <c r="AL497"/>
      <c r="AM497"/>
      <c r="AN497"/>
      <c r="AO497"/>
      <c r="AP497"/>
      <c r="AQ497" t="s">
        <v>1263</v>
      </c>
      <c r="AR497"/>
      <c r="AS497"/>
      <c r="AT497"/>
      <c r="AU497">
        <v>2017</v>
      </c>
      <c r="AV497"/>
      <c r="AW497"/>
      <c r="AX497"/>
      <c r="AY497"/>
      <c r="AZ497"/>
      <c r="BA497"/>
      <c r="BB497"/>
      <c r="BC497"/>
      <c r="BD497"/>
      <c r="BE497"/>
      <c r="BF497"/>
      <c r="BG497"/>
      <c r="BH497"/>
      <c r="BI497"/>
      <c r="BJ497"/>
      <c r="BK497"/>
      <c r="BL497"/>
      <c r="BM497"/>
      <c r="BN497"/>
      <c r="BO497"/>
      <c r="BP497"/>
      <c r="BQ497"/>
      <c r="BR497"/>
      <c r="BS497" t="s">
        <v>3458</v>
      </c>
      <c r="BT497" t="str">
        <f>HYPERLINK("https%3A%2F%2Fwww.webofscience.com%2Fwos%2Fwoscc%2Ffull-record%2FWOS:000414282400167","View Full Record in Web of Science")</f>
        <v>View Full Record in Web of Science</v>
      </c>
    </row>
    <row r="498" spans="1:75" customHeight="1" ht="12.75">
      <c r="A498" t="s">
        <v>147</v>
      </c>
      <c r="B498" t="s">
        <v>925</v>
      </c>
      <c r="C498"/>
      <c r="D498" t="s">
        <v>3270</v>
      </c>
      <c r="E498"/>
      <c r="F498" t="s">
        <v>926</v>
      </c>
      <c r="G498"/>
      <c r="H498"/>
      <c r="I498" t="s">
        <v>3459</v>
      </c>
      <c r="J498" t="s">
        <v>3460</v>
      </c>
      <c r="K498" t="s">
        <v>1494</v>
      </c>
      <c r="L498"/>
      <c r="M498"/>
      <c r="N498"/>
      <c r="O498" t="s">
        <v>3461</v>
      </c>
      <c r="P498" t="s">
        <v>3462</v>
      </c>
      <c r="Q498" t="s">
        <v>3463</v>
      </c>
      <c r="R498" t="s">
        <v>3464</v>
      </c>
      <c r="S498"/>
      <c r="T498"/>
      <c r="U498"/>
      <c r="V498"/>
      <c r="W498"/>
      <c r="X498"/>
      <c r="Y498"/>
      <c r="Z498"/>
      <c r="AA498" t="s">
        <v>934</v>
      </c>
      <c r="AB498" t="s">
        <v>935</v>
      </c>
      <c r="AC498"/>
      <c r="AD498"/>
      <c r="AE498"/>
      <c r="AF498"/>
      <c r="AG498"/>
      <c r="AH498"/>
      <c r="AI498"/>
      <c r="AJ498"/>
      <c r="AK498"/>
      <c r="AL498"/>
      <c r="AM498"/>
      <c r="AN498"/>
      <c r="AO498" t="s">
        <v>1500</v>
      </c>
      <c r="AP498" t="s">
        <v>1304</v>
      </c>
      <c r="AQ498" t="s">
        <v>3465</v>
      </c>
      <c r="AR498"/>
      <c r="AS498"/>
      <c r="AT498"/>
      <c r="AU498">
        <v>2015</v>
      </c>
      <c r="AV498">
        <v>9251</v>
      </c>
      <c r="AW498"/>
      <c r="AX498"/>
      <c r="AY498"/>
      <c r="AZ498"/>
      <c r="BA498"/>
      <c r="BB498">
        <v>47</v>
      </c>
      <c r="BC498">
        <v>61</v>
      </c>
      <c r="BD498"/>
      <c r="BE498" t="s">
        <v>3466</v>
      </c>
      <c r="BF498" t="str">
        <f>HYPERLINK("http://dx.doi.org/10.1007/978-3-319-21909-7_5","http://dx.doi.org/10.1007/978-3-319-21909-7_5")</f>
        <v>http://dx.doi.org/10.1007/978-3-319-21909-7_5</v>
      </c>
      <c r="BG498"/>
      <c r="BH498"/>
      <c r="BI498"/>
      <c r="BJ498"/>
      <c r="BK498"/>
      <c r="BL498"/>
      <c r="BM498"/>
      <c r="BN498"/>
      <c r="BO498"/>
      <c r="BP498"/>
      <c r="BQ498"/>
      <c r="BR498"/>
      <c r="BS498" t="s">
        <v>3467</v>
      </c>
      <c r="BT498" t="str">
        <f>HYPERLINK("https%3A%2F%2Fwww.webofscience.com%2Fwos%2Fwoscc%2Ffull-record%2FWOS:000363763200005","View Full Record in Web of Science")</f>
        <v>View Full Record in Web of Science</v>
      </c>
    </row>
    <row r="499" spans="1:75" customHeight="1" ht="12.75">
      <c r="A499" t="s">
        <v>72</v>
      </c>
      <c r="B499" t="s">
        <v>3468</v>
      </c>
      <c r="C499"/>
      <c r="D499"/>
      <c r="E499"/>
      <c r="F499" t="s">
        <v>3469</v>
      </c>
      <c r="G499"/>
      <c r="H499"/>
      <c r="I499" t="s">
        <v>3470</v>
      </c>
      <c r="J499" t="s">
        <v>3471</v>
      </c>
      <c r="K499"/>
      <c r="L499"/>
      <c r="M499"/>
      <c r="N499"/>
      <c r="O499"/>
      <c r="P499"/>
      <c r="Q499"/>
      <c r="R499"/>
      <c r="S499"/>
      <c r="T499"/>
      <c r="U499"/>
      <c r="V499"/>
      <c r="W499"/>
      <c r="X499"/>
      <c r="Y499"/>
      <c r="Z499"/>
      <c r="AA499" t="s">
        <v>425</v>
      </c>
      <c r="AB499" t="s">
        <v>426</v>
      </c>
      <c r="AC499"/>
      <c r="AD499"/>
      <c r="AE499"/>
      <c r="AF499"/>
      <c r="AG499"/>
      <c r="AH499"/>
      <c r="AI499"/>
      <c r="AJ499"/>
      <c r="AK499"/>
      <c r="AL499"/>
      <c r="AM499"/>
      <c r="AN499"/>
      <c r="AO499" t="s">
        <v>3472</v>
      </c>
      <c r="AP499" t="s">
        <v>3473</v>
      </c>
      <c r="AQ499"/>
      <c r="AR499"/>
      <c r="AS499"/>
      <c r="AT499" t="s">
        <v>198</v>
      </c>
      <c r="AU499">
        <v>2007</v>
      </c>
      <c r="AV499">
        <v>50</v>
      </c>
      <c r="AW499">
        <v>4</v>
      </c>
      <c r="AX499"/>
      <c r="AY499"/>
      <c r="AZ499"/>
      <c r="BA499"/>
      <c r="BB499">
        <v>330</v>
      </c>
      <c r="BC499">
        <v>336</v>
      </c>
      <c r="BD499"/>
      <c r="BE499" t="s">
        <v>3474</v>
      </c>
      <c r="BF499" t="str">
        <f>HYPERLINK("http://dx.doi.org/10.1007/s11141-007-0030-z","http://dx.doi.org/10.1007/s11141-007-0030-z")</f>
        <v>http://dx.doi.org/10.1007/s11141-007-0030-z</v>
      </c>
      <c r="BG499"/>
      <c r="BH499"/>
      <c r="BI499"/>
      <c r="BJ499"/>
      <c r="BK499"/>
      <c r="BL499"/>
      <c r="BM499"/>
      <c r="BN499"/>
      <c r="BO499"/>
      <c r="BP499"/>
      <c r="BQ499"/>
      <c r="BR499"/>
      <c r="BS499" t="s">
        <v>3475</v>
      </c>
      <c r="BT499" t="str">
        <f>HYPERLINK("https%3A%2F%2Fwww.webofscience.com%2Fwos%2Fwoscc%2Ffull-record%2FWOS:000207860900009","View Full Record in Web of Science")</f>
        <v>View Full Record in Web of Science</v>
      </c>
    </row>
    <row r="500" spans="1:75" customHeight="1" ht="12.75">
      <c r="A500" t="s">
        <v>72</v>
      </c>
      <c r="B500" t="s">
        <v>2034</v>
      </c>
      <c r="C500"/>
      <c r="D500"/>
      <c r="E500"/>
      <c r="F500" t="s">
        <v>2034</v>
      </c>
      <c r="G500"/>
      <c r="H500"/>
      <c r="I500" t="s">
        <v>3476</v>
      </c>
      <c r="J500" t="s">
        <v>311</v>
      </c>
      <c r="K500"/>
      <c r="L500"/>
      <c r="M500"/>
      <c r="N500"/>
      <c r="O500"/>
      <c r="P500"/>
      <c r="Q500"/>
      <c r="R500"/>
      <c r="S500"/>
      <c r="T500"/>
      <c r="U500"/>
      <c r="V500"/>
      <c r="W500"/>
      <c r="X500"/>
      <c r="Y500"/>
      <c r="Z500"/>
      <c r="AA500"/>
      <c r="AB500"/>
      <c r="AC500"/>
      <c r="AD500"/>
      <c r="AE500"/>
      <c r="AF500"/>
      <c r="AG500"/>
      <c r="AH500"/>
      <c r="AI500"/>
      <c r="AJ500"/>
      <c r="AK500"/>
      <c r="AL500"/>
      <c r="AM500"/>
      <c r="AN500"/>
      <c r="AO500" t="s">
        <v>312</v>
      </c>
      <c r="AP500"/>
      <c r="AQ500"/>
      <c r="AR500"/>
      <c r="AS500"/>
      <c r="AT500" t="s">
        <v>3477</v>
      </c>
      <c r="AU500">
        <v>2002</v>
      </c>
      <c r="AV500">
        <v>36</v>
      </c>
      <c r="AW500">
        <v>6</v>
      </c>
      <c r="AX500"/>
      <c r="AY500"/>
      <c r="AZ500"/>
      <c r="BA500"/>
      <c r="BB500">
        <v>601</v>
      </c>
      <c r="BC500">
        <v>603</v>
      </c>
      <c r="BD500"/>
      <c r="BE500" t="s">
        <v>3478</v>
      </c>
      <c r="BF500" t="str">
        <f>HYPERLINK("http://dx.doi.org/10.1023/A:1021274019713","http://dx.doi.org/10.1023/A:1021274019713")</f>
        <v>http://dx.doi.org/10.1023/A:1021274019713</v>
      </c>
      <c r="BG500"/>
      <c r="BH500"/>
      <c r="BI500"/>
      <c r="BJ500"/>
      <c r="BK500"/>
      <c r="BL500"/>
      <c r="BM500"/>
      <c r="BN500"/>
      <c r="BO500"/>
      <c r="BP500"/>
      <c r="BQ500"/>
      <c r="BR500"/>
      <c r="BS500" t="s">
        <v>3479</v>
      </c>
      <c r="BT500" t="str">
        <f>HYPERLINK("https%3A%2F%2Fwww.webofscience.com%2Fwos%2Fwoscc%2Ffull-record%2FWOS:000180094300016","View Full Record in Web of Science")</f>
        <v>View Full Record in Web of Science</v>
      </c>
    </row>
    <row r="501" spans="1:75" customHeight="1" ht="12.75">
      <c r="A501" t="s">
        <v>72</v>
      </c>
      <c r="B501" t="s">
        <v>3480</v>
      </c>
      <c r="C501"/>
      <c r="D501"/>
      <c r="E501"/>
      <c r="F501" t="s">
        <v>3481</v>
      </c>
      <c r="G501"/>
      <c r="H501"/>
      <c r="I501" t="s">
        <v>3482</v>
      </c>
      <c r="J501" t="s">
        <v>123</v>
      </c>
      <c r="K501"/>
      <c r="L501"/>
      <c r="M501"/>
      <c r="N501"/>
      <c r="O501"/>
      <c r="P501"/>
      <c r="Q501"/>
      <c r="R501"/>
      <c r="S501"/>
      <c r="T501"/>
      <c r="U501"/>
      <c r="V501"/>
      <c r="W501"/>
      <c r="X501"/>
      <c r="Y501"/>
      <c r="Z501"/>
      <c r="AA501"/>
      <c r="AB501"/>
      <c r="AC501"/>
      <c r="AD501"/>
      <c r="AE501"/>
      <c r="AF501"/>
      <c r="AG501"/>
      <c r="AH501"/>
      <c r="AI501"/>
      <c r="AJ501"/>
      <c r="AK501"/>
      <c r="AL501"/>
      <c r="AM501"/>
      <c r="AN501"/>
      <c r="AO501" t="s">
        <v>124</v>
      </c>
      <c r="AP501"/>
      <c r="AQ501"/>
      <c r="AR501"/>
      <c r="AS501"/>
      <c r="AT501" t="s">
        <v>655</v>
      </c>
      <c r="AU501">
        <v>2021</v>
      </c>
      <c r="AV501">
        <v>22</v>
      </c>
      <c r="AW501">
        <v>2</v>
      </c>
      <c r="AX501"/>
      <c r="AY501"/>
      <c r="AZ501"/>
      <c r="BA501"/>
      <c r="BB501">
        <v>195</v>
      </c>
      <c r="BC501">
        <v>199</v>
      </c>
      <c r="BD501"/>
      <c r="BE501" t="s">
        <v>3483</v>
      </c>
      <c r="BF501" t="str">
        <f>HYPERLINK("http://dx.doi.org/10.12911/22998993/131029","http://dx.doi.org/10.12911/22998993/131029")</f>
        <v>http://dx.doi.org/10.12911/22998993/131029</v>
      </c>
      <c r="BG501"/>
      <c r="BH501"/>
      <c r="BI501"/>
      <c r="BJ501"/>
      <c r="BK501"/>
      <c r="BL501"/>
      <c r="BM501"/>
      <c r="BN501"/>
      <c r="BO501"/>
      <c r="BP501"/>
      <c r="BQ501"/>
      <c r="BR501"/>
      <c r="BS501" t="s">
        <v>3484</v>
      </c>
      <c r="BT501" t="str">
        <f>HYPERLINK("https%3A%2F%2Fwww.webofscience.com%2Fwos%2Fwoscc%2Ffull-record%2FWOS:000615787800022","View Full Record in Web of Science")</f>
        <v>View Full Record in Web of Science</v>
      </c>
    </row>
    <row r="502" spans="1:75" customHeight="1" ht="12.75">
      <c r="A502" t="s">
        <v>72</v>
      </c>
      <c r="B502" t="s">
        <v>3485</v>
      </c>
      <c r="C502"/>
      <c r="D502"/>
      <c r="E502"/>
      <c r="F502" t="s">
        <v>3486</v>
      </c>
      <c r="G502"/>
      <c r="H502"/>
      <c r="I502" t="s">
        <v>3487</v>
      </c>
      <c r="J502" t="s">
        <v>3488</v>
      </c>
      <c r="K502"/>
      <c r="L502"/>
      <c r="M502"/>
      <c r="N502"/>
      <c r="O502"/>
      <c r="P502"/>
      <c r="Q502"/>
      <c r="R502"/>
      <c r="S502"/>
      <c r="T502"/>
      <c r="U502"/>
      <c r="V502"/>
      <c r="W502"/>
      <c r="X502"/>
      <c r="Y502"/>
      <c r="Z502"/>
      <c r="AA502"/>
      <c r="AB502" t="s">
        <v>3489</v>
      </c>
      <c r="AC502"/>
      <c r="AD502"/>
      <c r="AE502"/>
      <c r="AF502"/>
      <c r="AG502"/>
      <c r="AH502"/>
      <c r="AI502"/>
      <c r="AJ502"/>
      <c r="AK502"/>
      <c r="AL502"/>
      <c r="AM502"/>
      <c r="AN502"/>
      <c r="AO502" t="s">
        <v>3490</v>
      </c>
      <c r="AP502" t="s">
        <v>3491</v>
      </c>
      <c r="AQ502"/>
      <c r="AR502"/>
      <c r="AS502"/>
      <c r="AT502" t="s">
        <v>703</v>
      </c>
      <c r="AU502">
        <v>2020</v>
      </c>
      <c r="AV502">
        <v>22</v>
      </c>
      <c r="AW502">
        <v>4</v>
      </c>
      <c r="AX502"/>
      <c r="AY502"/>
      <c r="AZ502"/>
      <c r="BA502"/>
      <c r="BB502">
        <v>18</v>
      </c>
      <c r="BC502">
        <v>30</v>
      </c>
      <c r="BD502"/>
      <c r="BE502" t="s">
        <v>3492</v>
      </c>
      <c r="BF502" t="str">
        <f>HYPERLINK("http://dx.doi.org/10.17212/1994-6309-2020-22.4-18-30","http://dx.doi.org/10.17212/1994-6309-2020-22.4-18-30")</f>
        <v>http://dx.doi.org/10.17212/1994-6309-2020-22.4-18-30</v>
      </c>
      <c r="BG502"/>
      <c r="BH502"/>
      <c r="BI502"/>
      <c r="BJ502"/>
      <c r="BK502"/>
      <c r="BL502"/>
      <c r="BM502"/>
      <c r="BN502"/>
      <c r="BO502"/>
      <c r="BP502"/>
      <c r="BQ502"/>
      <c r="BR502"/>
      <c r="BS502" t="s">
        <v>3493</v>
      </c>
      <c r="BT502" t="str">
        <f>HYPERLINK("https%3A%2F%2Fwww.webofscience.com%2Fwos%2Fwoscc%2Ffull-record%2FWOS:000598224000002","View Full Record in Web of Science")</f>
        <v>View Full Record in Web of Science</v>
      </c>
    </row>
    <row r="503" spans="1:75" customHeight="1" ht="12.75">
      <c r="A503" t="s">
        <v>72</v>
      </c>
      <c r="B503" t="s">
        <v>80</v>
      </c>
      <c r="C503"/>
      <c r="D503"/>
      <c r="E503"/>
      <c r="F503" t="s">
        <v>81</v>
      </c>
      <c r="G503"/>
      <c r="H503"/>
      <c r="I503" t="s">
        <v>3494</v>
      </c>
      <c r="J503" t="s">
        <v>3495</v>
      </c>
      <c r="K503"/>
      <c r="L503"/>
      <c r="M503"/>
      <c r="N503"/>
      <c r="O503"/>
      <c r="P503"/>
      <c r="Q503"/>
      <c r="R503"/>
      <c r="S503"/>
      <c r="T503"/>
      <c r="U503"/>
      <c r="V503"/>
      <c r="W503"/>
      <c r="X503"/>
      <c r="Y503"/>
      <c r="Z503"/>
      <c r="AA503" t="s">
        <v>84</v>
      </c>
      <c r="AB503" t="s">
        <v>85</v>
      </c>
      <c r="AC503"/>
      <c r="AD503"/>
      <c r="AE503"/>
      <c r="AF503"/>
      <c r="AG503"/>
      <c r="AH503"/>
      <c r="AI503"/>
      <c r="AJ503"/>
      <c r="AK503"/>
      <c r="AL503"/>
      <c r="AM503"/>
      <c r="AN503"/>
      <c r="AO503" t="s">
        <v>3496</v>
      </c>
      <c r="AP503"/>
      <c r="AQ503"/>
      <c r="AR503"/>
      <c r="AS503"/>
      <c r="AT503" t="s">
        <v>491</v>
      </c>
      <c r="AU503">
        <v>2020</v>
      </c>
      <c r="AV503">
        <v>30</v>
      </c>
      <c r="AW503"/>
      <c r="AX503"/>
      <c r="AY503"/>
      <c r="AZ503"/>
      <c r="BA503"/>
      <c r="BB503"/>
      <c r="BC503"/>
      <c r="BD503">
        <v>105506</v>
      </c>
      <c r="BE503" t="s">
        <v>3497</v>
      </c>
      <c r="BF503" t="str">
        <f>HYPERLINK("http://dx.doi.org/10.1016/j.dib.2020.105506","http://dx.doi.org/10.1016/j.dib.2020.105506")</f>
        <v>http://dx.doi.org/10.1016/j.dib.2020.105506</v>
      </c>
      <c r="BG503"/>
      <c r="BH503"/>
      <c r="BI503"/>
      <c r="BJ503"/>
      <c r="BK503"/>
      <c r="BL503"/>
      <c r="BM503"/>
      <c r="BN503">
        <v>32373682</v>
      </c>
      <c r="BO503"/>
      <c r="BP503"/>
      <c r="BQ503"/>
      <c r="BR503"/>
      <c r="BS503" t="s">
        <v>3498</v>
      </c>
      <c r="BT503" t="str">
        <f>HYPERLINK("https%3A%2F%2Fwww.webofscience.com%2Fwos%2Fwoscc%2Ffull-record%2FWOS:000541974200007","View Full Record in Web of Science")</f>
        <v>View Full Record in Web of Science</v>
      </c>
    </row>
    <row r="504" spans="1:75" customHeight="1" ht="12.75">
      <c r="A504" t="s">
        <v>72</v>
      </c>
      <c r="B504" t="s">
        <v>3499</v>
      </c>
      <c r="C504"/>
      <c r="D504"/>
      <c r="E504"/>
      <c r="F504" t="s">
        <v>3500</v>
      </c>
      <c r="G504"/>
      <c r="H504"/>
      <c r="I504" t="s">
        <v>3501</v>
      </c>
      <c r="J504" t="s">
        <v>3502</v>
      </c>
      <c r="K504"/>
      <c r="L504"/>
      <c r="M504"/>
      <c r="N504"/>
      <c r="O504"/>
      <c r="P504"/>
      <c r="Q504"/>
      <c r="R504"/>
      <c r="S504"/>
      <c r="T504"/>
      <c r="U504"/>
      <c r="V504"/>
      <c r="W504"/>
      <c r="X504"/>
      <c r="Y504"/>
      <c r="Z504"/>
      <c r="AA504" t="s">
        <v>1412</v>
      </c>
      <c r="AB504" t="s">
        <v>1413</v>
      </c>
      <c r="AC504"/>
      <c r="AD504"/>
      <c r="AE504"/>
      <c r="AF504"/>
      <c r="AG504"/>
      <c r="AH504"/>
      <c r="AI504"/>
      <c r="AJ504"/>
      <c r="AK504"/>
      <c r="AL504"/>
      <c r="AM504"/>
      <c r="AN504"/>
      <c r="AO504" t="s">
        <v>3503</v>
      </c>
      <c r="AP504" t="s">
        <v>3504</v>
      </c>
      <c r="AQ504"/>
      <c r="AR504"/>
      <c r="AS504"/>
      <c r="AT504" t="s">
        <v>491</v>
      </c>
      <c r="AU504">
        <v>2020</v>
      </c>
      <c r="AV504">
        <v>38</v>
      </c>
      <c r="AW504"/>
      <c r="AX504"/>
      <c r="AY504"/>
      <c r="AZ504"/>
      <c r="BA504"/>
      <c r="BB504">
        <v>178</v>
      </c>
      <c r="BC504">
        <v>189</v>
      </c>
      <c r="BD504"/>
      <c r="BE504" t="s">
        <v>3505</v>
      </c>
      <c r="BF504" t="str">
        <f>HYPERLINK("http://dx.doi.org/10.17223/22220836/38/16","http://dx.doi.org/10.17223/22220836/38/16")</f>
        <v>http://dx.doi.org/10.17223/22220836/38/16</v>
      </c>
      <c r="BG504"/>
      <c r="BH504"/>
      <c r="BI504"/>
      <c r="BJ504"/>
      <c r="BK504"/>
      <c r="BL504"/>
      <c r="BM504"/>
      <c r="BN504"/>
      <c r="BO504"/>
      <c r="BP504"/>
      <c r="BQ504"/>
      <c r="BR504"/>
      <c r="BS504" t="s">
        <v>3506</v>
      </c>
      <c r="BT504" t="str">
        <f>HYPERLINK("https%3A%2F%2Fwww.webofscience.com%2Fwos%2Fwoscc%2Ffull-record%2FWOS:000540950700016","View Full Record in Web of Science")</f>
        <v>View Full Record in Web of Science</v>
      </c>
    </row>
    <row r="505" spans="1:75" customHeight="1" ht="12.75">
      <c r="A505" t="s">
        <v>72</v>
      </c>
      <c r="B505" t="s">
        <v>3507</v>
      </c>
      <c r="C505"/>
      <c r="D505"/>
      <c r="E505"/>
      <c r="F505" t="s">
        <v>3508</v>
      </c>
      <c r="G505"/>
      <c r="H505"/>
      <c r="I505" t="s">
        <v>3509</v>
      </c>
      <c r="J505" t="s">
        <v>716</v>
      </c>
      <c r="K505"/>
      <c r="L505"/>
      <c r="M505"/>
      <c r="N505"/>
      <c r="O505"/>
      <c r="P505"/>
      <c r="Q505"/>
      <c r="R505"/>
      <c r="S505"/>
      <c r="T505"/>
      <c r="U505"/>
      <c r="V505"/>
      <c r="W505"/>
      <c r="X505"/>
      <c r="Y505"/>
      <c r="Z505"/>
      <c r="AA505" t="s">
        <v>3510</v>
      </c>
      <c r="AB505" t="s">
        <v>3511</v>
      </c>
      <c r="AC505"/>
      <c r="AD505"/>
      <c r="AE505"/>
      <c r="AF505"/>
      <c r="AG505"/>
      <c r="AH505"/>
      <c r="AI505"/>
      <c r="AJ505"/>
      <c r="AK505"/>
      <c r="AL505"/>
      <c r="AM505"/>
      <c r="AN505"/>
      <c r="AO505" t="s">
        <v>719</v>
      </c>
      <c r="AP505" t="s">
        <v>720</v>
      </c>
      <c r="AQ505"/>
      <c r="AR505"/>
      <c r="AS505"/>
      <c r="AT505" t="s">
        <v>655</v>
      </c>
      <c r="AU505">
        <v>2020</v>
      </c>
      <c r="AV505"/>
      <c r="AW505">
        <v>451</v>
      </c>
      <c r="AX505"/>
      <c r="AY505"/>
      <c r="AZ505"/>
      <c r="BA505"/>
      <c r="BB505">
        <v>170</v>
      </c>
      <c r="BC505">
        <v>178</v>
      </c>
      <c r="BD505"/>
      <c r="BE505" t="s">
        <v>3512</v>
      </c>
      <c r="BF505" t="str">
        <f>HYPERLINK("http://dx.doi.org/10.17223/15617793/451/23","http://dx.doi.org/10.17223/15617793/451/23")</f>
        <v>http://dx.doi.org/10.17223/15617793/451/23</v>
      </c>
      <c r="BG505"/>
      <c r="BH505"/>
      <c r="BI505"/>
      <c r="BJ505"/>
      <c r="BK505"/>
      <c r="BL505"/>
      <c r="BM505"/>
      <c r="BN505"/>
      <c r="BO505"/>
      <c r="BP505"/>
      <c r="BQ505"/>
      <c r="BR505"/>
      <c r="BS505" t="s">
        <v>3513</v>
      </c>
      <c r="BT505" t="str">
        <f>HYPERLINK("https%3A%2F%2Fwww.webofscience.com%2Fwos%2Fwoscc%2Ffull-record%2FWOS:000530049500023","View Full Record in Web of Science")</f>
        <v>View Full Record in Web of Science</v>
      </c>
    </row>
    <row r="506" spans="1:75" customHeight="1" ht="12.75">
      <c r="A506" t="s">
        <v>72</v>
      </c>
      <c r="B506" t="s">
        <v>1984</v>
      </c>
      <c r="C506"/>
      <c r="D506"/>
      <c r="E506"/>
      <c r="F506" t="s">
        <v>1985</v>
      </c>
      <c r="G506"/>
      <c r="H506"/>
      <c r="I506" t="s">
        <v>3514</v>
      </c>
      <c r="J506" t="s">
        <v>3515</v>
      </c>
      <c r="K506"/>
      <c r="L506"/>
      <c r="M506"/>
      <c r="N506"/>
      <c r="O506"/>
      <c r="P506"/>
      <c r="Q506"/>
      <c r="R506"/>
      <c r="S506"/>
      <c r="T506"/>
      <c r="U506"/>
      <c r="V506"/>
      <c r="W506"/>
      <c r="X506"/>
      <c r="Y506"/>
      <c r="Z506"/>
      <c r="AA506" t="s">
        <v>1988</v>
      </c>
      <c r="AB506" t="s">
        <v>1989</v>
      </c>
      <c r="AC506"/>
      <c r="AD506"/>
      <c r="AE506"/>
      <c r="AF506"/>
      <c r="AG506"/>
      <c r="AH506"/>
      <c r="AI506"/>
      <c r="AJ506"/>
      <c r="AK506"/>
      <c r="AL506"/>
      <c r="AM506"/>
      <c r="AN506"/>
      <c r="AO506" t="s">
        <v>3516</v>
      </c>
      <c r="AP506" t="s">
        <v>3517</v>
      </c>
      <c r="AQ506"/>
      <c r="AR506"/>
      <c r="AS506"/>
      <c r="AT506"/>
      <c r="AU506">
        <v>2020</v>
      </c>
      <c r="AV506">
        <v>18</v>
      </c>
      <c r="AW506">
        <v>1</v>
      </c>
      <c r="AX506"/>
      <c r="AY506"/>
      <c r="AZ506"/>
      <c r="BA506"/>
      <c r="BB506">
        <v>92</v>
      </c>
      <c r="BC506">
        <v>110</v>
      </c>
      <c r="BD506"/>
      <c r="BE506" t="s">
        <v>3518</v>
      </c>
      <c r="BF506" t="str">
        <f>HYPERLINK("http://dx.doi.org/10.15393/j9.art.2020.6882","http://dx.doi.org/10.15393/j9.art.2020.6882")</f>
        <v>http://dx.doi.org/10.15393/j9.art.2020.6882</v>
      </c>
      <c r="BG506"/>
      <c r="BH506"/>
      <c r="BI506"/>
      <c r="BJ506"/>
      <c r="BK506"/>
      <c r="BL506"/>
      <c r="BM506"/>
      <c r="BN506"/>
      <c r="BO506"/>
      <c r="BP506"/>
      <c r="BQ506"/>
      <c r="BR506"/>
      <c r="BS506" t="s">
        <v>3519</v>
      </c>
      <c r="BT506" t="str">
        <f>HYPERLINK("https%3A%2F%2Fwww.webofscience.com%2Fwos%2Fwoscc%2Ffull-record%2FWOS:000528268000005","View Full Record in Web of Science")</f>
        <v>View Full Record in Web of Science</v>
      </c>
    </row>
    <row r="507" spans="1:75" customHeight="1" ht="12.75">
      <c r="A507" t="s">
        <v>72</v>
      </c>
      <c r="B507" t="s">
        <v>3520</v>
      </c>
      <c r="C507"/>
      <c r="D507"/>
      <c r="E507"/>
      <c r="F507" t="s">
        <v>3521</v>
      </c>
      <c r="G507"/>
      <c r="H507"/>
      <c r="I507" t="s">
        <v>3522</v>
      </c>
      <c r="J507" t="s">
        <v>668</v>
      </c>
      <c r="K507"/>
      <c r="L507"/>
      <c r="M507"/>
      <c r="N507"/>
      <c r="O507"/>
      <c r="P507"/>
      <c r="Q507"/>
      <c r="R507"/>
      <c r="S507"/>
      <c r="T507"/>
      <c r="U507"/>
      <c r="V507"/>
      <c r="W507"/>
      <c r="X507"/>
      <c r="Y507"/>
      <c r="Z507"/>
      <c r="AA507"/>
      <c r="AB507" t="s">
        <v>3523</v>
      </c>
      <c r="AC507"/>
      <c r="AD507"/>
      <c r="AE507"/>
      <c r="AF507"/>
      <c r="AG507"/>
      <c r="AH507"/>
      <c r="AI507"/>
      <c r="AJ507"/>
      <c r="AK507"/>
      <c r="AL507"/>
      <c r="AM507"/>
      <c r="AN507"/>
      <c r="AO507" t="s">
        <v>669</v>
      </c>
      <c r="AP507" t="s">
        <v>670</v>
      </c>
      <c r="AQ507"/>
      <c r="AR507"/>
      <c r="AS507"/>
      <c r="AT507"/>
      <c r="AU507">
        <v>2020</v>
      </c>
      <c r="AV507"/>
      <c r="AW507">
        <v>9</v>
      </c>
      <c r="AX507"/>
      <c r="AY507"/>
      <c r="AZ507"/>
      <c r="BA507"/>
      <c r="BB507">
        <v>420</v>
      </c>
      <c r="BC507">
        <v>433</v>
      </c>
      <c r="BD507"/>
      <c r="BE507" t="s">
        <v>3524</v>
      </c>
      <c r="BF507" t="str">
        <f>HYPERLINK("http://dx.doi.org/10.24224/2227-1295-2020-9-420-433","http://dx.doi.org/10.24224/2227-1295-2020-9-420-433")</f>
        <v>http://dx.doi.org/10.24224/2227-1295-2020-9-420-433</v>
      </c>
      <c r="BG507"/>
      <c r="BH507"/>
      <c r="BI507"/>
      <c r="BJ507"/>
      <c r="BK507"/>
      <c r="BL507"/>
      <c r="BM507"/>
      <c r="BN507"/>
      <c r="BO507"/>
      <c r="BP507"/>
      <c r="BQ507"/>
      <c r="BR507"/>
      <c r="BS507" t="s">
        <v>3525</v>
      </c>
      <c r="BT507" t="str">
        <f>HYPERLINK("https%3A%2F%2Fwww.webofscience.com%2Fwos%2Fwoscc%2Ffull-record%2FWOS:000576831000025","View Full Record in Web of Science")</f>
        <v>View Full Record in Web of Science</v>
      </c>
    </row>
    <row r="508" spans="1:75" customHeight="1" ht="12.75">
      <c r="A508" t="s">
        <v>72</v>
      </c>
      <c r="B508" t="s">
        <v>1074</v>
      </c>
      <c r="C508"/>
      <c r="D508"/>
      <c r="E508"/>
      <c r="F508" t="s">
        <v>1075</v>
      </c>
      <c r="G508"/>
      <c r="H508"/>
      <c r="I508" t="s">
        <v>3526</v>
      </c>
      <c r="J508" t="s">
        <v>3527</v>
      </c>
      <c r="K508"/>
      <c r="L508"/>
      <c r="M508"/>
      <c r="N508"/>
      <c r="O508"/>
      <c r="P508"/>
      <c r="Q508"/>
      <c r="R508"/>
      <c r="S508"/>
      <c r="T508"/>
      <c r="U508"/>
      <c r="V508"/>
      <c r="W508"/>
      <c r="X508"/>
      <c r="Y508"/>
      <c r="Z508"/>
      <c r="AA508" t="s">
        <v>1078</v>
      </c>
      <c r="AB508" t="s">
        <v>1079</v>
      </c>
      <c r="AC508"/>
      <c r="AD508"/>
      <c r="AE508"/>
      <c r="AF508"/>
      <c r="AG508"/>
      <c r="AH508"/>
      <c r="AI508"/>
      <c r="AJ508"/>
      <c r="AK508"/>
      <c r="AL508"/>
      <c r="AM508"/>
      <c r="AN508"/>
      <c r="AO508" t="s">
        <v>3528</v>
      </c>
      <c r="AP508"/>
      <c r="AQ508"/>
      <c r="AR508"/>
      <c r="AS508"/>
      <c r="AT508"/>
      <c r="AU508">
        <v>2020</v>
      </c>
      <c r="AV508">
        <v>26</v>
      </c>
      <c r="AW508">
        <v>3</v>
      </c>
      <c r="AX508"/>
      <c r="AY508"/>
      <c r="AZ508"/>
      <c r="BA508"/>
      <c r="BB508">
        <v>171</v>
      </c>
      <c r="BC508">
        <v>171</v>
      </c>
      <c r="BD508"/>
      <c r="BE508" t="s">
        <v>3529</v>
      </c>
      <c r="BF508" t="str">
        <f>HYPERLINK("http://dx.doi.org/10.21538/0134-4889-2020-26-3-171-186","http://dx.doi.org/10.21538/0134-4889-2020-26-3-171-186")</f>
        <v>http://dx.doi.org/10.21538/0134-4889-2020-26-3-171-186</v>
      </c>
      <c r="BG508"/>
      <c r="BH508"/>
      <c r="BI508"/>
      <c r="BJ508"/>
      <c r="BK508"/>
      <c r="BL508"/>
      <c r="BM508"/>
      <c r="BN508"/>
      <c r="BO508"/>
      <c r="BP508"/>
      <c r="BQ508"/>
      <c r="BR508"/>
      <c r="BS508" t="s">
        <v>3530</v>
      </c>
      <c r="BT508" t="str">
        <f>HYPERLINK("https%3A%2F%2Fwww.webofscience.com%2Fwos%2Fwoscc%2Ffull-record%2FWOS:000592231900015","View Full Record in Web of Science")</f>
        <v>View Full Record in Web of Science</v>
      </c>
    </row>
    <row r="509" spans="1:75" customHeight="1" ht="12.75">
      <c r="A509" t="s">
        <v>72</v>
      </c>
      <c r="B509" t="s">
        <v>581</v>
      </c>
      <c r="C509"/>
      <c r="D509"/>
      <c r="E509"/>
      <c r="F509" t="s">
        <v>582</v>
      </c>
      <c r="G509"/>
      <c r="H509"/>
      <c r="I509" t="s">
        <v>3531</v>
      </c>
      <c r="J509" t="s">
        <v>584</v>
      </c>
      <c r="K509"/>
      <c r="L509"/>
      <c r="M509"/>
      <c r="N509"/>
      <c r="O509"/>
      <c r="P509"/>
      <c r="Q509"/>
      <c r="R509"/>
      <c r="S509"/>
      <c r="T509"/>
      <c r="U509"/>
      <c r="V509"/>
      <c r="W509"/>
      <c r="X509"/>
      <c r="Y509"/>
      <c r="Z509"/>
      <c r="AA509" t="s">
        <v>1842</v>
      </c>
      <c r="AB509" t="s">
        <v>1843</v>
      </c>
      <c r="AC509"/>
      <c r="AD509"/>
      <c r="AE509"/>
      <c r="AF509"/>
      <c r="AG509"/>
      <c r="AH509"/>
      <c r="AI509"/>
      <c r="AJ509"/>
      <c r="AK509"/>
      <c r="AL509"/>
      <c r="AM509"/>
      <c r="AN509"/>
      <c r="AO509" t="s">
        <v>587</v>
      </c>
      <c r="AP509" t="s">
        <v>588</v>
      </c>
      <c r="AQ509"/>
      <c r="AR509"/>
      <c r="AS509"/>
      <c r="AT509"/>
      <c r="AU509">
        <v>2020</v>
      </c>
      <c r="AV509">
        <v>95</v>
      </c>
      <c r="AW509">
        <v>3</v>
      </c>
      <c r="AX509"/>
      <c r="AY509"/>
      <c r="AZ509"/>
      <c r="BA509"/>
      <c r="BB509">
        <v>90</v>
      </c>
      <c r="BC509">
        <v>103</v>
      </c>
      <c r="BD509"/>
      <c r="BE509" t="s">
        <v>3532</v>
      </c>
      <c r="BF509" t="str">
        <f>HYPERLINK("http://dx.doi.org/10.18720/MCE.95.9","http://dx.doi.org/10.18720/MCE.95.9")</f>
        <v>http://dx.doi.org/10.18720/MCE.95.9</v>
      </c>
      <c r="BG509"/>
      <c r="BH509"/>
      <c r="BI509"/>
      <c r="BJ509"/>
      <c r="BK509"/>
      <c r="BL509"/>
      <c r="BM509"/>
      <c r="BN509"/>
      <c r="BO509"/>
      <c r="BP509"/>
      <c r="BQ509"/>
      <c r="BR509"/>
      <c r="BS509" t="s">
        <v>3533</v>
      </c>
      <c r="BT509" t="str">
        <f>HYPERLINK("https%3A%2F%2Fwww.webofscience.com%2Fwos%2Fwoscc%2Ffull-record%2FWOS:000593143400009","View Full Record in Web of Science")</f>
        <v>View Full Record in Web of Science</v>
      </c>
    </row>
    <row r="510" spans="1:75" customHeight="1" ht="12.75">
      <c r="A510" t="s">
        <v>147</v>
      </c>
      <c r="B510" t="s">
        <v>3534</v>
      </c>
      <c r="C510"/>
      <c r="D510" t="s">
        <v>3535</v>
      </c>
      <c r="E510"/>
      <c r="F510" t="s">
        <v>3536</v>
      </c>
      <c r="G510"/>
      <c r="H510"/>
      <c r="I510" t="s">
        <v>3537</v>
      </c>
      <c r="J510" t="s">
        <v>3538</v>
      </c>
      <c r="K510" t="s">
        <v>253</v>
      </c>
      <c r="L510"/>
      <c r="M510"/>
      <c r="N510"/>
      <c r="O510" t="s">
        <v>3539</v>
      </c>
      <c r="P510" t="s">
        <v>3540</v>
      </c>
      <c r="Q510" t="s">
        <v>3541</v>
      </c>
      <c r="R510"/>
      <c r="S510" t="s">
        <v>3542</v>
      </c>
      <c r="T510"/>
      <c r="U510"/>
      <c r="V510"/>
      <c r="W510"/>
      <c r="X510"/>
      <c r="Y510"/>
      <c r="Z510"/>
      <c r="AA510"/>
      <c r="AB510"/>
      <c r="AC510"/>
      <c r="AD510"/>
      <c r="AE510"/>
      <c r="AF510"/>
      <c r="AG510"/>
      <c r="AH510"/>
      <c r="AI510"/>
      <c r="AJ510"/>
      <c r="AK510"/>
      <c r="AL510"/>
      <c r="AM510"/>
      <c r="AN510"/>
      <c r="AO510" t="s">
        <v>259</v>
      </c>
      <c r="AP510"/>
      <c r="AQ510"/>
      <c r="AR510"/>
      <c r="AS510"/>
      <c r="AT510"/>
      <c r="AU510">
        <v>2019</v>
      </c>
      <c r="AV510">
        <v>57</v>
      </c>
      <c r="AW510"/>
      <c r="AX510"/>
      <c r="AY510"/>
      <c r="AZ510"/>
      <c r="BA510"/>
      <c r="BB510">
        <v>738</v>
      </c>
      <c r="BC510">
        <v>746</v>
      </c>
      <c r="BD510"/>
      <c r="BE510" t="s">
        <v>3543</v>
      </c>
      <c r="BF510" t="str">
        <f>HYPERLINK("http://dx.doi.org/10.15405/epsbs.2019.03.73","http://dx.doi.org/10.15405/epsbs.2019.03.73")</f>
        <v>http://dx.doi.org/10.15405/epsbs.2019.03.73</v>
      </c>
      <c r="BG510"/>
      <c r="BH510"/>
      <c r="BI510"/>
      <c r="BJ510"/>
      <c r="BK510"/>
      <c r="BL510"/>
      <c r="BM510"/>
      <c r="BN510"/>
      <c r="BO510"/>
      <c r="BP510"/>
      <c r="BQ510"/>
      <c r="BR510"/>
      <c r="BS510" t="s">
        <v>3544</v>
      </c>
      <c r="BT510" t="str">
        <f>HYPERLINK("https%3A%2F%2Fwww.webofscience.com%2Fwos%2Fwoscc%2Ffull-record%2FWOS:000471325700073","View Full Record in Web of Science")</f>
        <v>View Full Record in Web of Science</v>
      </c>
    </row>
    <row r="511" spans="1:75" customHeight="1" ht="12.75">
      <c r="A511" t="s">
        <v>72</v>
      </c>
      <c r="B511" t="s">
        <v>723</v>
      </c>
      <c r="C511"/>
      <c r="D511"/>
      <c r="E511"/>
      <c r="F511" t="s">
        <v>724</v>
      </c>
      <c r="G511"/>
      <c r="H511"/>
      <c r="I511" t="s">
        <v>3545</v>
      </c>
      <c r="J511" t="s">
        <v>244</v>
      </c>
      <c r="K511"/>
      <c r="L511"/>
      <c r="M511"/>
      <c r="N511"/>
      <c r="O511"/>
      <c r="P511"/>
      <c r="Q511"/>
      <c r="R511"/>
      <c r="S511"/>
      <c r="T511"/>
      <c r="U511"/>
      <c r="V511"/>
      <c r="W511"/>
      <c r="X511"/>
      <c r="Y511"/>
      <c r="Z511"/>
      <c r="AA511"/>
      <c r="AB511"/>
      <c r="AC511"/>
      <c r="AD511"/>
      <c r="AE511"/>
      <c r="AF511"/>
      <c r="AG511"/>
      <c r="AH511"/>
      <c r="AI511"/>
      <c r="AJ511"/>
      <c r="AK511"/>
      <c r="AL511"/>
      <c r="AM511"/>
      <c r="AN511"/>
      <c r="AO511" t="s">
        <v>245</v>
      </c>
      <c r="AP511" t="s">
        <v>246</v>
      </c>
      <c r="AQ511"/>
      <c r="AR511"/>
      <c r="AS511"/>
      <c r="AT511"/>
      <c r="AU511">
        <v>2019</v>
      </c>
      <c r="AV511"/>
      <c r="AW511">
        <v>12</v>
      </c>
      <c r="AX511">
        <v>2</v>
      </c>
      <c r="AY511"/>
      <c r="AZ511"/>
      <c r="BA511"/>
      <c r="BB511">
        <v>221</v>
      </c>
      <c r="BC511">
        <v>233</v>
      </c>
      <c r="BD511"/>
      <c r="BE511" t="s">
        <v>3546</v>
      </c>
      <c r="BF511" t="str">
        <f>HYPERLINK("http://dx.doi.org/10.3116/VoprosyIstorii201912Statyi45","http://dx.doi.org/10.3116/VoprosyIstorii201912Statyi45")</f>
        <v>http://dx.doi.org/10.3116/VoprosyIstorii201912Statyi45</v>
      </c>
      <c r="BG511"/>
      <c r="BH511"/>
      <c r="BI511"/>
      <c r="BJ511"/>
      <c r="BK511"/>
      <c r="BL511"/>
      <c r="BM511"/>
      <c r="BN511"/>
      <c r="BO511"/>
      <c r="BP511"/>
      <c r="BQ511"/>
      <c r="BR511"/>
      <c r="BS511" t="s">
        <v>3547</v>
      </c>
      <c r="BT511" t="str">
        <f>HYPERLINK("https%3A%2F%2Fwww.webofscience.com%2Fwos%2Fwoscc%2Ffull-record%2FWOS:000514212900023","View Full Record in Web of Science")</f>
        <v>View Full Record in Web of Science</v>
      </c>
    </row>
    <row r="512" spans="1:75" customHeight="1" ht="12.75">
      <c r="A512" t="s">
        <v>72</v>
      </c>
      <c r="B512" t="s">
        <v>3548</v>
      </c>
      <c r="C512"/>
      <c r="D512"/>
      <c r="E512"/>
      <c r="F512" t="s">
        <v>3549</v>
      </c>
      <c r="G512"/>
      <c r="H512"/>
      <c r="I512" t="s">
        <v>3550</v>
      </c>
      <c r="J512" t="s">
        <v>3551</v>
      </c>
      <c r="K512"/>
      <c r="L512"/>
      <c r="M512"/>
      <c r="N512"/>
      <c r="O512"/>
      <c r="P512"/>
      <c r="Q512"/>
      <c r="R512"/>
      <c r="S512"/>
      <c r="T512"/>
      <c r="U512"/>
      <c r="V512"/>
      <c r="W512"/>
      <c r="X512"/>
      <c r="Y512"/>
      <c r="Z512"/>
      <c r="AA512" t="s">
        <v>3552</v>
      </c>
      <c r="AB512" t="s">
        <v>3553</v>
      </c>
      <c r="AC512"/>
      <c r="AD512"/>
      <c r="AE512"/>
      <c r="AF512"/>
      <c r="AG512"/>
      <c r="AH512"/>
      <c r="AI512"/>
      <c r="AJ512"/>
      <c r="AK512"/>
      <c r="AL512"/>
      <c r="AM512"/>
      <c r="AN512"/>
      <c r="AO512" t="s">
        <v>3554</v>
      </c>
      <c r="AP512" t="s">
        <v>3555</v>
      </c>
      <c r="AQ512"/>
      <c r="AR512"/>
      <c r="AS512"/>
      <c r="AT512"/>
      <c r="AU512">
        <v>2019</v>
      </c>
      <c r="AV512"/>
      <c r="AW512">
        <v>44</v>
      </c>
      <c r="AX512"/>
      <c r="AY512"/>
      <c r="AZ512"/>
      <c r="BA512"/>
      <c r="BB512">
        <v>12</v>
      </c>
      <c r="BC512">
        <v>33</v>
      </c>
      <c r="BD512"/>
      <c r="BE512" t="s">
        <v>3556</v>
      </c>
      <c r="BF512" t="str">
        <f>HYPERLINK("http://dx.doi.org/10.17223/20710410/44/2","http://dx.doi.org/10.17223/20710410/44/2")</f>
        <v>http://dx.doi.org/10.17223/20710410/44/2</v>
      </c>
      <c r="BG512"/>
      <c r="BH512"/>
      <c r="BI512"/>
      <c r="BJ512"/>
      <c r="BK512"/>
      <c r="BL512"/>
      <c r="BM512"/>
      <c r="BN512"/>
      <c r="BO512"/>
      <c r="BP512"/>
      <c r="BQ512"/>
      <c r="BR512"/>
      <c r="BS512" t="s">
        <v>3557</v>
      </c>
      <c r="BT512" t="str">
        <f>HYPERLINK("https%3A%2F%2Fwww.webofscience.com%2Fwos%2Fwoscc%2Ffull-record%2FWOS:000476644400002","View Full Record in Web of Science")</f>
        <v>View Full Record in Web of Science</v>
      </c>
    </row>
    <row r="513" spans="1:75" customHeight="1" ht="12.75">
      <c r="A513" t="s">
        <v>147</v>
      </c>
      <c r="B513" t="s">
        <v>3558</v>
      </c>
      <c r="C513"/>
      <c r="D513" t="s">
        <v>233</v>
      </c>
      <c r="E513"/>
      <c r="F513" t="s">
        <v>3559</v>
      </c>
      <c r="G513"/>
      <c r="H513"/>
      <c r="I513" t="s">
        <v>3560</v>
      </c>
      <c r="J513" t="s">
        <v>3561</v>
      </c>
      <c r="K513" t="s">
        <v>1767</v>
      </c>
      <c r="L513"/>
      <c r="M513"/>
      <c r="N513"/>
      <c r="O513" t="s">
        <v>3562</v>
      </c>
      <c r="P513" t="s">
        <v>3563</v>
      </c>
      <c r="Q513" t="s">
        <v>3564</v>
      </c>
      <c r="R513" t="s">
        <v>1771</v>
      </c>
      <c r="S513"/>
      <c r="T513"/>
      <c r="U513"/>
      <c r="V513"/>
      <c r="W513"/>
      <c r="X513"/>
      <c r="Y513"/>
      <c r="Z513"/>
      <c r="AA513" t="s">
        <v>3565</v>
      </c>
      <c r="AB513" t="s">
        <v>3566</v>
      </c>
      <c r="AC513"/>
      <c r="AD513"/>
      <c r="AE513"/>
      <c r="AF513"/>
      <c r="AG513"/>
      <c r="AH513"/>
      <c r="AI513"/>
      <c r="AJ513"/>
      <c r="AK513"/>
      <c r="AL513"/>
      <c r="AM513"/>
      <c r="AN513"/>
      <c r="AO513" t="s">
        <v>1772</v>
      </c>
      <c r="AP513" t="s">
        <v>1773</v>
      </c>
      <c r="AQ513" t="s">
        <v>3567</v>
      </c>
      <c r="AR513"/>
      <c r="AS513"/>
      <c r="AT513"/>
      <c r="AU513">
        <v>2019</v>
      </c>
      <c r="AV513">
        <v>57</v>
      </c>
      <c r="AW513"/>
      <c r="AX513"/>
      <c r="AY513"/>
      <c r="AZ513"/>
      <c r="BA513"/>
      <c r="BB513">
        <v>1085</v>
      </c>
      <c r="BC513">
        <v>1093</v>
      </c>
      <c r="BD513"/>
      <c r="BE513" t="s">
        <v>3568</v>
      </c>
      <c r="BF513" t="str">
        <f>HYPERLINK("http://dx.doi.org/10.1007/978-3-030-00102-5_114","http://dx.doi.org/10.1007/978-3-030-00102-5_114")</f>
        <v>http://dx.doi.org/10.1007/978-3-030-00102-5_114</v>
      </c>
      <c r="BG513"/>
      <c r="BH513"/>
      <c r="BI513"/>
      <c r="BJ513"/>
      <c r="BK513"/>
      <c r="BL513"/>
      <c r="BM513"/>
      <c r="BN513"/>
      <c r="BO513"/>
      <c r="BP513"/>
      <c r="BQ513"/>
      <c r="BR513"/>
      <c r="BS513" t="s">
        <v>3569</v>
      </c>
      <c r="BT513" t="str">
        <f>HYPERLINK("https%3A%2F%2Fwww.webofscience.com%2Fwos%2Fwoscc%2Ffull-record%2FWOS:000460581800114","View Full Record in Web of Science")</f>
        <v>View Full Record in Web of Science</v>
      </c>
    </row>
    <row r="514" spans="1:75" customHeight="1" ht="12.75">
      <c r="A514" t="s">
        <v>72</v>
      </c>
      <c r="B514" t="s">
        <v>3570</v>
      </c>
      <c r="C514"/>
      <c r="D514"/>
      <c r="E514"/>
      <c r="F514" t="s">
        <v>3571</v>
      </c>
      <c r="G514"/>
      <c r="H514"/>
      <c r="I514" t="s">
        <v>3572</v>
      </c>
      <c r="J514" t="s">
        <v>676</v>
      </c>
      <c r="K514"/>
      <c r="L514"/>
      <c r="M514"/>
      <c r="N514"/>
      <c r="O514"/>
      <c r="P514"/>
      <c r="Q514"/>
      <c r="R514"/>
      <c r="S514"/>
      <c r="T514"/>
      <c r="U514"/>
      <c r="V514"/>
      <c r="W514"/>
      <c r="X514"/>
      <c r="Y514"/>
      <c r="Z514"/>
      <c r="AA514" t="s">
        <v>608</v>
      </c>
      <c r="AB514" t="s">
        <v>609</v>
      </c>
      <c r="AC514"/>
      <c r="AD514"/>
      <c r="AE514"/>
      <c r="AF514"/>
      <c r="AG514"/>
      <c r="AH514"/>
      <c r="AI514"/>
      <c r="AJ514"/>
      <c r="AK514"/>
      <c r="AL514"/>
      <c r="AM514"/>
      <c r="AN514"/>
      <c r="AO514" t="s">
        <v>679</v>
      </c>
      <c r="AP514"/>
      <c r="AQ514"/>
      <c r="AR514"/>
      <c r="AS514"/>
      <c r="AT514"/>
      <c r="AU514">
        <v>2019</v>
      </c>
      <c r="AV514">
        <v>10</v>
      </c>
      <c r="AW514">
        <v>3</v>
      </c>
      <c r="AX514"/>
      <c r="AY514"/>
      <c r="AZ514"/>
      <c r="BA514"/>
      <c r="BB514"/>
      <c r="BC514"/>
      <c r="BD514"/>
      <c r="BE514" t="s">
        <v>3573</v>
      </c>
      <c r="BF514" t="str">
        <f>HYPERLINK("http://dx.doi.org/10.18254/S207987840005469-4","http://dx.doi.org/10.18254/S207987840005469-4")</f>
        <v>http://dx.doi.org/10.18254/S207987840005469-4</v>
      </c>
      <c r="BG514"/>
      <c r="BH514"/>
      <c r="BI514"/>
      <c r="BJ514"/>
      <c r="BK514"/>
      <c r="BL514"/>
      <c r="BM514"/>
      <c r="BN514"/>
      <c r="BO514"/>
      <c r="BP514"/>
      <c r="BQ514"/>
      <c r="BR514"/>
      <c r="BS514" t="s">
        <v>3574</v>
      </c>
      <c r="BT514" t="str">
        <f>HYPERLINK("https%3A%2F%2Fwww.webofscience.com%2Fwos%2Fwoscc%2Ffull-record%2FWOS:000483368500016","View Full Record in Web of Science")</f>
        <v>View Full Record in Web of Science</v>
      </c>
    </row>
    <row r="515" spans="1:75" customHeight="1" ht="12.75">
      <c r="A515" t="s">
        <v>72</v>
      </c>
      <c r="B515" t="s">
        <v>581</v>
      </c>
      <c r="C515"/>
      <c r="D515"/>
      <c r="E515"/>
      <c r="F515" t="s">
        <v>582</v>
      </c>
      <c r="G515"/>
      <c r="H515"/>
      <c r="I515" t="s">
        <v>3575</v>
      </c>
      <c r="J515" t="s">
        <v>584</v>
      </c>
      <c r="K515"/>
      <c r="L515"/>
      <c r="M515"/>
      <c r="N515"/>
      <c r="O515"/>
      <c r="P515"/>
      <c r="Q515"/>
      <c r="R515"/>
      <c r="S515"/>
      <c r="T515"/>
      <c r="U515"/>
      <c r="V515"/>
      <c r="W515"/>
      <c r="X515"/>
      <c r="Y515"/>
      <c r="Z515"/>
      <c r="AA515" t="s">
        <v>3576</v>
      </c>
      <c r="AB515" t="s">
        <v>1843</v>
      </c>
      <c r="AC515"/>
      <c r="AD515"/>
      <c r="AE515"/>
      <c r="AF515"/>
      <c r="AG515"/>
      <c r="AH515"/>
      <c r="AI515"/>
      <c r="AJ515"/>
      <c r="AK515"/>
      <c r="AL515"/>
      <c r="AM515"/>
      <c r="AN515"/>
      <c r="AO515" t="s">
        <v>587</v>
      </c>
      <c r="AP515" t="s">
        <v>588</v>
      </c>
      <c r="AQ515"/>
      <c r="AR515"/>
      <c r="AS515"/>
      <c r="AT515"/>
      <c r="AU515">
        <v>2018</v>
      </c>
      <c r="AV515">
        <v>79</v>
      </c>
      <c r="AW515">
        <v>3</v>
      </c>
      <c r="AX515"/>
      <c r="AY515"/>
      <c r="AZ515"/>
      <c r="BA515"/>
      <c r="BB515">
        <v>54</v>
      </c>
      <c r="BC515">
        <v>65</v>
      </c>
      <c r="BD515"/>
      <c r="BE515" t="s">
        <v>3577</v>
      </c>
      <c r="BF515" t="str">
        <f>HYPERLINK("http://dx.doi.org/10.18720/MCE.79.6","http://dx.doi.org/10.18720/MCE.79.6")</f>
        <v>http://dx.doi.org/10.18720/MCE.79.6</v>
      </c>
      <c r="BG515"/>
      <c r="BH515"/>
      <c r="BI515"/>
      <c r="BJ515"/>
      <c r="BK515"/>
      <c r="BL515"/>
      <c r="BM515"/>
      <c r="BN515"/>
      <c r="BO515"/>
      <c r="BP515"/>
      <c r="BQ515"/>
      <c r="BR515"/>
      <c r="BS515" t="s">
        <v>3578</v>
      </c>
      <c r="BT515" t="str">
        <f>HYPERLINK("https%3A%2F%2Fwww.webofscience.com%2Fwos%2Fwoscc%2Ffull-record%2FWOS:000447699900006","View Full Record in Web of Science")</f>
        <v>View Full Record in Web of Science</v>
      </c>
    </row>
    <row r="516" spans="1:75" customHeight="1" ht="12.75">
      <c r="A516" t="s">
        <v>147</v>
      </c>
      <c r="B516" t="s">
        <v>3579</v>
      </c>
      <c r="C516"/>
      <c r="D516" t="s">
        <v>249</v>
      </c>
      <c r="E516"/>
      <c r="F516" t="s">
        <v>3580</v>
      </c>
      <c r="G516"/>
      <c r="H516"/>
      <c r="I516" t="s">
        <v>3581</v>
      </c>
      <c r="J516" t="s">
        <v>3582</v>
      </c>
      <c r="K516" t="s">
        <v>253</v>
      </c>
      <c r="L516"/>
      <c r="M516"/>
      <c r="N516"/>
      <c r="O516" t="s">
        <v>3583</v>
      </c>
      <c r="P516" t="s">
        <v>3584</v>
      </c>
      <c r="Q516" t="s">
        <v>256</v>
      </c>
      <c r="R516"/>
      <c r="S516" t="s">
        <v>257</v>
      </c>
      <c r="T516"/>
      <c r="U516"/>
      <c r="V516"/>
      <c r="W516"/>
      <c r="X516"/>
      <c r="Y516"/>
      <c r="Z516"/>
      <c r="AA516" t="s">
        <v>3585</v>
      </c>
      <c r="AB516" t="s">
        <v>3586</v>
      </c>
      <c r="AC516"/>
      <c r="AD516"/>
      <c r="AE516"/>
      <c r="AF516"/>
      <c r="AG516"/>
      <c r="AH516"/>
      <c r="AI516"/>
      <c r="AJ516"/>
      <c r="AK516"/>
      <c r="AL516"/>
      <c r="AM516"/>
      <c r="AN516"/>
      <c r="AO516" t="s">
        <v>259</v>
      </c>
      <c r="AP516"/>
      <c r="AQ516"/>
      <c r="AR516"/>
      <c r="AS516"/>
      <c r="AT516"/>
      <c r="AU516">
        <v>2018</v>
      </c>
      <c r="AV516">
        <v>45</v>
      </c>
      <c r="AW516"/>
      <c r="AX516"/>
      <c r="AY516"/>
      <c r="AZ516"/>
      <c r="BA516"/>
      <c r="BB516">
        <v>526</v>
      </c>
      <c r="BC516">
        <v>536</v>
      </c>
      <c r="BD516"/>
      <c r="BE516" t="s">
        <v>3587</v>
      </c>
      <c r="BF516" t="str">
        <f>HYPERLINK("http://dx.doi.org/10.15405/epsbs.2018.09.60","http://dx.doi.org/10.15405/epsbs.2018.09.60")</f>
        <v>http://dx.doi.org/10.15405/epsbs.2018.09.60</v>
      </c>
      <c r="BG516"/>
      <c r="BH516"/>
      <c r="BI516"/>
      <c r="BJ516"/>
      <c r="BK516"/>
      <c r="BL516"/>
      <c r="BM516"/>
      <c r="BN516"/>
      <c r="BO516"/>
      <c r="BP516"/>
      <c r="BQ516"/>
      <c r="BR516"/>
      <c r="BS516" t="s">
        <v>3588</v>
      </c>
      <c r="BT516" t="str">
        <f>HYPERLINK("https%3A%2F%2Fwww.webofscience.com%2Fwos%2Fwoscc%2Ffull-record%2FWOS:000472144400060","View Full Record in Web of Science")</f>
        <v>View Full Record in Web of Science</v>
      </c>
    </row>
    <row r="517" spans="1:75" customHeight="1" ht="12.75">
      <c r="A517" t="s">
        <v>147</v>
      </c>
      <c r="B517" t="s">
        <v>3589</v>
      </c>
      <c r="C517"/>
      <c r="D517"/>
      <c r="E517" t="s">
        <v>210</v>
      </c>
      <c r="F517" t="s">
        <v>3590</v>
      </c>
      <c r="G517"/>
      <c r="H517"/>
      <c r="I517" t="s">
        <v>3591</v>
      </c>
      <c r="J517" t="s">
        <v>1261</v>
      </c>
      <c r="K517"/>
      <c r="L517"/>
      <c r="M517"/>
      <c r="N517"/>
      <c r="O517" t="s">
        <v>214</v>
      </c>
      <c r="P517" t="s">
        <v>909</v>
      </c>
      <c r="Q517" t="s">
        <v>910</v>
      </c>
      <c r="R517" t="s">
        <v>1262</v>
      </c>
      <c r="S517"/>
      <c r="T517"/>
      <c r="U517"/>
      <c r="V517"/>
      <c r="W517"/>
      <c r="X517"/>
      <c r="Y517"/>
      <c r="Z517"/>
      <c r="AA517" t="s">
        <v>1268</v>
      </c>
      <c r="AB517" t="s">
        <v>1269</v>
      </c>
      <c r="AC517"/>
      <c r="AD517"/>
      <c r="AE517"/>
      <c r="AF517"/>
      <c r="AG517"/>
      <c r="AH517"/>
      <c r="AI517"/>
      <c r="AJ517"/>
      <c r="AK517"/>
      <c r="AL517"/>
      <c r="AM517"/>
      <c r="AN517"/>
      <c r="AO517"/>
      <c r="AP517"/>
      <c r="AQ517" t="s">
        <v>1263</v>
      </c>
      <c r="AR517"/>
      <c r="AS517"/>
      <c r="AT517"/>
      <c r="AU517">
        <v>2017</v>
      </c>
      <c r="AV517"/>
      <c r="AW517"/>
      <c r="AX517"/>
      <c r="AY517"/>
      <c r="AZ517"/>
      <c r="BA517"/>
      <c r="BB517"/>
      <c r="BC517"/>
      <c r="BD517"/>
      <c r="BE517"/>
      <c r="BF517"/>
      <c r="BG517"/>
      <c r="BH517"/>
      <c r="BI517"/>
      <c r="BJ517"/>
      <c r="BK517"/>
      <c r="BL517"/>
      <c r="BM517"/>
      <c r="BN517"/>
      <c r="BO517"/>
      <c r="BP517"/>
      <c r="BQ517"/>
      <c r="BR517"/>
      <c r="BS517" t="s">
        <v>3592</v>
      </c>
      <c r="BT517" t="str">
        <f>HYPERLINK("https%3A%2F%2Fwww.webofscience.com%2Fwos%2Fwoscc%2Ffull-record%2FWOS:000414282400174","View Full Record in Web of Science")</f>
        <v>View Full Record in Web of Science</v>
      </c>
    </row>
    <row r="518" spans="1:75" customHeight="1" ht="12.75">
      <c r="A518" t="s">
        <v>72</v>
      </c>
      <c r="B518" t="s">
        <v>3593</v>
      </c>
      <c r="C518"/>
      <c r="D518"/>
      <c r="E518"/>
      <c r="F518" t="s">
        <v>3594</v>
      </c>
      <c r="G518"/>
      <c r="H518"/>
      <c r="I518" t="s">
        <v>3595</v>
      </c>
      <c r="J518" t="s">
        <v>76</v>
      </c>
      <c r="K518"/>
      <c r="L518"/>
      <c r="M518"/>
      <c r="N518"/>
      <c r="O518"/>
      <c r="P518"/>
      <c r="Q518"/>
      <c r="R518"/>
      <c r="S518"/>
      <c r="T518"/>
      <c r="U518"/>
      <c r="V518"/>
      <c r="W518"/>
      <c r="X518"/>
      <c r="Y518"/>
      <c r="Z518"/>
      <c r="AA518" t="s">
        <v>299</v>
      </c>
      <c r="AB518" t="s">
        <v>300</v>
      </c>
      <c r="AC518"/>
      <c r="AD518"/>
      <c r="AE518"/>
      <c r="AF518"/>
      <c r="AG518"/>
      <c r="AH518"/>
      <c r="AI518"/>
      <c r="AJ518"/>
      <c r="AK518"/>
      <c r="AL518"/>
      <c r="AM518"/>
      <c r="AN518"/>
      <c r="AO518" t="s">
        <v>77</v>
      </c>
      <c r="AP518"/>
      <c r="AQ518"/>
      <c r="AR518"/>
      <c r="AS518"/>
      <c r="AT518" t="s">
        <v>3477</v>
      </c>
      <c r="AU518">
        <v>2016</v>
      </c>
      <c r="AV518"/>
      <c r="AW518">
        <v>6</v>
      </c>
      <c r="AX518"/>
      <c r="AY518"/>
      <c r="AZ518"/>
      <c r="BA518"/>
      <c r="BB518">
        <v>112</v>
      </c>
      <c r="BC518">
        <v>131</v>
      </c>
      <c r="BD518"/>
      <c r="BE518"/>
      <c r="BF518"/>
      <c r="BG518"/>
      <c r="BH518"/>
      <c r="BI518"/>
      <c r="BJ518"/>
      <c r="BK518"/>
      <c r="BL518"/>
      <c r="BM518"/>
      <c r="BN518"/>
      <c r="BO518"/>
      <c r="BP518"/>
      <c r="BQ518"/>
      <c r="BR518"/>
      <c r="BS518" t="s">
        <v>3596</v>
      </c>
      <c r="BT518" t="str">
        <f>HYPERLINK("https%3A%2F%2Fwww.webofscience.com%2Fwos%2Fwoscc%2Ffull-record%2FWOS:000391650700009","View Full Record in Web of Science")</f>
        <v>View Full Record in Web of Science</v>
      </c>
    </row>
    <row r="519" spans="1:75" customHeight="1" ht="12.75">
      <c r="A519" t="s">
        <v>147</v>
      </c>
      <c r="B519" t="s">
        <v>3597</v>
      </c>
      <c r="C519"/>
      <c r="D519"/>
      <c r="E519" t="s">
        <v>210</v>
      </c>
      <c r="F519" t="s">
        <v>3598</v>
      </c>
      <c r="G519"/>
      <c r="H519"/>
      <c r="I519" t="s">
        <v>3599</v>
      </c>
      <c r="J519" t="s">
        <v>730</v>
      </c>
      <c r="K519"/>
      <c r="L519"/>
      <c r="M519"/>
      <c r="N519"/>
      <c r="O519" t="s">
        <v>421</v>
      </c>
      <c r="P519" t="s">
        <v>731</v>
      </c>
      <c r="Q519" t="s">
        <v>732</v>
      </c>
      <c r="R519" t="s">
        <v>733</v>
      </c>
      <c r="S519"/>
      <c r="T519"/>
      <c r="U519"/>
      <c r="V519"/>
      <c r="W519"/>
      <c r="X519"/>
      <c r="Y519"/>
      <c r="Z519"/>
      <c r="AA519" t="s">
        <v>2723</v>
      </c>
      <c r="AB519" t="s">
        <v>2724</v>
      </c>
      <c r="AC519"/>
      <c r="AD519"/>
      <c r="AE519"/>
      <c r="AF519"/>
      <c r="AG519"/>
      <c r="AH519"/>
      <c r="AI519"/>
      <c r="AJ519"/>
      <c r="AK519"/>
      <c r="AL519"/>
      <c r="AM519"/>
      <c r="AN519"/>
      <c r="AO519"/>
      <c r="AP519"/>
      <c r="AQ519" t="s">
        <v>736</v>
      </c>
      <c r="AR519"/>
      <c r="AS519"/>
      <c r="AT519"/>
      <c r="AU519">
        <v>2016</v>
      </c>
      <c r="AV519"/>
      <c r="AW519"/>
      <c r="AX519"/>
      <c r="AY519"/>
      <c r="AZ519"/>
      <c r="BA519"/>
      <c r="BB519"/>
      <c r="BC519"/>
      <c r="BD519"/>
      <c r="BE519"/>
      <c r="BF519"/>
      <c r="BG519"/>
      <c r="BH519"/>
      <c r="BI519"/>
      <c r="BJ519"/>
      <c r="BK519"/>
      <c r="BL519"/>
      <c r="BM519"/>
      <c r="BN519"/>
      <c r="BO519"/>
      <c r="BP519"/>
      <c r="BQ519"/>
      <c r="BR519"/>
      <c r="BS519" t="s">
        <v>3600</v>
      </c>
      <c r="BT519" t="str">
        <f>HYPERLINK("https%3A%2F%2Fwww.webofscience.com%2Fwos%2Fwoscc%2Ffull-record%2FWOS:000400700700089","View Full Record in Web of Science")</f>
        <v>View Full Record in Web of Science</v>
      </c>
    </row>
    <row r="520" spans="1:75" customHeight="1" ht="12.75">
      <c r="A520" t="s">
        <v>72</v>
      </c>
      <c r="B520" t="s">
        <v>3601</v>
      </c>
      <c r="C520"/>
      <c r="D520"/>
      <c r="E520"/>
      <c r="F520" t="s">
        <v>3602</v>
      </c>
      <c r="G520"/>
      <c r="H520"/>
      <c r="I520" t="s">
        <v>3603</v>
      </c>
      <c r="J520" t="s">
        <v>614</v>
      </c>
      <c r="K520"/>
      <c r="L520"/>
      <c r="M520"/>
      <c r="N520"/>
      <c r="O520" t="s">
        <v>3604</v>
      </c>
      <c r="P520" t="s">
        <v>3605</v>
      </c>
      <c r="Q520" t="s">
        <v>3159</v>
      </c>
      <c r="R520"/>
      <c r="S520"/>
      <c r="T520"/>
      <c r="U520"/>
      <c r="V520"/>
      <c r="W520"/>
      <c r="X520"/>
      <c r="Y520"/>
      <c r="Z520"/>
      <c r="AA520" t="s">
        <v>1718</v>
      </c>
      <c r="AB520" t="s">
        <v>1719</v>
      </c>
      <c r="AC520"/>
      <c r="AD520"/>
      <c r="AE520"/>
      <c r="AF520"/>
      <c r="AG520"/>
      <c r="AH520"/>
      <c r="AI520"/>
      <c r="AJ520"/>
      <c r="AK520"/>
      <c r="AL520"/>
      <c r="AM520"/>
      <c r="AN520"/>
      <c r="AO520" t="s">
        <v>617</v>
      </c>
      <c r="AP520" t="s">
        <v>1720</v>
      </c>
      <c r="AQ520"/>
      <c r="AR520"/>
      <c r="AS520"/>
      <c r="AT520" t="s">
        <v>491</v>
      </c>
      <c r="AU520">
        <v>2009</v>
      </c>
      <c r="AV520">
        <v>45</v>
      </c>
      <c r="AW520">
        <v>6</v>
      </c>
      <c r="AX520"/>
      <c r="AY520"/>
      <c r="AZ520"/>
      <c r="BA520"/>
      <c r="BB520">
        <v>684</v>
      </c>
      <c r="BC520">
        <v>692</v>
      </c>
      <c r="BD520"/>
      <c r="BE520" t="s">
        <v>3606</v>
      </c>
      <c r="BF520" t="str">
        <f>HYPERLINK("http://dx.doi.org/10.1134/S102319350906010X","http://dx.doi.org/10.1134/S102319350906010X")</f>
        <v>http://dx.doi.org/10.1134/S102319350906010X</v>
      </c>
      <c r="BG520"/>
      <c r="BH520"/>
      <c r="BI520"/>
      <c r="BJ520"/>
      <c r="BK520"/>
      <c r="BL520"/>
      <c r="BM520"/>
      <c r="BN520"/>
      <c r="BO520"/>
      <c r="BP520"/>
      <c r="BQ520"/>
      <c r="BR520"/>
      <c r="BS520" t="s">
        <v>3607</v>
      </c>
      <c r="BT520" t="str">
        <f>HYPERLINK("https%3A%2F%2Fwww.webofscience.com%2Fwos%2Fwoscc%2Ffull-record%2FWOS:000267670800010","View Full Record in Web of Science")</f>
        <v>View Full Record in Web of Science</v>
      </c>
    </row>
    <row r="521" spans="1:75" customHeight="1" ht="12.75">
      <c r="A521" t="s">
        <v>72</v>
      </c>
      <c r="B521" t="s">
        <v>3608</v>
      </c>
      <c r="C521"/>
      <c r="D521"/>
      <c r="E521"/>
      <c r="F521" t="s">
        <v>3608</v>
      </c>
      <c r="G521"/>
      <c r="H521"/>
      <c r="I521" t="s">
        <v>3609</v>
      </c>
      <c r="J521" t="s">
        <v>3610</v>
      </c>
      <c r="K521"/>
      <c r="L521"/>
      <c r="M521"/>
      <c r="N521"/>
      <c r="O521"/>
      <c r="P521"/>
      <c r="Q521"/>
      <c r="R521"/>
      <c r="S521"/>
      <c r="T521"/>
      <c r="U521"/>
      <c r="V521"/>
      <c r="W521"/>
      <c r="X521"/>
      <c r="Y521"/>
      <c r="Z521"/>
      <c r="AA521" t="s">
        <v>3611</v>
      </c>
      <c r="AB521" t="s">
        <v>3612</v>
      </c>
      <c r="AC521"/>
      <c r="AD521"/>
      <c r="AE521"/>
      <c r="AF521"/>
      <c r="AG521"/>
      <c r="AH521"/>
      <c r="AI521"/>
      <c r="AJ521"/>
      <c r="AK521"/>
      <c r="AL521"/>
      <c r="AM521"/>
      <c r="AN521"/>
      <c r="AO521" t="s">
        <v>3613</v>
      </c>
      <c r="AP521"/>
      <c r="AQ521"/>
      <c r="AR521"/>
      <c r="AS521"/>
      <c r="AT521" t="s">
        <v>125</v>
      </c>
      <c r="AU521">
        <v>2003</v>
      </c>
      <c r="AV521">
        <v>36</v>
      </c>
      <c r="AW521">
        <v>7</v>
      </c>
      <c r="AX521"/>
      <c r="AY521"/>
      <c r="AZ521"/>
      <c r="BA521"/>
      <c r="BB521">
        <v>704</v>
      </c>
      <c r="BC521">
        <v>713</v>
      </c>
      <c r="BD521"/>
      <c r="BE521"/>
      <c r="BF521"/>
      <c r="BG521"/>
      <c r="BH521"/>
      <c r="BI521"/>
      <c r="BJ521"/>
      <c r="BK521"/>
      <c r="BL521"/>
      <c r="BM521"/>
      <c r="BN521"/>
      <c r="BO521"/>
      <c r="BP521"/>
      <c r="BQ521"/>
      <c r="BR521"/>
      <c r="BS521" t="s">
        <v>3614</v>
      </c>
      <c r="BT521" t="str">
        <f>HYPERLINK("https%3A%2F%2Fwww.webofscience.com%2Fwos%2Fwoscc%2Ffull-record%2FWOS:000184314600002","View Full Record in Web of Science")</f>
        <v>View Full Record in Web of Science</v>
      </c>
    </row>
    <row r="522" spans="1:75" customHeight="1" ht="12.75">
      <c r="A522" t="s">
        <v>72</v>
      </c>
      <c r="B522" t="s">
        <v>3615</v>
      </c>
      <c r="C522"/>
      <c r="D522"/>
      <c r="E522"/>
      <c r="F522" t="s">
        <v>3616</v>
      </c>
      <c r="G522"/>
      <c r="H522"/>
      <c r="I522" t="s">
        <v>3617</v>
      </c>
      <c r="J522" t="s">
        <v>3618</v>
      </c>
      <c r="K522"/>
      <c r="L522"/>
      <c r="M522"/>
      <c r="N522"/>
      <c r="O522"/>
      <c r="P522"/>
      <c r="Q522"/>
      <c r="R522"/>
      <c r="S522"/>
      <c r="T522"/>
      <c r="U522"/>
      <c r="V522"/>
      <c r="W522"/>
      <c r="X522"/>
      <c r="Y522"/>
      <c r="Z522"/>
      <c r="AA522" t="s">
        <v>3619</v>
      </c>
      <c r="AB522" t="s">
        <v>609</v>
      </c>
      <c r="AC522"/>
      <c r="AD522"/>
      <c r="AE522"/>
      <c r="AF522"/>
      <c r="AG522"/>
      <c r="AH522"/>
      <c r="AI522"/>
      <c r="AJ522"/>
      <c r="AK522"/>
      <c r="AL522"/>
      <c r="AM522"/>
      <c r="AN522"/>
      <c r="AO522" t="s">
        <v>3620</v>
      </c>
      <c r="AP522"/>
      <c r="AQ522"/>
      <c r="AR522"/>
      <c r="AS522"/>
      <c r="AT522" t="s">
        <v>171</v>
      </c>
      <c r="AU522">
        <v>2023</v>
      </c>
      <c r="AV522">
        <v>67</v>
      </c>
      <c r="AW522">
        <v>3</v>
      </c>
      <c r="AX522"/>
      <c r="AY522"/>
      <c r="AZ522"/>
      <c r="BA522"/>
      <c r="BB522">
        <v>116</v>
      </c>
      <c r="BC522">
        <v>129</v>
      </c>
      <c r="BD522"/>
      <c r="BE522" t="s">
        <v>3621</v>
      </c>
      <c r="BF522" t="str">
        <f>HYPERLINK("http://dx.doi.org/10.20542/0131-2227-2023-67-3-116-129","http://dx.doi.org/10.20542/0131-2227-2023-67-3-116-129")</f>
        <v>http://dx.doi.org/10.20542/0131-2227-2023-67-3-116-129</v>
      </c>
      <c r="BG522"/>
      <c r="BH522"/>
      <c r="BI522"/>
      <c r="BJ522"/>
      <c r="BK522"/>
      <c r="BL522"/>
      <c r="BM522"/>
      <c r="BN522"/>
      <c r="BO522"/>
      <c r="BP522"/>
      <c r="BQ522"/>
      <c r="BR522"/>
      <c r="BS522" t="s">
        <v>3622</v>
      </c>
      <c r="BT522" t="str">
        <f>HYPERLINK("https%3A%2F%2Fwww.webofscience.com%2Fwos%2Fwoscc%2Ffull-record%2FWOS:000946882600010","View Full Record in Web of Science")</f>
        <v>View Full Record in Web of Science</v>
      </c>
    </row>
    <row r="523" spans="1:75" customHeight="1" ht="12.75">
      <c r="A523" t="s">
        <v>72</v>
      </c>
      <c r="B523" t="s">
        <v>3259</v>
      </c>
      <c r="C523"/>
      <c r="D523"/>
      <c r="E523"/>
      <c r="F523" t="s">
        <v>3623</v>
      </c>
      <c r="G523"/>
      <c r="H523"/>
      <c r="I523" t="s">
        <v>3624</v>
      </c>
      <c r="J523" t="s">
        <v>1122</v>
      </c>
      <c r="K523"/>
      <c r="L523"/>
      <c r="M523"/>
      <c r="N523"/>
      <c r="O523"/>
      <c r="P523"/>
      <c r="Q523"/>
      <c r="R523"/>
      <c r="S523"/>
      <c r="T523"/>
      <c r="U523"/>
      <c r="V523"/>
      <c r="W523"/>
      <c r="X523"/>
      <c r="Y523"/>
      <c r="Z523"/>
      <c r="AA523" t="s">
        <v>608</v>
      </c>
      <c r="AB523" t="s">
        <v>609</v>
      </c>
      <c r="AC523"/>
      <c r="AD523"/>
      <c r="AE523"/>
      <c r="AF523"/>
      <c r="AG523"/>
      <c r="AH523"/>
      <c r="AI523"/>
      <c r="AJ523"/>
      <c r="AK523"/>
      <c r="AL523"/>
      <c r="AM523"/>
      <c r="AN523"/>
      <c r="AO523" t="s">
        <v>1124</v>
      </c>
      <c r="AP523" t="s">
        <v>1125</v>
      </c>
      <c r="AQ523"/>
      <c r="AR523"/>
      <c r="AS523"/>
      <c r="AT523" t="s">
        <v>198</v>
      </c>
      <c r="AU523">
        <v>2022</v>
      </c>
      <c r="AV523"/>
      <c r="AW523">
        <v>76</v>
      </c>
      <c r="AX523"/>
      <c r="AY523"/>
      <c r="AZ523"/>
      <c r="BA523"/>
      <c r="BB523">
        <v>89</v>
      </c>
      <c r="BC523">
        <v>99</v>
      </c>
      <c r="BD523"/>
      <c r="BE523" t="s">
        <v>3625</v>
      </c>
      <c r="BF523" t="str">
        <f>HYPERLINK("http://dx.doi.org/10.17223/19988613/76/11","http://dx.doi.org/10.17223/19988613/76/11")</f>
        <v>http://dx.doi.org/10.17223/19988613/76/11</v>
      </c>
      <c r="BG523"/>
      <c r="BH523"/>
      <c r="BI523"/>
      <c r="BJ523"/>
      <c r="BK523"/>
      <c r="BL523"/>
      <c r="BM523"/>
      <c r="BN523"/>
      <c r="BO523"/>
      <c r="BP523"/>
      <c r="BQ523"/>
      <c r="BR523"/>
      <c r="BS523" t="s">
        <v>3626</v>
      </c>
      <c r="BT523" t="str">
        <f>HYPERLINK("https%3A%2F%2Fwww.webofscience.com%2Fwos%2Fwoscc%2Ffull-record%2FWOS:000869093900011","View Full Record in Web of Science")</f>
        <v>View Full Record in Web of Science</v>
      </c>
    </row>
    <row r="524" spans="1:75" customHeight="1" ht="12.75">
      <c r="A524" t="s">
        <v>72</v>
      </c>
      <c r="B524" t="s">
        <v>2446</v>
      </c>
      <c r="C524"/>
      <c r="D524"/>
      <c r="E524"/>
      <c r="F524" t="s">
        <v>2447</v>
      </c>
      <c r="G524"/>
      <c r="H524"/>
      <c r="I524" t="s">
        <v>3627</v>
      </c>
      <c r="J524" t="s">
        <v>940</v>
      </c>
      <c r="K524"/>
      <c r="L524"/>
      <c r="M524"/>
      <c r="N524"/>
      <c r="O524"/>
      <c r="P524"/>
      <c r="Q524"/>
      <c r="R524"/>
      <c r="S524"/>
      <c r="T524"/>
      <c r="U524"/>
      <c r="V524"/>
      <c r="W524"/>
      <c r="X524"/>
      <c r="Y524"/>
      <c r="Z524"/>
      <c r="AA524" t="s">
        <v>2449</v>
      </c>
      <c r="AB524" t="s">
        <v>3628</v>
      </c>
      <c r="AC524"/>
      <c r="AD524"/>
      <c r="AE524"/>
      <c r="AF524"/>
      <c r="AG524"/>
      <c r="AH524"/>
      <c r="AI524"/>
      <c r="AJ524"/>
      <c r="AK524"/>
      <c r="AL524"/>
      <c r="AM524"/>
      <c r="AN524"/>
      <c r="AO524" t="s">
        <v>943</v>
      </c>
      <c r="AP524" t="s">
        <v>944</v>
      </c>
      <c r="AQ524"/>
      <c r="AR524"/>
      <c r="AS524"/>
      <c r="AT524" t="s">
        <v>541</v>
      </c>
      <c r="AU524">
        <v>2022</v>
      </c>
      <c r="AV524">
        <v>63</v>
      </c>
      <c r="AW524" t="s">
        <v>1594</v>
      </c>
      <c r="AX524"/>
      <c r="AY524"/>
      <c r="AZ524"/>
      <c r="BA524"/>
      <c r="BB524">
        <v>510</v>
      </c>
      <c r="BC524">
        <v>515</v>
      </c>
      <c r="BD524"/>
      <c r="BE524" t="s">
        <v>3629</v>
      </c>
      <c r="BF524" t="str">
        <f>HYPERLINK("http://dx.doi.org/10.1007/s11041-022-00720-1","http://dx.doi.org/10.1007/s11041-022-00720-1")</f>
        <v>http://dx.doi.org/10.1007/s11041-022-00720-1</v>
      </c>
      <c r="BG524"/>
      <c r="BH524" t="s">
        <v>3630</v>
      </c>
      <c r="BI524"/>
      <c r="BJ524"/>
      <c r="BK524"/>
      <c r="BL524"/>
      <c r="BM524"/>
      <c r="BN524"/>
      <c r="BO524"/>
      <c r="BP524"/>
      <c r="BQ524"/>
      <c r="BR524"/>
      <c r="BS524" t="s">
        <v>3631</v>
      </c>
      <c r="BT524" t="str">
        <f>HYPERLINK("https%3A%2F%2Fwww.webofscience.com%2Fwos%2Fwoscc%2Ffull-record%2FWOS:000761143200002","View Full Record in Web of Science")</f>
        <v>View Full Record in Web of Science</v>
      </c>
    </row>
    <row r="525" spans="1:75" customHeight="1" ht="12.75">
      <c r="A525" t="s">
        <v>72</v>
      </c>
      <c r="B525" t="s">
        <v>138</v>
      </c>
      <c r="C525"/>
      <c r="D525"/>
      <c r="E525"/>
      <c r="F525" t="s">
        <v>139</v>
      </c>
      <c r="G525"/>
      <c r="H525"/>
      <c r="I525" t="s">
        <v>3632</v>
      </c>
      <c r="J525" t="s">
        <v>141</v>
      </c>
      <c r="K525"/>
      <c r="L525"/>
      <c r="M525"/>
      <c r="N525"/>
      <c r="O525"/>
      <c r="P525"/>
      <c r="Q525"/>
      <c r="R525"/>
      <c r="S525"/>
      <c r="T525"/>
      <c r="U525"/>
      <c r="V525"/>
      <c r="W525"/>
      <c r="X525"/>
      <c r="Y525"/>
      <c r="Z525"/>
      <c r="AA525" t="s">
        <v>142</v>
      </c>
      <c r="AB525" t="s">
        <v>143</v>
      </c>
      <c r="AC525"/>
      <c r="AD525"/>
      <c r="AE525"/>
      <c r="AF525"/>
      <c r="AG525"/>
      <c r="AH525"/>
      <c r="AI525"/>
      <c r="AJ525"/>
      <c r="AK525"/>
      <c r="AL525"/>
      <c r="AM525"/>
      <c r="AN525"/>
      <c r="AO525" t="s">
        <v>144</v>
      </c>
      <c r="AP525"/>
      <c r="AQ525"/>
      <c r="AR525"/>
      <c r="AS525"/>
      <c r="AT525"/>
      <c r="AU525">
        <v>2022</v>
      </c>
      <c r="AV525"/>
      <c r="AW525">
        <v>4</v>
      </c>
      <c r="AX525"/>
      <c r="AY525"/>
      <c r="AZ525"/>
      <c r="BA525"/>
      <c r="BB525">
        <v>1</v>
      </c>
      <c r="BC525">
        <v>14</v>
      </c>
      <c r="BD525"/>
      <c r="BE525" t="s">
        <v>3633</v>
      </c>
      <c r="BF525" t="str">
        <f>HYPERLINK("http://dx.doi.org/10.52254/1857-0070.2022.4-56.01","http://dx.doi.org/10.52254/1857-0070.2022.4-56.01")</f>
        <v>http://dx.doi.org/10.52254/1857-0070.2022.4-56.01</v>
      </c>
      <c r="BG525"/>
      <c r="BH525"/>
      <c r="BI525"/>
      <c r="BJ525"/>
      <c r="BK525"/>
      <c r="BL525"/>
      <c r="BM525"/>
      <c r="BN525"/>
      <c r="BO525"/>
      <c r="BP525"/>
      <c r="BQ525"/>
      <c r="BR525"/>
      <c r="BS525" t="s">
        <v>3634</v>
      </c>
      <c r="BT525" t="str">
        <f>HYPERLINK("https%3A%2F%2Fwww.webofscience.com%2Fwos%2Fwoscc%2Ffull-record%2FWOS:000904633900001","View Full Record in Web of Science")</f>
        <v>View Full Record in Web of Science</v>
      </c>
    </row>
    <row r="526" spans="1:75" customHeight="1" ht="12.75">
      <c r="A526" t="s">
        <v>72</v>
      </c>
      <c r="B526" t="s">
        <v>3635</v>
      </c>
      <c r="C526"/>
      <c r="D526"/>
      <c r="E526"/>
      <c r="F526" t="s">
        <v>3636</v>
      </c>
      <c r="G526"/>
      <c r="H526"/>
      <c r="I526" t="s">
        <v>3637</v>
      </c>
      <c r="J526" t="s">
        <v>131</v>
      </c>
      <c r="K526"/>
      <c r="L526"/>
      <c r="M526"/>
      <c r="N526"/>
      <c r="O526"/>
      <c r="P526"/>
      <c r="Q526"/>
      <c r="R526"/>
      <c r="S526"/>
      <c r="T526"/>
      <c r="U526"/>
      <c r="V526"/>
      <c r="W526"/>
      <c r="X526"/>
      <c r="Y526"/>
      <c r="Z526"/>
      <c r="AA526" t="s">
        <v>3638</v>
      </c>
      <c r="AB526" t="s">
        <v>3639</v>
      </c>
      <c r="AC526"/>
      <c r="AD526"/>
      <c r="AE526"/>
      <c r="AF526"/>
      <c r="AG526"/>
      <c r="AH526"/>
      <c r="AI526"/>
      <c r="AJ526"/>
      <c r="AK526"/>
      <c r="AL526"/>
      <c r="AM526"/>
      <c r="AN526"/>
      <c r="AO526" t="s">
        <v>134</v>
      </c>
      <c r="AP526" t="s">
        <v>135</v>
      </c>
      <c r="AQ526"/>
      <c r="AR526"/>
      <c r="AS526"/>
      <c r="AT526"/>
      <c r="AU526">
        <v>2022</v>
      </c>
      <c r="AV526">
        <v>22</v>
      </c>
      <c r="AW526">
        <v>4</v>
      </c>
      <c r="AX526"/>
      <c r="AY526"/>
      <c r="AZ526"/>
      <c r="BA526"/>
      <c r="BB526">
        <v>125</v>
      </c>
      <c r="BC526">
        <v>132</v>
      </c>
      <c r="BD526"/>
      <c r="BE526" t="s">
        <v>3640</v>
      </c>
      <c r="BF526" t="str">
        <f>HYPERLINK("http://dx.doi.org/10.14529/hsm220415","http://dx.doi.org/10.14529/hsm220415")</f>
        <v>http://dx.doi.org/10.14529/hsm220415</v>
      </c>
      <c r="BG526"/>
      <c r="BH526"/>
      <c r="BI526"/>
      <c r="BJ526"/>
      <c r="BK526"/>
      <c r="BL526"/>
      <c r="BM526"/>
      <c r="BN526"/>
      <c r="BO526"/>
      <c r="BP526"/>
      <c r="BQ526"/>
      <c r="BR526"/>
      <c r="BS526" t="s">
        <v>3641</v>
      </c>
      <c r="BT526" t="str">
        <f>HYPERLINK("https%3A%2F%2Fwww.webofscience.com%2Fwos%2Fwoscc%2Ffull-record%2FWOS:000957611400015","View Full Record in Web of Science")</f>
        <v>View Full Record in Web of Science</v>
      </c>
    </row>
    <row r="527" spans="1:75" customHeight="1" ht="12.75">
      <c r="A527" t="s">
        <v>147</v>
      </c>
      <c r="B527" t="s">
        <v>3642</v>
      </c>
      <c r="C527"/>
      <c r="D527" t="s">
        <v>233</v>
      </c>
      <c r="E527"/>
      <c r="F527" t="s">
        <v>3643</v>
      </c>
      <c r="G527"/>
      <c r="H527"/>
      <c r="I527" t="s">
        <v>3644</v>
      </c>
      <c r="J527" t="s">
        <v>1766</v>
      </c>
      <c r="K527" t="s">
        <v>1767</v>
      </c>
      <c r="L527"/>
      <c r="M527"/>
      <c r="N527"/>
      <c r="O527" t="s">
        <v>1768</v>
      </c>
      <c r="P527" t="s">
        <v>1769</v>
      </c>
      <c r="Q527" t="s">
        <v>1770</v>
      </c>
      <c r="R527"/>
      <c r="S527" t="s">
        <v>1771</v>
      </c>
      <c r="T527"/>
      <c r="U527"/>
      <c r="V527"/>
      <c r="W527"/>
      <c r="X527"/>
      <c r="Y527"/>
      <c r="Z527"/>
      <c r="AA527" t="s">
        <v>3645</v>
      </c>
      <c r="AB527" t="s">
        <v>3646</v>
      </c>
      <c r="AC527"/>
      <c r="AD527"/>
      <c r="AE527"/>
      <c r="AF527"/>
      <c r="AG527"/>
      <c r="AH527"/>
      <c r="AI527"/>
      <c r="AJ527"/>
      <c r="AK527"/>
      <c r="AL527"/>
      <c r="AM527"/>
      <c r="AN527"/>
      <c r="AO527" t="s">
        <v>1772</v>
      </c>
      <c r="AP527" t="s">
        <v>1773</v>
      </c>
      <c r="AQ527" t="s">
        <v>1774</v>
      </c>
      <c r="AR527"/>
      <c r="AS527"/>
      <c r="AT527"/>
      <c r="AU527">
        <v>2022</v>
      </c>
      <c r="AV527">
        <v>368</v>
      </c>
      <c r="AW527"/>
      <c r="AX527"/>
      <c r="AY527"/>
      <c r="AZ527"/>
      <c r="BA527"/>
      <c r="BB527">
        <v>427</v>
      </c>
      <c r="BC527">
        <v>436</v>
      </c>
      <c r="BD527"/>
      <c r="BE527" t="s">
        <v>3647</v>
      </c>
      <c r="BF527" t="str">
        <f>HYPERLINK("http://dx.doi.org/10.1007/978-3-030-93244-2_47","http://dx.doi.org/10.1007/978-3-030-93244-2_47")</f>
        <v>http://dx.doi.org/10.1007/978-3-030-93244-2_47</v>
      </c>
      <c r="BG527"/>
      <c r="BH527"/>
      <c r="BI527"/>
      <c r="BJ527"/>
      <c r="BK527"/>
      <c r="BL527"/>
      <c r="BM527"/>
      <c r="BN527"/>
      <c r="BO527"/>
      <c r="BP527"/>
      <c r="BQ527"/>
      <c r="BR527"/>
      <c r="BS527" t="s">
        <v>3648</v>
      </c>
      <c r="BT527" t="str">
        <f>HYPERLINK("https%3A%2F%2Fwww.webofscience.com%2Fwos%2Fwoscc%2Ffull-record%2FWOS:000759460600047","View Full Record in Web of Science")</f>
        <v>View Full Record in Web of Science</v>
      </c>
    </row>
    <row r="528" spans="1:75" customHeight="1" ht="12.75">
      <c r="A528" t="s">
        <v>72</v>
      </c>
      <c r="B528" t="s">
        <v>3649</v>
      </c>
      <c r="C528"/>
      <c r="D528"/>
      <c r="E528"/>
      <c r="F528" t="s">
        <v>3650</v>
      </c>
      <c r="G528"/>
      <c r="H528"/>
      <c r="I528" t="s">
        <v>3651</v>
      </c>
      <c r="J528" t="s">
        <v>3652</v>
      </c>
      <c r="K528"/>
      <c r="L528"/>
      <c r="M528"/>
      <c r="N528"/>
      <c r="O528"/>
      <c r="P528"/>
      <c r="Q528"/>
      <c r="R528"/>
      <c r="S528"/>
      <c r="T528"/>
      <c r="U528"/>
      <c r="V528"/>
      <c r="W528"/>
      <c r="X528"/>
      <c r="Y528"/>
      <c r="Z528"/>
      <c r="AA528" t="s">
        <v>507</v>
      </c>
      <c r="AB528" t="s">
        <v>508</v>
      </c>
      <c r="AC528"/>
      <c r="AD528"/>
      <c r="AE528"/>
      <c r="AF528"/>
      <c r="AG528"/>
      <c r="AH528"/>
      <c r="AI528"/>
      <c r="AJ528"/>
      <c r="AK528"/>
      <c r="AL528"/>
      <c r="AM528"/>
      <c r="AN528"/>
      <c r="AO528" t="s">
        <v>3653</v>
      </c>
      <c r="AP528" t="s">
        <v>3654</v>
      </c>
      <c r="AQ528"/>
      <c r="AR528"/>
      <c r="AS528"/>
      <c r="AT528" t="s">
        <v>3655</v>
      </c>
      <c r="AU528">
        <v>2023</v>
      </c>
      <c r="AV528">
        <v>33</v>
      </c>
      <c r="AW528">
        <v>3</v>
      </c>
      <c r="AX528"/>
      <c r="AY528"/>
      <c r="AZ528"/>
      <c r="BA528"/>
      <c r="BB528">
        <v>207</v>
      </c>
      <c r="BC528">
        <v>220</v>
      </c>
      <c r="BD528"/>
      <c r="BE528" t="s">
        <v>3656</v>
      </c>
      <c r="BF528" t="str">
        <f>HYPERLINK("http://dx.doi.org/10.1080/08974454.2021.1980483","http://dx.doi.org/10.1080/08974454.2021.1980483")</f>
        <v>http://dx.doi.org/10.1080/08974454.2021.1980483</v>
      </c>
      <c r="BG528"/>
      <c r="BH528" t="s">
        <v>3657</v>
      </c>
      <c r="BI528"/>
      <c r="BJ528"/>
      <c r="BK528"/>
      <c r="BL528"/>
      <c r="BM528"/>
      <c r="BN528"/>
      <c r="BO528"/>
      <c r="BP528"/>
      <c r="BQ528"/>
      <c r="BR528"/>
      <c r="BS528" t="s">
        <v>3658</v>
      </c>
      <c r="BT528" t="str">
        <f>HYPERLINK("https%3A%2F%2Fwww.webofscience.com%2Fwos%2Fwoscc%2Ffull-record%2FWOS:000702679300001","View Full Record in Web of Science")</f>
        <v>View Full Record in Web of Science</v>
      </c>
    </row>
    <row r="529" spans="1:75" customHeight="1" ht="12.75">
      <c r="A529" t="s">
        <v>147</v>
      </c>
      <c r="B529" t="s">
        <v>3659</v>
      </c>
      <c r="C529"/>
      <c r="D529" t="s">
        <v>1062</v>
      </c>
      <c r="E529"/>
      <c r="F529" t="s">
        <v>3660</v>
      </c>
      <c r="G529"/>
      <c r="H529"/>
      <c r="I529" t="s">
        <v>3661</v>
      </c>
      <c r="J529" t="s">
        <v>1065</v>
      </c>
      <c r="K529" t="s">
        <v>253</v>
      </c>
      <c r="L529"/>
      <c r="M529"/>
      <c r="N529"/>
      <c r="O529" t="s">
        <v>1066</v>
      </c>
      <c r="P529" t="s">
        <v>1067</v>
      </c>
      <c r="Q529" t="s">
        <v>1068</v>
      </c>
      <c r="R529" t="s">
        <v>1069</v>
      </c>
      <c r="S529" t="s">
        <v>1070</v>
      </c>
      <c r="T529"/>
      <c r="U529"/>
      <c r="V529"/>
      <c r="W529"/>
      <c r="X529"/>
      <c r="Y529"/>
      <c r="Z529"/>
      <c r="AA529" t="s">
        <v>3662</v>
      </c>
      <c r="AB529" t="s">
        <v>3663</v>
      </c>
      <c r="AC529"/>
      <c r="AD529"/>
      <c r="AE529"/>
      <c r="AF529"/>
      <c r="AG529"/>
      <c r="AH529"/>
      <c r="AI529"/>
      <c r="AJ529"/>
      <c r="AK529"/>
      <c r="AL529"/>
      <c r="AM529"/>
      <c r="AN529"/>
      <c r="AO529"/>
      <c r="AP529" t="s">
        <v>259</v>
      </c>
      <c r="AQ529" t="s">
        <v>1071</v>
      </c>
      <c r="AR529"/>
      <c r="AS529"/>
      <c r="AT529"/>
      <c r="AU529">
        <v>2021</v>
      </c>
      <c r="AV529">
        <v>114</v>
      </c>
      <c r="AW529"/>
      <c r="AX529"/>
      <c r="AY529"/>
      <c r="AZ529"/>
      <c r="BA529"/>
      <c r="BB529">
        <v>380</v>
      </c>
      <c r="BC529">
        <v>387</v>
      </c>
      <c r="BD529"/>
      <c r="BE529" t="s">
        <v>3664</v>
      </c>
      <c r="BF529" t="str">
        <f>HYPERLINK("http://dx.doi.org/10.15405/epsbs.2021.07.02.45","http://dx.doi.org/10.15405/epsbs.2021.07.02.45")</f>
        <v>http://dx.doi.org/10.15405/epsbs.2021.07.02.45</v>
      </c>
      <c r="BG529"/>
      <c r="BH529"/>
      <c r="BI529"/>
      <c r="BJ529"/>
      <c r="BK529"/>
      <c r="BL529"/>
      <c r="BM529"/>
      <c r="BN529"/>
      <c r="BO529"/>
      <c r="BP529"/>
      <c r="BQ529"/>
      <c r="BR529"/>
      <c r="BS529" t="s">
        <v>3665</v>
      </c>
      <c r="BT529" t="str">
        <f>HYPERLINK("https%3A%2F%2Fwww.webofscience.com%2Fwos%2Fwoscc%2Ffull-record%2FWOS:000771919100045","View Full Record in Web of Science")</f>
        <v>View Full Record in Web of Science</v>
      </c>
    </row>
    <row r="530" spans="1:75" customHeight="1" ht="12.75">
      <c r="A530" t="s">
        <v>147</v>
      </c>
      <c r="B530" t="s">
        <v>3666</v>
      </c>
      <c r="C530"/>
      <c r="D530"/>
      <c r="E530" t="s">
        <v>210</v>
      </c>
      <c r="F530" t="s">
        <v>3667</v>
      </c>
      <c r="G530"/>
      <c r="H530"/>
      <c r="I530" t="s">
        <v>3668</v>
      </c>
      <c r="J530" t="s">
        <v>1053</v>
      </c>
      <c r="K530" t="s">
        <v>743</v>
      </c>
      <c r="L530"/>
      <c r="M530"/>
      <c r="N530"/>
      <c r="O530" t="s">
        <v>744</v>
      </c>
      <c r="P530" t="s">
        <v>1054</v>
      </c>
      <c r="Q530" t="s">
        <v>256</v>
      </c>
      <c r="R530" t="s">
        <v>1055</v>
      </c>
      <c r="S530" t="s">
        <v>257</v>
      </c>
      <c r="T530"/>
      <c r="U530"/>
      <c r="V530"/>
      <c r="W530"/>
      <c r="X530"/>
      <c r="Y530"/>
      <c r="Z530"/>
      <c r="AA530" t="s">
        <v>367</v>
      </c>
      <c r="AB530" t="s">
        <v>368</v>
      </c>
      <c r="AC530"/>
      <c r="AD530"/>
      <c r="AE530"/>
      <c r="AF530"/>
      <c r="AG530"/>
      <c r="AH530"/>
      <c r="AI530"/>
      <c r="AJ530"/>
      <c r="AK530"/>
      <c r="AL530"/>
      <c r="AM530"/>
      <c r="AN530"/>
      <c r="AO530" t="s">
        <v>748</v>
      </c>
      <c r="AP530"/>
      <c r="AQ530" t="s">
        <v>1058</v>
      </c>
      <c r="AR530"/>
      <c r="AS530"/>
      <c r="AT530"/>
      <c r="AU530">
        <v>2021</v>
      </c>
      <c r="AV530"/>
      <c r="AW530"/>
      <c r="AX530"/>
      <c r="AY530"/>
      <c r="AZ530"/>
      <c r="BA530"/>
      <c r="BB530"/>
      <c r="BC530"/>
      <c r="BD530"/>
      <c r="BE530" t="s">
        <v>3669</v>
      </c>
      <c r="BF530" t="str">
        <f>HYPERLINK("http://dx.doi.org/10.1109/SIBCON50419.2021.9438904","http://dx.doi.org/10.1109/SIBCON50419.2021.9438904")</f>
        <v>http://dx.doi.org/10.1109/SIBCON50419.2021.9438904</v>
      </c>
      <c r="BG530"/>
      <c r="BH530"/>
      <c r="BI530"/>
      <c r="BJ530"/>
      <c r="BK530"/>
      <c r="BL530"/>
      <c r="BM530"/>
      <c r="BN530"/>
      <c r="BO530"/>
      <c r="BP530"/>
      <c r="BQ530"/>
      <c r="BR530"/>
      <c r="BS530" t="s">
        <v>3670</v>
      </c>
      <c r="BT530" t="str">
        <f>HYPERLINK("https%3A%2F%2Fwww.webofscience.com%2Fwos%2Fwoscc%2Ffull-record%2FWOS:000680842100054","View Full Record in Web of Science")</f>
        <v>View Full Record in Web of Science</v>
      </c>
    </row>
    <row r="531" spans="1:75" customHeight="1" ht="12.75">
      <c r="A531" t="s">
        <v>72</v>
      </c>
      <c r="B531" t="s">
        <v>3671</v>
      </c>
      <c r="C531"/>
      <c r="D531"/>
      <c r="E531"/>
      <c r="F531" t="s">
        <v>3672</v>
      </c>
      <c r="G531"/>
      <c r="H531"/>
      <c r="I531" t="s">
        <v>3673</v>
      </c>
      <c r="J531" t="s">
        <v>668</v>
      </c>
      <c r="K531"/>
      <c r="L531"/>
      <c r="M531"/>
      <c r="N531"/>
      <c r="O531"/>
      <c r="P531"/>
      <c r="Q531"/>
      <c r="R531"/>
      <c r="S531"/>
      <c r="T531"/>
      <c r="U531"/>
      <c r="V531"/>
      <c r="W531"/>
      <c r="X531"/>
      <c r="Y531"/>
      <c r="Z531"/>
      <c r="AA531" t="s">
        <v>3442</v>
      </c>
      <c r="AB531" t="s">
        <v>3443</v>
      </c>
      <c r="AC531"/>
      <c r="AD531"/>
      <c r="AE531"/>
      <c r="AF531"/>
      <c r="AG531"/>
      <c r="AH531"/>
      <c r="AI531"/>
      <c r="AJ531"/>
      <c r="AK531"/>
      <c r="AL531"/>
      <c r="AM531"/>
      <c r="AN531"/>
      <c r="AO531" t="s">
        <v>669</v>
      </c>
      <c r="AP531" t="s">
        <v>670</v>
      </c>
      <c r="AQ531"/>
      <c r="AR531"/>
      <c r="AS531"/>
      <c r="AT531"/>
      <c r="AU531">
        <v>2020</v>
      </c>
      <c r="AV531"/>
      <c r="AW531">
        <v>7</v>
      </c>
      <c r="AX531"/>
      <c r="AY531"/>
      <c r="AZ531"/>
      <c r="BA531"/>
      <c r="BB531">
        <v>158</v>
      </c>
      <c r="BC531">
        <v>176</v>
      </c>
      <c r="BD531"/>
      <c r="BE531" t="s">
        <v>3674</v>
      </c>
      <c r="BF531" t="str">
        <f>HYPERLINK("http://dx.doi.org/10.24224/2227-1295-2020-7-158-176","http://dx.doi.org/10.24224/2227-1295-2020-7-158-176")</f>
        <v>http://dx.doi.org/10.24224/2227-1295-2020-7-158-176</v>
      </c>
      <c r="BG531"/>
      <c r="BH531"/>
      <c r="BI531"/>
      <c r="BJ531"/>
      <c r="BK531"/>
      <c r="BL531"/>
      <c r="BM531"/>
      <c r="BN531"/>
      <c r="BO531"/>
      <c r="BP531"/>
      <c r="BQ531"/>
      <c r="BR531"/>
      <c r="BS531" t="s">
        <v>3675</v>
      </c>
      <c r="BT531" t="str">
        <f>HYPERLINK("https%3A%2F%2Fwww.webofscience.com%2Fwos%2Fwoscc%2Ffull-record%2FWOS:000568419600010","View Full Record in Web of Science")</f>
        <v>View Full Record in Web of Science</v>
      </c>
    </row>
    <row r="532" spans="1:75" customHeight="1" ht="12.75">
      <c r="A532" t="s">
        <v>72</v>
      </c>
      <c r="B532" t="s">
        <v>3676</v>
      </c>
      <c r="C532"/>
      <c r="D532"/>
      <c r="E532"/>
      <c r="F532" t="s">
        <v>3677</v>
      </c>
      <c r="G532"/>
      <c r="H532"/>
      <c r="I532" t="s">
        <v>3678</v>
      </c>
      <c r="J532" t="s">
        <v>668</v>
      </c>
      <c r="K532"/>
      <c r="L532"/>
      <c r="M532"/>
      <c r="N532"/>
      <c r="O532"/>
      <c r="P532"/>
      <c r="Q532"/>
      <c r="R532"/>
      <c r="S532"/>
      <c r="T532"/>
      <c r="U532"/>
      <c r="V532"/>
      <c r="W532"/>
      <c r="X532"/>
      <c r="Y532"/>
      <c r="Z532"/>
      <c r="AA532" t="s">
        <v>3025</v>
      </c>
      <c r="AB532" t="s">
        <v>3679</v>
      </c>
      <c r="AC532"/>
      <c r="AD532"/>
      <c r="AE532"/>
      <c r="AF532"/>
      <c r="AG532"/>
      <c r="AH532"/>
      <c r="AI532"/>
      <c r="AJ532"/>
      <c r="AK532"/>
      <c r="AL532"/>
      <c r="AM532"/>
      <c r="AN532"/>
      <c r="AO532" t="s">
        <v>669</v>
      </c>
      <c r="AP532" t="s">
        <v>670</v>
      </c>
      <c r="AQ532"/>
      <c r="AR532"/>
      <c r="AS532"/>
      <c r="AT532"/>
      <c r="AU532">
        <v>2020</v>
      </c>
      <c r="AV532"/>
      <c r="AW532">
        <v>7</v>
      </c>
      <c r="AX532"/>
      <c r="AY532"/>
      <c r="AZ532"/>
      <c r="BA532"/>
      <c r="BB532">
        <v>226</v>
      </c>
      <c r="BC532">
        <v>240</v>
      </c>
      <c r="BD532"/>
      <c r="BE532" t="s">
        <v>3680</v>
      </c>
      <c r="BF532" t="str">
        <f>HYPERLINK("http://dx.doi.org/10.24224/2227-1295-2020-7-226-240","http://dx.doi.org/10.24224/2227-1295-2020-7-226-240")</f>
        <v>http://dx.doi.org/10.24224/2227-1295-2020-7-226-240</v>
      </c>
      <c r="BG532"/>
      <c r="BH532"/>
      <c r="BI532"/>
      <c r="BJ532"/>
      <c r="BK532"/>
      <c r="BL532"/>
      <c r="BM532"/>
      <c r="BN532"/>
      <c r="BO532"/>
      <c r="BP532"/>
      <c r="BQ532"/>
      <c r="BR532"/>
      <c r="BS532" t="s">
        <v>3681</v>
      </c>
      <c r="BT532" t="str">
        <f>HYPERLINK("https%3A%2F%2Fwww.webofscience.com%2Fwos%2Fwoscc%2Ffull-record%2FWOS:000568419600014","View Full Record in Web of Science")</f>
        <v>View Full Record in Web of Science</v>
      </c>
    </row>
    <row r="533" spans="1:75" customHeight="1" ht="12.75">
      <c r="A533" t="s">
        <v>72</v>
      </c>
      <c r="B533" t="s">
        <v>378</v>
      </c>
      <c r="C533"/>
      <c r="D533"/>
      <c r="E533"/>
      <c r="F533" t="s">
        <v>1226</v>
      </c>
      <c r="G533"/>
      <c r="H533"/>
      <c r="I533" t="s">
        <v>3682</v>
      </c>
      <c r="J533" t="s">
        <v>3683</v>
      </c>
      <c r="K533"/>
      <c r="L533"/>
      <c r="M533"/>
      <c r="N533"/>
      <c r="O533"/>
      <c r="P533"/>
      <c r="Q533"/>
      <c r="R533"/>
      <c r="S533"/>
      <c r="T533"/>
      <c r="U533"/>
      <c r="V533"/>
      <c r="W533"/>
      <c r="X533"/>
      <c r="Y533"/>
      <c r="Z533"/>
      <c r="AA533" t="s">
        <v>553</v>
      </c>
      <c r="AB533" t="s">
        <v>554</v>
      </c>
      <c r="AC533"/>
      <c r="AD533"/>
      <c r="AE533"/>
      <c r="AF533"/>
      <c r="AG533"/>
      <c r="AH533"/>
      <c r="AI533"/>
      <c r="AJ533"/>
      <c r="AK533"/>
      <c r="AL533"/>
      <c r="AM533"/>
      <c r="AN533"/>
      <c r="AO533" t="s">
        <v>3684</v>
      </c>
      <c r="AP533" t="s">
        <v>3685</v>
      </c>
      <c r="AQ533"/>
      <c r="AR533"/>
      <c r="AS533"/>
      <c r="AT533" t="s">
        <v>3686</v>
      </c>
      <c r="AU533">
        <v>2019</v>
      </c>
      <c r="AV533">
        <v>10</v>
      </c>
      <c r="AW533">
        <v>24</v>
      </c>
      <c r="AX533"/>
      <c r="AY533"/>
      <c r="AZ533"/>
      <c r="BA533"/>
      <c r="BB533">
        <v>367</v>
      </c>
      <c r="BC533">
        <v>386</v>
      </c>
      <c r="BD533"/>
      <c r="BE533"/>
      <c r="BF533"/>
      <c r="BG533"/>
      <c r="BH533"/>
      <c r="BI533"/>
      <c r="BJ533"/>
      <c r="BK533"/>
      <c r="BL533"/>
      <c r="BM533"/>
      <c r="BN533"/>
      <c r="BO533"/>
      <c r="BP533"/>
      <c r="BQ533"/>
      <c r="BR533"/>
      <c r="BS533" t="s">
        <v>3687</v>
      </c>
      <c r="BT533" t="str">
        <f>HYPERLINK("https%3A%2F%2Fwww.webofscience.com%2Fwos%2Fwoscc%2Ffull-record%2FWOS:000489760100016","View Full Record in Web of Science")</f>
        <v>View Full Record in Web of Science</v>
      </c>
    </row>
    <row r="534" spans="1:75" customHeight="1" ht="12.75">
      <c r="A534" t="s">
        <v>72</v>
      </c>
      <c r="B534" t="s">
        <v>3688</v>
      </c>
      <c r="C534"/>
      <c r="D534"/>
      <c r="E534"/>
      <c r="F534" t="s">
        <v>3689</v>
      </c>
      <c r="G534"/>
      <c r="H534"/>
      <c r="I534" t="s">
        <v>3690</v>
      </c>
      <c r="J534" t="s">
        <v>3691</v>
      </c>
      <c r="K534"/>
      <c r="L534"/>
      <c r="M534"/>
      <c r="N534"/>
      <c r="O534"/>
      <c r="P534"/>
      <c r="Q534"/>
      <c r="R534"/>
      <c r="S534"/>
      <c r="T534"/>
      <c r="U534"/>
      <c r="V534"/>
      <c r="W534"/>
      <c r="X534"/>
      <c r="Y534"/>
      <c r="Z534"/>
      <c r="AA534" t="s">
        <v>3692</v>
      </c>
      <c r="AB534"/>
      <c r="AC534"/>
      <c r="AD534"/>
      <c r="AE534"/>
      <c r="AF534"/>
      <c r="AG534"/>
      <c r="AH534"/>
      <c r="AI534"/>
      <c r="AJ534"/>
      <c r="AK534"/>
      <c r="AL534"/>
      <c r="AM534"/>
      <c r="AN534"/>
      <c r="AO534" t="s">
        <v>3693</v>
      </c>
      <c r="AP534" t="s">
        <v>3694</v>
      </c>
      <c r="AQ534"/>
      <c r="AR534"/>
      <c r="AS534"/>
      <c r="AT534" t="s">
        <v>88</v>
      </c>
      <c r="AU534">
        <v>2019</v>
      </c>
      <c r="AV534">
        <v>8</v>
      </c>
      <c r="AW534">
        <v>2</v>
      </c>
      <c r="AX534"/>
      <c r="AY534"/>
      <c r="AZ534"/>
      <c r="BA534"/>
      <c r="BB534">
        <v>554</v>
      </c>
      <c r="BC534">
        <v>563</v>
      </c>
      <c r="BD534"/>
      <c r="BE534" t="s">
        <v>3695</v>
      </c>
      <c r="BF534" t="str">
        <f>HYPERLINK("http://dx.doi.org/10.18421/TEM82-31","http://dx.doi.org/10.18421/TEM82-31")</f>
        <v>http://dx.doi.org/10.18421/TEM82-31</v>
      </c>
      <c r="BG534"/>
      <c r="BH534"/>
      <c r="BI534"/>
      <c r="BJ534"/>
      <c r="BK534"/>
      <c r="BL534"/>
      <c r="BM534"/>
      <c r="BN534"/>
      <c r="BO534"/>
      <c r="BP534"/>
      <c r="BQ534"/>
      <c r="BR534"/>
      <c r="BS534" t="s">
        <v>3696</v>
      </c>
      <c r="BT534" t="str">
        <f>HYPERLINK("https%3A%2F%2Fwww.webofscience.com%2Fwos%2Fwoscc%2Ffull-record%2FWOS:000468971700031","View Full Record in Web of Science")</f>
        <v>View Full Record in Web of Science</v>
      </c>
    </row>
    <row r="535" spans="1:75" customHeight="1" ht="12.75">
      <c r="A535" t="s">
        <v>147</v>
      </c>
      <c r="B535" t="s">
        <v>3697</v>
      </c>
      <c r="C535"/>
      <c r="D535" t="s">
        <v>249</v>
      </c>
      <c r="E535"/>
      <c r="F535" t="s">
        <v>3698</v>
      </c>
      <c r="G535"/>
      <c r="H535"/>
      <c r="I535" t="s">
        <v>3699</v>
      </c>
      <c r="J535" t="s">
        <v>1371</v>
      </c>
      <c r="K535"/>
      <c r="L535"/>
      <c r="M535"/>
      <c r="N535"/>
      <c r="O535" t="s">
        <v>1372</v>
      </c>
      <c r="P535" t="s">
        <v>1373</v>
      </c>
      <c r="Q535" t="s">
        <v>256</v>
      </c>
      <c r="R535"/>
      <c r="S535" t="s">
        <v>257</v>
      </c>
      <c r="T535"/>
      <c r="U535"/>
      <c r="V535"/>
      <c r="W535"/>
      <c r="X535"/>
      <c r="Y535"/>
      <c r="Z535"/>
      <c r="AA535" t="s">
        <v>3700</v>
      </c>
      <c r="AB535" t="s">
        <v>2923</v>
      </c>
      <c r="AC535"/>
      <c r="AD535"/>
      <c r="AE535"/>
      <c r="AF535"/>
      <c r="AG535"/>
      <c r="AH535"/>
      <c r="AI535"/>
      <c r="AJ535"/>
      <c r="AK535"/>
      <c r="AL535"/>
      <c r="AM535"/>
      <c r="AN535"/>
      <c r="AO535"/>
      <c r="AP535"/>
      <c r="AQ535" t="s">
        <v>1374</v>
      </c>
      <c r="AR535"/>
      <c r="AS535"/>
      <c r="AT535"/>
      <c r="AU535">
        <v>2019</v>
      </c>
      <c r="AV535"/>
      <c r="AW535"/>
      <c r="AX535"/>
      <c r="AY535"/>
      <c r="AZ535"/>
      <c r="BA535"/>
      <c r="BB535">
        <v>271</v>
      </c>
      <c r="BC535">
        <v>280</v>
      </c>
      <c r="BD535"/>
      <c r="BE535" t="s">
        <v>3701</v>
      </c>
      <c r="BF535" t="str">
        <f>HYPERLINK("http://dx.doi.org/10.3897/ap.1.e0254","http://dx.doi.org/10.3897/ap.1.e0254")</f>
        <v>http://dx.doi.org/10.3897/ap.1.e0254</v>
      </c>
      <c r="BG535"/>
      <c r="BH535"/>
      <c r="BI535"/>
      <c r="BJ535"/>
      <c r="BK535"/>
      <c r="BL535"/>
      <c r="BM535"/>
      <c r="BN535"/>
      <c r="BO535"/>
      <c r="BP535"/>
      <c r="BQ535"/>
      <c r="BR535"/>
      <c r="BS535" t="s">
        <v>3702</v>
      </c>
      <c r="BT535" t="str">
        <f>HYPERLINK("https%3A%2F%2Fwww.webofscience.com%2Fwos%2Fwoscc%2Ffull-record%2FWOS:000520005200027","View Full Record in Web of Science")</f>
        <v>View Full Record in Web of Science</v>
      </c>
    </row>
    <row r="536" spans="1:75" customHeight="1" ht="12.75">
      <c r="A536" t="s">
        <v>147</v>
      </c>
      <c r="B536" t="s">
        <v>220</v>
      </c>
      <c r="C536"/>
      <c r="D536"/>
      <c r="E536" t="s">
        <v>210</v>
      </c>
      <c r="F536" t="s">
        <v>221</v>
      </c>
      <c r="G536"/>
      <c r="H536"/>
      <c r="I536" t="s">
        <v>3703</v>
      </c>
      <c r="J536" t="s">
        <v>3220</v>
      </c>
      <c r="K536"/>
      <c r="L536"/>
      <c r="M536"/>
      <c r="N536"/>
      <c r="O536" t="s">
        <v>3221</v>
      </c>
      <c r="P536" t="s">
        <v>2914</v>
      </c>
      <c r="Q536" t="s">
        <v>3222</v>
      </c>
      <c r="R536" t="s">
        <v>3223</v>
      </c>
      <c r="S536" t="s">
        <v>3224</v>
      </c>
      <c r="T536"/>
      <c r="U536"/>
      <c r="V536"/>
      <c r="W536"/>
      <c r="X536"/>
      <c r="Y536"/>
      <c r="Z536"/>
      <c r="AA536"/>
      <c r="AB536"/>
      <c r="AC536"/>
      <c r="AD536"/>
      <c r="AE536"/>
      <c r="AF536"/>
      <c r="AG536"/>
      <c r="AH536"/>
      <c r="AI536"/>
      <c r="AJ536"/>
      <c r="AK536"/>
      <c r="AL536"/>
      <c r="AM536"/>
      <c r="AN536"/>
      <c r="AO536"/>
      <c r="AP536"/>
      <c r="AQ536" t="s">
        <v>3225</v>
      </c>
      <c r="AR536"/>
      <c r="AS536"/>
      <c r="AT536"/>
      <c r="AU536">
        <v>2019</v>
      </c>
      <c r="AV536"/>
      <c r="AW536"/>
      <c r="AX536"/>
      <c r="AY536"/>
      <c r="AZ536"/>
      <c r="BA536"/>
      <c r="BB536"/>
      <c r="BC536"/>
      <c r="BD536"/>
      <c r="BE536"/>
      <c r="BF536"/>
      <c r="BG536"/>
      <c r="BH536"/>
      <c r="BI536"/>
      <c r="BJ536"/>
      <c r="BK536"/>
      <c r="BL536"/>
      <c r="BM536"/>
      <c r="BN536"/>
      <c r="BO536"/>
      <c r="BP536"/>
      <c r="BQ536"/>
      <c r="BR536"/>
      <c r="BS536" t="s">
        <v>3704</v>
      </c>
      <c r="BT536" t="str">
        <f>HYPERLINK("https%3A%2F%2Fwww.webofscience.com%2Fwos%2Fwoscc%2Ffull-record%2FWOS:000560311400076","View Full Record in Web of Science")</f>
        <v>View Full Record in Web of Science</v>
      </c>
    </row>
    <row r="537" spans="1:75" customHeight="1" ht="12.75">
      <c r="A537" t="s">
        <v>147</v>
      </c>
      <c r="B537" t="s">
        <v>3705</v>
      </c>
      <c r="C537"/>
      <c r="D537"/>
      <c r="E537" t="s">
        <v>175</v>
      </c>
      <c r="F537" t="s">
        <v>3706</v>
      </c>
      <c r="G537"/>
      <c r="H537"/>
      <c r="I537" t="s">
        <v>3707</v>
      </c>
      <c r="J537" t="s">
        <v>178</v>
      </c>
      <c r="K537" t="s">
        <v>179</v>
      </c>
      <c r="L537"/>
      <c r="M537"/>
      <c r="N537"/>
      <c r="O537" t="s">
        <v>180</v>
      </c>
      <c r="P537" t="s">
        <v>181</v>
      </c>
      <c r="Q537" t="s">
        <v>182</v>
      </c>
      <c r="R537" t="s">
        <v>183</v>
      </c>
      <c r="S537" t="s">
        <v>184</v>
      </c>
      <c r="T537"/>
      <c r="U537"/>
      <c r="V537"/>
      <c r="W537"/>
      <c r="X537"/>
      <c r="Y537"/>
      <c r="Z537"/>
      <c r="AA537"/>
      <c r="AB537"/>
      <c r="AC537"/>
      <c r="AD537"/>
      <c r="AE537"/>
      <c r="AF537"/>
      <c r="AG537"/>
      <c r="AH537"/>
      <c r="AI537"/>
      <c r="AJ537"/>
      <c r="AK537"/>
      <c r="AL537"/>
      <c r="AM537"/>
      <c r="AN537"/>
      <c r="AO537" t="s">
        <v>187</v>
      </c>
      <c r="AP537" t="s">
        <v>188</v>
      </c>
      <c r="AQ537"/>
      <c r="AR537"/>
      <c r="AS537"/>
      <c r="AT537"/>
      <c r="AU537">
        <v>2019</v>
      </c>
      <c r="AV537">
        <v>1399</v>
      </c>
      <c r="AW537"/>
      <c r="AX537"/>
      <c r="AY537"/>
      <c r="AZ537"/>
      <c r="BA537"/>
      <c r="BB537"/>
      <c r="BC537"/>
      <c r="BD537">
        <v>33050</v>
      </c>
      <c r="BE537" t="s">
        <v>3708</v>
      </c>
      <c r="BF537" t="str">
        <f>HYPERLINK("http://dx.doi.org/10.1088/1742-6596/1399/3/033050","http://dx.doi.org/10.1088/1742-6596/1399/3/033050")</f>
        <v>http://dx.doi.org/10.1088/1742-6596/1399/3/033050</v>
      </c>
      <c r="BG537"/>
      <c r="BH537"/>
      <c r="BI537"/>
      <c r="BJ537"/>
      <c r="BK537"/>
      <c r="BL537"/>
      <c r="BM537"/>
      <c r="BN537"/>
      <c r="BO537"/>
      <c r="BP537"/>
      <c r="BQ537"/>
      <c r="BR537"/>
      <c r="BS537" t="s">
        <v>3709</v>
      </c>
      <c r="BT537" t="str">
        <f>HYPERLINK("https%3A%2F%2Fwww.webofscience.com%2Fwos%2Fwoscc%2Ffull-record%2FWOS:000589557100112","View Full Record in Web of Science")</f>
        <v>View Full Record in Web of Science</v>
      </c>
    </row>
    <row r="538" spans="1:75" customHeight="1" ht="12.75">
      <c r="A538" t="s">
        <v>72</v>
      </c>
      <c r="B538" t="s">
        <v>3710</v>
      </c>
      <c r="C538"/>
      <c r="D538"/>
      <c r="E538"/>
      <c r="F538" t="s">
        <v>3711</v>
      </c>
      <c r="G538"/>
      <c r="H538"/>
      <c r="I538" t="s">
        <v>3712</v>
      </c>
      <c r="J538" t="s">
        <v>1087</v>
      </c>
      <c r="K538"/>
      <c r="L538"/>
      <c r="M538"/>
      <c r="N538"/>
      <c r="O538"/>
      <c r="P538"/>
      <c r="Q538"/>
      <c r="R538"/>
      <c r="S538"/>
      <c r="T538"/>
      <c r="U538"/>
      <c r="V538"/>
      <c r="W538"/>
      <c r="X538"/>
      <c r="Y538"/>
      <c r="Z538"/>
      <c r="AA538" t="s">
        <v>3713</v>
      </c>
      <c r="AB538" t="s">
        <v>3714</v>
      </c>
      <c r="AC538"/>
      <c r="AD538"/>
      <c r="AE538"/>
      <c r="AF538"/>
      <c r="AG538"/>
      <c r="AH538"/>
      <c r="AI538"/>
      <c r="AJ538"/>
      <c r="AK538"/>
      <c r="AL538"/>
      <c r="AM538"/>
      <c r="AN538"/>
      <c r="AO538" t="s">
        <v>1093</v>
      </c>
      <c r="AP538" t="s">
        <v>1094</v>
      </c>
      <c r="AQ538"/>
      <c r="AR538"/>
      <c r="AS538"/>
      <c r="AT538" t="s">
        <v>403</v>
      </c>
      <c r="AU538">
        <v>2018</v>
      </c>
      <c r="AV538">
        <v>55</v>
      </c>
      <c r="AW538">
        <v>4</v>
      </c>
      <c r="AX538"/>
      <c r="AY538"/>
      <c r="AZ538"/>
      <c r="BA538"/>
      <c r="BB538">
        <v>469</v>
      </c>
      <c r="BC538">
        <v>473</v>
      </c>
      <c r="BD538"/>
      <c r="BE538"/>
      <c r="BF538"/>
      <c r="BG538"/>
      <c r="BH538"/>
      <c r="BI538"/>
      <c r="BJ538"/>
      <c r="BK538"/>
      <c r="BL538"/>
      <c r="BM538"/>
      <c r="BN538"/>
      <c r="BO538"/>
      <c r="BP538"/>
      <c r="BQ538"/>
      <c r="BR538"/>
      <c r="BS538" t="s">
        <v>3715</v>
      </c>
      <c r="BT538" t="str">
        <f>HYPERLINK("https%3A%2F%2Fwww.webofscience.com%2Fwos%2Fwoscc%2Ffull-record%2FWOS:000454987400002","View Full Record in Web of Science")</f>
        <v>View Full Record in Web of Science</v>
      </c>
    </row>
    <row r="539" spans="1:75" customHeight="1" ht="12.75">
      <c r="A539" t="s">
        <v>72</v>
      </c>
      <c r="B539" t="s">
        <v>1984</v>
      </c>
      <c r="C539"/>
      <c r="D539"/>
      <c r="E539"/>
      <c r="F539" t="s">
        <v>3716</v>
      </c>
      <c r="G539"/>
      <c r="H539"/>
      <c r="I539" t="s">
        <v>3717</v>
      </c>
      <c r="J539" t="s">
        <v>2640</v>
      </c>
      <c r="K539"/>
      <c r="L539"/>
      <c r="M539"/>
      <c r="N539"/>
      <c r="O539"/>
      <c r="P539"/>
      <c r="Q539"/>
      <c r="R539"/>
      <c r="S539"/>
      <c r="T539"/>
      <c r="U539"/>
      <c r="V539"/>
      <c r="W539"/>
      <c r="X539"/>
      <c r="Y539"/>
      <c r="Z539"/>
      <c r="AA539" t="s">
        <v>1988</v>
      </c>
      <c r="AB539" t="s">
        <v>1989</v>
      </c>
      <c r="AC539"/>
      <c r="AD539"/>
      <c r="AE539"/>
      <c r="AF539"/>
      <c r="AG539"/>
      <c r="AH539"/>
      <c r="AI539"/>
      <c r="AJ539"/>
      <c r="AK539"/>
      <c r="AL539"/>
      <c r="AM539"/>
      <c r="AN539"/>
      <c r="AO539" t="s">
        <v>2643</v>
      </c>
      <c r="AP539"/>
      <c r="AQ539"/>
      <c r="AR539"/>
      <c r="AS539"/>
      <c r="AT539"/>
      <c r="AU539">
        <v>2018</v>
      </c>
      <c r="AV539">
        <v>51</v>
      </c>
      <c r="AW539">
        <v>1</v>
      </c>
      <c r="AX539"/>
      <c r="AY539"/>
      <c r="AZ539"/>
      <c r="BA539"/>
      <c r="BB539">
        <v>145</v>
      </c>
      <c r="BC539">
        <v>147</v>
      </c>
      <c r="BD539"/>
      <c r="BE539" t="s">
        <v>3718</v>
      </c>
      <c r="BF539" t="str">
        <f>HYPERLINK("http://dx.doi.org/10.26710/fk18-01-23","http://dx.doi.org/10.26710/fk18-01-23")</f>
        <v>http://dx.doi.org/10.26710/fk18-01-23</v>
      </c>
      <c r="BG539"/>
      <c r="BH539"/>
      <c r="BI539"/>
      <c r="BJ539"/>
      <c r="BK539"/>
      <c r="BL539"/>
      <c r="BM539"/>
      <c r="BN539"/>
      <c r="BO539"/>
      <c r="BP539"/>
      <c r="BQ539"/>
      <c r="BR539"/>
      <c r="BS539" t="s">
        <v>3719</v>
      </c>
      <c r="BT539" t="str">
        <f>HYPERLINK("https%3A%2F%2Fwww.webofscience.com%2Fwos%2Fwoscc%2Ffull-record%2FWOS:000438455300022","View Full Record in Web of Science")</f>
        <v>View Full Record in Web of Science</v>
      </c>
    </row>
    <row r="540" spans="1:75" customHeight="1" ht="12.75">
      <c r="A540" t="s">
        <v>147</v>
      </c>
      <c r="B540" t="s">
        <v>3720</v>
      </c>
      <c r="C540"/>
      <c r="D540"/>
      <c r="E540" t="s">
        <v>210</v>
      </c>
      <c r="F540" t="s">
        <v>3721</v>
      </c>
      <c r="G540"/>
      <c r="H540"/>
      <c r="I540" t="s">
        <v>3722</v>
      </c>
      <c r="J540" t="s">
        <v>1139</v>
      </c>
      <c r="K540" t="s">
        <v>390</v>
      </c>
      <c r="L540"/>
      <c r="M540"/>
      <c r="N540"/>
      <c r="O540" t="s">
        <v>1140</v>
      </c>
      <c r="P540" t="s">
        <v>1141</v>
      </c>
      <c r="Q540" t="s">
        <v>393</v>
      </c>
      <c r="R540" t="s">
        <v>1142</v>
      </c>
      <c r="S540"/>
      <c r="T540"/>
      <c r="U540"/>
      <c r="V540"/>
      <c r="W540"/>
      <c r="X540"/>
      <c r="Y540"/>
      <c r="Z540"/>
      <c r="AA540"/>
      <c r="AB540"/>
      <c r="AC540"/>
      <c r="AD540"/>
      <c r="AE540"/>
      <c r="AF540"/>
      <c r="AG540"/>
      <c r="AH540"/>
      <c r="AI540"/>
      <c r="AJ540"/>
      <c r="AK540"/>
      <c r="AL540"/>
      <c r="AM540"/>
      <c r="AN540"/>
      <c r="AO540" t="s">
        <v>395</v>
      </c>
      <c r="AP540"/>
      <c r="AQ540" t="s">
        <v>1145</v>
      </c>
      <c r="AR540"/>
      <c r="AS540"/>
      <c r="AT540"/>
      <c r="AU540">
        <v>2018</v>
      </c>
      <c r="AV540"/>
      <c r="AW540"/>
      <c r="AX540"/>
      <c r="AY540"/>
      <c r="AZ540"/>
      <c r="BA540"/>
      <c r="BB540">
        <v>455</v>
      </c>
      <c r="BC540">
        <v>459</v>
      </c>
      <c r="BD540"/>
      <c r="BE540"/>
      <c r="BF540"/>
      <c r="BG540"/>
      <c r="BH540"/>
      <c r="BI540"/>
      <c r="BJ540"/>
      <c r="BK540"/>
      <c r="BL540"/>
      <c r="BM540"/>
      <c r="BN540"/>
      <c r="BO540"/>
      <c r="BP540"/>
      <c r="BQ540"/>
      <c r="BR540"/>
      <c r="BS540" t="s">
        <v>3723</v>
      </c>
      <c r="BT540" t="str">
        <f>HYPERLINK("https%3A%2F%2Fwww.webofscience.com%2Fwos%2Fwoscc%2Ffull-record%2FWOS:000644432200115","View Full Record in Web of Science")</f>
        <v>View Full Record in Web of Science</v>
      </c>
    </row>
    <row r="541" spans="1:75" customHeight="1" ht="12.75">
      <c r="A541" t="s">
        <v>147</v>
      </c>
      <c r="B541" t="s">
        <v>3724</v>
      </c>
      <c r="C541"/>
      <c r="D541" t="s">
        <v>249</v>
      </c>
      <c r="E541"/>
      <c r="F541" t="s">
        <v>3725</v>
      </c>
      <c r="G541"/>
      <c r="H541"/>
      <c r="I541" t="s">
        <v>3726</v>
      </c>
      <c r="J541" t="s">
        <v>252</v>
      </c>
      <c r="K541" t="s">
        <v>253</v>
      </c>
      <c r="L541"/>
      <c r="M541"/>
      <c r="N541"/>
      <c r="O541" t="s">
        <v>254</v>
      </c>
      <c r="P541" t="s">
        <v>255</v>
      </c>
      <c r="Q541" t="s">
        <v>256</v>
      </c>
      <c r="R541"/>
      <c r="S541" t="s">
        <v>257</v>
      </c>
      <c r="T541"/>
      <c r="U541"/>
      <c r="V541"/>
      <c r="W541"/>
      <c r="X541"/>
      <c r="Y541"/>
      <c r="Z541"/>
      <c r="AA541" t="s">
        <v>3727</v>
      </c>
      <c r="AB541" t="s">
        <v>3728</v>
      </c>
      <c r="AC541"/>
      <c r="AD541"/>
      <c r="AE541"/>
      <c r="AF541"/>
      <c r="AG541"/>
      <c r="AH541"/>
      <c r="AI541"/>
      <c r="AJ541"/>
      <c r="AK541"/>
      <c r="AL541"/>
      <c r="AM541"/>
      <c r="AN541"/>
      <c r="AO541" t="s">
        <v>259</v>
      </c>
      <c r="AP541"/>
      <c r="AQ541"/>
      <c r="AR541"/>
      <c r="AS541"/>
      <c r="AT541"/>
      <c r="AU541">
        <v>2017</v>
      </c>
      <c r="AV541">
        <v>29</v>
      </c>
      <c r="AW541"/>
      <c r="AX541"/>
      <c r="AY541"/>
      <c r="AZ541"/>
      <c r="BA541"/>
      <c r="BB541">
        <v>129</v>
      </c>
      <c r="BC541">
        <v>137</v>
      </c>
      <c r="BD541"/>
      <c r="BE541" t="s">
        <v>3729</v>
      </c>
      <c r="BF541" t="str">
        <f>HYPERLINK("http://dx.doi.org/10.15405/epsbs.2017.08.02.17","http://dx.doi.org/10.15405/epsbs.2017.08.02.17")</f>
        <v>http://dx.doi.org/10.15405/epsbs.2017.08.02.17</v>
      </c>
      <c r="BG541"/>
      <c r="BH541"/>
      <c r="BI541"/>
      <c r="BJ541"/>
      <c r="BK541"/>
      <c r="BL541"/>
      <c r="BM541"/>
      <c r="BN541"/>
      <c r="BO541"/>
      <c r="BP541"/>
      <c r="BQ541"/>
      <c r="BR541"/>
      <c r="BS541" t="s">
        <v>3730</v>
      </c>
      <c r="BT541" t="str">
        <f>HYPERLINK("https%3A%2F%2Fwww.webofscience.com%2Fwos%2Fwoscc%2Ffull-record%2FWOS:000432421300017","View Full Record in Web of Science")</f>
        <v>View Full Record in Web of Science</v>
      </c>
    </row>
    <row r="542" spans="1:75" customHeight="1" ht="12.75">
      <c r="A542" t="s">
        <v>147</v>
      </c>
      <c r="B542" t="s">
        <v>1408</v>
      </c>
      <c r="C542"/>
      <c r="D542"/>
      <c r="E542" t="s">
        <v>280</v>
      </c>
      <c r="F542" t="s">
        <v>1409</v>
      </c>
      <c r="G542"/>
      <c r="H542"/>
      <c r="I542" t="s">
        <v>3731</v>
      </c>
      <c r="J542" t="s">
        <v>2574</v>
      </c>
      <c r="K542" t="s">
        <v>284</v>
      </c>
      <c r="L542"/>
      <c r="M542"/>
      <c r="N542"/>
      <c r="O542" t="s">
        <v>2575</v>
      </c>
      <c r="P542" t="s">
        <v>2576</v>
      </c>
      <c r="Q542" t="s">
        <v>287</v>
      </c>
      <c r="R542" t="s">
        <v>2577</v>
      </c>
      <c r="S542"/>
      <c r="T542"/>
      <c r="U542"/>
      <c r="V542"/>
      <c r="W542"/>
      <c r="X542"/>
      <c r="Y542"/>
      <c r="Z542"/>
      <c r="AA542" t="s">
        <v>1412</v>
      </c>
      <c r="AB542" t="s">
        <v>1413</v>
      </c>
      <c r="AC542"/>
      <c r="AD542"/>
      <c r="AE542"/>
      <c r="AF542"/>
      <c r="AG542"/>
      <c r="AH542"/>
      <c r="AI542"/>
      <c r="AJ542"/>
      <c r="AK542"/>
      <c r="AL542"/>
      <c r="AM542"/>
      <c r="AN542"/>
      <c r="AO542" t="s">
        <v>289</v>
      </c>
      <c r="AP542"/>
      <c r="AQ542" t="s">
        <v>2580</v>
      </c>
      <c r="AR542"/>
      <c r="AS542"/>
      <c r="AT542"/>
      <c r="AU542">
        <v>2016</v>
      </c>
      <c r="AV542"/>
      <c r="AW542"/>
      <c r="AX542"/>
      <c r="AY542"/>
      <c r="AZ542"/>
      <c r="BA542"/>
      <c r="BB542">
        <v>523</v>
      </c>
      <c r="BC542">
        <v>530</v>
      </c>
      <c r="BD542"/>
      <c r="BE542"/>
      <c r="BF542"/>
      <c r="BG542"/>
      <c r="BH542"/>
      <c r="BI542"/>
      <c r="BJ542"/>
      <c r="BK542"/>
      <c r="BL542"/>
      <c r="BM542"/>
      <c r="BN542"/>
      <c r="BO542"/>
      <c r="BP542"/>
      <c r="BQ542"/>
      <c r="BR542"/>
      <c r="BS542" t="s">
        <v>3732</v>
      </c>
      <c r="BT542" t="str">
        <f>HYPERLINK("https%3A%2F%2Fwww.webofscience.com%2Fwos%2Fwoscc%2Ffull-record%2FWOS:000395727700063","View Full Record in Web of Science")</f>
        <v>View Full Record in Web of Science</v>
      </c>
    </row>
    <row r="543" spans="1:75" customHeight="1" ht="12.75">
      <c r="A543" t="s">
        <v>72</v>
      </c>
      <c r="B543" t="s">
        <v>3733</v>
      </c>
      <c r="C543"/>
      <c r="D543"/>
      <c r="E543"/>
      <c r="F543" t="s">
        <v>3734</v>
      </c>
      <c r="G543"/>
      <c r="H543"/>
      <c r="I543" t="s">
        <v>3735</v>
      </c>
      <c r="J543" t="s">
        <v>244</v>
      </c>
      <c r="K543"/>
      <c r="L543"/>
      <c r="M543"/>
      <c r="N543"/>
      <c r="O543"/>
      <c r="P543"/>
      <c r="Q543"/>
      <c r="R543"/>
      <c r="S543"/>
      <c r="T543"/>
      <c r="U543"/>
      <c r="V543"/>
      <c r="W543"/>
      <c r="X543"/>
      <c r="Y543"/>
      <c r="Z543"/>
      <c r="AA543" t="s">
        <v>608</v>
      </c>
      <c r="AB543" t="s">
        <v>609</v>
      </c>
      <c r="AC543"/>
      <c r="AD543"/>
      <c r="AE543"/>
      <c r="AF543"/>
      <c r="AG543"/>
      <c r="AH543"/>
      <c r="AI543"/>
      <c r="AJ543"/>
      <c r="AK543"/>
      <c r="AL543"/>
      <c r="AM543"/>
      <c r="AN543"/>
      <c r="AO543" t="s">
        <v>245</v>
      </c>
      <c r="AP543" t="s">
        <v>246</v>
      </c>
      <c r="AQ543"/>
      <c r="AR543"/>
      <c r="AS543"/>
      <c r="AT543"/>
      <c r="AU543">
        <v>2014</v>
      </c>
      <c r="AV543"/>
      <c r="AW543">
        <v>4</v>
      </c>
      <c r="AX543"/>
      <c r="AY543"/>
      <c r="AZ543"/>
      <c r="BA543"/>
      <c r="BB543">
        <v>106</v>
      </c>
      <c r="BC543">
        <v>122</v>
      </c>
      <c r="BD543"/>
      <c r="BE543"/>
      <c r="BF543"/>
      <c r="BG543"/>
      <c r="BH543"/>
      <c r="BI543"/>
      <c r="BJ543"/>
      <c r="BK543"/>
      <c r="BL543"/>
      <c r="BM543"/>
      <c r="BN543"/>
      <c r="BO543"/>
      <c r="BP543"/>
      <c r="BQ543"/>
      <c r="BR543"/>
      <c r="BS543" t="s">
        <v>3736</v>
      </c>
      <c r="BT543" t="str">
        <f>HYPERLINK("https%3A%2F%2Fwww.webofscience.com%2Fwos%2Fwoscc%2Ffull-record%2FWOS:000335425700007","View Full Record in Web of Science")</f>
        <v>View Full Record in Web of Science</v>
      </c>
    </row>
    <row r="544" spans="1:75" customHeight="1" ht="12.75">
      <c r="A544" t="s">
        <v>72</v>
      </c>
      <c r="B544" t="s">
        <v>1170</v>
      </c>
      <c r="C544"/>
      <c r="D544"/>
      <c r="E544"/>
      <c r="F544" t="s">
        <v>1171</v>
      </c>
      <c r="G544"/>
      <c r="H544"/>
      <c r="I544" t="s">
        <v>3737</v>
      </c>
      <c r="J544" t="s">
        <v>311</v>
      </c>
      <c r="K544"/>
      <c r="L544"/>
      <c r="M544"/>
      <c r="N544"/>
      <c r="O544"/>
      <c r="P544"/>
      <c r="Q544"/>
      <c r="R544"/>
      <c r="S544"/>
      <c r="T544"/>
      <c r="U544"/>
      <c r="V544"/>
      <c r="W544"/>
      <c r="X544"/>
      <c r="Y544"/>
      <c r="Z544"/>
      <c r="AA544"/>
      <c r="AB544"/>
      <c r="AC544"/>
      <c r="AD544"/>
      <c r="AE544"/>
      <c r="AF544"/>
      <c r="AG544"/>
      <c r="AH544"/>
      <c r="AI544"/>
      <c r="AJ544"/>
      <c r="AK544"/>
      <c r="AL544"/>
      <c r="AM544"/>
      <c r="AN544"/>
      <c r="AO544" t="s">
        <v>312</v>
      </c>
      <c r="AP544"/>
      <c r="AQ544"/>
      <c r="AR544"/>
      <c r="AS544"/>
      <c r="AT544" t="s">
        <v>88</v>
      </c>
      <c r="AU544">
        <v>2012</v>
      </c>
      <c r="AV544">
        <v>46</v>
      </c>
      <c r="AW544">
        <v>3</v>
      </c>
      <c r="AX544"/>
      <c r="AY544"/>
      <c r="AZ544"/>
      <c r="BA544"/>
      <c r="BB544">
        <v>199</v>
      </c>
      <c r="BC544">
        <v>212</v>
      </c>
      <c r="BD544"/>
      <c r="BE544" t="s">
        <v>3738</v>
      </c>
      <c r="BF544" t="str">
        <f>HYPERLINK("http://dx.doi.org/10.1134/S0040579512020121","http://dx.doi.org/10.1134/S0040579512020121")</f>
        <v>http://dx.doi.org/10.1134/S0040579512020121</v>
      </c>
      <c r="BG544"/>
      <c r="BH544"/>
      <c r="BI544"/>
      <c r="BJ544"/>
      <c r="BK544"/>
      <c r="BL544"/>
      <c r="BM544"/>
      <c r="BN544"/>
      <c r="BO544"/>
      <c r="BP544"/>
      <c r="BQ544"/>
      <c r="BR544"/>
      <c r="BS544" t="s">
        <v>3739</v>
      </c>
      <c r="BT544" t="str">
        <f>HYPERLINK("https%3A%2F%2Fwww.webofscience.com%2Fwos%2Fwoscc%2Ffull-record%2FWOS:000305421400001","View Full Record in Web of Science")</f>
        <v>View Full Record in Web of Science</v>
      </c>
    </row>
    <row r="545" spans="1:75" customHeight="1" ht="12.75">
      <c r="A545" t="s">
        <v>72</v>
      </c>
      <c r="B545" t="s">
        <v>3740</v>
      </c>
      <c r="C545"/>
      <c r="D545"/>
      <c r="E545"/>
      <c r="F545" t="s">
        <v>3741</v>
      </c>
      <c r="G545"/>
      <c r="H545"/>
      <c r="I545" t="s">
        <v>3742</v>
      </c>
      <c r="J545" t="s">
        <v>3743</v>
      </c>
      <c r="K545"/>
      <c r="L545"/>
      <c r="M545"/>
      <c r="N545"/>
      <c r="O545"/>
      <c r="P545"/>
      <c r="Q545"/>
      <c r="R545"/>
      <c r="S545"/>
      <c r="T545"/>
      <c r="U545"/>
      <c r="V545"/>
      <c r="W545"/>
      <c r="X545"/>
      <c r="Y545"/>
      <c r="Z545"/>
      <c r="AA545"/>
      <c r="AB545"/>
      <c r="AC545"/>
      <c r="AD545"/>
      <c r="AE545"/>
      <c r="AF545"/>
      <c r="AG545"/>
      <c r="AH545"/>
      <c r="AI545"/>
      <c r="AJ545"/>
      <c r="AK545"/>
      <c r="AL545"/>
      <c r="AM545"/>
      <c r="AN545"/>
      <c r="AO545" t="s">
        <v>3744</v>
      </c>
      <c r="AP545"/>
      <c r="AQ545"/>
      <c r="AR545"/>
      <c r="AS545"/>
      <c r="AT545"/>
      <c r="AU545">
        <v>2011</v>
      </c>
      <c r="AV545"/>
      <c r="AW545">
        <v>1</v>
      </c>
      <c r="AX545"/>
      <c r="AY545"/>
      <c r="AZ545"/>
      <c r="BA545"/>
      <c r="BB545">
        <v>109</v>
      </c>
      <c r="BC545">
        <v>113</v>
      </c>
      <c r="BD545"/>
      <c r="BE545"/>
      <c r="BF545"/>
      <c r="BG545"/>
      <c r="BH545"/>
      <c r="BI545"/>
      <c r="BJ545"/>
      <c r="BK545"/>
      <c r="BL545"/>
      <c r="BM545"/>
      <c r="BN545"/>
      <c r="BO545"/>
      <c r="BP545"/>
      <c r="BQ545"/>
      <c r="BR545"/>
      <c r="BS545" t="s">
        <v>3745</v>
      </c>
      <c r="BT545" t="str">
        <f>HYPERLINK("https%3A%2F%2Fwww.webofscience.com%2Fwos%2Fwoscc%2Ffull-record%2FWOS:000287838000014","View Full Record in Web of Science")</f>
        <v>View Full Record in Web of Science</v>
      </c>
    </row>
    <row r="546" spans="1:75" customHeight="1" ht="12.75">
      <c r="A546" t="s">
        <v>72</v>
      </c>
      <c r="B546" t="s">
        <v>1176</v>
      </c>
      <c r="C546"/>
      <c r="D546"/>
      <c r="E546"/>
      <c r="F546" t="s">
        <v>1177</v>
      </c>
      <c r="G546"/>
      <c r="H546"/>
      <c r="I546" t="s">
        <v>3746</v>
      </c>
      <c r="J546" t="s">
        <v>244</v>
      </c>
      <c r="K546"/>
      <c r="L546"/>
      <c r="M546"/>
      <c r="N546"/>
      <c r="O546"/>
      <c r="P546"/>
      <c r="Q546"/>
      <c r="R546"/>
      <c r="S546"/>
      <c r="T546"/>
      <c r="U546"/>
      <c r="V546"/>
      <c r="W546"/>
      <c r="X546"/>
      <c r="Y546"/>
      <c r="Z546"/>
      <c r="AA546"/>
      <c r="AB546"/>
      <c r="AC546"/>
      <c r="AD546"/>
      <c r="AE546"/>
      <c r="AF546"/>
      <c r="AG546"/>
      <c r="AH546"/>
      <c r="AI546"/>
      <c r="AJ546"/>
      <c r="AK546"/>
      <c r="AL546"/>
      <c r="AM546"/>
      <c r="AN546"/>
      <c r="AO546" t="s">
        <v>245</v>
      </c>
      <c r="AP546"/>
      <c r="AQ546"/>
      <c r="AR546"/>
      <c r="AS546"/>
      <c r="AT546"/>
      <c r="AU546">
        <v>2007</v>
      </c>
      <c r="AV546"/>
      <c r="AW546">
        <v>4</v>
      </c>
      <c r="AX546"/>
      <c r="AY546"/>
      <c r="AZ546"/>
      <c r="BA546"/>
      <c r="BB546">
        <v>153</v>
      </c>
      <c r="BC546">
        <v>155</v>
      </c>
      <c r="BD546"/>
      <c r="BE546"/>
      <c r="BF546"/>
      <c r="BG546"/>
      <c r="BH546"/>
      <c r="BI546"/>
      <c r="BJ546"/>
      <c r="BK546"/>
      <c r="BL546"/>
      <c r="BM546"/>
      <c r="BN546"/>
      <c r="BO546"/>
      <c r="BP546"/>
      <c r="BQ546"/>
      <c r="BR546"/>
      <c r="BS546" t="s">
        <v>3747</v>
      </c>
      <c r="BT546" t="str">
        <f>HYPERLINK("https%3A%2F%2Fwww.webofscience.com%2Fwos%2Fwoscc%2Ffull-record%2FWOS:000246945000011","View Full Record in Web of Science")</f>
        <v>View Full Record in Web of Science</v>
      </c>
    </row>
    <row r="547" spans="1:75" customHeight="1" ht="12.75">
      <c r="A547" t="s">
        <v>72</v>
      </c>
      <c r="B547" t="s">
        <v>3748</v>
      </c>
      <c r="C547"/>
      <c r="D547"/>
      <c r="E547"/>
      <c r="F547" t="s">
        <v>3748</v>
      </c>
      <c r="G547"/>
      <c r="H547"/>
      <c r="I547" t="s">
        <v>3749</v>
      </c>
      <c r="J547" t="s">
        <v>1401</v>
      </c>
      <c r="K547"/>
      <c r="L547"/>
      <c r="M547"/>
      <c r="N547"/>
      <c r="O547"/>
      <c r="P547"/>
      <c r="Q547"/>
      <c r="R547"/>
      <c r="S547"/>
      <c r="T547"/>
      <c r="U547"/>
      <c r="V547"/>
      <c r="W547"/>
      <c r="X547"/>
      <c r="Y547"/>
      <c r="Z547"/>
      <c r="AA547" t="s">
        <v>3750</v>
      </c>
      <c r="AB547" t="s">
        <v>3213</v>
      </c>
      <c r="AC547"/>
      <c r="AD547"/>
      <c r="AE547"/>
      <c r="AF547"/>
      <c r="AG547"/>
      <c r="AH547"/>
      <c r="AI547"/>
      <c r="AJ547"/>
      <c r="AK547"/>
      <c r="AL547"/>
      <c r="AM547"/>
      <c r="AN547"/>
      <c r="AO547" t="s">
        <v>1404</v>
      </c>
      <c r="AP547"/>
      <c r="AQ547"/>
      <c r="AR547"/>
      <c r="AS547"/>
      <c r="AT547" t="s">
        <v>1012</v>
      </c>
      <c r="AU547">
        <v>2000</v>
      </c>
      <c r="AV547">
        <v>39</v>
      </c>
      <c r="AW547">
        <v>5</v>
      </c>
      <c r="AX547"/>
      <c r="AY547"/>
      <c r="AZ547"/>
      <c r="BA547"/>
      <c r="BB547">
        <v>766</v>
      </c>
      <c r="BC547">
        <v>771</v>
      </c>
      <c r="BD547"/>
      <c r="BE547"/>
      <c r="BF547"/>
      <c r="BG547"/>
      <c r="BH547"/>
      <c r="BI547"/>
      <c r="BJ547"/>
      <c r="BK547"/>
      <c r="BL547"/>
      <c r="BM547"/>
      <c r="BN547"/>
      <c r="BO547"/>
      <c r="BP547"/>
      <c r="BQ547"/>
      <c r="BR547"/>
      <c r="BS547" t="s">
        <v>3751</v>
      </c>
      <c r="BT547" t="str">
        <f>HYPERLINK("https%3A%2F%2Fwww.webofscience.com%2Fwos%2Fwoscc%2Ffull-record%2FWOS:000089912600010","View Full Record in Web of Science")</f>
        <v>View Full Record in Web of Science</v>
      </c>
    </row>
    <row r="548" spans="1:75" customHeight="1" ht="12.75">
      <c r="A548" t="s">
        <v>72</v>
      </c>
      <c r="B548" t="s">
        <v>3752</v>
      </c>
      <c r="C548"/>
      <c r="D548"/>
      <c r="E548"/>
      <c r="F548" t="s">
        <v>3753</v>
      </c>
      <c r="G548"/>
      <c r="H548"/>
      <c r="I548" t="s">
        <v>3754</v>
      </c>
      <c r="J548" t="s">
        <v>3755</v>
      </c>
      <c r="K548"/>
      <c r="L548"/>
      <c r="M548"/>
      <c r="N548"/>
      <c r="O548"/>
      <c r="P548"/>
      <c r="Q548"/>
      <c r="R548"/>
      <c r="S548"/>
      <c r="T548"/>
      <c r="U548"/>
      <c r="V548"/>
      <c r="W548"/>
      <c r="X548"/>
      <c r="Y548"/>
      <c r="Z548"/>
      <c r="AA548"/>
      <c r="AB548" t="s">
        <v>3756</v>
      </c>
      <c r="AC548"/>
      <c r="AD548"/>
      <c r="AE548"/>
      <c r="AF548"/>
      <c r="AG548"/>
      <c r="AH548"/>
      <c r="AI548"/>
      <c r="AJ548"/>
      <c r="AK548"/>
      <c r="AL548"/>
      <c r="AM548"/>
      <c r="AN548"/>
      <c r="AO548" t="s">
        <v>3757</v>
      </c>
      <c r="AP548" t="s">
        <v>3758</v>
      </c>
      <c r="AQ548"/>
      <c r="AR548"/>
      <c r="AS548"/>
      <c r="AT548" t="s">
        <v>198</v>
      </c>
      <c r="AU548">
        <v>2023</v>
      </c>
      <c r="AV548">
        <v>125</v>
      </c>
      <c r="AW548"/>
      <c r="AX548"/>
      <c r="AY548"/>
      <c r="AZ548"/>
      <c r="BA548"/>
      <c r="BB548"/>
      <c r="BC548"/>
      <c r="BD548">
        <v>104064</v>
      </c>
      <c r="BE548" t="s">
        <v>3759</v>
      </c>
      <c r="BF548" t="str">
        <f>HYPERLINK("http://dx.doi.org/10.1016/j.tate.2023.104064","http://dx.doi.org/10.1016/j.tate.2023.104064")</f>
        <v>http://dx.doi.org/10.1016/j.tate.2023.104064</v>
      </c>
      <c r="BG548"/>
      <c r="BH548" t="s">
        <v>3760</v>
      </c>
      <c r="BI548"/>
      <c r="BJ548"/>
      <c r="BK548"/>
      <c r="BL548"/>
      <c r="BM548"/>
      <c r="BN548"/>
      <c r="BO548"/>
      <c r="BP548"/>
      <c r="BQ548"/>
      <c r="BR548"/>
      <c r="BS548" t="s">
        <v>3761</v>
      </c>
      <c r="BT548" t="str">
        <f>HYPERLINK("https%3A%2F%2Fwww.webofscience.com%2Fwos%2Fwoscc%2Ffull-record%2FWOS:000944440600001","View Full Record in Web of Science")</f>
        <v>View Full Record in Web of Science</v>
      </c>
    </row>
    <row r="549" spans="1:75" customHeight="1" ht="12.75">
      <c r="A549" t="s">
        <v>72</v>
      </c>
      <c r="B549" t="s">
        <v>705</v>
      </c>
      <c r="C549"/>
      <c r="D549"/>
      <c r="E549"/>
      <c r="F549" t="s">
        <v>706</v>
      </c>
      <c r="G549"/>
      <c r="H549"/>
      <c r="I549" t="s">
        <v>3762</v>
      </c>
      <c r="J549" t="s">
        <v>708</v>
      </c>
      <c r="K549"/>
      <c r="L549"/>
      <c r="M549"/>
      <c r="N549"/>
      <c r="O549"/>
      <c r="P549"/>
      <c r="Q549"/>
      <c r="R549"/>
      <c r="S549"/>
      <c r="T549"/>
      <c r="U549"/>
      <c r="V549"/>
      <c r="W549"/>
      <c r="X549"/>
      <c r="Y549"/>
      <c r="Z549"/>
      <c r="AA549"/>
      <c r="AB549"/>
      <c r="AC549"/>
      <c r="AD549"/>
      <c r="AE549"/>
      <c r="AF549"/>
      <c r="AG549"/>
      <c r="AH549"/>
      <c r="AI549"/>
      <c r="AJ549"/>
      <c r="AK549"/>
      <c r="AL549"/>
      <c r="AM549"/>
      <c r="AN549"/>
      <c r="AO549" t="s">
        <v>709</v>
      </c>
      <c r="AP549" t="s">
        <v>710</v>
      </c>
      <c r="AQ549"/>
      <c r="AR549"/>
      <c r="AS549"/>
      <c r="AT549" t="s">
        <v>319</v>
      </c>
      <c r="AU549">
        <v>2022</v>
      </c>
      <c r="AV549">
        <v>123</v>
      </c>
      <c r="AW549">
        <v>11</v>
      </c>
      <c r="AX549"/>
      <c r="AY549"/>
      <c r="AZ549"/>
      <c r="BA549"/>
      <c r="BB549">
        <v>1105</v>
      </c>
      <c r="BC549">
        <v>1111</v>
      </c>
      <c r="BD549"/>
      <c r="BE549" t="s">
        <v>3763</v>
      </c>
      <c r="BF549" t="str">
        <f>HYPERLINK("http://dx.doi.org/10.1134/S0031918X22601251","http://dx.doi.org/10.1134/S0031918X22601251")</f>
        <v>http://dx.doi.org/10.1134/S0031918X22601251</v>
      </c>
      <c r="BG549"/>
      <c r="BH549"/>
      <c r="BI549"/>
      <c r="BJ549"/>
      <c r="BK549"/>
      <c r="BL549"/>
      <c r="BM549"/>
      <c r="BN549"/>
      <c r="BO549"/>
      <c r="BP549"/>
      <c r="BQ549"/>
      <c r="BR549"/>
      <c r="BS549" t="s">
        <v>3764</v>
      </c>
      <c r="BT549" t="str">
        <f>HYPERLINK("https%3A%2F%2Fwww.webofscience.com%2Fwos%2Fwoscc%2Ffull-record%2FWOS:000931264400009","View Full Record in Web of Science")</f>
        <v>View Full Record in Web of Science</v>
      </c>
    </row>
    <row r="550" spans="1:75" customHeight="1" ht="12.75">
      <c r="A550" t="s">
        <v>72</v>
      </c>
      <c r="B550" t="s">
        <v>3765</v>
      </c>
      <c r="C550"/>
      <c r="D550"/>
      <c r="E550"/>
      <c r="F550" t="s">
        <v>3766</v>
      </c>
      <c r="G550"/>
      <c r="H550"/>
      <c r="I550" t="s">
        <v>3767</v>
      </c>
      <c r="J550" t="s">
        <v>2640</v>
      </c>
      <c r="K550"/>
      <c r="L550"/>
      <c r="M550"/>
      <c r="N550"/>
      <c r="O550"/>
      <c r="P550"/>
      <c r="Q550"/>
      <c r="R550"/>
      <c r="S550"/>
      <c r="T550"/>
      <c r="U550"/>
      <c r="V550"/>
      <c r="W550"/>
      <c r="X550"/>
      <c r="Y550"/>
      <c r="Z550"/>
      <c r="AA550"/>
      <c r="AB550"/>
      <c r="AC550"/>
      <c r="AD550"/>
      <c r="AE550"/>
      <c r="AF550"/>
      <c r="AG550"/>
      <c r="AH550"/>
      <c r="AI550"/>
      <c r="AJ550"/>
      <c r="AK550"/>
      <c r="AL550"/>
      <c r="AM550"/>
      <c r="AN550"/>
      <c r="AO550" t="s">
        <v>2643</v>
      </c>
      <c r="AP550"/>
      <c r="AQ550"/>
      <c r="AR550"/>
      <c r="AS550"/>
      <c r="AT550"/>
      <c r="AU550">
        <v>2021</v>
      </c>
      <c r="AV550">
        <v>26</v>
      </c>
      <c r="AW550">
        <v>4</v>
      </c>
      <c r="AX550"/>
      <c r="AY550"/>
      <c r="AZ550"/>
      <c r="BA550"/>
      <c r="BB550">
        <v>273</v>
      </c>
      <c r="BC550">
        <v>283</v>
      </c>
      <c r="BD550"/>
      <c r="BE550" t="s">
        <v>3768</v>
      </c>
      <c r="BF550" t="str">
        <f>HYPERLINK("http://dx.doi.org/10.51762/1FK-2021-26-04-24","http://dx.doi.org/10.51762/1FK-2021-26-04-24")</f>
        <v>http://dx.doi.org/10.51762/1FK-2021-26-04-24</v>
      </c>
      <c r="BG550"/>
      <c r="BH550"/>
      <c r="BI550"/>
      <c r="BJ550"/>
      <c r="BK550"/>
      <c r="BL550"/>
      <c r="BM550"/>
      <c r="BN550"/>
      <c r="BO550"/>
      <c r="BP550"/>
      <c r="BQ550"/>
      <c r="BR550"/>
      <c r="BS550" t="s">
        <v>3769</v>
      </c>
      <c r="BT550" t="str">
        <f>HYPERLINK("https%3A%2F%2Fwww.webofscience.com%2Fwos%2Fwoscc%2Ffull-record%2FWOS:000742349400006","View Full Record in Web of Science")</f>
        <v>View Full Record in Web of Science</v>
      </c>
    </row>
    <row r="551" spans="1:75" customHeight="1" ht="12.75">
      <c r="A551" t="s">
        <v>72</v>
      </c>
      <c r="B551" t="s">
        <v>544</v>
      </c>
      <c r="C551"/>
      <c r="D551"/>
      <c r="E551"/>
      <c r="F551" t="s">
        <v>3770</v>
      </c>
      <c r="G551"/>
      <c r="H551"/>
      <c r="I551" t="s">
        <v>3771</v>
      </c>
      <c r="J551" t="s">
        <v>166</v>
      </c>
      <c r="K551"/>
      <c r="L551"/>
      <c r="M551"/>
      <c r="N551"/>
      <c r="O551"/>
      <c r="P551"/>
      <c r="Q551"/>
      <c r="R551"/>
      <c r="S551"/>
      <c r="T551"/>
      <c r="U551"/>
      <c r="V551"/>
      <c r="W551"/>
      <c r="X551"/>
      <c r="Y551"/>
      <c r="Z551"/>
      <c r="AA551"/>
      <c r="AB551"/>
      <c r="AC551"/>
      <c r="AD551"/>
      <c r="AE551"/>
      <c r="AF551"/>
      <c r="AG551"/>
      <c r="AH551"/>
      <c r="AI551"/>
      <c r="AJ551"/>
      <c r="AK551"/>
      <c r="AL551"/>
      <c r="AM551"/>
      <c r="AN551"/>
      <c r="AO551" t="s">
        <v>169</v>
      </c>
      <c r="AP551" t="s">
        <v>170</v>
      </c>
      <c r="AQ551"/>
      <c r="AR551"/>
      <c r="AS551"/>
      <c r="AT551" t="s">
        <v>491</v>
      </c>
      <c r="AU551">
        <v>2020</v>
      </c>
      <c r="AV551">
        <v>9</v>
      </c>
      <c r="AW551">
        <v>2</v>
      </c>
      <c r="AX551"/>
      <c r="AY551"/>
      <c r="AZ551"/>
      <c r="BA551"/>
      <c r="BB551">
        <v>417</v>
      </c>
      <c r="BC551">
        <v>433</v>
      </c>
      <c r="BD551"/>
      <c r="BE551" t="s">
        <v>3772</v>
      </c>
      <c r="BF551" t="str">
        <f>HYPERLINK("http://dx.doi.org/10.13187/ejced.2020.2.417","http://dx.doi.org/10.13187/ejced.2020.2.417")</f>
        <v>http://dx.doi.org/10.13187/ejced.2020.2.417</v>
      </c>
      <c r="BG551"/>
      <c r="BH551"/>
      <c r="BI551"/>
      <c r="BJ551"/>
      <c r="BK551"/>
      <c r="BL551"/>
      <c r="BM551"/>
      <c r="BN551"/>
      <c r="BO551"/>
      <c r="BP551"/>
      <c r="BQ551"/>
      <c r="BR551"/>
      <c r="BS551" t="s">
        <v>3773</v>
      </c>
      <c r="BT551" t="str">
        <f>HYPERLINK("https%3A%2F%2Fwww.webofscience.com%2Fwos%2Fwoscc%2Ffull-record%2FWOS:000542265300011","View Full Record in Web of Science")</f>
        <v>View Full Record in Web of Science</v>
      </c>
    </row>
    <row r="552" spans="1:75" customHeight="1" ht="12.75">
      <c r="A552" t="s">
        <v>72</v>
      </c>
      <c r="B552" t="s">
        <v>2287</v>
      </c>
      <c r="C552"/>
      <c r="D552"/>
      <c r="E552"/>
      <c r="F552" t="s">
        <v>2288</v>
      </c>
      <c r="G552"/>
      <c r="H552"/>
      <c r="I552" t="s">
        <v>3774</v>
      </c>
      <c r="J552" t="s">
        <v>3775</v>
      </c>
      <c r="K552"/>
      <c r="L552"/>
      <c r="M552"/>
      <c r="N552"/>
      <c r="O552"/>
      <c r="P552"/>
      <c r="Q552"/>
      <c r="R552"/>
      <c r="S552"/>
      <c r="T552"/>
      <c r="U552"/>
      <c r="V552"/>
      <c r="W552"/>
      <c r="X552"/>
      <c r="Y552"/>
      <c r="Z552"/>
      <c r="AA552" t="s">
        <v>2291</v>
      </c>
      <c r="AB552" t="s">
        <v>2292</v>
      </c>
      <c r="AC552"/>
      <c r="AD552"/>
      <c r="AE552"/>
      <c r="AF552"/>
      <c r="AG552"/>
      <c r="AH552"/>
      <c r="AI552"/>
      <c r="AJ552"/>
      <c r="AK552"/>
      <c r="AL552"/>
      <c r="AM552"/>
      <c r="AN552"/>
      <c r="AO552" t="s">
        <v>3776</v>
      </c>
      <c r="AP552" t="s">
        <v>3777</v>
      </c>
      <c r="AQ552"/>
      <c r="AR552"/>
      <c r="AS552"/>
      <c r="AT552" t="s">
        <v>655</v>
      </c>
      <c r="AU552">
        <v>2020</v>
      </c>
      <c r="AV552">
        <v>135</v>
      </c>
      <c r="AW552">
        <v>572</v>
      </c>
      <c r="AX552"/>
      <c r="AY552"/>
      <c r="AZ552"/>
      <c r="BA552"/>
      <c r="BB552">
        <v>248</v>
      </c>
      <c r="BC552">
        <v>250</v>
      </c>
      <c r="BD552"/>
      <c r="BE552" t="s">
        <v>3778</v>
      </c>
      <c r="BF552" t="str">
        <f>HYPERLINK("http://dx.doi.org/10.1093/ehr/cez365","http://dx.doi.org/10.1093/ehr/cez365")</f>
        <v>http://dx.doi.org/10.1093/ehr/cez365</v>
      </c>
      <c r="BG552"/>
      <c r="BH552"/>
      <c r="BI552"/>
      <c r="BJ552"/>
      <c r="BK552"/>
      <c r="BL552"/>
      <c r="BM552"/>
      <c r="BN552"/>
      <c r="BO552"/>
      <c r="BP552"/>
      <c r="BQ552"/>
      <c r="BR552"/>
      <c r="BS552" t="s">
        <v>3779</v>
      </c>
      <c r="BT552" t="str">
        <f>HYPERLINK("https%3A%2F%2Fwww.webofscience.com%2Fwos%2Fwoscc%2Ffull-record%2FWOS:000559957200058","View Full Record in Web of Science")</f>
        <v>View Full Record in Web of Science</v>
      </c>
    </row>
    <row r="553" spans="1:75" customHeight="1" ht="12.75">
      <c r="A553" t="s">
        <v>72</v>
      </c>
      <c r="B553" t="s">
        <v>3780</v>
      </c>
      <c r="C553"/>
      <c r="D553"/>
      <c r="E553"/>
      <c r="F553" t="s">
        <v>3781</v>
      </c>
      <c r="G553"/>
      <c r="H553"/>
      <c r="I553" t="s">
        <v>3782</v>
      </c>
      <c r="J553" t="s">
        <v>668</v>
      </c>
      <c r="K553"/>
      <c r="L553"/>
      <c r="M553"/>
      <c r="N553"/>
      <c r="O553"/>
      <c r="P553"/>
      <c r="Q553"/>
      <c r="R553"/>
      <c r="S553"/>
      <c r="T553"/>
      <c r="U553"/>
      <c r="V553"/>
      <c r="W553"/>
      <c r="X553"/>
      <c r="Y553"/>
      <c r="Z553"/>
      <c r="AA553"/>
      <c r="AB553"/>
      <c r="AC553"/>
      <c r="AD553"/>
      <c r="AE553"/>
      <c r="AF553"/>
      <c r="AG553"/>
      <c r="AH553"/>
      <c r="AI553"/>
      <c r="AJ553"/>
      <c r="AK553"/>
      <c r="AL553"/>
      <c r="AM553"/>
      <c r="AN553"/>
      <c r="AO553" t="s">
        <v>669</v>
      </c>
      <c r="AP553" t="s">
        <v>670</v>
      </c>
      <c r="AQ553"/>
      <c r="AR553"/>
      <c r="AS553"/>
      <c r="AT553"/>
      <c r="AU553">
        <v>2020</v>
      </c>
      <c r="AV553"/>
      <c r="AW553">
        <v>10</v>
      </c>
      <c r="AX553"/>
      <c r="AY553"/>
      <c r="AZ553"/>
      <c r="BA553"/>
      <c r="BB553">
        <v>268</v>
      </c>
      <c r="BC553">
        <v>279</v>
      </c>
      <c r="BD553"/>
      <c r="BE553" t="s">
        <v>3783</v>
      </c>
      <c r="BF553" t="str">
        <f>HYPERLINK("http://dx.doi.org/10.24224/2227-1295-2020-10-268-279","http://dx.doi.org/10.24224/2227-1295-2020-10-268-279")</f>
        <v>http://dx.doi.org/10.24224/2227-1295-2020-10-268-279</v>
      </c>
      <c r="BG553"/>
      <c r="BH553"/>
      <c r="BI553"/>
      <c r="BJ553"/>
      <c r="BK553"/>
      <c r="BL553"/>
      <c r="BM553"/>
      <c r="BN553"/>
      <c r="BO553"/>
      <c r="BP553"/>
      <c r="BQ553"/>
      <c r="BR553"/>
      <c r="BS553" t="s">
        <v>3784</v>
      </c>
      <c r="BT553" t="str">
        <f>HYPERLINK("https%3A%2F%2Fwww.webofscience.com%2Fwos%2Fwoscc%2Ffull-record%2FWOS:000586248800017","View Full Record in Web of Science")</f>
        <v>View Full Record in Web of Science</v>
      </c>
    </row>
    <row r="554" spans="1:75" customHeight="1" ht="12.75">
      <c r="A554" t="s">
        <v>147</v>
      </c>
      <c r="B554" t="s">
        <v>220</v>
      </c>
      <c r="C554"/>
      <c r="D554"/>
      <c r="E554" t="s">
        <v>210</v>
      </c>
      <c r="F554" t="s">
        <v>221</v>
      </c>
      <c r="G554"/>
      <c r="H554"/>
      <c r="I554" t="s">
        <v>3785</v>
      </c>
      <c r="J554" t="s">
        <v>2082</v>
      </c>
      <c r="K554" t="s">
        <v>2083</v>
      </c>
      <c r="L554"/>
      <c r="M554"/>
      <c r="N554"/>
      <c r="O554" t="s">
        <v>2084</v>
      </c>
      <c r="P554" t="s">
        <v>2085</v>
      </c>
      <c r="Q554" t="s">
        <v>2086</v>
      </c>
      <c r="R554" t="s">
        <v>2087</v>
      </c>
      <c r="S554" t="s">
        <v>2088</v>
      </c>
      <c r="T554"/>
      <c r="U554"/>
      <c r="V554"/>
      <c r="W554"/>
      <c r="X554"/>
      <c r="Y554"/>
      <c r="Z554"/>
      <c r="AA554"/>
      <c r="AB554"/>
      <c r="AC554"/>
      <c r="AD554"/>
      <c r="AE554"/>
      <c r="AF554"/>
      <c r="AG554"/>
      <c r="AH554"/>
      <c r="AI554"/>
      <c r="AJ554"/>
      <c r="AK554"/>
      <c r="AL554"/>
      <c r="AM554"/>
      <c r="AN554"/>
      <c r="AO554" t="s">
        <v>2089</v>
      </c>
      <c r="AP554"/>
      <c r="AQ554" t="s">
        <v>2090</v>
      </c>
      <c r="AR554"/>
      <c r="AS554"/>
      <c r="AT554"/>
      <c r="AU554">
        <v>2020</v>
      </c>
      <c r="AV554"/>
      <c r="AW554"/>
      <c r="AX554"/>
      <c r="AY554"/>
      <c r="AZ554"/>
      <c r="BA554"/>
      <c r="BB554"/>
      <c r="BC554"/>
      <c r="BD554"/>
      <c r="BE554"/>
      <c r="BF554"/>
      <c r="BG554"/>
      <c r="BH554"/>
      <c r="BI554"/>
      <c r="BJ554"/>
      <c r="BK554"/>
      <c r="BL554"/>
      <c r="BM554"/>
      <c r="BN554"/>
      <c r="BO554"/>
      <c r="BP554"/>
      <c r="BQ554"/>
      <c r="BR554"/>
      <c r="BS554" t="s">
        <v>3786</v>
      </c>
      <c r="BT554" t="str">
        <f>HYPERLINK("https%3A%2F%2Fwww.webofscience.com%2Fwos%2Fwoscc%2Ffull-record%2FWOS:000649745900031","View Full Record in Web of Science")</f>
        <v>View Full Record in Web of Science</v>
      </c>
    </row>
    <row r="555" spans="1:75" customHeight="1" ht="12.75">
      <c r="A555" t="s">
        <v>72</v>
      </c>
      <c r="B555" t="s">
        <v>3787</v>
      </c>
      <c r="C555"/>
      <c r="D555"/>
      <c r="E555"/>
      <c r="F555" t="s">
        <v>3788</v>
      </c>
      <c r="G555"/>
      <c r="H555"/>
      <c r="I555" t="s">
        <v>3789</v>
      </c>
      <c r="J555" t="s">
        <v>1635</v>
      </c>
      <c r="K555"/>
      <c r="L555"/>
      <c r="M555"/>
      <c r="N555"/>
      <c r="O555"/>
      <c r="P555"/>
      <c r="Q555"/>
      <c r="R555"/>
      <c r="S555"/>
      <c r="T555"/>
      <c r="U555"/>
      <c r="V555"/>
      <c r="W555"/>
      <c r="X555"/>
      <c r="Y555"/>
      <c r="Z555"/>
      <c r="AA555"/>
      <c r="AB555"/>
      <c r="AC555"/>
      <c r="AD555"/>
      <c r="AE555"/>
      <c r="AF555"/>
      <c r="AG555"/>
      <c r="AH555"/>
      <c r="AI555"/>
      <c r="AJ555"/>
      <c r="AK555"/>
      <c r="AL555"/>
      <c r="AM555"/>
      <c r="AN555"/>
      <c r="AO555" t="s">
        <v>1636</v>
      </c>
      <c r="AP555" t="s">
        <v>1637</v>
      </c>
      <c r="AQ555"/>
      <c r="AR555"/>
      <c r="AS555"/>
      <c r="AT555" t="s">
        <v>1638</v>
      </c>
      <c r="AU555">
        <v>2019</v>
      </c>
      <c r="AV555">
        <v>27</v>
      </c>
      <c r="AW555" t="s">
        <v>1639</v>
      </c>
      <c r="AX555"/>
      <c r="AY555"/>
      <c r="AZ555" t="s">
        <v>339</v>
      </c>
      <c r="BA555"/>
      <c r="BB555">
        <v>180</v>
      </c>
      <c r="BC555">
        <v>186</v>
      </c>
      <c r="BD555"/>
      <c r="BE555" t="s">
        <v>3790</v>
      </c>
      <c r="BF555" t="str">
        <f>HYPERLINK("http://dx.doi.org/10.1108/OTH-07-2019-0040","http://dx.doi.org/10.1108/OTH-07-2019-0040")</f>
        <v>http://dx.doi.org/10.1108/OTH-07-2019-0040</v>
      </c>
      <c r="BG555"/>
      <c r="BH555"/>
      <c r="BI555"/>
      <c r="BJ555"/>
      <c r="BK555"/>
      <c r="BL555"/>
      <c r="BM555"/>
      <c r="BN555"/>
      <c r="BO555"/>
      <c r="BP555"/>
      <c r="BQ555"/>
      <c r="BR555"/>
      <c r="BS555" t="s">
        <v>3791</v>
      </c>
      <c r="BT555" t="str">
        <f>HYPERLINK("https%3A%2F%2Fwww.webofscience.com%2Fwos%2Fwoscc%2Ffull-record%2FWOS:000491196500008","View Full Record in Web of Science")</f>
        <v>View Full Record in Web of Science</v>
      </c>
    </row>
    <row r="556" spans="1:75" customHeight="1" ht="12.75">
      <c r="A556" t="s">
        <v>72</v>
      </c>
      <c r="B556" t="s">
        <v>833</v>
      </c>
      <c r="C556"/>
      <c r="D556"/>
      <c r="E556"/>
      <c r="F556" t="s">
        <v>834</v>
      </c>
      <c r="G556"/>
      <c r="H556"/>
      <c r="I556" t="s">
        <v>3792</v>
      </c>
      <c r="J556" t="s">
        <v>204</v>
      </c>
      <c r="K556"/>
      <c r="L556"/>
      <c r="M556"/>
      <c r="N556"/>
      <c r="O556"/>
      <c r="P556"/>
      <c r="Q556"/>
      <c r="R556"/>
      <c r="S556"/>
      <c r="T556"/>
      <c r="U556"/>
      <c r="V556"/>
      <c r="W556"/>
      <c r="X556"/>
      <c r="Y556"/>
      <c r="Z556"/>
      <c r="AA556"/>
      <c r="AB556" t="s">
        <v>3793</v>
      </c>
      <c r="AC556"/>
      <c r="AD556"/>
      <c r="AE556"/>
      <c r="AF556"/>
      <c r="AG556"/>
      <c r="AH556"/>
      <c r="AI556"/>
      <c r="AJ556"/>
      <c r="AK556"/>
      <c r="AL556"/>
      <c r="AM556"/>
      <c r="AN556"/>
      <c r="AO556" t="s">
        <v>205</v>
      </c>
      <c r="AP556" t="s">
        <v>206</v>
      </c>
      <c r="AQ556"/>
      <c r="AR556"/>
      <c r="AS556"/>
      <c r="AT556" t="s">
        <v>491</v>
      </c>
      <c r="AU556">
        <v>2019</v>
      </c>
      <c r="AV556">
        <v>21</v>
      </c>
      <c r="AW556">
        <v>6</v>
      </c>
      <c r="AX556"/>
      <c r="AY556"/>
      <c r="AZ556"/>
      <c r="BA556"/>
      <c r="BB556">
        <v>146</v>
      </c>
      <c r="BC556">
        <v>170</v>
      </c>
      <c r="BD556"/>
      <c r="BE556" t="s">
        <v>3794</v>
      </c>
      <c r="BF556" t="str">
        <f>HYPERLINK("http://dx.doi.org/10.17853/1994-5639-2019-6-146-170","http://dx.doi.org/10.17853/1994-5639-2019-6-146-170")</f>
        <v>http://dx.doi.org/10.17853/1994-5639-2019-6-146-170</v>
      </c>
      <c r="BG556"/>
      <c r="BH556"/>
      <c r="BI556"/>
      <c r="BJ556"/>
      <c r="BK556"/>
      <c r="BL556"/>
      <c r="BM556"/>
      <c r="BN556"/>
      <c r="BO556"/>
      <c r="BP556"/>
      <c r="BQ556"/>
      <c r="BR556"/>
      <c r="BS556" t="s">
        <v>3795</v>
      </c>
      <c r="BT556" t="str">
        <f>HYPERLINK("https%3A%2F%2Fwww.webofscience.com%2Fwos%2Fwoscc%2Ffull-record%2FWOS:000497663600007","View Full Record in Web of Science")</f>
        <v>View Full Record in Web of Science</v>
      </c>
    </row>
    <row r="557" spans="1:75" customHeight="1" ht="12.75">
      <c r="A557" t="s">
        <v>147</v>
      </c>
      <c r="B557" t="s">
        <v>3796</v>
      </c>
      <c r="C557"/>
      <c r="D557"/>
      <c r="E557" t="s">
        <v>210</v>
      </c>
      <c r="F557" t="s">
        <v>3797</v>
      </c>
      <c r="G557"/>
      <c r="H557"/>
      <c r="I557" t="s">
        <v>3798</v>
      </c>
      <c r="J557" t="s">
        <v>3799</v>
      </c>
      <c r="K557"/>
      <c r="L557"/>
      <c r="M557"/>
      <c r="N557"/>
      <c r="O557" t="s">
        <v>214</v>
      </c>
      <c r="P557" t="s">
        <v>820</v>
      </c>
      <c r="Q557" t="s">
        <v>156</v>
      </c>
      <c r="R557"/>
      <c r="S557"/>
      <c r="T557"/>
      <c r="U557"/>
      <c r="V557"/>
      <c r="W557"/>
      <c r="X557"/>
      <c r="Y557"/>
      <c r="Z557"/>
      <c r="AA557" t="s">
        <v>3800</v>
      </c>
      <c r="AB557" t="s">
        <v>3801</v>
      </c>
      <c r="AC557"/>
      <c r="AD557"/>
      <c r="AE557"/>
      <c r="AF557"/>
      <c r="AG557"/>
      <c r="AH557"/>
      <c r="AI557"/>
      <c r="AJ557"/>
      <c r="AK557"/>
      <c r="AL557"/>
      <c r="AM557"/>
      <c r="AN557"/>
      <c r="AO557"/>
      <c r="AP557"/>
      <c r="AQ557" t="s">
        <v>3802</v>
      </c>
      <c r="AR557"/>
      <c r="AS557"/>
      <c r="AT557"/>
      <c r="AU557">
        <v>2019</v>
      </c>
      <c r="AV557"/>
      <c r="AW557"/>
      <c r="AX557"/>
      <c r="AY557"/>
      <c r="AZ557"/>
      <c r="BA557"/>
      <c r="BB557"/>
      <c r="BC557"/>
      <c r="BD557"/>
      <c r="BE557"/>
      <c r="BF557"/>
      <c r="BG557"/>
      <c r="BH557"/>
      <c r="BI557"/>
      <c r="BJ557"/>
      <c r="BK557"/>
      <c r="BL557"/>
      <c r="BM557"/>
      <c r="BN557"/>
      <c r="BO557"/>
      <c r="BP557"/>
      <c r="BQ557"/>
      <c r="BR557"/>
      <c r="BS557" t="s">
        <v>3803</v>
      </c>
      <c r="BT557" t="str">
        <f>HYPERLINK("https%3A%2F%2Fwww.webofscience.com%2Fwos%2Fwoscc%2Ffull-record%2FWOS:000607240300036","View Full Record in Web of Science")</f>
        <v>View Full Record in Web of Science</v>
      </c>
    </row>
    <row r="558" spans="1:75" customHeight="1" ht="12.75">
      <c r="A558" t="s">
        <v>147</v>
      </c>
      <c r="B558" t="s">
        <v>568</v>
      </c>
      <c r="C558"/>
      <c r="D558" t="s">
        <v>386</v>
      </c>
      <c r="E558"/>
      <c r="F558" t="s">
        <v>569</v>
      </c>
      <c r="G558"/>
      <c r="H558"/>
      <c r="I558" t="s">
        <v>3804</v>
      </c>
      <c r="J558" t="s">
        <v>389</v>
      </c>
      <c r="K558" t="s">
        <v>390</v>
      </c>
      <c r="L558"/>
      <c r="M558"/>
      <c r="N558"/>
      <c r="O558" t="s">
        <v>391</v>
      </c>
      <c r="P558" t="s">
        <v>392</v>
      </c>
      <c r="Q558" t="s">
        <v>393</v>
      </c>
      <c r="R558" t="s">
        <v>394</v>
      </c>
      <c r="S558"/>
      <c r="T558"/>
      <c r="U558"/>
      <c r="V558"/>
      <c r="W558"/>
      <c r="X558"/>
      <c r="Y558"/>
      <c r="Z558"/>
      <c r="AA558" t="s">
        <v>3805</v>
      </c>
      <c r="AB558" t="s">
        <v>3806</v>
      </c>
      <c r="AC558"/>
      <c r="AD558"/>
      <c r="AE558"/>
      <c r="AF558"/>
      <c r="AG558"/>
      <c r="AH558"/>
      <c r="AI558"/>
      <c r="AJ558"/>
      <c r="AK558"/>
      <c r="AL558"/>
      <c r="AM558"/>
      <c r="AN558"/>
      <c r="AO558" t="s">
        <v>395</v>
      </c>
      <c r="AP558"/>
      <c r="AQ558" t="s">
        <v>396</v>
      </c>
      <c r="AR558"/>
      <c r="AS558"/>
      <c r="AT558"/>
      <c r="AU558">
        <v>2019</v>
      </c>
      <c r="AV558"/>
      <c r="AW558"/>
      <c r="AX558"/>
      <c r="AY558"/>
      <c r="AZ558"/>
      <c r="BA558"/>
      <c r="BB558">
        <v>513</v>
      </c>
      <c r="BC558">
        <v>516</v>
      </c>
      <c r="BD558"/>
      <c r="BE558"/>
      <c r="BF558"/>
      <c r="BG558"/>
      <c r="BH558"/>
      <c r="BI558"/>
      <c r="BJ558"/>
      <c r="BK558"/>
      <c r="BL558"/>
      <c r="BM558"/>
      <c r="BN558"/>
      <c r="BO558"/>
      <c r="BP558"/>
      <c r="BQ558"/>
      <c r="BR558"/>
      <c r="BS558" t="s">
        <v>3807</v>
      </c>
      <c r="BT558" t="str">
        <f>HYPERLINK("https%3A%2F%2Fwww.webofscience.com%2Fwos%2Fwoscc%2Ffull-record%2FWOS:000492146100124","View Full Record in Web of Science")</f>
        <v>View Full Record in Web of Science</v>
      </c>
    </row>
    <row r="559" spans="1:75" customHeight="1" ht="12.75">
      <c r="A559" t="s">
        <v>72</v>
      </c>
      <c r="B559" t="s">
        <v>503</v>
      </c>
      <c r="C559"/>
      <c r="D559"/>
      <c r="E559"/>
      <c r="F559" t="s">
        <v>504</v>
      </c>
      <c r="G559"/>
      <c r="H559"/>
      <c r="I559" t="s">
        <v>3808</v>
      </c>
      <c r="J559" t="s">
        <v>506</v>
      </c>
      <c r="K559"/>
      <c r="L559"/>
      <c r="M559"/>
      <c r="N559"/>
      <c r="O559"/>
      <c r="P559"/>
      <c r="Q559"/>
      <c r="R559"/>
      <c r="S559"/>
      <c r="T559"/>
      <c r="U559"/>
      <c r="V559"/>
      <c r="W559"/>
      <c r="X559"/>
      <c r="Y559"/>
      <c r="Z559"/>
      <c r="AA559" t="s">
        <v>507</v>
      </c>
      <c r="AB559" t="s">
        <v>508</v>
      </c>
      <c r="AC559"/>
      <c r="AD559"/>
      <c r="AE559"/>
      <c r="AF559"/>
      <c r="AG559"/>
      <c r="AH559"/>
      <c r="AI559"/>
      <c r="AJ559"/>
      <c r="AK559"/>
      <c r="AL559"/>
      <c r="AM559"/>
      <c r="AN559"/>
      <c r="AO559" t="s">
        <v>509</v>
      </c>
      <c r="AP559" t="s">
        <v>510</v>
      </c>
      <c r="AQ559"/>
      <c r="AR559"/>
      <c r="AS559"/>
      <c r="AT559"/>
      <c r="AU559">
        <v>2019</v>
      </c>
      <c r="AV559">
        <v>10</v>
      </c>
      <c r="AW559">
        <v>3</v>
      </c>
      <c r="AX559"/>
      <c r="AY559"/>
      <c r="AZ559"/>
      <c r="BA559"/>
      <c r="BB559">
        <v>461</v>
      </c>
      <c r="BC559">
        <v>476</v>
      </c>
      <c r="BD559"/>
      <c r="BE559" t="s">
        <v>3809</v>
      </c>
      <c r="BF559" t="str">
        <f>HYPERLINK("http://dx.doi.org/10.21638/spbu14.2019.304","http://dx.doi.org/10.21638/spbu14.2019.304")</f>
        <v>http://dx.doi.org/10.21638/spbu14.2019.304</v>
      </c>
      <c r="BG559"/>
      <c r="BH559"/>
      <c r="BI559"/>
      <c r="BJ559"/>
      <c r="BK559"/>
      <c r="BL559"/>
      <c r="BM559"/>
      <c r="BN559"/>
      <c r="BO559"/>
      <c r="BP559"/>
      <c r="BQ559"/>
      <c r="BR559"/>
      <c r="BS559" t="s">
        <v>3810</v>
      </c>
      <c r="BT559" t="str">
        <f>HYPERLINK("https%3A%2F%2Fwww.webofscience.com%2Fwos%2Fwoscc%2Ffull-record%2FWOS:000490917500004","View Full Record in Web of Science")</f>
        <v>View Full Record in Web of Science</v>
      </c>
    </row>
    <row r="560" spans="1:75" customHeight="1" ht="12.75">
      <c r="A560" t="s">
        <v>147</v>
      </c>
      <c r="B560" t="s">
        <v>3811</v>
      </c>
      <c r="C560" t="s">
        <v>1232</v>
      </c>
      <c r="D560"/>
      <c r="E560"/>
      <c r="F560" t="s">
        <v>3812</v>
      </c>
      <c r="G560" t="s">
        <v>1232</v>
      </c>
      <c r="H560"/>
      <c r="I560" t="s">
        <v>3813</v>
      </c>
      <c r="J560" t="s">
        <v>1235</v>
      </c>
      <c r="K560" t="s">
        <v>1236</v>
      </c>
      <c r="L560"/>
      <c r="M560"/>
      <c r="N560"/>
      <c r="O560" t="s">
        <v>1237</v>
      </c>
      <c r="P560" t="s">
        <v>1238</v>
      </c>
      <c r="Q560" t="s">
        <v>910</v>
      </c>
      <c r="R560" t="s">
        <v>1239</v>
      </c>
      <c r="S560"/>
      <c r="T560"/>
      <c r="U560"/>
      <c r="V560"/>
      <c r="W560"/>
      <c r="X560"/>
      <c r="Y560"/>
      <c r="Z560"/>
      <c r="AA560"/>
      <c r="AB560"/>
      <c r="AC560"/>
      <c r="AD560"/>
      <c r="AE560"/>
      <c r="AF560"/>
      <c r="AG560"/>
      <c r="AH560"/>
      <c r="AI560"/>
      <c r="AJ560"/>
      <c r="AK560"/>
      <c r="AL560"/>
      <c r="AM560"/>
      <c r="AN560"/>
      <c r="AO560" t="s">
        <v>1240</v>
      </c>
      <c r="AP560"/>
      <c r="AQ560"/>
      <c r="AR560"/>
      <c r="AS560"/>
      <c r="AT560"/>
      <c r="AU560">
        <v>2019</v>
      </c>
      <c r="AV560">
        <v>110</v>
      </c>
      <c r="AW560"/>
      <c r="AX560"/>
      <c r="AY560"/>
      <c r="AZ560"/>
      <c r="BA560"/>
      <c r="BB560"/>
      <c r="BC560"/>
      <c r="BD560">
        <v>2010</v>
      </c>
      <c r="BE560" t="s">
        <v>3814</v>
      </c>
      <c r="BF560" t="str">
        <f>HYPERLINK("http://dx.doi.org/10.1051/e3sconf/201911002010","http://dx.doi.org/10.1051/e3sconf/201911002010")</f>
        <v>http://dx.doi.org/10.1051/e3sconf/201911002010</v>
      </c>
      <c r="BG560"/>
      <c r="BH560"/>
      <c r="BI560"/>
      <c r="BJ560"/>
      <c r="BK560"/>
      <c r="BL560"/>
      <c r="BM560"/>
      <c r="BN560"/>
      <c r="BO560"/>
      <c r="BP560"/>
      <c r="BQ560"/>
      <c r="BR560"/>
      <c r="BS560" t="s">
        <v>3815</v>
      </c>
      <c r="BT560" t="str">
        <f>HYPERLINK("https%3A%2F%2Fwww.webofscience.com%2Fwos%2Fwoscc%2Ffull-record%2FWOS:000569050000099","View Full Record in Web of Science")</f>
        <v>View Full Record in Web of Science</v>
      </c>
    </row>
    <row r="561" spans="1:75" customHeight="1" ht="12.75">
      <c r="A561" t="s">
        <v>72</v>
      </c>
      <c r="B561" t="s">
        <v>2287</v>
      </c>
      <c r="C561"/>
      <c r="D561"/>
      <c r="E561"/>
      <c r="F561" t="s">
        <v>2288</v>
      </c>
      <c r="G561"/>
      <c r="H561"/>
      <c r="I561" t="s">
        <v>3816</v>
      </c>
      <c r="J561" t="s">
        <v>3817</v>
      </c>
      <c r="K561"/>
      <c r="L561"/>
      <c r="M561"/>
      <c r="N561"/>
      <c r="O561"/>
      <c r="P561"/>
      <c r="Q561"/>
      <c r="R561"/>
      <c r="S561"/>
      <c r="T561"/>
      <c r="U561"/>
      <c r="V561"/>
      <c r="W561"/>
      <c r="X561"/>
      <c r="Y561"/>
      <c r="Z561"/>
      <c r="AA561" t="s">
        <v>2291</v>
      </c>
      <c r="AB561" t="s">
        <v>2292</v>
      </c>
      <c r="AC561"/>
      <c r="AD561"/>
      <c r="AE561"/>
      <c r="AF561"/>
      <c r="AG561"/>
      <c r="AH561"/>
      <c r="AI561"/>
      <c r="AJ561"/>
      <c r="AK561"/>
      <c r="AL561"/>
      <c r="AM561"/>
      <c r="AN561"/>
      <c r="AO561" t="s">
        <v>3818</v>
      </c>
      <c r="AP561" t="s">
        <v>3819</v>
      </c>
      <c r="AQ561"/>
      <c r="AR561"/>
      <c r="AS561"/>
      <c r="AT561" t="s">
        <v>1167</v>
      </c>
      <c r="AU561">
        <v>2018</v>
      </c>
      <c r="AV561">
        <v>77</v>
      </c>
      <c r="AW561">
        <v>4</v>
      </c>
      <c r="AX561"/>
      <c r="AY561"/>
      <c r="AZ561"/>
      <c r="BA561"/>
      <c r="BB561">
        <v>672</v>
      </c>
      <c r="BC561">
        <v>674</v>
      </c>
      <c r="BD561"/>
      <c r="BE561"/>
      <c r="BF561"/>
      <c r="BG561"/>
      <c r="BH561"/>
      <c r="BI561"/>
      <c r="BJ561"/>
      <c r="BK561"/>
      <c r="BL561"/>
      <c r="BM561"/>
      <c r="BN561"/>
      <c r="BO561"/>
      <c r="BP561"/>
      <c r="BQ561"/>
      <c r="BR561"/>
      <c r="BS561" t="s">
        <v>3820</v>
      </c>
      <c r="BT561" t="str">
        <f>HYPERLINK("https%3A%2F%2Fwww.webofscience.com%2Fwos%2Fwoscc%2Ffull-record%2FWOS:000443708100031","View Full Record in Web of Science")</f>
        <v>View Full Record in Web of Science</v>
      </c>
    </row>
    <row r="562" spans="1:75" customHeight="1" ht="12.75">
      <c r="A562" t="s">
        <v>147</v>
      </c>
      <c r="B562" t="s">
        <v>3821</v>
      </c>
      <c r="C562"/>
      <c r="D562"/>
      <c r="E562" t="s">
        <v>210</v>
      </c>
      <c r="F562" t="s">
        <v>3822</v>
      </c>
      <c r="G562"/>
      <c r="H562"/>
      <c r="I562" t="s">
        <v>3823</v>
      </c>
      <c r="J562" t="s">
        <v>213</v>
      </c>
      <c r="K562"/>
      <c r="L562"/>
      <c r="M562"/>
      <c r="N562"/>
      <c r="O562" t="s">
        <v>214</v>
      </c>
      <c r="P562" t="s">
        <v>215</v>
      </c>
      <c r="Q562" t="s">
        <v>216</v>
      </c>
      <c r="R562"/>
      <c r="S562" t="s">
        <v>217</v>
      </c>
      <c r="T562"/>
      <c r="U562"/>
      <c r="V562"/>
      <c r="W562"/>
      <c r="X562"/>
      <c r="Y562"/>
      <c r="Z562"/>
      <c r="AA562"/>
      <c r="AB562"/>
      <c r="AC562"/>
      <c r="AD562"/>
      <c r="AE562"/>
      <c r="AF562"/>
      <c r="AG562"/>
      <c r="AH562"/>
      <c r="AI562"/>
      <c r="AJ562"/>
      <c r="AK562"/>
      <c r="AL562"/>
      <c r="AM562"/>
      <c r="AN562"/>
      <c r="AO562"/>
      <c r="AP562"/>
      <c r="AQ562" t="s">
        <v>218</v>
      </c>
      <c r="AR562"/>
      <c r="AS562"/>
      <c r="AT562"/>
      <c r="AU562">
        <v>2018</v>
      </c>
      <c r="AV562"/>
      <c r="AW562"/>
      <c r="AX562"/>
      <c r="AY562"/>
      <c r="AZ562"/>
      <c r="BA562"/>
      <c r="BB562"/>
      <c r="BC562"/>
      <c r="BD562"/>
      <c r="BE562"/>
      <c r="BF562"/>
      <c r="BG562"/>
      <c r="BH562"/>
      <c r="BI562"/>
      <c r="BJ562"/>
      <c r="BK562"/>
      <c r="BL562"/>
      <c r="BM562"/>
      <c r="BN562"/>
      <c r="BO562"/>
      <c r="BP562"/>
      <c r="BQ562"/>
      <c r="BR562"/>
      <c r="BS562" t="s">
        <v>3824</v>
      </c>
      <c r="BT562" t="str">
        <f>HYPERLINK("https%3A%2F%2Fwww.webofscience.com%2Fwos%2Fwoscc%2Ffull-record%2FWOS:000478963800045","View Full Record in Web of Science")</f>
        <v>View Full Record in Web of Science</v>
      </c>
    </row>
    <row r="563" spans="1:75" customHeight="1" ht="12.75">
      <c r="A563" t="s">
        <v>147</v>
      </c>
      <c r="B563" t="s">
        <v>3825</v>
      </c>
      <c r="C563"/>
      <c r="D563"/>
      <c r="E563" t="s">
        <v>210</v>
      </c>
      <c r="F563" t="s">
        <v>3826</v>
      </c>
      <c r="G563"/>
      <c r="H563"/>
      <c r="I563" t="s">
        <v>3827</v>
      </c>
      <c r="J563" t="s">
        <v>213</v>
      </c>
      <c r="K563"/>
      <c r="L563"/>
      <c r="M563"/>
      <c r="N563"/>
      <c r="O563" t="s">
        <v>214</v>
      </c>
      <c r="P563" t="s">
        <v>215</v>
      </c>
      <c r="Q563" t="s">
        <v>216</v>
      </c>
      <c r="R563"/>
      <c r="S563" t="s">
        <v>217</v>
      </c>
      <c r="T563"/>
      <c r="U563"/>
      <c r="V563"/>
      <c r="W563"/>
      <c r="X563"/>
      <c r="Y563"/>
      <c r="Z563"/>
      <c r="AA563" t="s">
        <v>1899</v>
      </c>
      <c r="AB563" t="s">
        <v>1900</v>
      </c>
      <c r="AC563"/>
      <c r="AD563"/>
      <c r="AE563"/>
      <c r="AF563"/>
      <c r="AG563"/>
      <c r="AH563"/>
      <c r="AI563"/>
      <c r="AJ563"/>
      <c r="AK563"/>
      <c r="AL563"/>
      <c r="AM563"/>
      <c r="AN563"/>
      <c r="AO563"/>
      <c r="AP563"/>
      <c r="AQ563" t="s">
        <v>218</v>
      </c>
      <c r="AR563"/>
      <c r="AS563"/>
      <c r="AT563"/>
      <c r="AU563">
        <v>2018</v>
      </c>
      <c r="AV563"/>
      <c r="AW563"/>
      <c r="AX563"/>
      <c r="AY563"/>
      <c r="AZ563"/>
      <c r="BA563"/>
      <c r="BB563"/>
      <c r="BC563"/>
      <c r="BD563"/>
      <c r="BE563"/>
      <c r="BF563"/>
      <c r="BG563"/>
      <c r="BH563"/>
      <c r="BI563"/>
      <c r="BJ563"/>
      <c r="BK563"/>
      <c r="BL563"/>
      <c r="BM563"/>
      <c r="BN563"/>
      <c r="BO563"/>
      <c r="BP563"/>
      <c r="BQ563"/>
      <c r="BR563"/>
      <c r="BS563" t="s">
        <v>3828</v>
      </c>
      <c r="BT563" t="str">
        <f>HYPERLINK("https%3A%2F%2Fwww.webofscience.com%2Fwos%2Fwoscc%2Ffull-record%2FWOS:000478963800128","View Full Record in Web of Science")</f>
        <v>View Full Record in Web of Science</v>
      </c>
    </row>
    <row r="564" spans="1:75" customHeight="1" ht="12.75">
      <c r="A564" t="s">
        <v>147</v>
      </c>
      <c r="B564" t="s">
        <v>3829</v>
      </c>
      <c r="C564"/>
      <c r="D564" t="s">
        <v>233</v>
      </c>
      <c r="E564"/>
      <c r="F564" t="s">
        <v>3830</v>
      </c>
      <c r="G564"/>
      <c r="H564"/>
      <c r="I564" t="s">
        <v>3831</v>
      </c>
      <c r="J564" t="s">
        <v>444</v>
      </c>
      <c r="K564" t="s">
        <v>445</v>
      </c>
      <c r="L564"/>
      <c r="M564"/>
      <c r="N564"/>
      <c r="O564" t="s">
        <v>446</v>
      </c>
      <c r="P564" t="s">
        <v>447</v>
      </c>
      <c r="Q564" t="s">
        <v>448</v>
      </c>
      <c r="R564"/>
      <c r="S564"/>
      <c r="T564"/>
      <c r="U564"/>
      <c r="V564"/>
      <c r="W564"/>
      <c r="X564"/>
      <c r="Y564"/>
      <c r="Z564"/>
      <c r="AA564" t="s">
        <v>3832</v>
      </c>
      <c r="AB564" t="s">
        <v>1886</v>
      </c>
      <c r="AC564"/>
      <c r="AD564"/>
      <c r="AE564"/>
      <c r="AF564"/>
      <c r="AG564"/>
      <c r="AH564"/>
      <c r="AI564"/>
      <c r="AJ564"/>
      <c r="AK564"/>
      <c r="AL564"/>
      <c r="AM564"/>
      <c r="AN564"/>
      <c r="AO564" t="s">
        <v>450</v>
      </c>
      <c r="AP564"/>
      <c r="AQ564" t="s">
        <v>451</v>
      </c>
      <c r="AR564"/>
      <c r="AS564"/>
      <c r="AT564"/>
      <c r="AU564">
        <v>2017</v>
      </c>
      <c r="AV564"/>
      <c r="AW564"/>
      <c r="AX564"/>
      <c r="AY564"/>
      <c r="AZ564"/>
      <c r="BA564"/>
      <c r="BB564">
        <v>69</v>
      </c>
      <c r="BC564">
        <v>76</v>
      </c>
      <c r="BD564"/>
      <c r="BE564" t="s">
        <v>3833</v>
      </c>
      <c r="BF564" t="str">
        <f>HYPERLINK("http://dx.doi.org/10.1007/978-3-319-60696-5_10","http://dx.doi.org/10.1007/978-3-319-60696-5_10")</f>
        <v>http://dx.doi.org/10.1007/978-3-319-60696-5_10</v>
      </c>
      <c r="BG564"/>
      <c r="BH564"/>
      <c r="BI564"/>
      <c r="BJ564"/>
      <c r="BK564"/>
      <c r="BL564"/>
      <c r="BM564"/>
      <c r="BN564"/>
      <c r="BO564"/>
      <c r="BP564"/>
      <c r="BQ564"/>
      <c r="BR564"/>
      <c r="BS564" t="s">
        <v>3834</v>
      </c>
      <c r="BT564" t="str">
        <f>HYPERLINK("https%3A%2F%2Fwww.webofscience.com%2Fwos%2Fwoscc%2Ffull-record%2FWOS:000426114200010","View Full Record in Web of Science")</f>
        <v>View Full Record in Web of Science</v>
      </c>
    </row>
    <row r="565" spans="1:75" customHeight="1" ht="12.75">
      <c r="A565" t="s">
        <v>147</v>
      </c>
      <c r="B565" t="s">
        <v>3835</v>
      </c>
      <c r="C565"/>
      <c r="D565"/>
      <c r="E565" t="s">
        <v>210</v>
      </c>
      <c r="F565" t="s">
        <v>3836</v>
      </c>
      <c r="G565"/>
      <c r="H565"/>
      <c r="I565" t="s">
        <v>3837</v>
      </c>
      <c r="J565" t="s">
        <v>1261</v>
      </c>
      <c r="K565"/>
      <c r="L565"/>
      <c r="M565"/>
      <c r="N565"/>
      <c r="O565" t="s">
        <v>214</v>
      </c>
      <c r="P565" t="s">
        <v>909</v>
      </c>
      <c r="Q565" t="s">
        <v>910</v>
      </c>
      <c r="R565" t="s">
        <v>1262</v>
      </c>
      <c r="S565"/>
      <c r="T565"/>
      <c r="U565"/>
      <c r="V565"/>
      <c r="W565"/>
      <c r="X565"/>
      <c r="Y565"/>
      <c r="Z565"/>
      <c r="AA565"/>
      <c r="AB565"/>
      <c r="AC565"/>
      <c r="AD565"/>
      <c r="AE565"/>
      <c r="AF565"/>
      <c r="AG565"/>
      <c r="AH565"/>
      <c r="AI565"/>
      <c r="AJ565"/>
      <c r="AK565"/>
      <c r="AL565"/>
      <c r="AM565"/>
      <c r="AN565"/>
      <c r="AO565"/>
      <c r="AP565"/>
      <c r="AQ565" t="s">
        <v>1263</v>
      </c>
      <c r="AR565"/>
      <c r="AS565"/>
      <c r="AT565"/>
      <c r="AU565">
        <v>2017</v>
      </c>
      <c r="AV565"/>
      <c r="AW565"/>
      <c r="AX565"/>
      <c r="AY565"/>
      <c r="AZ565"/>
      <c r="BA565"/>
      <c r="BB565"/>
      <c r="BC565"/>
      <c r="BD565"/>
      <c r="BE565"/>
      <c r="BF565"/>
      <c r="BG565"/>
      <c r="BH565"/>
      <c r="BI565"/>
      <c r="BJ565"/>
      <c r="BK565"/>
      <c r="BL565"/>
      <c r="BM565"/>
      <c r="BN565"/>
      <c r="BO565"/>
      <c r="BP565"/>
      <c r="BQ565"/>
      <c r="BR565"/>
      <c r="BS565" t="s">
        <v>3838</v>
      </c>
      <c r="BT565" t="str">
        <f>HYPERLINK("https%3A%2F%2Fwww.webofscience.com%2Fwos%2Fwoscc%2Ffull-record%2FWOS:000414282400146","View Full Record in Web of Science")</f>
        <v>View Full Record in Web of Science</v>
      </c>
    </row>
    <row r="566" spans="1:75" customHeight="1" ht="12.75">
      <c r="A566" t="s">
        <v>147</v>
      </c>
      <c r="B566" t="s">
        <v>3839</v>
      </c>
      <c r="C566"/>
      <c r="D566"/>
      <c r="E566" t="s">
        <v>210</v>
      </c>
      <c r="F566" t="s">
        <v>3840</v>
      </c>
      <c r="G566"/>
      <c r="H566"/>
      <c r="I566" t="s">
        <v>3841</v>
      </c>
      <c r="J566" t="s">
        <v>1539</v>
      </c>
      <c r="K566"/>
      <c r="L566"/>
      <c r="M566"/>
      <c r="N566"/>
      <c r="O566" t="s">
        <v>1540</v>
      </c>
      <c r="P566" t="s">
        <v>1541</v>
      </c>
      <c r="Q566" t="s">
        <v>1542</v>
      </c>
      <c r="R566" t="s">
        <v>1543</v>
      </c>
      <c r="S566"/>
      <c r="T566"/>
      <c r="U566"/>
      <c r="V566"/>
      <c r="W566"/>
      <c r="X566"/>
      <c r="Y566"/>
      <c r="Z566"/>
      <c r="AA566" t="s">
        <v>1899</v>
      </c>
      <c r="AB566" t="s">
        <v>1900</v>
      </c>
      <c r="AC566"/>
      <c r="AD566"/>
      <c r="AE566"/>
      <c r="AF566"/>
      <c r="AG566"/>
      <c r="AH566"/>
      <c r="AI566"/>
      <c r="AJ566"/>
      <c r="AK566"/>
      <c r="AL566"/>
      <c r="AM566"/>
      <c r="AN566"/>
      <c r="AO566"/>
      <c r="AP566"/>
      <c r="AQ566" t="s">
        <v>1544</v>
      </c>
      <c r="AR566"/>
      <c r="AS566"/>
      <c r="AT566"/>
      <c r="AU566">
        <v>2016</v>
      </c>
      <c r="AV566"/>
      <c r="AW566"/>
      <c r="AX566"/>
      <c r="AY566"/>
      <c r="AZ566"/>
      <c r="BA566"/>
      <c r="BB566"/>
      <c r="BC566"/>
      <c r="BD566"/>
      <c r="BE566"/>
      <c r="BF566"/>
      <c r="BG566"/>
      <c r="BH566"/>
      <c r="BI566"/>
      <c r="BJ566"/>
      <c r="BK566"/>
      <c r="BL566"/>
      <c r="BM566"/>
      <c r="BN566"/>
      <c r="BO566"/>
      <c r="BP566"/>
      <c r="BQ566"/>
      <c r="BR566"/>
      <c r="BS566" t="s">
        <v>3842</v>
      </c>
      <c r="BT566" t="str">
        <f>HYPERLINK("https%3A%2F%2Fwww.webofscience.com%2Fwos%2Fwoscc%2Ffull-record%2FWOS:000403604400349","View Full Record in Web of Science")</f>
        <v>View Full Record in Web of Science</v>
      </c>
    </row>
    <row r="567" spans="1:75" customHeight="1" ht="12.75">
      <c r="A567" t="s">
        <v>72</v>
      </c>
      <c r="B567" t="s">
        <v>279</v>
      </c>
      <c r="C567"/>
      <c r="D567"/>
      <c r="E567"/>
      <c r="F567" t="s">
        <v>3843</v>
      </c>
      <c r="G567"/>
      <c r="H567"/>
      <c r="I567" t="s">
        <v>3844</v>
      </c>
      <c r="J567" t="s">
        <v>244</v>
      </c>
      <c r="K567"/>
      <c r="L567"/>
      <c r="M567"/>
      <c r="N567"/>
      <c r="O567"/>
      <c r="P567"/>
      <c r="Q567"/>
      <c r="R567"/>
      <c r="S567"/>
      <c r="T567"/>
      <c r="U567"/>
      <c r="V567"/>
      <c r="W567"/>
      <c r="X567"/>
      <c r="Y567"/>
      <c r="Z567"/>
      <c r="AA567"/>
      <c r="AB567"/>
      <c r="AC567"/>
      <c r="AD567"/>
      <c r="AE567"/>
      <c r="AF567"/>
      <c r="AG567"/>
      <c r="AH567"/>
      <c r="AI567"/>
      <c r="AJ567"/>
      <c r="AK567"/>
      <c r="AL567"/>
      <c r="AM567"/>
      <c r="AN567"/>
      <c r="AO567" t="s">
        <v>245</v>
      </c>
      <c r="AP567" t="s">
        <v>246</v>
      </c>
      <c r="AQ567"/>
      <c r="AR567"/>
      <c r="AS567"/>
      <c r="AT567"/>
      <c r="AU567">
        <v>2015</v>
      </c>
      <c r="AV567"/>
      <c r="AW567">
        <v>4</v>
      </c>
      <c r="AX567"/>
      <c r="AY567"/>
      <c r="AZ567"/>
      <c r="BA567"/>
      <c r="BB567">
        <v>74</v>
      </c>
      <c r="BC567">
        <v>88</v>
      </c>
      <c r="BD567"/>
      <c r="BE567"/>
      <c r="BF567"/>
      <c r="BG567"/>
      <c r="BH567"/>
      <c r="BI567"/>
      <c r="BJ567"/>
      <c r="BK567"/>
      <c r="BL567"/>
      <c r="BM567"/>
      <c r="BN567"/>
      <c r="BO567"/>
      <c r="BP567"/>
      <c r="BQ567"/>
      <c r="BR567"/>
      <c r="BS567" t="s">
        <v>3845</v>
      </c>
      <c r="BT567" t="str">
        <f>HYPERLINK("https%3A%2F%2Fwww.webofscience.com%2Fwos%2Fwoscc%2Ffull-record%2FWOS:000354658300006","View Full Record in Web of Science")</f>
        <v>View Full Record in Web of Science</v>
      </c>
    </row>
    <row r="568" spans="1:75" customHeight="1" ht="12.75">
      <c r="A568" t="s">
        <v>72</v>
      </c>
      <c r="B568" t="s">
        <v>3846</v>
      </c>
      <c r="C568"/>
      <c r="D568"/>
      <c r="E568"/>
      <c r="F568" t="s">
        <v>3847</v>
      </c>
      <c r="G568"/>
      <c r="H568"/>
      <c r="I568" t="s">
        <v>3848</v>
      </c>
      <c r="J568" t="s">
        <v>1905</v>
      </c>
      <c r="K568"/>
      <c r="L568"/>
      <c r="M568"/>
      <c r="N568"/>
      <c r="O568" t="s">
        <v>3849</v>
      </c>
      <c r="P568" t="s">
        <v>3850</v>
      </c>
      <c r="Q568" t="s">
        <v>2563</v>
      </c>
      <c r="R568"/>
      <c r="S568"/>
      <c r="T568"/>
      <c r="U568"/>
      <c r="V568"/>
      <c r="W568"/>
      <c r="X568"/>
      <c r="Y568"/>
      <c r="Z568"/>
      <c r="AA568" t="s">
        <v>3851</v>
      </c>
      <c r="AB568" t="s">
        <v>1719</v>
      </c>
      <c r="AC568"/>
      <c r="AD568"/>
      <c r="AE568"/>
      <c r="AF568"/>
      <c r="AG568"/>
      <c r="AH568"/>
      <c r="AI568"/>
      <c r="AJ568"/>
      <c r="AK568"/>
      <c r="AL568"/>
      <c r="AM568"/>
      <c r="AN568"/>
      <c r="AO568" t="s">
        <v>1906</v>
      </c>
      <c r="AP568" t="s">
        <v>1912</v>
      </c>
      <c r="AQ568"/>
      <c r="AR568"/>
      <c r="AS568"/>
      <c r="AT568" t="s">
        <v>655</v>
      </c>
      <c r="AU568">
        <v>2009</v>
      </c>
      <c r="AV568">
        <v>35</v>
      </c>
      <c r="AW568">
        <v>1</v>
      </c>
      <c r="AX568"/>
      <c r="AY568"/>
      <c r="AZ568"/>
      <c r="BA568"/>
      <c r="BB568">
        <v>74</v>
      </c>
      <c r="BC568">
        <v>80</v>
      </c>
      <c r="BD568"/>
      <c r="BE568" t="s">
        <v>3852</v>
      </c>
      <c r="BF568" t="str">
        <f>HYPERLINK("http://dx.doi.org/10.1134/S1087659609010118","http://dx.doi.org/10.1134/S1087659609010118")</f>
        <v>http://dx.doi.org/10.1134/S1087659609010118</v>
      </c>
      <c r="BG568"/>
      <c r="BH568"/>
      <c r="BI568"/>
      <c r="BJ568"/>
      <c r="BK568"/>
      <c r="BL568"/>
      <c r="BM568"/>
      <c r="BN568"/>
      <c r="BO568"/>
      <c r="BP568"/>
      <c r="BQ568"/>
      <c r="BR568"/>
      <c r="BS568" t="s">
        <v>3853</v>
      </c>
      <c r="BT568" t="str">
        <f>HYPERLINK("https%3A%2F%2Fwww.webofscience.com%2Fwos%2Fwoscc%2Ffull-record%2FWOS:000266335300011","View Full Record in Web of Science")</f>
        <v>View Full Record in Web of Science</v>
      </c>
    </row>
    <row r="569" spans="1:75" customHeight="1" ht="12.75">
      <c r="A569" t="s">
        <v>72</v>
      </c>
      <c r="B569" t="s">
        <v>2713</v>
      </c>
      <c r="C569"/>
      <c r="D569"/>
      <c r="E569"/>
      <c r="F569" t="s">
        <v>2714</v>
      </c>
      <c r="G569"/>
      <c r="H569"/>
      <c r="I569" t="s">
        <v>3854</v>
      </c>
      <c r="J569" t="s">
        <v>244</v>
      </c>
      <c r="K569"/>
      <c r="L569"/>
      <c r="M569"/>
      <c r="N569"/>
      <c r="O569"/>
      <c r="P569"/>
      <c r="Q569"/>
      <c r="R569"/>
      <c r="S569"/>
      <c r="T569"/>
      <c r="U569"/>
      <c r="V569"/>
      <c r="W569"/>
      <c r="X569"/>
      <c r="Y569"/>
      <c r="Z569"/>
      <c r="AA569"/>
      <c r="AB569"/>
      <c r="AC569"/>
      <c r="AD569"/>
      <c r="AE569"/>
      <c r="AF569"/>
      <c r="AG569"/>
      <c r="AH569"/>
      <c r="AI569"/>
      <c r="AJ569"/>
      <c r="AK569"/>
      <c r="AL569"/>
      <c r="AM569"/>
      <c r="AN569"/>
      <c r="AO569" t="s">
        <v>245</v>
      </c>
      <c r="AP569"/>
      <c r="AQ569"/>
      <c r="AR569"/>
      <c r="AS569"/>
      <c r="AT569"/>
      <c r="AU569">
        <v>2007</v>
      </c>
      <c r="AV569"/>
      <c r="AW569">
        <v>7</v>
      </c>
      <c r="AX569"/>
      <c r="AY569"/>
      <c r="AZ569"/>
      <c r="BA569"/>
      <c r="BB569">
        <v>139</v>
      </c>
      <c r="BC569">
        <v>144</v>
      </c>
      <c r="BD569"/>
      <c r="BE569"/>
      <c r="BF569"/>
      <c r="BG569"/>
      <c r="BH569"/>
      <c r="BI569"/>
      <c r="BJ569"/>
      <c r="BK569"/>
      <c r="BL569"/>
      <c r="BM569"/>
      <c r="BN569"/>
      <c r="BO569"/>
      <c r="BP569"/>
      <c r="BQ569"/>
      <c r="BR569"/>
      <c r="BS569" t="s">
        <v>3855</v>
      </c>
      <c r="BT569" t="str">
        <f>HYPERLINK("https%3A%2F%2Fwww.webofscience.com%2Fwos%2Fwoscc%2Ffull-record%2FWOS:000249387600012","View Full Record in Web of Science")</f>
        <v>View Full Record in Web of Science</v>
      </c>
    </row>
    <row r="570" spans="1:75" customHeight="1" ht="12.75">
      <c r="A570" t="s">
        <v>72</v>
      </c>
      <c r="B570" t="s">
        <v>2437</v>
      </c>
      <c r="C570"/>
      <c r="D570"/>
      <c r="E570"/>
      <c r="F570" t="s">
        <v>2437</v>
      </c>
      <c r="G570"/>
      <c r="H570"/>
      <c r="I570" t="s">
        <v>3856</v>
      </c>
      <c r="J570" t="s">
        <v>940</v>
      </c>
      <c r="K570"/>
      <c r="L570"/>
      <c r="M570"/>
      <c r="N570"/>
      <c r="O570"/>
      <c r="P570"/>
      <c r="Q570"/>
      <c r="R570"/>
      <c r="S570"/>
      <c r="T570"/>
      <c r="U570"/>
      <c r="V570"/>
      <c r="W570"/>
      <c r="X570"/>
      <c r="Y570"/>
      <c r="Z570"/>
      <c r="AA570"/>
      <c r="AB570"/>
      <c r="AC570"/>
      <c r="AD570"/>
      <c r="AE570"/>
      <c r="AF570"/>
      <c r="AG570"/>
      <c r="AH570"/>
      <c r="AI570"/>
      <c r="AJ570"/>
      <c r="AK570"/>
      <c r="AL570"/>
      <c r="AM570"/>
      <c r="AN570"/>
      <c r="AO570" t="s">
        <v>943</v>
      </c>
      <c r="AP570"/>
      <c r="AQ570"/>
      <c r="AR570"/>
      <c r="AS570"/>
      <c r="AT570" t="s">
        <v>78</v>
      </c>
      <c r="AU570">
        <v>2004</v>
      </c>
      <c r="AV570">
        <v>46</v>
      </c>
      <c r="AW570" t="s">
        <v>994</v>
      </c>
      <c r="AX570"/>
      <c r="AY570"/>
      <c r="AZ570"/>
      <c r="BA570"/>
      <c r="BB570">
        <v>196</v>
      </c>
      <c r="BC570">
        <v>202</v>
      </c>
      <c r="BD570"/>
      <c r="BE570" t="s">
        <v>3857</v>
      </c>
      <c r="BF570" t="str">
        <f>HYPERLINK("http://dx.doi.org/10.1023/B:MSAT.0000043100.72622.0e","http://dx.doi.org/10.1023/B:MSAT.0000043100.72622.0e")</f>
        <v>http://dx.doi.org/10.1023/B:MSAT.0000043100.72622.0e</v>
      </c>
      <c r="BG570"/>
      <c r="BH570"/>
      <c r="BI570"/>
      <c r="BJ570"/>
      <c r="BK570"/>
      <c r="BL570"/>
      <c r="BM570"/>
      <c r="BN570"/>
      <c r="BO570"/>
      <c r="BP570"/>
      <c r="BQ570"/>
      <c r="BR570"/>
      <c r="BS570" t="s">
        <v>3858</v>
      </c>
      <c r="BT570" t="str">
        <f>HYPERLINK("https%3A%2F%2Fwww.webofscience.com%2Fwos%2Fwoscc%2Ffull-record%2FWOS:000226016200005","View Full Record in Web of Science")</f>
        <v>View Full Record in Web of Science</v>
      </c>
    </row>
    <row r="571" spans="1:75" customHeight="1" ht="12.75">
      <c r="A571" t="s">
        <v>72</v>
      </c>
      <c r="B571" t="s">
        <v>1600</v>
      </c>
      <c r="C571"/>
      <c r="D571"/>
      <c r="E571"/>
      <c r="F571" t="s">
        <v>1600</v>
      </c>
      <c r="G571"/>
      <c r="H571"/>
      <c r="I571" t="s">
        <v>3859</v>
      </c>
      <c r="J571" t="s">
        <v>3860</v>
      </c>
      <c r="K571"/>
      <c r="L571"/>
      <c r="M571"/>
      <c r="N571"/>
      <c r="O571"/>
      <c r="P571"/>
      <c r="Q571"/>
      <c r="R571"/>
      <c r="S571"/>
      <c r="T571"/>
      <c r="U571"/>
      <c r="V571"/>
      <c r="W571"/>
      <c r="X571"/>
      <c r="Y571"/>
      <c r="Z571"/>
      <c r="AA571"/>
      <c r="AB571"/>
      <c r="AC571"/>
      <c r="AD571"/>
      <c r="AE571"/>
      <c r="AF571"/>
      <c r="AG571"/>
      <c r="AH571"/>
      <c r="AI571"/>
      <c r="AJ571"/>
      <c r="AK571"/>
      <c r="AL571"/>
      <c r="AM571"/>
      <c r="AN571"/>
      <c r="AO571" t="s">
        <v>3861</v>
      </c>
      <c r="AP571"/>
      <c r="AQ571"/>
      <c r="AR571"/>
      <c r="AS571"/>
      <c r="AT571" t="s">
        <v>313</v>
      </c>
      <c r="AU571">
        <v>2000</v>
      </c>
      <c r="AV571">
        <v>42</v>
      </c>
      <c r="AW571" t="s">
        <v>3862</v>
      </c>
      <c r="AX571"/>
      <c r="AY571"/>
      <c r="AZ571"/>
      <c r="BA571"/>
      <c r="BB571">
        <v>191</v>
      </c>
      <c r="BC571">
        <v>194</v>
      </c>
      <c r="BD571"/>
      <c r="BE571"/>
      <c r="BF571"/>
      <c r="BG571"/>
      <c r="BH571"/>
      <c r="BI571"/>
      <c r="BJ571"/>
      <c r="BK571"/>
      <c r="BL571"/>
      <c r="BM571"/>
      <c r="BN571"/>
      <c r="BO571"/>
      <c r="BP571"/>
      <c r="BQ571"/>
      <c r="BR571"/>
      <c r="BS571" t="s">
        <v>3863</v>
      </c>
      <c r="BT571" t="str">
        <f>HYPERLINK("https%3A%2F%2Fwww.webofscience.com%2Fwos%2Fwoscc%2Ffull-record%2FWOS:000089082400005","View Full Record in Web of Science")</f>
        <v>View Full Record in Web of Science</v>
      </c>
    </row>
    <row r="572" spans="1:75" customHeight="1" ht="12.75">
      <c r="A572" t="s">
        <v>72</v>
      </c>
      <c r="B572" t="s">
        <v>2437</v>
      </c>
      <c r="C572"/>
      <c r="D572"/>
      <c r="E572"/>
      <c r="F572" t="s">
        <v>2437</v>
      </c>
      <c r="G572"/>
      <c r="H572"/>
      <c r="I572" t="s">
        <v>3864</v>
      </c>
      <c r="J572" t="s">
        <v>1433</v>
      </c>
      <c r="K572"/>
      <c r="L572"/>
      <c r="M572"/>
      <c r="N572"/>
      <c r="O572"/>
      <c r="P572"/>
      <c r="Q572"/>
      <c r="R572"/>
      <c r="S572"/>
      <c r="T572"/>
      <c r="U572"/>
      <c r="V572"/>
      <c r="W572"/>
      <c r="X572"/>
      <c r="Y572"/>
      <c r="Z572"/>
      <c r="AA572"/>
      <c r="AB572"/>
      <c r="AC572"/>
      <c r="AD572"/>
      <c r="AE572"/>
      <c r="AF572"/>
      <c r="AG572"/>
      <c r="AH572"/>
      <c r="AI572"/>
      <c r="AJ572"/>
      <c r="AK572"/>
      <c r="AL572"/>
      <c r="AM572"/>
      <c r="AN572"/>
      <c r="AO572" t="s">
        <v>1434</v>
      </c>
      <c r="AP572"/>
      <c r="AQ572"/>
      <c r="AR572"/>
      <c r="AS572"/>
      <c r="AT572" t="s">
        <v>655</v>
      </c>
      <c r="AU572">
        <v>1997</v>
      </c>
      <c r="AV572">
        <v>61</v>
      </c>
      <c r="AW572">
        <v>2</v>
      </c>
      <c r="AX572"/>
      <c r="AY572"/>
      <c r="AZ572"/>
      <c r="BA572"/>
      <c r="BB572">
        <v>298</v>
      </c>
      <c r="BC572">
        <v>303</v>
      </c>
      <c r="BD572"/>
      <c r="BE572"/>
      <c r="BF572"/>
      <c r="BG572"/>
      <c r="BH572"/>
      <c r="BI572"/>
      <c r="BJ572"/>
      <c r="BK572"/>
      <c r="BL572"/>
      <c r="BM572"/>
      <c r="BN572"/>
      <c r="BO572"/>
      <c r="BP572"/>
      <c r="BQ572"/>
      <c r="BR572"/>
      <c r="BS572" t="s">
        <v>3865</v>
      </c>
      <c r="BT572" t="str">
        <f>HYPERLINK("https%3A%2F%2Fwww.webofscience.com%2Fwos%2Fwoscc%2Ffull-record%2FWOS:A1997WU95900016","View Full Record in Web of Science")</f>
        <v>View Full Record in Web of Science</v>
      </c>
    </row>
    <row r="573" spans="1:75" customHeight="1" ht="12.75">
      <c r="A573" t="s">
        <v>72</v>
      </c>
      <c r="B573" t="s">
        <v>3866</v>
      </c>
      <c r="C573"/>
      <c r="D573"/>
      <c r="E573"/>
      <c r="F573" t="s">
        <v>3866</v>
      </c>
      <c r="G573"/>
      <c r="H573"/>
      <c r="I573" t="s">
        <v>3867</v>
      </c>
      <c r="J573" t="s">
        <v>3868</v>
      </c>
      <c r="K573"/>
      <c r="L573"/>
      <c r="M573"/>
      <c r="N573"/>
      <c r="O573"/>
      <c r="P573"/>
      <c r="Q573"/>
      <c r="R573"/>
      <c r="S573"/>
      <c r="T573"/>
      <c r="U573"/>
      <c r="V573"/>
      <c r="W573"/>
      <c r="X573"/>
      <c r="Y573"/>
      <c r="Z573"/>
      <c r="AA573"/>
      <c r="AB573"/>
      <c r="AC573"/>
      <c r="AD573"/>
      <c r="AE573"/>
      <c r="AF573"/>
      <c r="AG573"/>
      <c r="AH573"/>
      <c r="AI573"/>
      <c r="AJ573"/>
      <c r="AK573"/>
      <c r="AL573"/>
      <c r="AM573"/>
      <c r="AN573"/>
      <c r="AO573" t="s">
        <v>3869</v>
      </c>
      <c r="AP573"/>
      <c r="AQ573"/>
      <c r="AR573"/>
      <c r="AS573"/>
      <c r="AT573" t="s">
        <v>198</v>
      </c>
      <c r="AU573">
        <v>1994</v>
      </c>
      <c r="AV573">
        <v>77</v>
      </c>
      <c r="AW573">
        <v>4</v>
      </c>
      <c r="AX573"/>
      <c r="AY573"/>
      <c r="AZ573"/>
      <c r="BA573"/>
      <c r="BB573">
        <v>15</v>
      </c>
      <c r="BC573">
        <v>19</v>
      </c>
      <c r="BD573"/>
      <c r="BE573"/>
      <c r="BF573"/>
      <c r="BG573"/>
      <c r="BH573"/>
      <c r="BI573"/>
      <c r="BJ573"/>
      <c r="BK573"/>
      <c r="BL573"/>
      <c r="BM573"/>
      <c r="BN573"/>
      <c r="BO573"/>
      <c r="BP573"/>
      <c r="BQ573"/>
      <c r="BR573"/>
      <c r="BS573" t="s">
        <v>3870</v>
      </c>
      <c r="BT573" t="str">
        <f>HYPERLINK("https%3A%2F%2Fwww.webofscience.com%2Fwos%2Fwoscc%2Ffull-record%2FWOS:A1994QA42800002","View Full Record in Web of Science")</f>
        <v>View Full Record in Web of Science</v>
      </c>
    </row>
    <row r="574" spans="1:75" customHeight="1" ht="12.75">
      <c r="A574" t="s">
        <v>72</v>
      </c>
      <c r="B574" t="s">
        <v>3871</v>
      </c>
      <c r="C574"/>
      <c r="D574"/>
      <c r="E574"/>
      <c r="F574" t="s">
        <v>3872</v>
      </c>
      <c r="G574"/>
      <c r="H574"/>
      <c r="I574" t="s">
        <v>3873</v>
      </c>
      <c r="J574" t="s">
        <v>3874</v>
      </c>
      <c r="K574"/>
      <c r="L574"/>
      <c r="M574"/>
      <c r="N574"/>
      <c r="O574"/>
      <c r="P574"/>
      <c r="Q574"/>
      <c r="R574"/>
      <c r="S574"/>
      <c r="T574"/>
      <c r="U574"/>
      <c r="V574"/>
      <c r="W574"/>
      <c r="X574"/>
      <c r="Y574"/>
      <c r="Z574"/>
      <c r="AA574"/>
      <c r="AB574"/>
      <c r="AC574"/>
      <c r="AD574"/>
      <c r="AE574"/>
      <c r="AF574"/>
      <c r="AG574"/>
      <c r="AH574"/>
      <c r="AI574"/>
      <c r="AJ574"/>
      <c r="AK574"/>
      <c r="AL574"/>
      <c r="AM574"/>
      <c r="AN574"/>
      <c r="AO574" t="s">
        <v>3875</v>
      </c>
      <c r="AP574"/>
      <c r="AQ574"/>
      <c r="AR574"/>
      <c r="AS574"/>
      <c r="AT574" t="s">
        <v>198</v>
      </c>
      <c r="AU574">
        <v>2023</v>
      </c>
      <c r="AV574">
        <v>31</v>
      </c>
      <c r="AW574">
        <v>3</v>
      </c>
      <c r="AX574"/>
      <c r="AY574"/>
      <c r="AZ574"/>
      <c r="BA574"/>
      <c r="BB574">
        <v>1439</v>
      </c>
      <c r="BC574">
        <v>1451</v>
      </c>
      <c r="BD574"/>
      <c r="BE574" t="s">
        <v>3876</v>
      </c>
      <c r="BF574" t="str">
        <f>HYPERLINK("http://dx.doi.org/10.47836/pjst.31.3.17","http://dx.doi.org/10.47836/pjst.31.3.17")</f>
        <v>http://dx.doi.org/10.47836/pjst.31.3.17</v>
      </c>
      <c r="BG574"/>
      <c r="BH574"/>
      <c r="BI574"/>
      <c r="BJ574"/>
      <c r="BK574"/>
      <c r="BL574"/>
      <c r="BM574"/>
      <c r="BN574"/>
      <c r="BO574"/>
      <c r="BP574"/>
      <c r="BQ574"/>
      <c r="BR574"/>
      <c r="BS574" t="s">
        <v>3877</v>
      </c>
      <c r="BT574" t="str">
        <f>HYPERLINK("https%3A%2F%2Fwww.webofscience.com%2Fwos%2Fwoscc%2Ffull-record%2FWOS:000976016100017","View Full Record in Web of Science")</f>
        <v>View Full Record in Web of Science</v>
      </c>
    </row>
    <row r="575" spans="1:75" customHeight="1" ht="12.75">
      <c r="A575" t="s">
        <v>72</v>
      </c>
      <c r="B575" t="s">
        <v>3878</v>
      </c>
      <c r="C575"/>
      <c r="D575"/>
      <c r="E575"/>
      <c r="F575" t="s">
        <v>3879</v>
      </c>
      <c r="G575"/>
      <c r="H575"/>
      <c r="I575" t="s">
        <v>3880</v>
      </c>
      <c r="J575" t="s">
        <v>3233</v>
      </c>
      <c r="K575"/>
      <c r="L575"/>
      <c r="M575"/>
      <c r="N575"/>
      <c r="O575"/>
      <c r="P575"/>
      <c r="Q575"/>
      <c r="R575"/>
      <c r="S575"/>
      <c r="T575"/>
      <c r="U575"/>
      <c r="V575"/>
      <c r="W575"/>
      <c r="X575"/>
      <c r="Y575"/>
      <c r="Z575"/>
      <c r="AA575"/>
      <c r="AB575"/>
      <c r="AC575"/>
      <c r="AD575"/>
      <c r="AE575"/>
      <c r="AF575"/>
      <c r="AG575"/>
      <c r="AH575"/>
      <c r="AI575"/>
      <c r="AJ575"/>
      <c r="AK575"/>
      <c r="AL575"/>
      <c r="AM575"/>
      <c r="AN575"/>
      <c r="AO575" t="s">
        <v>3236</v>
      </c>
      <c r="AP575" t="s">
        <v>3237</v>
      </c>
      <c r="AQ575"/>
      <c r="AR575"/>
      <c r="AS575"/>
      <c r="AT575" t="s">
        <v>403</v>
      </c>
      <c r="AU575">
        <v>2022</v>
      </c>
      <c r="AV575"/>
      <c r="AW575">
        <v>60</v>
      </c>
      <c r="AX575"/>
      <c r="AY575"/>
      <c r="AZ575"/>
      <c r="BA575"/>
      <c r="BB575">
        <v>270</v>
      </c>
      <c r="BC575">
        <v>289</v>
      </c>
      <c r="BD575"/>
      <c r="BE575" t="s">
        <v>3881</v>
      </c>
      <c r="BF575" t="str">
        <f>HYPERLINK("http://dx.doi.org/10.17223/19996195/60/15","http://dx.doi.org/10.17223/19996195/60/15")</f>
        <v>http://dx.doi.org/10.17223/19996195/60/15</v>
      </c>
      <c r="BG575"/>
      <c r="BH575"/>
      <c r="BI575"/>
      <c r="BJ575"/>
      <c r="BK575"/>
      <c r="BL575"/>
      <c r="BM575"/>
      <c r="BN575"/>
      <c r="BO575"/>
      <c r="BP575"/>
      <c r="BQ575"/>
      <c r="BR575"/>
      <c r="BS575" t="s">
        <v>3882</v>
      </c>
      <c r="BT575" t="str">
        <f>HYPERLINK("https%3A%2F%2Fwww.webofscience.com%2Fwos%2Fwoscc%2Ffull-record%2FWOS:000935399800015","View Full Record in Web of Science")</f>
        <v>View Full Record in Web of Science</v>
      </c>
    </row>
    <row r="576" spans="1:75" customHeight="1" ht="12.75">
      <c r="A576" t="s">
        <v>72</v>
      </c>
      <c r="B576" t="s">
        <v>2208</v>
      </c>
      <c r="C576"/>
      <c r="D576"/>
      <c r="E576"/>
      <c r="F576" t="s">
        <v>2209</v>
      </c>
      <c r="G576"/>
      <c r="H576"/>
      <c r="I576" t="s">
        <v>3883</v>
      </c>
      <c r="J576" t="s">
        <v>561</v>
      </c>
      <c r="K576"/>
      <c r="L576"/>
      <c r="M576"/>
      <c r="N576"/>
      <c r="O576"/>
      <c r="P576"/>
      <c r="Q576"/>
      <c r="R576"/>
      <c r="S576"/>
      <c r="T576"/>
      <c r="U576"/>
      <c r="V576"/>
      <c r="W576"/>
      <c r="X576"/>
      <c r="Y576"/>
      <c r="Z576"/>
      <c r="AA576" t="s">
        <v>2212</v>
      </c>
      <c r="AB576" t="s">
        <v>2213</v>
      </c>
      <c r="AC576"/>
      <c r="AD576"/>
      <c r="AE576"/>
      <c r="AF576"/>
      <c r="AG576"/>
      <c r="AH576"/>
      <c r="AI576"/>
      <c r="AJ576"/>
      <c r="AK576"/>
      <c r="AL576"/>
      <c r="AM576"/>
      <c r="AN576"/>
      <c r="AO576" t="s">
        <v>564</v>
      </c>
      <c r="AP576" t="s">
        <v>565</v>
      </c>
      <c r="AQ576"/>
      <c r="AR576"/>
      <c r="AS576"/>
      <c r="AT576" t="s">
        <v>125</v>
      </c>
      <c r="AU576">
        <v>2022</v>
      </c>
      <c r="AV576">
        <v>29</v>
      </c>
      <c r="AW576">
        <v>4</v>
      </c>
      <c r="AX576"/>
      <c r="AY576"/>
      <c r="AZ576"/>
      <c r="BA576"/>
      <c r="BB576">
        <v>567</v>
      </c>
      <c r="BC576">
        <v>577</v>
      </c>
      <c r="BD576"/>
      <c r="BE576" t="s">
        <v>3884</v>
      </c>
      <c r="BF576" t="str">
        <f>HYPERLINK("http://dx.doi.org/10.1134/S0869864322040096","http://dx.doi.org/10.1134/S0869864322040096")</f>
        <v>http://dx.doi.org/10.1134/S0869864322040096</v>
      </c>
      <c r="BG576"/>
      <c r="BH576"/>
      <c r="BI576"/>
      <c r="BJ576"/>
      <c r="BK576"/>
      <c r="BL576"/>
      <c r="BM576"/>
      <c r="BN576"/>
      <c r="BO576"/>
      <c r="BP576"/>
      <c r="BQ576"/>
      <c r="BR576"/>
      <c r="BS576" t="s">
        <v>3885</v>
      </c>
      <c r="BT576" t="str">
        <f>HYPERLINK("https%3A%2F%2Fwww.webofscience.com%2Fwos%2Fwoscc%2Ffull-record%2FWOS:000889060400009","View Full Record in Web of Science")</f>
        <v>View Full Record in Web of Science</v>
      </c>
    </row>
    <row r="577" spans="1:75" customHeight="1" ht="12.75">
      <c r="A577" t="s">
        <v>72</v>
      </c>
      <c r="B577" t="s">
        <v>3886</v>
      </c>
      <c r="C577"/>
      <c r="D577"/>
      <c r="E577"/>
      <c r="F577" t="s">
        <v>3887</v>
      </c>
      <c r="G577"/>
      <c r="H577"/>
      <c r="I577" t="s">
        <v>3888</v>
      </c>
      <c r="J577" t="s">
        <v>516</v>
      </c>
      <c r="K577"/>
      <c r="L577"/>
      <c r="M577"/>
      <c r="N577"/>
      <c r="O577"/>
      <c r="P577"/>
      <c r="Q577"/>
      <c r="R577"/>
      <c r="S577"/>
      <c r="T577"/>
      <c r="U577"/>
      <c r="V577"/>
      <c r="W577"/>
      <c r="X577"/>
      <c r="Y577"/>
      <c r="Z577"/>
      <c r="AA577"/>
      <c r="AB577"/>
      <c r="AC577"/>
      <c r="AD577"/>
      <c r="AE577"/>
      <c r="AF577"/>
      <c r="AG577"/>
      <c r="AH577"/>
      <c r="AI577"/>
      <c r="AJ577"/>
      <c r="AK577"/>
      <c r="AL577"/>
      <c r="AM577"/>
      <c r="AN577"/>
      <c r="AO577" t="s">
        <v>519</v>
      </c>
      <c r="AP577" t="s">
        <v>520</v>
      </c>
      <c r="AQ577"/>
      <c r="AR577"/>
      <c r="AS577"/>
      <c r="AT577" t="s">
        <v>171</v>
      </c>
      <c r="AU577">
        <v>2022</v>
      </c>
      <c r="AV577"/>
      <c r="AW577">
        <v>23</v>
      </c>
      <c r="AX577"/>
      <c r="AY577"/>
      <c r="AZ577"/>
      <c r="BA577"/>
      <c r="BB577">
        <v>31</v>
      </c>
      <c r="BC577">
        <v>48</v>
      </c>
      <c r="BD577"/>
      <c r="BE577" t="s">
        <v>3889</v>
      </c>
      <c r="BF577" t="str">
        <f>HYPERLINK("http://dx.doi.org/10.17223/22274200/23/2","http://dx.doi.org/10.17223/22274200/23/2")</f>
        <v>http://dx.doi.org/10.17223/22274200/23/2</v>
      </c>
      <c r="BG577"/>
      <c r="BH577"/>
      <c r="BI577"/>
      <c r="BJ577"/>
      <c r="BK577"/>
      <c r="BL577"/>
      <c r="BM577"/>
      <c r="BN577"/>
      <c r="BO577"/>
      <c r="BP577"/>
      <c r="BQ577"/>
      <c r="BR577"/>
      <c r="BS577" t="s">
        <v>3890</v>
      </c>
      <c r="BT577" t="str">
        <f>HYPERLINK("https%3A%2F%2Fwww.webofscience.com%2Fwos%2Fwoscc%2Ffull-record%2FWOS:000869083300002","View Full Record in Web of Science")</f>
        <v>View Full Record in Web of Science</v>
      </c>
    </row>
    <row r="578" spans="1:75" customHeight="1" ht="12.75">
      <c r="A578" t="s">
        <v>72</v>
      </c>
      <c r="B578" t="s">
        <v>120</v>
      </c>
      <c r="C578"/>
      <c r="D578"/>
      <c r="E578"/>
      <c r="F578" t="s">
        <v>3891</v>
      </c>
      <c r="G578"/>
      <c r="H578"/>
      <c r="I578" t="s">
        <v>3892</v>
      </c>
      <c r="J578" t="s">
        <v>3893</v>
      </c>
      <c r="K578"/>
      <c r="L578"/>
      <c r="M578"/>
      <c r="N578"/>
      <c r="O578"/>
      <c r="P578"/>
      <c r="Q578"/>
      <c r="R578"/>
      <c r="S578"/>
      <c r="T578"/>
      <c r="U578"/>
      <c r="V578"/>
      <c r="W578"/>
      <c r="X578"/>
      <c r="Y578"/>
      <c r="Z578"/>
      <c r="AA578"/>
      <c r="AB578"/>
      <c r="AC578"/>
      <c r="AD578"/>
      <c r="AE578"/>
      <c r="AF578"/>
      <c r="AG578"/>
      <c r="AH578"/>
      <c r="AI578"/>
      <c r="AJ578"/>
      <c r="AK578"/>
      <c r="AL578"/>
      <c r="AM578"/>
      <c r="AN578"/>
      <c r="AO578" t="s">
        <v>3894</v>
      </c>
      <c r="AP578" t="s">
        <v>3895</v>
      </c>
      <c r="AQ578"/>
      <c r="AR578"/>
      <c r="AS578"/>
      <c r="AT578" t="s">
        <v>88</v>
      </c>
      <c r="AU578">
        <v>2022</v>
      </c>
      <c r="AV578">
        <v>19</v>
      </c>
      <c r="AW578">
        <v>5</v>
      </c>
      <c r="AX578"/>
      <c r="AY578"/>
      <c r="AZ578"/>
      <c r="BA578"/>
      <c r="BB578">
        <v>3481</v>
      </c>
      <c r="BC578">
        <v>3490</v>
      </c>
      <c r="BD578"/>
      <c r="BE578" t="s">
        <v>3896</v>
      </c>
      <c r="BF578" t="str">
        <f>HYPERLINK("http://dx.doi.org/10.1007/s13762-022-03971-w","http://dx.doi.org/10.1007/s13762-022-03971-w")</f>
        <v>http://dx.doi.org/10.1007/s13762-022-03971-w</v>
      </c>
      <c r="BG578"/>
      <c r="BH578" t="s">
        <v>3630</v>
      </c>
      <c r="BI578"/>
      <c r="BJ578"/>
      <c r="BK578"/>
      <c r="BL578"/>
      <c r="BM578"/>
      <c r="BN578"/>
      <c r="BO578"/>
      <c r="BP578"/>
      <c r="BQ578"/>
      <c r="BR578"/>
      <c r="BS578" t="s">
        <v>3897</v>
      </c>
      <c r="BT578" t="str">
        <f>HYPERLINK("https%3A%2F%2Fwww.webofscience.com%2Fwos%2Fwoscc%2Ffull-record%2FWOS:000753334600003","View Full Record in Web of Science")</f>
        <v>View Full Record in Web of Science</v>
      </c>
    </row>
    <row r="579" spans="1:75" customHeight="1" ht="12.75">
      <c r="A579" t="s">
        <v>72</v>
      </c>
      <c r="B579" t="s">
        <v>3898</v>
      </c>
      <c r="C579"/>
      <c r="D579"/>
      <c r="E579"/>
      <c r="F579" t="s">
        <v>3899</v>
      </c>
      <c r="G579"/>
      <c r="H579"/>
      <c r="I579" t="s">
        <v>3900</v>
      </c>
      <c r="J579" t="s">
        <v>95</v>
      </c>
      <c r="K579"/>
      <c r="L579"/>
      <c r="M579"/>
      <c r="N579"/>
      <c r="O579"/>
      <c r="P579"/>
      <c r="Q579"/>
      <c r="R579"/>
      <c r="S579"/>
      <c r="T579"/>
      <c r="U579"/>
      <c r="V579"/>
      <c r="W579"/>
      <c r="X579"/>
      <c r="Y579"/>
      <c r="Z579"/>
      <c r="AA579"/>
      <c r="AB579"/>
      <c r="AC579"/>
      <c r="AD579"/>
      <c r="AE579"/>
      <c r="AF579"/>
      <c r="AG579"/>
      <c r="AH579"/>
      <c r="AI579"/>
      <c r="AJ579"/>
      <c r="AK579"/>
      <c r="AL579"/>
      <c r="AM579"/>
      <c r="AN579"/>
      <c r="AO579" t="s">
        <v>98</v>
      </c>
      <c r="AP579" t="s">
        <v>99</v>
      </c>
      <c r="AQ579"/>
      <c r="AR579"/>
      <c r="AS579"/>
      <c r="AT579"/>
      <c r="AU579">
        <v>2022</v>
      </c>
      <c r="AV579"/>
      <c r="AW579">
        <v>1</v>
      </c>
      <c r="AX579"/>
      <c r="AY579"/>
      <c r="AZ579"/>
      <c r="BA579"/>
      <c r="BB579">
        <v>56</v>
      </c>
      <c r="BC579">
        <v>63</v>
      </c>
      <c r="BD579"/>
      <c r="BE579" t="s">
        <v>3901</v>
      </c>
      <c r="BF579" t="str">
        <f>HYPERLINK("http://dx.doi.org/10.25750/1995-4301-2022-1-056-063","http://dx.doi.org/10.25750/1995-4301-2022-1-056-063")</f>
        <v>http://dx.doi.org/10.25750/1995-4301-2022-1-056-063</v>
      </c>
      <c r="BG579"/>
      <c r="BH579"/>
      <c r="BI579"/>
      <c r="BJ579"/>
      <c r="BK579"/>
      <c r="BL579"/>
      <c r="BM579"/>
      <c r="BN579"/>
      <c r="BO579"/>
      <c r="BP579"/>
      <c r="BQ579"/>
      <c r="BR579"/>
      <c r="BS579" t="s">
        <v>3902</v>
      </c>
      <c r="BT579" t="str">
        <f>HYPERLINK("https%3A%2F%2Fwww.webofscience.com%2Fwos%2Fwoscc%2Ffull-record%2FWOS:000819811100007","View Full Record in Web of Science")</f>
        <v>View Full Record in Web of Science</v>
      </c>
    </row>
    <row r="580" spans="1:75" customHeight="1" ht="12.75">
      <c r="A580" t="s">
        <v>72</v>
      </c>
      <c r="B580" t="s">
        <v>3903</v>
      </c>
      <c r="C580"/>
      <c r="D580"/>
      <c r="E580"/>
      <c r="F580" t="s">
        <v>3904</v>
      </c>
      <c r="G580"/>
      <c r="H580"/>
      <c r="I580" t="s">
        <v>3905</v>
      </c>
      <c r="J580" t="s">
        <v>95</v>
      </c>
      <c r="K580"/>
      <c r="L580"/>
      <c r="M580"/>
      <c r="N580"/>
      <c r="O580"/>
      <c r="P580"/>
      <c r="Q580"/>
      <c r="R580"/>
      <c r="S580"/>
      <c r="T580"/>
      <c r="U580"/>
      <c r="V580"/>
      <c r="W580"/>
      <c r="X580"/>
      <c r="Y580"/>
      <c r="Z580"/>
      <c r="AA580" t="s">
        <v>3906</v>
      </c>
      <c r="AB580" t="s">
        <v>3907</v>
      </c>
      <c r="AC580"/>
      <c r="AD580"/>
      <c r="AE580"/>
      <c r="AF580"/>
      <c r="AG580"/>
      <c r="AH580"/>
      <c r="AI580"/>
      <c r="AJ580"/>
      <c r="AK580"/>
      <c r="AL580"/>
      <c r="AM580"/>
      <c r="AN580"/>
      <c r="AO580" t="s">
        <v>98</v>
      </c>
      <c r="AP580" t="s">
        <v>99</v>
      </c>
      <c r="AQ580"/>
      <c r="AR580"/>
      <c r="AS580"/>
      <c r="AT580"/>
      <c r="AU580">
        <v>2020</v>
      </c>
      <c r="AV580"/>
      <c r="AW580">
        <v>2</v>
      </c>
      <c r="AX580"/>
      <c r="AY580"/>
      <c r="AZ580"/>
      <c r="BA580"/>
      <c r="BB580">
        <v>187</v>
      </c>
      <c r="BC580">
        <v>192</v>
      </c>
      <c r="BD580"/>
      <c r="BE580" t="s">
        <v>3908</v>
      </c>
      <c r="BF580" t="str">
        <f>HYPERLINK("http://dx.doi.org/10.25750/1995-4301-2020-2-187-192","http://dx.doi.org/10.25750/1995-4301-2020-2-187-192")</f>
        <v>http://dx.doi.org/10.25750/1995-4301-2020-2-187-192</v>
      </c>
      <c r="BG580"/>
      <c r="BH580"/>
      <c r="BI580"/>
      <c r="BJ580"/>
      <c r="BK580"/>
      <c r="BL580"/>
      <c r="BM580"/>
      <c r="BN580"/>
      <c r="BO580"/>
      <c r="BP580"/>
      <c r="BQ580"/>
      <c r="BR580"/>
      <c r="BS580" t="s">
        <v>3909</v>
      </c>
      <c r="BT580" t="str">
        <f>HYPERLINK("https%3A%2F%2Fwww.webofscience.com%2Fwos%2Fwoscc%2Ffull-record%2FWOS:000545295600026","View Full Record in Web of Science")</f>
        <v>View Full Record in Web of Science</v>
      </c>
    </row>
    <row r="581" spans="1:75" customHeight="1" ht="12.75">
      <c r="A581" t="s">
        <v>72</v>
      </c>
      <c r="B581" t="s">
        <v>378</v>
      </c>
      <c r="C581"/>
      <c r="D581"/>
      <c r="E581"/>
      <c r="F581" t="s">
        <v>1226</v>
      </c>
      <c r="G581"/>
      <c r="H581"/>
      <c r="I581" t="s">
        <v>3910</v>
      </c>
      <c r="J581" t="s">
        <v>1228</v>
      </c>
      <c r="K581"/>
      <c r="L581"/>
      <c r="M581"/>
      <c r="N581"/>
      <c r="O581"/>
      <c r="P581"/>
      <c r="Q581"/>
      <c r="R581"/>
      <c r="S581"/>
      <c r="T581"/>
      <c r="U581"/>
      <c r="V581"/>
      <c r="W581"/>
      <c r="X581"/>
      <c r="Y581"/>
      <c r="Z581"/>
      <c r="AA581" t="s">
        <v>553</v>
      </c>
      <c r="AB581" t="s">
        <v>554</v>
      </c>
      <c r="AC581"/>
      <c r="AD581"/>
      <c r="AE581"/>
      <c r="AF581"/>
      <c r="AG581"/>
      <c r="AH581"/>
      <c r="AI581"/>
      <c r="AJ581"/>
      <c r="AK581"/>
      <c r="AL581"/>
      <c r="AM581"/>
      <c r="AN581"/>
      <c r="AO581" t="s">
        <v>1229</v>
      </c>
      <c r="AP581"/>
      <c r="AQ581"/>
      <c r="AR581"/>
      <c r="AS581"/>
      <c r="AT581"/>
      <c r="AU581">
        <v>2020</v>
      </c>
      <c r="AV581">
        <v>9</v>
      </c>
      <c r="AW581">
        <v>5</v>
      </c>
      <c r="AX581"/>
      <c r="AY581"/>
      <c r="AZ581"/>
      <c r="BA581"/>
      <c r="BB581">
        <v>63</v>
      </c>
      <c r="BC581">
        <v>67</v>
      </c>
      <c r="BD581"/>
      <c r="BE581"/>
      <c r="BF581"/>
      <c r="BG581"/>
      <c r="BH581"/>
      <c r="BI581"/>
      <c r="BJ581"/>
      <c r="BK581"/>
      <c r="BL581"/>
      <c r="BM581"/>
      <c r="BN581"/>
      <c r="BO581"/>
      <c r="BP581"/>
      <c r="BQ581"/>
      <c r="BR581"/>
      <c r="BS581" t="s">
        <v>3911</v>
      </c>
      <c r="BT581" t="str">
        <f>HYPERLINK("https%3A%2F%2Fwww.webofscience.com%2Fwos%2Fwoscc%2Ffull-record%2FWOS:000548170500008","View Full Record in Web of Science")</f>
        <v>View Full Record in Web of Science</v>
      </c>
    </row>
    <row r="582" spans="1:75" customHeight="1" ht="12.75">
      <c r="A582" t="s">
        <v>72</v>
      </c>
      <c r="B582" t="s">
        <v>102</v>
      </c>
      <c r="C582"/>
      <c r="D582"/>
      <c r="E582"/>
      <c r="F582" t="s">
        <v>1786</v>
      </c>
      <c r="G582"/>
      <c r="H582"/>
      <c r="I582" t="s">
        <v>3912</v>
      </c>
      <c r="J582" t="s">
        <v>105</v>
      </c>
      <c r="K582"/>
      <c r="L582"/>
      <c r="M582"/>
      <c r="N582"/>
      <c r="O582"/>
      <c r="P582"/>
      <c r="Q582"/>
      <c r="R582"/>
      <c r="S582"/>
      <c r="T582"/>
      <c r="U582"/>
      <c r="V582"/>
      <c r="W582"/>
      <c r="X582"/>
      <c r="Y582"/>
      <c r="Z582"/>
      <c r="AA582"/>
      <c r="AB582"/>
      <c r="AC582"/>
      <c r="AD582"/>
      <c r="AE582"/>
      <c r="AF582"/>
      <c r="AG582"/>
      <c r="AH582"/>
      <c r="AI582"/>
      <c r="AJ582"/>
      <c r="AK582"/>
      <c r="AL582"/>
      <c r="AM582"/>
      <c r="AN582"/>
      <c r="AO582" t="s">
        <v>106</v>
      </c>
      <c r="AP582"/>
      <c r="AQ582"/>
      <c r="AR582"/>
      <c r="AS582"/>
      <c r="AT582"/>
      <c r="AU582">
        <v>2020</v>
      </c>
      <c r="AV582"/>
      <c r="AW582">
        <v>1</v>
      </c>
      <c r="AX582"/>
      <c r="AY582"/>
      <c r="AZ582"/>
      <c r="BA582"/>
      <c r="BB582">
        <v>169</v>
      </c>
      <c r="BC582">
        <v>172</v>
      </c>
      <c r="BD582"/>
      <c r="BE582" t="s">
        <v>3913</v>
      </c>
      <c r="BF582" t="str">
        <f>HYPERLINK("http://dx.doi.org/10.28995/2073-0101-2020-1-169-179","http://dx.doi.org/10.28995/2073-0101-2020-1-169-179")</f>
        <v>http://dx.doi.org/10.28995/2073-0101-2020-1-169-179</v>
      </c>
      <c r="BG582"/>
      <c r="BH582"/>
      <c r="BI582"/>
      <c r="BJ582"/>
      <c r="BK582"/>
      <c r="BL582"/>
      <c r="BM582"/>
      <c r="BN582"/>
      <c r="BO582"/>
      <c r="BP582"/>
      <c r="BQ582"/>
      <c r="BR582"/>
      <c r="BS582" t="s">
        <v>3914</v>
      </c>
      <c r="BT582" t="str">
        <f>HYPERLINK("https%3A%2F%2Fwww.webofscience.com%2Fwos%2Fwoscc%2Ffull-record%2FWOS:000521784200013","View Full Record in Web of Science")</f>
        <v>View Full Record in Web of Science</v>
      </c>
    </row>
    <row r="583" spans="1:75" customHeight="1" ht="12.75">
      <c r="A583" t="s">
        <v>72</v>
      </c>
      <c r="B583" t="s">
        <v>3915</v>
      </c>
      <c r="C583"/>
      <c r="D583"/>
      <c r="E583"/>
      <c r="F583" t="s">
        <v>3916</v>
      </c>
      <c r="G583"/>
      <c r="H583"/>
      <c r="I583" t="s">
        <v>3917</v>
      </c>
      <c r="J583" t="s">
        <v>434</v>
      </c>
      <c r="K583"/>
      <c r="L583"/>
      <c r="M583"/>
      <c r="N583"/>
      <c r="O583"/>
      <c r="P583"/>
      <c r="Q583"/>
      <c r="R583"/>
      <c r="S583"/>
      <c r="T583"/>
      <c r="U583"/>
      <c r="V583"/>
      <c r="W583"/>
      <c r="X583"/>
      <c r="Y583"/>
      <c r="Z583"/>
      <c r="AA583" t="s">
        <v>608</v>
      </c>
      <c r="AB583" t="s">
        <v>609</v>
      </c>
      <c r="AC583"/>
      <c r="AD583"/>
      <c r="AE583"/>
      <c r="AF583"/>
      <c r="AG583"/>
      <c r="AH583"/>
      <c r="AI583"/>
      <c r="AJ583"/>
      <c r="AK583"/>
      <c r="AL583"/>
      <c r="AM583"/>
      <c r="AN583"/>
      <c r="AO583" t="s">
        <v>437</v>
      </c>
      <c r="AP583" t="s">
        <v>438</v>
      </c>
      <c r="AQ583"/>
      <c r="AR583"/>
      <c r="AS583"/>
      <c r="AT583"/>
      <c r="AU583">
        <v>2020</v>
      </c>
      <c r="AV583">
        <v>13</v>
      </c>
      <c r="AW583">
        <v>4</v>
      </c>
      <c r="AX583"/>
      <c r="AY583"/>
      <c r="AZ583"/>
      <c r="BA583"/>
      <c r="BB583">
        <v>52</v>
      </c>
      <c r="BC583">
        <v>79</v>
      </c>
      <c r="BD583"/>
      <c r="BE583" t="s">
        <v>3918</v>
      </c>
      <c r="BF583" t="str">
        <f>HYPERLINK("http://dx.doi.org/10.24833/2071-8160-2020-4-73-52-79","http://dx.doi.org/10.24833/2071-8160-2020-4-73-52-79")</f>
        <v>http://dx.doi.org/10.24833/2071-8160-2020-4-73-52-79</v>
      </c>
      <c r="BG583"/>
      <c r="BH583"/>
      <c r="BI583"/>
      <c r="BJ583"/>
      <c r="BK583"/>
      <c r="BL583"/>
      <c r="BM583"/>
      <c r="BN583"/>
      <c r="BO583"/>
      <c r="BP583"/>
      <c r="BQ583"/>
      <c r="BR583"/>
      <c r="BS583" t="s">
        <v>3919</v>
      </c>
      <c r="BT583" t="str">
        <f>HYPERLINK("https%3A%2F%2Fwww.webofscience.com%2Fwos%2Fwoscc%2Ffull-record%2FWOS:000566776900002","View Full Record in Web of Science")</f>
        <v>View Full Record in Web of Science</v>
      </c>
    </row>
    <row r="584" spans="1:75" customHeight="1" ht="12.75">
      <c r="A584" t="s">
        <v>72</v>
      </c>
      <c r="B584" t="s">
        <v>3920</v>
      </c>
      <c r="C584"/>
      <c r="D584"/>
      <c r="E584"/>
      <c r="F584" t="s">
        <v>3921</v>
      </c>
      <c r="G584"/>
      <c r="H584"/>
      <c r="I584" t="s">
        <v>3922</v>
      </c>
      <c r="J584" t="s">
        <v>95</v>
      </c>
      <c r="K584"/>
      <c r="L584"/>
      <c r="M584"/>
      <c r="N584"/>
      <c r="O584"/>
      <c r="P584"/>
      <c r="Q584"/>
      <c r="R584"/>
      <c r="S584"/>
      <c r="T584"/>
      <c r="U584"/>
      <c r="V584"/>
      <c r="W584"/>
      <c r="X584"/>
      <c r="Y584"/>
      <c r="Z584"/>
      <c r="AA584" t="s">
        <v>3923</v>
      </c>
      <c r="AB584" t="s">
        <v>3924</v>
      </c>
      <c r="AC584"/>
      <c r="AD584"/>
      <c r="AE584"/>
      <c r="AF584"/>
      <c r="AG584"/>
      <c r="AH584"/>
      <c r="AI584"/>
      <c r="AJ584"/>
      <c r="AK584"/>
      <c r="AL584"/>
      <c r="AM584"/>
      <c r="AN584"/>
      <c r="AO584" t="s">
        <v>98</v>
      </c>
      <c r="AP584" t="s">
        <v>99</v>
      </c>
      <c r="AQ584"/>
      <c r="AR584"/>
      <c r="AS584"/>
      <c r="AT584"/>
      <c r="AU584">
        <v>2019</v>
      </c>
      <c r="AV584"/>
      <c r="AW584">
        <v>1</v>
      </c>
      <c r="AX584"/>
      <c r="AY584"/>
      <c r="AZ584"/>
      <c r="BA584"/>
      <c r="BB584">
        <v>41</v>
      </c>
      <c r="BC584">
        <v>46</v>
      </c>
      <c r="BD584"/>
      <c r="BE584" t="s">
        <v>3925</v>
      </c>
      <c r="BF584" t="str">
        <f>HYPERLINK("http://dx.doi.org/10.25750/1995-4301-2019-1-041-046","http://dx.doi.org/10.25750/1995-4301-2019-1-041-046")</f>
        <v>http://dx.doi.org/10.25750/1995-4301-2019-1-041-046</v>
      </c>
      <c r="BG584"/>
      <c r="BH584"/>
      <c r="BI584"/>
      <c r="BJ584"/>
      <c r="BK584"/>
      <c r="BL584"/>
      <c r="BM584"/>
      <c r="BN584"/>
      <c r="BO584"/>
      <c r="BP584"/>
      <c r="BQ584"/>
      <c r="BR584"/>
      <c r="BS584" t="s">
        <v>3926</v>
      </c>
      <c r="BT584" t="str">
        <f>HYPERLINK("https%3A%2F%2Fwww.webofscience.com%2Fwos%2Fwoscc%2Ffull-record%2FWOS:000468565900006","View Full Record in Web of Science")</f>
        <v>View Full Record in Web of Science</v>
      </c>
    </row>
    <row r="585" spans="1:75" customHeight="1" ht="12.75">
      <c r="A585" t="s">
        <v>147</v>
      </c>
      <c r="B585" t="s">
        <v>3927</v>
      </c>
      <c r="C585"/>
      <c r="D585"/>
      <c r="E585" t="s">
        <v>210</v>
      </c>
      <c r="F585" t="s">
        <v>3928</v>
      </c>
      <c r="G585"/>
      <c r="H585"/>
      <c r="I585" t="s">
        <v>3929</v>
      </c>
      <c r="J585" t="s">
        <v>3799</v>
      </c>
      <c r="K585"/>
      <c r="L585"/>
      <c r="M585"/>
      <c r="N585"/>
      <c r="O585" t="s">
        <v>214</v>
      </c>
      <c r="P585" t="s">
        <v>820</v>
      </c>
      <c r="Q585" t="s">
        <v>156</v>
      </c>
      <c r="R585"/>
      <c r="S585"/>
      <c r="T585"/>
      <c r="U585"/>
      <c r="V585"/>
      <c r="W585"/>
      <c r="X585"/>
      <c r="Y585"/>
      <c r="Z585"/>
      <c r="AA585"/>
      <c r="AB585"/>
      <c r="AC585"/>
      <c r="AD585"/>
      <c r="AE585"/>
      <c r="AF585"/>
      <c r="AG585"/>
      <c r="AH585"/>
      <c r="AI585"/>
      <c r="AJ585"/>
      <c r="AK585"/>
      <c r="AL585"/>
      <c r="AM585"/>
      <c r="AN585"/>
      <c r="AO585"/>
      <c r="AP585"/>
      <c r="AQ585" t="s">
        <v>3802</v>
      </c>
      <c r="AR585"/>
      <c r="AS585"/>
      <c r="AT585"/>
      <c r="AU585">
        <v>2019</v>
      </c>
      <c r="AV585"/>
      <c r="AW585"/>
      <c r="AX585"/>
      <c r="AY585"/>
      <c r="AZ585"/>
      <c r="BA585"/>
      <c r="BB585"/>
      <c r="BC585"/>
      <c r="BD585"/>
      <c r="BE585"/>
      <c r="BF585"/>
      <c r="BG585"/>
      <c r="BH585"/>
      <c r="BI585"/>
      <c r="BJ585"/>
      <c r="BK585"/>
      <c r="BL585"/>
      <c r="BM585"/>
      <c r="BN585"/>
      <c r="BO585"/>
      <c r="BP585"/>
      <c r="BQ585"/>
      <c r="BR585"/>
      <c r="BS585" t="s">
        <v>3930</v>
      </c>
      <c r="BT585" t="str">
        <f>HYPERLINK("https%3A%2F%2Fwww.webofscience.com%2Fwos%2Fwoscc%2Ffull-record%2FWOS:000607240300166","View Full Record in Web of Science")</f>
        <v>View Full Record in Web of Science</v>
      </c>
    </row>
    <row r="586" spans="1:75" customHeight="1" ht="12.75">
      <c r="A586" t="s">
        <v>147</v>
      </c>
      <c r="B586" t="s">
        <v>3931</v>
      </c>
      <c r="C586"/>
      <c r="D586"/>
      <c r="E586" t="s">
        <v>210</v>
      </c>
      <c r="F586" t="s">
        <v>3932</v>
      </c>
      <c r="G586"/>
      <c r="H586"/>
      <c r="I586" t="s">
        <v>3933</v>
      </c>
      <c r="J586" t="s">
        <v>213</v>
      </c>
      <c r="K586"/>
      <c r="L586"/>
      <c r="M586"/>
      <c r="N586"/>
      <c r="O586" t="s">
        <v>214</v>
      </c>
      <c r="P586" t="s">
        <v>215</v>
      </c>
      <c r="Q586" t="s">
        <v>216</v>
      </c>
      <c r="R586"/>
      <c r="S586" t="s">
        <v>217</v>
      </c>
      <c r="T586"/>
      <c r="U586"/>
      <c r="V586"/>
      <c r="W586"/>
      <c r="X586"/>
      <c r="Y586"/>
      <c r="Z586"/>
      <c r="AA586"/>
      <c r="AB586"/>
      <c r="AC586"/>
      <c r="AD586"/>
      <c r="AE586"/>
      <c r="AF586"/>
      <c r="AG586"/>
      <c r="AH586"/>
      <c r="AI586"/>
      <c r="AJ586"/>
      <c r="AK586"/>
      <c r="AL586"/>
      <c r="AM586"/>
      <c r="AN586"/>
      <c r="AO586"/>
      <c r="AP586"/>
      <c r="AQ586" t="s">
        <v>218</v>
      </c>
      <c r="AR586"/>
      <c r="AS586"/>
      <c r="AT586"/>
      <c r="AU586">
        <v>2018</v>
      </c>
      <c r="AV586"/>
      <c r="AW586"/>
      <c r="AX586"/>
      <c r="AY586"/>
      <c r="AZ586"/>
      <c r="BA586"/>
      <c r="BB586"/>
      <c r="BC586"/>
      <c r="BD586"/>
      <c r="BE586"/>
      <c r="BF586"/>
      <c r="BG586"/>
      <c r="BH586"/>
      <c r="BI586"/>
      <c r="BJ586"/>
      <c r="BK586"/>
      <c r="BL586"/>
      <c r="BM586"/>
      <c r="BN586"/>
      <c r="BO586"/>
      <c r="BP586"/>
      <c r="BQ586"/>
      <c r="BR586"/>
      <c r="BS586" t="s">
        <v>3934</v>
      </c>
      <c r="BT586" t="str">
        <f>HYPERLINK("https%3A%2F%2Fwww.webofscience.com%2Fwos%2Fwoscc%2Ffull-record%2FWOS:000478963800091","View Full Record in Web of Science")</f>
        <v>View Full Record in Web of Science</v>
      </c>
    </row>
    <row r="587" spans="1:75" customHeight="1" ht="12.75">
      <c r="A587" t="s">
        <v>147</v>
      </c>
      <c r="B587" t="s">
        <v>3935</v>
      </c>
      <c r="C587"/>
      <c r="D587" t="s">
        <v>249</v>
      </c>
      <c r="E587"/>
      <c r="F587" t="s">
        <v>3936</v>
      </c>
      <c r="G587"/>
      <c r="H587"/>
      <c r="I587" t="s">
        <v>3937</v>
      </c>
      <c r="J587" t="s">
        <v>3582</v>
      </c>
      <c r="K587" t="s">
        <v>253</v>
      </c>
      <c r="L587"/>
      <c r="M587"/>
      <c r="N587"/>
      <c r="O587" t="s">
        <v>3583</v>
      </c>
      <c r="P587" t="s">
        <v>3584</v>
      </c>
      <c r="Q587" t="s">
        <v>256</v>
      </c>
      <c r="R587"/>
      <c r="S587" t="s">
        <v>257</v>
      </c>
      <c r="T587"/>
      <c r="U587"/>
      <c r="V587"/>
      <c r="W587"/>
      <c r="X587"/>
      <c r="Y587"/>
      <c r="Z587"/>
      <c r="AA587" t="s">
        <v>1962</v>
      </c>
      <c r="AB587" t="s">
        <v>1963</v>
      </c>
      <c r="AC587"/>
      <c r="AD587"/>
      <c r="AE587"/>
      <c r="AF587"/>
      <c r="AG587"/>
      <c r="AH587"/>
      <c r="AI587"/>
      <c r="AJ587"/>
      <c r="AK587"/>
      <c r="AL587"/>
      <c r="AM587"/>
      <c r="AN587"/>
      <c r="AO587" t="s">
        <v>259</v>
      </c>
      <c r="AP587"/>
      <c r="AQ587"/>
      <c r="AR587"/>
      <c r="AS587"/>
      <c r="AT587"/>
      <c r="AU587">
        <v>2018</v>
      </c>
      <c r="AV587">
        <v>45</v>
      </c>
      <c r="AW587"/>
      <c r="AX587"/>
      <c r="AY587"/>
      <c r="AZ587"/>
      <c r="BA587"/>
      <c r="BB587">
        <v>884</v>
      </c>
      <c r="BC587">
        <v>893</v>
      </c>
      <c r="BD587"/>
      <c r="BE587" t="s">
        <v>3938</v>
      </c>
      <c r="BF587" t="str">
        <f>HYPERLINK("http://dx.doi.org/10.15405/epsbs.2018.09.103","http://dx.doi.org/10.15405/epsbs.2018.09.103")</f>
        <v>http://dx.doi.org/10.15405/epsbs.2018.09.103</v>
      </c>
      <c r="BG587"/>
      <c r="BH587"/>
      <c r="BI587"/>
      <c r="BJ587"/>
      <c r="BK587"/>
      <c r="BL587"/>
      <c r="BM587"/>
      <c r="BN587"/>
      <c r="BO587"/>
      <c r="BP587"/>
      <c r="BQ587"/>
      <c r="BR587"/>
      <c r="BS587" t="s">
        <v>3939</v>
      </c>
      <c r="BT587" t="str">
        <f>HYPERLINK("https%3A%2F%2Fwww.webofscience.com%2Fwos%2Fwoscc%2Ffull-record%2FWOS:000472144400095","View Full Record in Web of Science")</f>
        <v>View Full Record in Web of Science</v>
      </c>
    </row>
    <row r="588" spans="1:75" customHeight="1" ht="12.75">
      <c r="A588" t="s">
        <v>72</v>
      </c>
      <c r="B588" t="s">
        <v>3940</v>
      </c>
      <c r="C588"/>
      <c r="D588"/>
      <c r="E588"/>
      <c r="F588" t="s">
        <v>3941</v>
      </c>
      <c r="G588"/>
      <c r="H588"/>
      <c r="I588" t="s">
        <v>3942</v>
      </c>
      <c r="J588" t="s">
        <v>3943</v>
      </c>
      <c r="K588"/>
      <c r="L588"/>
      <c r="M588"/>
      <c r="N588"/>
      <c r="O588"/>
      <c r="P588"/>
      <c r="Q588"/>
      <c r="R588"/>
      <c r="S588"/>
      <c r="T588"/>
      <c r="U588"/>
      <c r="V588"/>
      <c r="W588"/>
      <c r="X588"/>
      <c r="Y588"/>
      <c r="Z588"/>
      <c r="AA588" t="s">
        <v>3944</v>
      </c>
      <c r="AB588" t="s">
        <v>3945</v>
      </c>
      <c r="AC588"/>
      <c r="AD588"/>
      <c r="AE588"/>
      <c r="AF588"/>
      <c r="AG588"/>
      <c r="AH588"/>
      <c r="AI588"/>
      <c r="AJ588"/>
      <c r="AK588"/>
      <c r="AL588"/>
      <c r="AM588"/>
      <c r="AN588"/>
      <c r="AO588" t="s">
        <v>2363</v>
      </c>
      <c r="AP588" t="s">
        <v>3946</v>
      </c>
      <c r="AQ588"/>
      <c r="AR588"/>
      <c r="AS588"/>
      <c r="AT588"/>
      <c r="AU588">
        <v>2018</v>
      </c>
      <c r="AV588"/>
      <c r="AW588">
        <v>2</v>
      </c>
      <c r="AX588"/>
      <c r="AY588"/>
      <c r="AZ588"/>
      <c r="BA588"/>
      <c r="BB588">
        <v>24</v>
      </c>
      <c r="BC588">
        <v>36</v>
      </c>
      <c r="BD588"/>
      <c r="BE588"/>
      <c r="BF588"/>
      <c r="BG588"/>
      <c r="BH588"/>
      <c r="BI588"/>
      <c r="BJ588"/>
      <c r="BK588"/>
      <c r="BL588"/>
      <c r="BM588"/>
      <c r="BN588"/>
      <c r="BO588"/>
      <c r="BP588"/>
      <c r="BQ588"/>
      <c r="BR588"/>
      <c r="BS588" t="s">
        <v>3947</v>
      </c>
      <c r="BT588" t="str">
        <f>HYPERLINK("https%3A%2F%2Fwww.webofscience.com%2Fwos%2Fwoscc%2Ffull-record%2FWOS:000435214800002","View Full Record in Web of Science")</f>
        <v>View Full Record in Web of Science</v>
      </c>
    </row>
    <row r="589" spans="1:75" customHeight="1" ht="12.75">
      <c r="A589" t="s">
        <v>72</v>
      </c>
      <c r="B589" t="s">
        <v>3948</v>
      </c>
      <c r="C589"/>
      <c r="D589"/>
      <c r="E589"/>
      <c r="F589" t="s">
        <v>3949</v>
      </c>
      <c r="G589"/>
      <c r="H589"/>
      <c r="I589" t="s">
        <v>3950</v>
      </c>
      <c r="J589" t="s">
        <v>244</v>
      </c>
      <c r="K589"/>
      <c r="L589"/>
      <c r="M589"/>
      <c r="N589"/>
      <c r="O589"/>
      <c r="P589"/>
      <c r="Q589"/>
      <c r="R589"/>
      <c r="S589"/>
      <c r="T589"/>
      <c r="U589"/>
      <c r="V589"/>
      <c r="W589"/>
      <c r="X589"/>
      <c r="Y589"/>
      <c r="Z589"/>
      <c r="AA589" t="s">
        <v>782</v>
      </c>
      <c r="AB589" t="s">
        <v>783</v>
      </c>
      <c r="AC589"/>
      <c r="AD589"/>
      <c r="AE589"/>
      <c r="AF589"/>
      <c r="AG589"/>
      <c r="AH589"/>
      <c r="AI589"/>
      <c r="AJ589"/>
      <c r="AK589"/>
      <c r="AL589"/>
      <c r="AM589"/>
      <c r="AN589"/>
      <c r="AO589" t="s">
        <v>245</v>
      </c>
      <c r="AP589" t="s">
        <v>246</v>
      </c>
      <c r="AQ589"/>
      <c r="AR589"/>
      <c r="AS589"/>
      <c r="AT589"/>
      <c r="AU589">
        <v>2018</v>
      </c>
      <c r="AV589"/>
      <c r="AW589">
        <v>10</v>
      </c>
      <c r="AX589"/>
      <c r="AY589"/>
      <c r="AZ589"/>
      <c r="BA589"/>
      <c r="BB589">
        <v>145</v>
      </c>
      <c r="BC589">
        <v>161</v>
      </c>
      <c r="BD589"/>
      <c r="BE589"/>
      <c r="BF589"/>
      <c r="BG589"/>
      <c r="BH589"/>
      <c r="BI589"/>
      <c r="BJ589"/>
      <c r="BK589"/>
      <c r="BL589"/>
      <c r="BM589"/>
      <c r="BN589"/>
      <c r="BO589"/>
      <c r="BP589"/>
      <c r="BQ589"/>
      <c r="BR589"/>
      <c r="BS589" t="s">
        <v>3951</v>
      </c>
      <c r="BT589" t="str">
        <f>HYPERLINK("https%3A%2F%2Fwww.webofscience.com%2Fwos%2Fwoscc%2Ffull-record%2FWOS:000452093000013","View Full Record in Web of Science")</f>
        <v>View Full Record in Web of Science</v>
      </c>
    </row>
    <row r="590" spans="1:75" customHeight="1" ht="12.75">
      <c r="A590" t="s">
        <v>72</v>
      </c>
      <c r="B590" t="s">
        <v>3952</v>
      </c>
      <c r="C590"/>
      <c r="D590"/>
      <c r="E590"/>
      <c r="F590" t="s">
        <v>3953</v>
      </c>
      <c r="G590"/>
      <c r="H590"/>
      <c r="I590" t="s">
        <v>3954</v>
      </c>
      <c r="J590" t="s">
        <v>131</v>
      </c>
      <c r="K590"/>
      <c r="L590"/>
      <c r="M590"/>
      <c r="N590"/>
      <c r="O590"/>
      <c r="P590"/>
      <c r="Q590"/>
      <c r="R590"/>
      <c r="S590"/>
      <c r="T590"/>
      <c r="U590"/>
      <c r="V590"/>
      <c r="W590"/>
      <c r="X590"/>
      <c r="Y590"/>
      <c r="Z590"/>
      <c r="AA590" t="s">
        <v>3955</v>
      </c>
      <c r="AB590" t="s">
        <v>3956</v>
      </c>
      <c r="AC590"/>
      <c r="AD590"/>
      <c r="AE590"/>
      <c r="AF590"/>
      <c r="AG590"/>
      <c r="AH590"/>
      <c r="AI590"/>
      <c r="AJ590"/>
      <c r="AK590"/>
      <c r="AL590"/>
      <c r="AM590"/>
      <c r="AN590"/>
      <c r="AO590" t="s">
        <v>134</v>
      </c>
      <c r="AP590" t="s">
        <v>135</v>
      </c>
      <c r="AQ590"/>
      <c r="AR590"/>
      <c r="AS590"/>
      <c r="AT590"/>
      <c r="AU590">
        <v>2018</v>
      </c>
      <c r="AV590">
        <v>18</v>
      </c>
      <c r="AW590">
        <v>3</v>
      </c>
      <c r="AX590"/>
      <c r="AY590"/>
      <c r="AZ590"/>
      <c r="BA590"/>
      <c r="BB590">
        <v>120</v>
      </c>
      <c r="BC590">
        <v>134</v>
      </c>
      <c r="BD590"/>
      <c r="BE590" t="s">
        <v>3957</v>
      </c>
      <c r="BF590" t="str">
        <f>HYPERLINK("http://dx.doi.org/10.14529/hsm180312","http://dx.doi.org/10.14529/hsm180312")</f>
        <v>http://dx.doi.org/10.14529/hsm180312</v>
      </c>
      <c r="BG590"/>
      <c r="BH590"/>
      <c r="BI590"/>
      <c r="BJ590"/>
      <c r="BK590"/>
      <c r="BL590"/>
      <c r="BM590"/>
      <c r="BN590"/>
      <c r="BO590"/>
      <c r="BP590"/>
      <c r="BQ590"/>
      <c r="BR590"/>
      <c r="BS590" t="s">
        <v>3958</v>
      </c>
      <c r="BT590" t="str">
        <f>HYPERLINK("https%3A%2F%2Fwww.webofscience.com%2Fwos%2Fwoscc%2Ffull-record%2FWOS:000446135400012","View Full Record in Web of Science")</f>
        <v>View Full Record in Web of Science</v>
      </c>
    </row>
    <row r="591" spans="1:75" customHeight="1" ht="12.75">
      <c r="A591" t="s">
        <v>147</v>
      </c>
      <c r="B591" t="s">
        <v>3434</v>
      </c>
      <c r="C591"/>
      <c r="D591" t="s">
        <v>2517</v>
      </c>
      <c r="E591"/>
      <c r="F591" t="s">
        <v>3959</v>
      </c>
      <c r="G591"/>
      <c r="H591"/>
      <c r="I591" t="s">
        <v>3960</v>
      </c>
      <c r="J591" t="s">
        <v>2520</v>
      </c>
      <c r="K591" t="s">
        <v>2521</v>
      </c>
      <c r="L591"/>
      <c r="M591"/>
      <c r="N591"/>
      <c r="O591" t="s">
        <v>2522</v>
      </c>
      <c r="P591" t="s">
        <v>2523</v>
      </c>
      <c r="Q591" t="s">
        <v>2524</v>
      </c>
      <c r="R591" t="s">
        <v>2525</v>
      </c>
      <c r="S591"/>
      <c r="T591"/>
      <c r="U591"/>
      <c r="V591"/>
      <c r="W591"/>
      <c r="X591"/>
      <c r="Y591"/>
      <c r="Z591"/>
      <c r="AA591"/>
      <c r="AB591"/>
      <c r="AC591"/>
      <c r="AD591"/>
      <c r="AE591"/>
      <c r="AF591"/>
      <c r="AG591"/>
      <c r="AH591"/>
      <c r="AI591"/>
      <c r="AJ591"/>
      <c r="AK591"/>
      <c r="AL591"/>
      <c r="AM591"/>
      <c r="AN591"/>
      <c r="AO591" t="s">
        <v>2527</v>
      </c>
      <c r="AP591" t="s">
        <v>2528</v>
      </c>
      <c r="AQ591"/>
      <c r="AR591"/>
      <c r="AS591"/>
      <c r="AT591"/>
      <c r="AU591">
        <v>2018</v>
      </c>
      <c r="AV591"/>
      <c r="AW591"/>
      <c r="AX591"/>
      <c r="AY591"/>
      <c r="AZ591"/>
      <c r="BA591"/>
      <c r="BB591">
        <v>1121</v>
      </c>
      <c r="BC591">
        <v>1124</v>
      </c>
      <c r="BD591"/>
      <c r="BE591" t="s">
        <v>3961</v>
      </c>
      <c r="BF591" t="str">
        <f>HYPERLINK("http://dx.doi.org/10.22616/ERDev2018.17.N217","http://dx.doi.org/10.22616/ERDev2018.17.N217")</f>
        <v>http://dx.doi.org/10.22616/ERDev2018.17.N217</v>
      </c>
      <c r="BG591"/>
      <c r="BH591"/>
      <c r="BI591"/>
      <c r="BJ591"/>
      <c r="BK591"/>
      <c r="BL591"/>
      <c r="BM591"/>
      <c r="BN591"/>
      <c r="BO591"/>
      <c r="BP591"/>
      <c r="BQ591"/>
      <c r="BR591"/>
      <c r="BS591" t="s">
        <v>3962</v>
      </c>
      <c r="BT591" t="str">
        <f>HYPERLINK("https%3A%2F%2Fwww.webofscience.com%2Fwos%2Fwoscc%2Ffull-record%2FWOS:000805412200171","View Full Record in Web of Science")</f>
        <v>View Full Record in Web of Science</v>
      </c>
    </row>
    <row r="592" spans="1:75" customHeight="1" ht="12.75">
      <c r="A592" t="s">
        <v>147</v>
      </c>
      <c r="B592" t="s">
        <v>3963</v>
      </c>
      <c r="C592"/>
      <c r="D592"/>
      <c r="E592" t="s">
        <v>210</v>
      </c>
      <c r="F592" t="s">
        <v>3964</v>
      </c>
      <c r="G592"/>
      <c r="H592"/>
      <c r="I592" t="s">
        <v>3965</v>
      </c>
      <c r="J592" t="s">
        <v>1261</v>
      </c>
      <c r="K592"/>
      <c r="L592"/>
      <c r="M592"/>
      <c r="N592"/>
      <c r="O592" t="s">
        <v>214</v>
      </c>
      <c r="P592" t="s">
        <v>909</v>
      </c>
      <c r="Q592" t="s">
        <v>910</v>
      </c>
      <c r="R592" t="s">
        <v>1262</v>
      </c>
      <c r="S592"/>
      <c r="T592"/>
      <c r="U592"/>
      <c r="V592"/>
      <c r="W592"/>
      <c r="X592"/>
      <c r="Y592"/>
      <c r="Z592"/>
      <c r="AA592"/>
      <c r="AB592"/>
      <c r="AC592"/>
      <c r="AD592"/>
      <c r="AE592"/>
      <c r="AF592"/>
      <c r="AG592"/>
      <c r="AH592"/>
      <c r="AI592"/>
      <c r="AJ592"/>
      <c r="AK592"/>
      <c r="AL592"/>
      <c r="AM592"/>
      <c r="AN592"/>
      <c r="AO592"/>
      <c r="AP592"/>
      <c r="AQ592" t="s">
        <v>1263</v>
      </c>
      <c r="AR592"/>
      <c r="AS592"/>
      <c r="AT592"/>
      <c r="AU592">
        <v>2017</v>
      </c>
      <c r="AV592"/>
      <c r="AW592"/>
      <c r="AX592"/>
      <c r="AY592"/>
      <c r="AZ592"/>
      <c r="BA592"/>
      <c r="BB592"/>
      <c r="BC592"/>
      <c r="BD592"/>
      <c r="BE592"/>
      <c r="BF592"/>
      <c r="BG592"/>
      <c r="BH592"/>
      <c r="BI592"/>
      <c r="BJ592"/>
      <c r="BK592"/>
      <c r="BL592"/>
      <c r="BM592"/>
      <c r="BN592"/>
      <c r="BO592"/>
      <c r="BP592"/>
      <c r="BQ592"/>
      <c r="BR592"/>
      <c r="BS592" t="s">
        <v>3966</v>
      </c>
      <c r="BT592" t="str">
        <f>HYPERLINK("https%3A%2F%2Fwww.webofscience.com%2Fwos%2Fwoscc%2Ffull-record%2FWOS:000414282400252","View Full Record in Web of Science")</f>
        <v>View Full Record in Web of Science</v>
      </c>
    </row>
    <row r="593" spans="1:75" customHeight="1" ht="12.75">
      <c r="A593" t="s">
        <v>147</v>
      </c>
      <c r="B593" t="s">
        <v>3967</v>
      </c>
      <c r="C593"/>
      <c r="D593" t="s">
        <v>3968</v>
      </c>
      <c r="E593"/>
      <c r="F593" t="s">
        <v>3969</v>
      </c>
      <c r="G593"/>
      <c r="H593"/>
      <c r="I593" t="s">
        <v>3970</v>
      </c>
      <c r="J593" t="s">
        <v>3971</v>
      </c>
      <c r="K593" t="s">
        <v>1669</v>
      </c>
      <c r="L593"/>
      <c r="M593"/>
      <c r="N593"/>
      <c r="O593" t="s">
        <v>3972</v>
      </c>
      <c r="P593" t="s">
        <v>3973</v>
      </c>
      <c r="Q593" t="s">
        <v>746</v>
      </c>
      <c r="R593" t="s">
        <v>3974</v>
      </c>
      <c r="S593"/>
      <c r="T593"/>
      <c r="U593"/>
      <c r="V593"/>
      <c r="W593"/>
      <c r="X593"/>
      <c r="Y593"/>
      <c r="Z593"/>
      <c r="AA593" t="s">
        <v>934</v>
      </c>
      <c r="AB593" t="s">
        <v>935</v>
      </c>
      <c r="AC593"/>
      <c r="AD593"/>
      <c r="AE593"/>
      <c r="AF593"/>
      <c r="AG593"/>
      <c r="AH593"/>
      <c r="AI593"/>
      <c r="AJ593"/>
      <c r="AK593"/>
      <c r="AL593"/>
      <c r="AM593"/>
      <c r="AN593"/>
      <c r="AO593" t="s">
        <v>1675</v>
      </c>
      <c r="AP593" t="s">
        <v>1676</v>
      </c>
      <c r="AQ593" t="s">
        <v>3975</v>
      </c>
      <c r="AR593"/>
      <c r="AS593"/>
      <c r="AT593"/>
      <c r="AU593">
        <v>2016</v>
      </c>
      <c r="AV593">
        <v>687</v>
      </c>
      <c r="AW593"/>
      <c r="AX593"/>
      <c r="AY593"/>
      <c r="AZ593"/>
      <c r="BA593"/>
      <c r="BB593">
        <v>172</v>
      </c>
      <c r="BC593">
        <v>184</v>
      </c>
      <c r="BD593"/>
      <c r="BE593" t="s">
        <v>3976</v>
      </c>
      <c r="BF593" t="str">
        <f>HYPERLINK("http://dx.doi.org/10.1007/978-3-319-55669-7_14","http://dx.doi.org/10.1007/978-3-319-55669-7_14")</f>
        <v>http://dx.doi.org/10.1007/978-3-319-55669-7_14</v>
      </c>
      <c r="BG593"/>
      <c r="BH593"/>
      <c r="BI593"/>
      <c r="BJ593"/>
      <c r="BK593"/>
      <c r="BL593"/>
      <c r="BM593"/>
      <c r="BN593"/>
      <c r="BO593"/>
      <c r="BP593"/>
      <c r="BQ593"/>
      <c r="BR593"/>
      <c r="BS593" t="s">
        <v>3977</v>
      </c>
      <c r="BT593" t="str">
        <f>HYPERLINK("https%3A%2F%2Fwww.webofscience.com%2Fwos%2Fwoscc%2Ffull-record%2FWOS:000429275000014","View Full Record in Web of Science")</f>
        <v>View Full Record in Web of Science</v>
      </c>
    </row>
    <row r="594" spans="1:75" customHeight="1" ht="12.75">
      <c r="A594" t="s">
        <v>147</v>
      </c>
      <c r="B594" t="s">
        <v>3978</v>
      </c>
      <c r="C594"/>
      <c r="D594" t="s">
        <v>903</v>
      </c>
      <c r="E594"/>
      <c r="F594" t="s">
        <v>3979</v>
      </c>
      <c r="G594"/>
      <c r="H594"/>
      <c r="I594" t="s">
        <v>3980</v>
      </c>
      <c r="J594" t="s">
        <v>3981</v>
      </c>
      <c r="K594" t="s">
        <v>907</v>
      </c>
      <c r="L594"/>
      <c r="M594"/>
      <c r="N594"/>
      <c r="O594" t="s">
        <v>3982</v>
      </c>
      <c r="P594" t="s">
        <v>1541</v>
      </c>
      <c r="Q594" t="s">
        <v>1542</v>
      </c>
      <c r="R594" t="s">
        <v>3983</v>
      </c>
      <c r="S594"/>
      <c r="T594"/>
      <c r="U594"/>
      <c r="V594"/>
      <c r="W594"/>
      <c r="X594"/>
      <c r="Y594"/>
      <c r="Z594"/>
      <c r="AA594" t="s">
        <v>1609</v>
      </c>
      <c r="AB594" t="s">
        <v>1610</v>
      </c>
      <c r="AC594"/>
      <c r="AD594"/>
      <c r="AE594"/>
      <c r="AF594"/>
      <c r="AG594"/>
      <c r="AH594"/>
      <c r="AI594"/>
      <c r="AJ594"/>
      <c r="AK594"/>
      <c r="AL594"/>
      <c r="AM594"/>
      <c r="AN594"/>
      <c r="AO594" t="s">
        <v>912</v>
      </c>
      <c r="AP594"/>
      <c r="AQ594"/>
      <c r="AR594"/>
      <c r="AS594"/>
      <c r="AT594"/>
      <c r="AU594">
        <v>2016</v>
      </c>
      <c r="AV594">
        <v>150</v>
      </c>
      <c r="AW594"/>
      <c r="AX594"/>
      <c r="AY594"/>
      <c r="AZ594"/>
      <c r="BA594"/>
      <c r="BB594">
        <v>1209</v>
      </c>
      <c r="BC594">
        <v>1214</v>
      </c>
      <c r="BD594"/>
      <c r="BE594" t="s">
        <v>3984</v>
      </c>
      <c r="BF594" t="str">
        <f>HYPERLINK("http://dx.doi.org/10.1016/j.proeng.2016.07.237","http://dx.doi.org/10.1016/j.proeng.2016.07.237")</f>
        <v>http://dx.doi.org/10.1016/j.proeng.2016.07.237</v>
      </c>
      <c r="BG594"/>
      <c r="BH594"/>
      <c r="BI594"/>
      <c r="BJ594"/>
      <c r="BK594"/>
      <c r="BL594"/>
      <c r="BM594"/>
      <c r="BN594"/>
      <c r="BO594"/>
      <c r="BP594"/>
      <c r="BQ594"/>
      <c r="BR594"/>
      <c r="BS594" t="s">
        <v>3985</v>
      </c>
      <c r="BT594" t="str">
        <f>HYPERLINK("https%3A%2F%2Fwww.webofscience.com%2Fwos%2Fwoscc%2Ffull-record%2FWOS:000387965000183","View Full Record in Web of Science")</f>
        <v>View Full Record in Web of Science</v>
      </c>
    </row>
    <row r="595" spans="1:75" customHeight="1" ht="12.75">
      <c r="A595" t="s">
        <v>147</v>
      </c>
      <c r="B595" t="s">
        <v>568</v>
      </c>
      <c r="C595"/>
      <c r="D595" t="s">
        <v>739</v>
      </c>
      <c r="E595"/>
      <c r="F595" t="s">
        <v>2012</v>
      </c>
      <c r="G595"/>
      <c r="H595"/>
      <c r="I595" t="s">
        <v>3986</v>
      </c>
      <c r="J595" t="s">
        <v>742</v>
      </c>
      <c r="K595" t="s">
        <v>743</v>
      </c>
      <c r="L595"/>
      <c r="M595"/>
      <c r="N595"/>
      <c r="O595" t="s">
        <v>744</v>
      </c>
      <c r="P595" t="s">
        <v>745</v>
      </c>
      <c r="Q595" t="s">
        <v>746</v>
      </c>
      <c r="R595" t="s">
        <v>747</v>
      </c>
      <c r="S595"/>
      <c r="T595"/>
      <c r="U595"/>
      <c r="V595"/>
      <c r="W595"/>
      <c r="X595"/>
      <c r="Y595"/>
      <c r="Z595"/>
      <c r="AA595" t="s">
        <v>3987</v>
      </c>
      <c r="AB595" t="s">
        <v>2048</v>
      </c>
      <c r="AC595"/>
      <c r="AD595"/>
      <c r="AE595"/>
      <c r="AF595"/>
      <c r="AG595"/>
      <c r="AH595"/>
      <c r="AI595"/>
      <c r="AJ595"/>
      <c r="AK595"/>
      <c r="AL595"/>
      <c r="AM595"/>
      <c r="AN595"/>
      <c r="AO595" t="s">
        <v>748</v>
      </c>
      <c r="AP595"/>
      <c r="AQ595" t="s">
        <v>749</v>
      </c>
      <c r="AR595"/>
      <c r="AS595"/>
      <c r="AT595"/>
      <c r="AU595">
        <v>2016</v>
      </c>
      <c r="AV595"/>
      <c r="AW595"/>
      <c r="AX595"/>
      <c r="AY595"/>
      <c r="AZ595"/>
      <c r="BA595"/>
      <c r="BB595"/>
      <c r="BC595"/>
      <c r="BD595"/>
      <c r="BE595"/>
      <c r="BF595"/>
      <c r="BG595"/>
      <c r="BH595"/>
      <c r="BI595"/>
      <c r="BJ595"/>
      <c r="BK595"/>
      <c r="BL595"/>
      <c r="BM595"/>
      <c r="BN595"/>
      <c r="BO595"/>
      <c r="BP595"/>
      <c r="BQ595"/>
      <c r="BR595"/>
      <c r="BS595" t="s">
        <v>3988</v>
      </c>
      <c r="BT595" t="str">
        <f>HYPERLINK("https%3A%2F%2Fwww.webofscience.com%2Fwos%2Fwoscc%2Ffull-record%2FWOS:000383090900161","View Full Record in Web of Science")</f>
        <v>View Full Record in Web of Science</v>
      </c>
    </row>
    <row r="596" spans="1:75" customHeight="1" ht="12.75">
      <c r="A596" t="s">
        <v>147</v>
      </c>
      <c r="B596" t="s">
        <v>568</v>
      </c>
      <c r="C596"/>
      <c r="D596"/>
      <c r="E596" t="s">
        <v>210</v>
      </c>
      <c r="F596" t="s">
        <v>2012</v>
      </c>
      <c r="G596"/>
      <c r="H596"/>
      <c r="I596" t="s">
        <v>3989</v>
      </c>
      <c r="J596" t="s">
        <v>2832</v>
      </c>
      <c r="K596"/>
      <c r="L596"/>
      <c r="M596"/>
      <c r="N596"/>
      <c r="O596" t="s">
        <v>744</v>
      </c>
      <c r="P596" t="s">
        <v>2833</v>
      </c>
      <c r="Q596" t="s">
        <v>888</v>
      </c>
      <c r="R596" t="s">
        <v>2834</v>
      </c>
      <c r="S596"/>
      <c r="T596"/>
      <c r="U596"/>
      <c r="V596"/>
      <c r="W596"/>
      <c r="X596"/>
      <c r="Y596"/>
      <c r="Z596"/>
      <c r="AA596" t="s">
        <v>3990</v>
      </c>
      <c r="AB596" t="s">
        <v>3991</v>
      </c>
      <c r="AC596"/>
      <c r="AD596"/>
      <c r="AE596"/>
      <c r="AF596"/>
      <c r="AG596"/>
      <c r="AH596"/>
      <c r="AI596"/>
      <c r="AJ596"/>
      <c r="AK596"/>
      <c r="AL596"/>
      <c r="AM596"/>
      <c r="AN596"/>
      <c r="AO596"/>
      <c r="AP596"/>
      <c r="AQ596" t="s">
        <v>2835</v>
      </c>
      <c r="AR596"/>
      <c r="AS596"/>
      <c r="AT596"/>
      <c r="AU596">
        <v>2015</v>
      </c>
      <c r="AV596"/>
      <c r="AW596"/>
      <c r="AX596"/>
      <c r="AY596"/>
      <c r="AZ596"/>
      <c r="BA596"/>
      <c r="BB596"/>
      <c r="BC596"/>
      <c r="BD596"/>
      <c r="BE596"/>
      <c r="BF596"/>
      <c r="BG596"/>
      <c r="BH596"/>
      <c r="BI596"/>
      <c r="BJ596"/>
      <c r="BK596"/>
      <c r="BL596"/>
      <c r="BM596"/>
      <c r="BN596"/>
      <c r="BO596"/>
      <c r="BP596"/>
      <c r="BQ596"/>
      <c r="BR596"/>
      <c r="BS596" t="s">
        <v>3992</v>
      </c>
      <c r="BT596" t="str">
        <f>HYPERLINK("https%3A%2F%2Fwww.webofscience.com%2Fwos%2Fwoscc%2Ffull-record%2FWOS:000380571600163","View Full Record in Web of Science")</f>
        <v>View Full Record in Web of Science</v>
      </c>
    </row>
    <row r="597" spans="1:75" customHeight="1" ht="12.75">
      <c r="A597" t="s">
        <v>72</v>
      </c>
      <c r="B597" t="s">
        <v>3993</v>
      </c>
      <c r="C597"/>
      <c r="D597"/>
      <c r="E597"/>
      <c r="F597" t="s">
        <v>3994</v>
      </c>
      <c r="G597"/>
      <c r="H597"/>
      <c r="I597" t="s">
        <v>3995</v>
      </c>
      <c r="J597" t="s">
        <v>3996</v>
      </c>
      <c r="K597"/>
      <c r="L597"/>
      <c r="M597"/>
      <c r="N597"/>
      <c r="O597"/>
      <c r="P597"/>
      <c r="Q597"/>
      <c r="R597"/>
      <c r="S597"/>
      <c r="T597"/>
      <c r="U597"/>
      <c r="V597"/>
      <c r="W597"/>
      <c r="X597"/>
      <c r="Y597"/>
      <c r="Z597"/>
      <c r="AA597" t="s">
        <v>3997</v>
      </c>
      <c r="AB597" t="s">
        <v>3998</v>
      </c>
      <c r="AC597"/>
      <c r="AD597"/>
      <c r="AE597"/>
      <c r="AF597"/>
      <c r="AG597"/>
      <c r="AH597"/>
      <c r="AI597"/>
      <c r="AJ597"/>
      <c r="AK597"/>
      <c r="AL597"/>
      <c r="AM597"/>
      <c r="AN597"/>
      <c r="AO597" t="s">
        <v>3999</v>
      </c>
      <c r="AP597" t="s">
        <v>4000</v>
      </c>
      <c r="AQ597"/>
      <c r="AR597"/>
      <c r="AS597"/>
      <c r="AT597" t="s">
        <v>830</v>
      </c>
      <c r="AU597">
        <v>2014</v>
      </c>
      <c r="AV597">
        <v>157</v>
      </c>
      <c r="AW597">
        <v>5</v>
      </c>
      <c r="AX597"/>
      <c r="AY597"/>
      <c r="AZ597"/>
      <c r="BA597"/>
      <c r="BB597">
        <v>592</v>
      </c>
      <c r="BC597">
        <v>596</v>
      </c>
      <c r="BD597"/>
      <c r="BE597" t="s">
        <v>4001</v>
      </c>
      <c r="BF597" t="str">
        <f>HYPERLINK("http://dx.doi.org/10.1007/s10517-014-2623-9","http://dx.doi.org/10.1007/s10517-014-2623-9")</f>
        <v>http://dx.doi.org/10.1007/s10517-014-2623-9</v>
      </c>
      <c r="BG597"/>
      <c r="BH597"/>
      <c r="BI597"/>
      <c r="BJ597"/>
      <c r="BK597"/>
      <c r="BL597"/>
      <c r="BM597"/>
      <c r="BN597">
        <v>25257421</v>
      </c>
      <c r="BO597"/>
      <c r="BP597"/>
      <c r="BQ597"/>
      <c r="BR597"/>
      <c r="BS597" t="s">
        <v>4002</v>
      </c>
      <c r="BT597" t="str">
        <f>HYPERLINK("https%3A%2F%2Fwww.webofscience.com%2Fwos%2Fwoscc%2Ffull-record%2FWOS:000343135900015","View Full Record in Web of Science")</f>
        <v>View Full Record in Web of Science</v>
      </c>
    </row>
    <row r="598" spans="1:75" customHeight="1" ht="12.75">
      <c r="A598" t="s">
        <v>72</v>
      </c>
      <c r="B598" t="s">
        <v>4003</v>
      </c>
      <c r="C598"/>
      <c r="D598"/>
      <c r="E598"/>
      <c r="F598" t="s">
        <v>4004</v>
      </c>
      <c r="G598"/>
      <c r="H598"/>
      <c r="I598" t="s">
        <v>4005</v>
      </c>
      <c r="J598" t="s">
        <v>2004</v>
      </c>
      <c r="K598"/>
      <c r="L598"/>
      <c r="M598"/>
      <c r="N598"/>
      <c r="O598"/>
      <c r="P598"/>
      <c r="Q598"/>
      <c r="R598"/>
      <c r="S598"/>
      <c r="T598"/>
      <c r="U598"/>
      <c r="V598"/>
      <c r="W598"/>
      <c r="X598"/>
      <c r="Y598"/>
      <c r="Z598"/>
      <c r="AA598" t="s">
        <v>1024</v>
      </c>
      <c r="AB598" t="s">
        <v>1025</v>
      </c>
      <c r="AC598"/>
      <c r="AD598"/>
      <c r="AE598"/>
      <c r="AF598"/>
      <c r="AG598"/>
      <c r="AH598"/>
      <c r="AI598"/>
      <c r="AJ598"/>
      <c r="AK598"/>
      <c r="AL598"/>
      <c r="AM598"/>
      <c r="AN598"/>
      <c r="AO598" t="s">
        <v>2007</v>
      </c>
      <c r="AP598" t="s">
        <v>2008</v>
      </c>
      <c r="AQ598"/>
      <c r="AR598"/>
      <c r="AS598"/>
      <c r="AT598" t="s">
        <v>403</v>
      </c>
      <c r="AU598">
        <v>2013</v>
      </c>
      <c r="AV598">
        <v>53</v>
      </c>
      <c r="AW598">
        <v>7</v>
      </c>
      <c r="AX598"/>
      <c r="AY598"/>
      <c r="AZ598"/>
      <c r="BA598"/>
      <c r="BB598">
        <v>494</v>
      </c>
      <c r="BC598">
        <v>499</v>
      </c>
      <c r="BD598"/>
      <c r="BE598" t="s">
        <v>4006</v>
      </c>
      <c r="BF598" t="str">
        <f>HYPERLINK("http://dx.doi.org/10.1134/S0965544113070165","http://dx.doi.org/10.1134/S0965544113070165")</f>
        <v>http://dx.doi.org/10.1134/S0965544113070165</v>
      </c>
      <c r="BG598"/>
      <c r="BH598"/>
      <c r="BI598"/>
      <c r="BJ598"/>
      <c r="BK598"/>
      <c r="BL598"/>
      <c r="BM598"/>
      <c r="BN598"/>
      <c r="BO598"/>
      <c r="BP598"/>
      <c r="BQ598"/>
      <c r="BR598"/>
      <c r="BS598" t="s">
        <v>4007</v>
      </c>
      <c r="BT598" t="str">
        <f>HYPERLINK("https%3A%2F%2Fwww.webofscience.com%2Fwos%2Fwoscc%2Ffull-record%2FWOS:000327218300009","View Full Record in Web of Science")</f>
        <v>View Full Record in Web of Science</v>
      </c>
    </row>
    <row r="599" spans="1:75" customHeight="1" ht="12.75">
      <c r="A599" t="s">
        <v>72</v>
      </c>
      <c r="B599" t="s">
        <v>3608</v>
      </c>
      <c r="C599"/>
      <c r="D599"/>
      <c r="E599"/>
      <c r="F599" t="s">
        <v>4008</v>
      </c>
      <c r="G599"/>
      <c r="H599"/>
      <c r="I599" t="s">
        <v>4009</v>
      </c>
      <c r="J599" t="s">
        <v>3610</v>
      </c>
      <c r="K599"/>
      <c r="L599"/>
      <c r="M599"/>
      <c r="N599"/>
      <c r="O599"/>
      <c r="P599"/>
      <c r="Q599"/>
      <c r="R599"/>
      <c r="S599"/>
      <c r="T599"/>
      <c r="U599"/>
      <c r="V599"/>
      <c r="W599"/>
      <c r="X599"/>
      <c r="Y599"/>
      <c r="Z599"/>
      <c r="AA599" t="s">
        <v>3611</v>
      </c>
      <c r="AB599" t="s">
        <v>3612</v>
      </c>
      <c r="AC599"/>
      <c r="AD599"/>
      <c r="AE599"/>
      <c r="AF599"/>
      <c r="AG599"/>
      <c r="AH599"/>
      <c r="AI599"/>
      <c r="AJ599"/>
      <c r="AK599"/>
      <c r="AL599"/>
      <c r="AM599"/>
      <c r="AN599"/>
      <c r="AO599" t="s">
        <v>3613</v>
      </c>
      <c r="AP599"/>
      <c r="AQ599"/>
      <c r="AR599"/>
      <c r="AS599"/>
      <c r="AT599" t="s">
        <v>319</v>
      </c>
      <c r="AU599">
        <v>2012</v>
      </c>
      <c r="AV599">
        <v>45</v>
      </c>
      <c r="AW599">
        <v>11</v>
      </c>
      <c r="AX599"/>
      <c r="AY599"/>
      <c r="AZ599"/>
      <c r="BA599"/>
      <c r="BB599">
        <v>1013</v>
      </c>
      <c r="BC599">
        <v>1022</v>
      </c>
      <c r="BD599"/>
      <c r="BE599" t="s">
        <v>4010</v>
      </c>
      <c r="BF599" t="str">
        <f>HYPERLINK("http://dx.doi.org/10.1134/S1064229312110075","http://dx.doi.org/10.1134/S1064229312110075")</f>
        <v>http://dx.doi.org/10.1134/S1064229312110075</v>
      </c>
      <c r="BG599"/>
      <c r="BH599"/>
      <c r="BI599"/>
      <c r="BJ599"/>
      <c r="BK599"/>
      <c r="BL599"/>
      <c r="BM599"/>
      <c r="BN599"/>
      <c r="BO599"/>
      <c r="BP599"/>
      <c r="BQ599"/>
      <c r="BR599"/>
      <c r="BS599" t="s">
        <v>4011</v>
      </c>
      <c r="BT599" t="str">
        <f>HYPERLINK("https%3A%2F%2Fwww.webofscience.com%2Fwos%2Fwoscc%2Ffull-record%2FWOS:000310830000002","View Full Record in Web of Science")</f>
        <v>View Full Record in Web of Science</v>
      </c>
    </row>
    <row r="600" spans="1:75" customHeight="1" ht="12.75">
      <c r="A600" t="s">
        <v>72</v>
      </c>
      <c r="B600" t="s">
        <v>2437</v>
      </c>
      <c r="C600"/>
      <c r="D600"/>
      <c r="E600"/>
      <c r="F600" t="s">
        <v>4012</v>
      </c>
      <c r="G600"/>
      <c r="H600"/>
      <c r="I600" t="s">
        <v>4013</v>
      </c>
      <c r="J600" t="s">
        <v>940</v>
      </c>
      <c r="K600"/>
      <c r="L600"/>
      <c r="M600"/>
      <c r="N600"/>
      <c r="O600"/>
      <c r="P600"/>
      <c r="Q600"/>
      <c r="R600"/>
      <c r="S600"/>
      <c r="T600"/>
      <c r="U600"/>
      <c r="V600"/>
      <c r="W600"/>
      <c r="X600"/>
      <c r="Y600"/>
      <c r="Z600"/>
      <c r="AA600"/>
      <c r="AB600"/>
      <c r="AC600"/>
      <c r="AD600"/>
      <c r="AE600"/>
      <c r="AF600"/>
      <c r="AG600"/>
      <c r="AH600"/>
      <c r="AI600"/>
      <c r="AJ600"/>
      <c r="AK600"/>
      <c r="AL600"/>
      <c r="AM600"/>
      <c r="AN600"/>
      <c r="AO600" t="s">
        <v>943</v>
      </c>
      <c r="AP600"/>
      <c r="AQ600"/>
      <c r="AR600"/>
      <c r="AS600"/>
      <c r="AT600" t="s">
        <v>830</v>
      </c>
      <c r="AU600">
        <v>2012</v>
      </c>
      <c r="AV600">
        <v>54</v>
      </c>
      <c r="AW600" t="s">
        <v>994</v>
      </c>
      <c r="AX600"/>
      <c r="AY600"/>
      <c r="AZ600"/>
      <c r="BA600"/>
      <c r="BB600">
        <v>249</v>
      </c>
      <c r="BC600">
        <v>252</v>
      </c>
      <c r="BD600"/>
      <c r="BE600" t="s">
        <v>4014</v>
      </c>
      <c r="BF600" t="str">
        <f>HYPERLINK("http://dx.doi.org/10.1007/s11041-012-9491-6","http://dx.doi.org/10.1007/s11041-012-9491-6")</f>
        <v>http://dx.doi.org/10.1007/s11041-012-9491-6</v>
      </c>
      <c r="BG600"/>
      <c r="BH600"/>
      <c r="BI600"/>
      <c r="BJ600"/>
      <c r="BK600"/>
      <c r="BL600"/>
      <c r="BM600"/>
      <c r="BN600"/>
      <c r="BO600"/>
      <c r="BP600"/>
      <c r="BQ600"/>
      <c r="BR600"/>
      <c r="BS600" t="s">
        <v>4015</v>
      </c>
      <c r="BT600" t="str">
        <f>HYPERLINK("https%3A%2F%2Fwww.webofscience.com%2Fwos%2Fwoscc%2Ffull-record%2FWOS:000314271400009","View Full Record in Web of Science")</f>
        <v>View Full Record in Web of Science</v>
      </c>
    </row>
    <row r="601" spans="1:75" customHeight="1" ht="12.75">
      <c r="A601" t="s">
        <v>72</v>
      </c>
      <c r="B601" t="s">
        <v>4016</v>
      </c>
      <c r="C601"/>
      <c r="D601"/>
      <c r="E601"/>
      <c r="F601" t="s">
        <v>4017</v>
      </c>
      <c r="G601"/>
      <c r="H601"/>
      <c r="I601" t="s">
        <v>4018</v>
      </c>
      <c r="J601" t="s">
        <v>1401</v>
      </c>
      <c r="K601"/>
      <c r="L601"/>
      <c r="M601"/>
      <c r="N601"/>
      <c r="O601"/>
      <c r="P601"/>
      <c r="Q601"/>
      <c r="R601"/>
      <c r="S601"/>
      <c r="T601"/>
      <c r="U601"/>
      <c r="V601"/>
      <c r="W601"/>
      <c r="X601"/>
      <c r="Y601"/>
      <c r="Z601"/>
      <c r="AA601" t="s">
        <v>3750</v>
      </c>
      <c r="AB601" t="s">
        <v>3213</v>
      </c>
      <c r="AC601"/>
      <c r="AD601"/>
      <c r="AE601"/>
      <c r="AF601"/>
      <c r="AG601"/>
      <c r="AH601"/>
      <c r="AI601"/>
      <c r="AJ601"/>
      <c r="AK601"/>
      <c r="AL601"/>
      <c r="AM601"/>
      <c r="AN601"/>
      <c r="AO601" t="s">
        <v>1404</v>
      </c>
      <c r="AP601"/>
      <c r="AQ601"/>
      <c r="AR601"/>
      <c r="AS601"/>
      <c r="AT601" t="s">
        <v>198</v>
      </c>
      <c r="AU601">
        <v>2008</v>
      </c>
      <c r="AV601">
        <v>47</v>
      </c>
      <c r="AW601">
        <v>2</v>
      </c>
      <c r="AX601"/>
      <c r="AY601"/>
      <c r="AZ601"/>
      <c r="BA601"/>
      <c r="BB601">
        <v>245</v>
      </c>
      <c r="BC601">
        <v>251</v>
      </c>
      <c r="BD601"/>
      <c r="BE601" t="s">
        <v>4019</v>
      </c>
      <c r="BF601" t="str">
        <f>HYPERLINK("http://dx.doi.org/10.1134/S1064230708020111","http://dx.doi.org/10.1134/S1064230708020111")</f>
        <v>http://dx.doi.org/10.1134/S1064230708020111</v>
      </c>
      <c r="BG601"/>
      <c r="BH601"/>
      <c r="BI601"/>
      <c r="BJ601"/>
      <c r="BK601"/>
      <c r="BL601"/>
      <c r="BM601"/>
      <c r="BN601"/>
      <c r="BO601"/>
      <c r="BP601"/>
      <c r="BQ601"/>
      <c r="BR601"/>
      <c r="BS601" t="s">
        <v>4020</v>
      </c>
      <c r="BT601" t="str">
        <f>HYPERLINK("https%3A%2F%2Fwww.webofscience.com%2Fwos%2Fwoscc%2Ffull-record%2FWOS:000255862200011","View Full Record in Web of Science")</f>
        <v>View Full Record in Web of Science</v>
      </c>
    </row>
    <row r="602" spans="1:75" customHeight="1" ht="12.75">
      <c r="A602" t="s">
        <v>72</v>
      </c>
      <c r="B602" t="s">
        <v>4021</v>
      </c>
      <c r="C602"/>
      <c r="D602"/>
      <c r="E602"/>
      <c r="F602" t="s">
        <v>4022</v>
      </c>
      <c r="G602"/>
      <c r="H602"/>
      <c r="I602" t="s">
        <v>4023</v>
      </c>
      <c r="J602" t="s">
        <v>614</v>
      </c>
      <c r="K602"/>
      <c r="L602"/>
      <c r="M602"/>
      <c r="N602"/>
      <c r="O602"/>
      <c r="P602"/>
      <c r="Q602"/>
      <c r="R602"/>
      <c r="S602"/>
      <c r="T602"/>
      <c r="U602"/>
      <c r="V602"/>
      <c r="W602"/>
      <c r="X602"/>
      <c r="Y602"/>
      <c r="Z602"/>
      <c r="AA602"/>
      <c r="AB602" t="s">
        <v>2399</v>
      </c>
      <c r="AC602"/>
      <c r="AD602"/>
      <c r="AE602"/>
      <c r="AF602"/>
      <c r="AG602"/>
      <c r="AH602"/>
      <c r="AI602"/>
      <c r="AJ602"/>
      <c r="AK602"/>
      <c r="AL602"/>
      <c r="AM602"/>
      <c r="AN602"/>
      <c r="AO602" t="s">
        <v>617</v>
      </c>
      <c r="AP602"/>
      <c r="AQ602"/>
      <c r="AR602"/>
      <c r="AS602"/>
      <c r="AT602" t="s">
        <v>491</v>
      </c>
      <c r="AU602">
        <v>2007</v>
      </c>
      <c r="AV602">
        <v>43</v>
      </c>
      <c r="AW602">
        <v>6</v>
      </c>
      <c r="AX602"/>
      <c r="AY602"/>
      <c r="AZ602"/>
      <c r="BA602"/>
      <c r="BB602">
        <v>729</v>
      </c>
      <c r="BC602">
        <v>736</v>
      </c>
      <c r="BD602"/>
      <c r="BE602" t="s">
        <v>4024</v>
      </c>
      <c r="BF602" t="str">
        <f>HYPERLINK("http://dx.doi.org/10.1134/S1023193507060171","http://dx.doi.org/10.1134/S1023193507060171")</f>
        <v>http://dx.doi.org/10.1134/S1023193507060171</v>
      </c>
      <c r="BG602"/>
      <c r="BH602"/>
      <c r="BI602"/>
      <c r="BJ602"/>
      <c r="BK602"/>
      <c r="BL602"/>
      <c r="BM602"/>
      <c r="BN602"/>
      <c r="BO602"/>
      <c r="BP602"/>
      <c r="BQ602"/>
      <c r="BR602"/>
      <c r="BS602" t="s">
        <v>4025</v>
      </c>
      <c r="BT602" t="str">
        <f>HYPERLINK("https%3A%2F%2Fwww.webofscience.com%2Fwos%2Fwoscc%2Ffull-record%2FWOS:000247977600017","View Full Record in Web of Science")</f>
        <v>View Full Record in Web of Science</v>
      </c>
    </row>
    <row r="603" spans="1:75" customHeight="1" ht="12.75">
      <c r="A603" t="s">
        <v>72</v>
      </c>
      <c r="B603" t="s">
        <v>4026</v>
      </c>
      <c r="C603"/>
      <c r="D603"/>
      <c r="E603"/>
      <c r="F603" t="s">
        <v>4027</v>
      </c>
      <c r="G603"/>
      <c r="H603"/>
      <c r="I603" t="s">
        <v>4028</v>
      </c>
      <c r="J603" t="s">
        <v>614</v>
      </c>
      <c r="K603"/>
      <c r="L603"/>
      <c r="M603"/>
      <c r="N603"/>
      <c r="O603"/>
      <c r="P603"/>
      <c r="Q603"/>
      <c r="R603"/>
      <c r="S603"/>
      <c r="T603"/>
      <c r="U603"/>
      <c r="V603"/>
      <c r="W603"/>
      <c r="X603"/>
      <c r="Y603"/>
      <c r="Z603"/>
      <c r="AA603"/>
      <c r="AB603"/>
      <c r="AC603"/>
      <c r="AD603"/>
      <c r="AE603"/>
      <c r="AF603"/>
      <c r="AG603"/>
      <c r="AH603"/>
      <c r="AI603"/>
      <c r="AJ603"/>
      <c r="AK603"/>
      <c r="AL603"/>
      <c r="AM603"/>
      <c r="AN603"/>
      <c r="AO603" t="s">
        <v>617</v>
      </c>
      <c r="AP603"/>
      <c r="AQ603"/>
      <c r="AR603"/>
      <c r="AS603"/>
      <c r="AT603" t="s">
        <v>491</v>
      </c>
      <c r="AU603">
        <v>2007</v>
      </c>
      <c r="AV603">
        <v>43</v>
      </c>
      <c r="AW603">
        <v>6</v>
      </c>
      <c r="AX603"/>
      <c r="AY603"/>
      <c r="AZ603"/>
      <c r="BA603"/>
      <c r="BB603">
        <v>633</v>
      </c>
      <c r="BC603">
        <v>637</v>
      </c>
      <c r="BD603"/>
      <c r="BE603" t="s">
        <v>4029</v>
      </c>
      <c r="BF603" t="str">
        <f>HYPERLINK("http://dx.doi.org/10.1134/S1023193507060031","http://dx.doi.org/10.1134/S1023193507060031")</f>
        <v>http://dx.doi.org/10.1134/S1023193507060031</v>
      </c>
      <c r="BG603"/>
      <c r="BH603"/>
      <c r="BI603"/>
      <c r="BJ603"/>
      <c r="BK603"/>
      <c r="BL603"/>
      <c r="BM603"/>
      <c r="BN603"/>
      <c r="BO603"/>
      <c r="BP603"/>
      <c r="BQ603"/>
      <c r="BR603"/>
      <c r="BS603" t="s">
        <v>4030</v>
      </c>
      <c r="BT603" t="str">
        <f>HYPERLINK("https%3A%2F%2Fwww.webofscience.com%2Fwos%2Fwoscc%2Ffull-record%2FWOS:000247977600003","View Full Record in Web of Science")</f>
        <v>View Full Record in Web of Science</v>
      </c>
    </row>
    <row r="604" spans="1:75" customHeight="1" ht="12.75">
      <c r="A604" t="s">
        <v>72</v>
      </c>
      <c r="B604" t="s">
        <v>4031</v>
      </c>
      <c r="C604"/>
      <c r="D604"/>
      <c r="E604"/>
      <c r="F604" t="s">
        <v>4031</v>
      </c>
      <c r="G604"/>
      <c r="H604"/>
      <c r="I604" t="s">
        <v>4032</v>
      </c>
      <c r="J604" t="s">
        <v>3317</v>
      </c>
      <c r="K604"/>
      <c r="L604"/>
      <c r="M604"/>
      <c r="N604"/>
      <c r="O604"/>
      <c r="P604"/>
      <c r="Q604"/>
      <c r="R604"/>
      <c r="S604"/>
      <c r="T604"/>
      <c r="U604"/>
      <c r="V604"/>
      <c r="W604"/>
      <c r="X604"/>
      <c r="Y604"/>
      <c r="Z604"/>
      <c r="AA604"/>
      <c r="AB604"/>
      <c r="AC604"/>
      <c r="AD604"/>
      <c r="AE604"/>
      <c r="AF604"/>
      <c r="AG604"/>
      <c r="AH604"/>
      <c r="AI604"/>
      <c r="AJ604"/>
      <c r="AK604"/>
      <c r="AL604"/>
      <c r="AM604"/>
      <c r="AN604"/>
      <c r="AO604" t="s">
        <v>3318</v>
      </c>
      <c r="AP604"/>
      <c r="AQ604"/>
      <c r="AR604"/>
      <c r="AS604"/>
      <c r="AT604" t="s">
        <v>655</v>
      </c>
      <c r="AU604">
        <v>2005</v>
      </c>
      <c r="AV604">
        <v>60</v>
      </c>
      <c r="AW604">
        <v>2</v>
      </c>
      <c r="AX604"/>
      <c r="AY604"/>
      <c r="AZ604"/>
      <c r="BA604"/>
      <c r="BB604">
        <v>169</v>
      </c>
      <c r="BC604">
        <v>173</v>
      </c>
      <c r="BD604"/>
      <c r="BE604"/>
      <c r="BF604"/>
      <c r="BG604"/>
      <c r="BH604"/>
      <c r="BI604"/>
      <c r="BJ604"/>
      <c r="BK604"/>
      <c r="BL604"/>
      <c r="BM604"/>
      <c r="BN604"/>
      <c r="BO604"/>
      <c r="BP604"/>
      <c r="BQ604"/>
      <c r="BR604"/>
      <c r="BS604" t="s">
        <v>4033</v>
      </c>
      <c r="BT604" t="str">
        <f>HYPERLINK("https%3A%2F%2Fwww.webofscience.com%2Fwos%2Fwoscc%2Ffull-record%2FWOS:000227402900013","View Full Record in Web of Science")</f>
        <v>View Full Record in Web of Science</v>
      </c>
    </row>
    <row r="605" spans="1:75" customHeight="1" ht="12.75">
      <c r="A605" t="s">
        <v>72</v>
      </c>
      <c r="B605" t="s">
        <v>4034</v>
      </c>
      <c r="C605"/>
      <c r="D605"/>
      <c r="E605"/>
      <c r="F605" t="s">
        <v>4034</v>
      </c>
      <c r="G605"/>
      <c r="H605"/>
      <c r="I605" t="s">
        <v>4035</v>
      </c>
      <c r="J605" t="s">
        <v>614</v>
      </c>
      <c r="K605"/>
      <c r="L605"/>
      <c r="M605"/>
      <c r="N605"/>
      <c r="O605" t="s">
        <v>4036</v>
      </c>
      <c r="P605" t="s">
        <v>4037</v>
      </c>
      <c r="Q605" t="s">
        <v>4038</v>
      </c>
      <c r="R605"/>
      <c r="S605"/>
      <c r="T605"/>
      <c r="U605"/>
      <c r="V605"/>
      <c r="W605"/>
      <c r="X605"/>
      <c r="Y605"/>
      <c r="Z605"/>
      <c r="AA605" t="s">
        <v>1024</v>
      </c>
      <c r="AB605" t="s">
        <v>1025</v>
      </c>
      <c r="AC605"/>
      <c r="AD605"/>
      <c r="AE605"/>
      <c r="AF605"/>
      <c r="AG605"/>
      <c r="AH605"/>
      <c r="AI605"/>
      <c r="AJ605"/>
      <c r="AK605"/>
      <c r="AL605"/>
      <c r="AM605"/>
      <c r="AN605"/>
      <c r="AO605" t="s">
        <v>617</v>
      </c>
      <c r="AP605" t="s">
        <v>1720</v>
      </c>
      <c r="AQ605"/>
      <c r="AR605"/>
      <c r="AS605"/>
      <c r="AT605" t="s">
        <v>1173</v>
      </c>
      <c r="AU605">
        <v>2002</v>
      </c>
      <c r="AV605">
        <v>38</v>
      </c>
      <c r="AW605">
        <v>8</v>
      </c>
      <c r="AX605"/>
      <c r="AY605"/>
      <c r="AZ605"/>
      <c r="BA605"/>
      <c r="BB605">
        <v>892</v>
      </c>
      <c r="BC605">
        <v>895</v>
      </c>
      <c r="BD605"/>
      <c r="BE605" t="s">
        <v>4039</v>
      </c>
      <c r="BF605" t="str">
        <f>HYPERLINK("http://dx.doi.org/10.1023/A:1016822030399","http://dx.doi.org/10.1023/A:1016822030399")</f>
        <v>http://dx.doi.org/10.1023/A:1016822030399</v>
      </c>
      <c r="BG605"/>
      <c r="BH605"/>
      <c r="BI605"/>
      <c r="BJ605"/>
      <c r="BK605"/>
      <c r="BL605"/>
      <c r="BM605"/>
      <c r="BN605"/>
      <c r="BO605"/>
      <c r="BP605"/>
      <c r="BQ605"/>
      <c r="BR605"/>
      <c r="BS605" t="s">
        <v>4040</v>
      </c>
      <c r="BT605" t="str">
        <f>HYPERLINK("https%3A%2F%2Fwww.webofscience.com%2Fwos%2Fwoscc%2Ffull-record%2FWOS:000177879100015","View Full Record in Web of Science")</f>
        <v>View Full Record in Web of Science</v>
      </c>
    </row>
    <row r="606" spans="1:75" customHeight="1" ht="12.75">
      <c r="A606" t="s">
        <v>72</v>
      </c>
      <c r="B606" t="s">
        <v>4041</v>
      </c>
      <c r="C606"/>
      <c r="D606"/>
      <c r="E606"/>
      <c r="F606" t="s">
        <v>4041</v>
      </c>
      <c r="G606"/>
      <c r="H606"/>
      <c r="I606" t="s">
        <v>4042</v>
      </c>
      <c r="J606" t="s">
        <v>2197</v>
      </c>
      <c r="K606"/>
      <c r="L606"/>
      <c r="M606"/>
      <c r="N606"/>
      <c r="O606"/>
      <c r="P606"/>
      <c r="Q606"/>
      <c r="R606"/>
      <c r="S606"/>
      <c r="T606"/>
      <c r="U606"/>
      <c r="V606"/>
      <c r="W606"/>
      <c r="X606"/>
      <c r="Y606"/>
      <c r="Z606"/>
      <c r="AA606" t="s">
        <v>4043</v>
      </c>
      <c r="AB606" t="s">
        <v>4044</v>
      </c>
      <c r="AC606"/>
      <c r="AD606"/>
      <c r="AE606"/>
      <c r="AF606"/>
      <c r="AG606"/>
      <c r="AH606"/>
      <c r="AI606"/>
      <c r="AJ606"/>
      <c r="AK606"/>
      <c r="AL606"/>
      <c r="AM606"/>
      <c r="AN606"/>
      <c r="AO606" t="s">
        <v>2200</v>
      </c>
      <c r="AP606"/>
      <c r="AQ606"/>
      <c r="AR606"/>
      <c r="AS606"/>
      <c r="AT606" t="s">
        <v>88</v>
      </c>
      <c r="AU606">
        <v>2000</v>
      </c>
      <c r="AV606">
        <v>42</v>
      </c>
      <c r="AW606">
        <v>5</v>
      </c>
      <c r="AX606"/>
      <c r="AY606"/>
      <c r="AZ606"/>
      <c r="BA606"/>
      <c r="BB606">
        <v>488</v>
      </c>
      <c r="BC606">
        <v>492</v>
      </c>
      <c r="BD606"/>
      <c r="BE606"/>
      <c r="BF606"/>
      <c r="BG606"/>
      <c r="BH606"/>
      <c r="BI606"/>
      <c r="BJ606"/>
      <c r="BK606"/>
      <c r="BL606"/>
      <c r="BM606"/>
      <c r="BN606"/>
      <c r="BO606"/>
      <c r="BP606"/>
      <c r="BQ606"/>
      <c r="BR606"/>
      <c r="BS606" t="s">
        <v>4045</v>
      </c>
      <c r="BT606" t="str">
        <f>HYPERLINK("https%3A%2F%2Fwww.webofscience.com%2Fwos%2Fwoscc%2Ffull-record%2FWOS:000088980400006","View Full Record in Web of Science")</f>
        <v>View Full Record in Web of Science</v>
      </c>
    </row>
    <row r="607" spans="1:75" customHeight="1" ht="12.75">
      <c r="A607" t="s">
        <v>147</v>
      </c>
      <c r="B607" t="s">
        <v>4046</v>
      </c>
      <c r="C607"/>
      <c r="D607" t="s">
        <v>233</v>
      </c>
      <c r="E607"/>
      <c r="F607" t="s">
        <v>4047</v>
      </c>
      <c r="G607"/>
      <c r="H607"/>
      <c r="I607" t="s">
        <v>4048</v>
      </c>
      <c r="J607" t="s">
        <v>1766</v>
      </c>
      <c r="K607" t="s">
        <v>1767</v>
      </c>
      <c r="L607"/>
      <c r="M607"/>
      <c r="N607"/>
      <c r="O607" t="s">
        <v>1768</v>
      </c>
      <c r="P607" t="s">
        <v>1769</v>
      </c>
      <c r="Q607" t="s">
        <v>1770</v>
      </c>
      <c r="R607"/>
      <c r="S607" t="s">
        <v>1771</v>
      </c>
      <c r="T607"/>
      <c r="U607"/>
      <c r="V607"/>
      <c r="W607"/>
      <c r="X607"/>
      <c r="Y607"/>
      <c r="Z607"/>
      <c r="AA607" t="s">
        <v>4049</v>
      </c>
      <c r="AB607" t="s">
        <v>4050</v>
      </c>
      <c r="AC607"/>
      <c r="AD607"/>
      <c r="AE607"/>
      <c r="AF607"/>
      <c r="AG607"/>
      <c r="AH607"/>
      <c r="AI607"/>
      <c r="AJ607"/>
      <c r="AK607"/>
      <c r="AL607"/>
      <c r="AM607"/>
      <c r="AN607"/>
      <c r="AO607" t="s">
        <v>1772</v>
      </c>
      <c r="AP607" t="s">
        <v>1773</v>
      </c>
      <c r="AQ607" t="s">
        <v>1774</v>
      </c>
      <c r="AR607"/>
      <c r="AS607"/>
      <c r="AT607"/>
      <c r="AU607">
        <v>2022</v>
      </c>
      <c r="AV607">
        <v>368</v>
      </c>
      <c r="AW607"/>
      <c r="AX607"/>
      <c r="AY607"/>
      <c r="AZ607"/>
      <c r="BA607"/>
      <c r="BB607">
        <v>416</v>
      </c>
      <c r="BC607">
        <v>426</v>
      </c>
      <c r="BD607"/>
      <c r="BE607" t="s">
        <v>4051</v>
      </c>
      <c r="BF607" t="str">
        <f>HYPERLINK("http://dx.doi.org/10.1007/978-3-030-93244-2_46","http://dx.doi.org/10.1007/978-3-030-93244-2_46")</f>
        <v>http://dx.doi.org/10.1007/978-3-030-93244-2_46</v>
      </c>
      <c r="BG607"/>
      <c r="BH607"/>
      <c r="BI607"/>
      <c r="BJ607"/>
      <c r="BK607"/>
      <c r="BL607"/>
      <c r="BM607"/>
      <c r="BN607"/>
      <c r="BO607"/>
      <c r="BP607"/>
      <c r="BQ607"/>
      <c r="BR607"/>
      <c r="BS607" t="s">
        <v>4052</v>
      </c>
      <c r="BT607" t="str">
        <f>HYPERLINK("https%3A%2F%2Fwww.webofscience.com%2Fwos%2Fwoscc%2Ffull-record%2FWOS:000759460600046","View Full Record in Web of Science")</f>
        <v>View Full Record in Web of Science</v>
      </c>
    </row>
    <row r="608" spans="1:75" customHeight="1" ht="12.75">
      <c r="A608" t="s">
        <v>72</v>
      </c>
      <c r="B608" t="s">
        <v>398</v>
      </c>
      <c r="C608"/>
      <c r="D608"/>
      <c r="E608"/>
      <c r="F608" t="s">
        <v>399</v>
      </c>
      <c r="G608"/>
      <c r="H608"/>
      <c r="I608" t="s">
        <v>4053</v>
      </c>
      <c r="J608" t="s">
        <v>194</v>
      </c>
      <c r="K608"/>
      <c r="L608"/>
      <c r="M608"/>
      <c r="N608"/>
      <c r="O608"/>
      <c r="P608"/>
      <c r="Q608"/>
      <c r="R608"/>
      <c r="S608"/>
      <c r="T608"/>
      <c r="U608"/>
      <c r="V608"/>
      <c r="W608"/>
      <c r="X608"/>
      <c r="Y608"/>
      <c r="Z608"/>
      <c r="AA608"/>
      <c r="AB608"/>
      <c r="AC608"/>
      <c r="AD608"/>
      <c r="AE608"/>
      <c r="AF608"/>
      <c r="AG608"/>
      <c r="AH608"/>
      <c r="AI608"/>
      <c r="AJ608"/>
      <c r="AK608"/>
      <c r="AL608"/>
      <c r="AM608"/>
      <c r="AN608"/>
      <c r="AO608" t="s">
        <v>196</v>
      </c>
      <c r="AP608" t="s">
        <v>197</v>
      </c>
      <c r="AQ608"/>
      <c r="AR608"/>
      <c r="AS608"/>
      <c r="AT608" t="s">
        <v>403</v>
      </c>
      <c r="AU608">
        <v>2021</v>
      </c>
      <c r="AV608">
        <v>27</v>
      </c>
      <c r="AW608"/>
      <c r="AX608"/>
      <c r="AY608"/>
      <c r="AZ608"/>
      <c r="BA608"/>
      <c r="BB608">
        <v>186</v>
      </c>
      <c r="BC608">
        <v>196</v>
      </c>
      <c r="BD608"/>
      <c r="BE608" t="s">
        <v>4054</v>
      </c>
      <c r="BF608" t="str">
        <f>HYPERLINK("http://dx.doi.org/10.17223/23062061/27/12","http://dx.doi.org/10.17223/23062061/27/12")</f>
        <v>http://dx.doi.org/10.17223/23062061/27/12</v>
      </c>
      <c r="BG608"/>
      <c r="BH608"/>
      <c r="BI608"/>
      <c r="BJ608"/>
      <c r="BK608"/>
      <c r="BL608"/>
      <c r="BM608"/>
      <c r="BN608"/>
      <c r="BO608"/>
      <c r="BP608"/>
      <c r="BQ608"/>
      <c r="BR608"/>
      <c r="BS608" t="s">
        <v>4055</v>
      </c>
      <c r="BT608" t="str">
        <f>HYPERLINK("https%3A%2F%2Fwww.webofscience.com%2Fwos%2Fwoscc%2Ffull-record%2FWOS:000740965900012","View Full Record in Web of Science")</f>
        <v>View Full Record in Web of Science</v>
      </c>
    </row>
    <row r="609" spans="1:75" customHeight="1" ht="12.75">
      <c r="A609" t="s">
        <v>72</v>
      </c>
      <c r="B609" t="s">
        <v>80</v>
      </c>
      <c r="C609"/>
      <c r="D609"/>
      <c r="E609"/>
      <c r="F609" t="s">
        <v>81</v>
      </c>
      <c r="G609"/>
      <c r="H609"/>
      <c r="I609" t="s">
        <v>4056</v>
      </c>
      <c r="J609" t="s">
        <v>4057</v>
      </c>
      <c r="K609"/>
      <c r="L609"/>
      <c r="M609"/>
      <c r="N609"/>
      <c r="O609"/>
      <c r="P609"/>
      <c r="Q609"/>
      <c r="R609"/>
      <c r="S609"/>
      <c r="T609"/>
      <c r="U609"/>
      <c r="V609"/>
      <c r="W609"/>
      <c r="X609"/>
      <c r="Y609"/>
      <c r="Z609"/>
      <c r="AA609" t="s">
        <v>84</v>
      </c>
      <c r="AB609" t="s">
        <v>85</v>
      </c>
      <c r="AC609"/>
      <c r="AD609"/>
      <c r="AE609"/>
      <c r="AF609"/>
      <c r="AG609"/>
      <c r="AH609"/>
      <c r="AI609"/>
      <c r="AJ609"/>
      <c r="AK609"/>
      <c r="AL609"/>
      <c r="AM609"/>
      <c r="AN609"/>
      <c r="AO609"/>
      <c r="AP609" t="s">
        <v>4058</v>
      </c>
      <c r="AQ609"/>
      <c r="AR609"/>
      <c r="AS609"/>
      <c r="AT609" t="s">
        <v>655</v>
      </c>
      <c r="AU609">
        <v>2021</v>
      </c>
      <c r="AV609">
        <v>9</v>
      </c>
      <c r="AW609">
        <v>2</v>
      </c>
      <c r="AX609"/>
      <c r="AY609"/>
      <c r="AZ609"/>
      <c r="BA609"/>
      <c r="BB609"/>
      <c r="BC609"/>
      <c r="BD609">
        <v>9</v>
      </c>
      <c r="BE609" t="s">
        <v>4059</v>
      </c>
      <c r="BF609" t="str">
        <f>HYPERLINK("http://dx.doi.org/10.3390/computation9020009","http://dx.doi.org/10.3390/computation9020009")</f>
        <v>http://dx.doi.org/10.3390/computation9020009</v>
      </c>
      <c r="BG609"/>
      <c r="BH609"/>
      <c r="BI609"/>
      <c r="BJ609"/>
      <c r="BK609"/>
      <c r="BL609"/>
      <c r="BM609"/>
      <c r="BN609"/>
      <c r="BO609"/>
      <c r="BP609"/>
      <c r="BQ609"/>
      <c r="BR609"/>
      <c r="BS609" t="s">
        <v>4060</v>
      </c>
      <c r="BT609" t="str">
        <f>HYPERLINK("https%3A%2F%2Fwww.webofscience.com%2Fwos%2Fwoscc%2Ffull-record%2FWOS:000622388100001","View Full Record in Web of Science")</f>
        <v>View Full Record in Web of Science</v>
      </c>
    </row>
    <row r="610" spans="1:75" customHeight="1" ht="12.75">
      <c r="A610" t="s">
        <v>72</v>
      </c>
      <c r="B610" t="s">
        <v>4061</v>
      </c>
      <c r="C610"/>
      <c r="D610"/>
      <c r="E610"/>
      <c r="F610" t="s">
        <v>4062</v>
      </c>
      <c r="G610"/>
      <c r="H610"/>
      <c r="I610" t="s">
        <v>4063</v>
      </c>
      <c r="J610" t="s">
        <v>325</v>
      </c>
      <c r="K610"/>
      <c r="L610"/>
      <c r="M610"/>
      <c r="N610"/>
      <c r="O610"/>
      <c r="P610"/>
      <c r="Q610"/>
      <c r="R610"/>
      <c r="S610"/>
      <c r="T610"/>
      <c r="U610"/>
      <c r="V610"/>
      <c r="W610"/>
      <c r="X610"/>
      <c r="Y610"/>
      <c r="Z610"/>
      <c r="AA610" t="s">
        <v>4064</v>
      </c>
      <c r="AB610"/>
      <c r="AC610"/>
      <c r="AD610"/>
      <c r="AE610"/>
      <c r="AF610"/>
      <c r="AG610"/>
      <c r="AH610"/>
      <c r="AI610"/>
      <c r="AJ610"/>
      <c r="AK610"/>
      <c r="AL610"/>
      <c r="AM610"/>
      <c r="AN610"/>
      <c r="AO610" t="s">
        <v>328</v>
      </c>
      <c r="AP610" t="s">
        <v>329</v>
      </c>
      <c r="AQ610"/>
      <c r="AR610"/>
      <c r="AS610"/>
      <c r="AT610"/>
      <c r="AU610">
        <v>2021</v>
      </c>
      <c r="AV610">
        <v>15</v>
      </c>
      <c r="AW610">
        <v>1</v>
      </c>
      <c r="AX610"/>
      <c r="AY610"/>
      <c r="AZ610"/>
      <c r="BA610"/>
      <c r="BB610">
        <v>309</v>
      </c>
      <c r="BC610">
        <v>327</v>
      </c>
      <c r="BD610"/>
      <c r="BE610" t="s">
        <v>4065</v>
      </c>
      <c r="BF610" t="str">
        <f>HYPERLINK("http://dx.doi.org/10.24874/IJQR15.01-18","http://dx.doi.org/10.24874/IJQR15.01-18")</f>
        <v>http://dx.doi.org/10.24874/IJQR15.01-18</v>
      </c>
      <c r="BG610"/>
      <c r="BH610"/>
      <c r="BI610"/>
      <c r="BJ610"/>
      <c r="BK610"/>
      <c r="BL610"/>
      <c r="BM610"/>
      <c r="BN610"/>
      <c r="BO610"/>
      <c r="BP610"/>
      <c r="BQ610"/>
      <c r="BR610"/>
      <c r="BS610" t="s">
        <v>4066</v>
      </c>
      <c r="BT610" t="str">
        <f>HYPERLINK("https%3A%2F%2Fwww.webofscience.com%2Fwos%2Fwoscc%2Ffull-record%2FWOS:000617169900018","View Full Record in Web of Science")</f>
        <v>View Full Record in Web of Science</v>
      </c>
    </row>
    <row r="611" spans="1:75" customHeight="1" ht="12.75">
      <c r="A611" t="s">
        <v>72</v>
      </c>
      <c r="B611" t="s">
        <v>3054</v>
      </c>
      <c r="C611"/>
      <c r="D611"/>
      <c r="E611"/>
      <c r="F611" t="s">
        <v>3055</v>
      </c>
      <c r="G611"/>
      <c r="H611"/>
      <c r="I611" t="s">
        <v>4067</v>
      </c>
      <c r="J611" t="s">
        <v>141</v>
      </c>
      <c r="K611"/>
      <c r="L611"/>
      <c r="M611"/>
      <c r="N611"/>
      <c r="O611"/>
      <c r="P611"/>
      <c r="Q611"/>
      <c r="R611"/>
      <c r="S611"/>
      <c r="T611"/>
      <c r="U611"/>
      <c r="V611"/>
      <c r="W611"/>
      <c r="X611"/>
      <c r="Y611"/>
      <c r="Z611"/>
      <c r="AA611"/>
      <c r="AB611"/>
      <c r="AC611"/>
      <c r="AD611"/>
      <c r="AE611"/>
      <c r="AF611"/>
      <c r="AG611"/>
      <c r="AH611"/>
      <c r="AI611"/>
      <c r="AJ611"/>
      <c r="AK611"/>
      <c r="AL611"/>
      <c r="AM611"/>
      <c r="AN611"/>
      <c r="AO611" t="s">
        <v>144</v>
      </c>
      <c r="AP611"/>
      <c r="AQ611"/>
      <c r="AR611"/>
      <c r="AS611"/>
      <c r="AT611"/>
      <c r="AU611">
        <v>2021</v>
      </c>
      <c r="AV611"/>
      <c r="AW611">
        <v>4</v>
      </c>
      <c r="AX611"/>
      <c r="AY611"/>
      <c r="AZ611"/>
      <c r="BA611"/>
      <c r="BB611">
        <v>79</v>
      </c>
      <c r="BC611">
        <v>87</v>
      </c>
      <c r="BD611"/>
      <c r="BE611" t="s">
        <v>4068</v>
      </c>
      <c r="BF611" t="str">
        <f>HYPERLINK("http://dx.doi.org/10.52254/1857-0070.2021.4-52.08","http://dx.doi.org/10.52254/1857-0070.2021.4-52.08")</f>
        <v>http://dx.doi.org/10.52254/1857-0070.2021.4-52.08</v>
      </c>
      <c r="BG611"/>
      <c r="BH611"/>
      <c r="BI611"/>
      <c r="BJ611"/>
      <c r="BK611"/>
      <c r="BL611"/>
      <c r="BM611"/>
      <c r="BN611"/>
      <c r="BO611"/>
      <c r="BP611"/>
      <c r="BQ611"/>
      <c r="BR611"/>
      <c r="BS611" t="s">
        <v>4069</v>
      </c>
      <c r="BT611" t="str">
        <f>HYPERLINK("https%3A%2F%2Fwww.webofscience.com%2Fwos%2Fwoscc%2Ffull-record%2FWOS:000734088800007","View Full Record in Web of Science")</f>
        <v>View Full Record in Web of Science</v>
      </c>
    </row>
    <row r="612" spans="1:75" customHeight="1" ht="12.75">
      <c r="A612" t="s">
        <v>72</v>
      </c>
      <c r="B612" t="s">
        <v>4070</v>
      </c>
      <c r="C612"/>
      <c r="D612"/>
      <c r="E612"/>
      <c r="F612" t="s">
        <v>4071</v>
      </c>
      <c r="G612"/>
      <c r="H612"/>
      <c r="I612" t="s">
        <v>4072</v>
      </c>
      <c r="J612" t="s">
        <v>194</v>
      </c>
      <c r="K612"/>
      <c r="L612"/>
      <c r="M612"/>
      <c r="N612"/>
      <c r="O612"/>
      <c r="P612"/>
      <c r="Q612"/>
      <c r="R612"/>
      <c r="S612"/>
      <c r="T612"/>
      <c r="U612"/>
      <c r="V612"/>
      <c r="W612"/>
      <c r="X612"/>
      <c r="Y612"/>
      <c r="Z612"/>
      <c r="AA612" t="s">
        <v>4073</v>
      </c>
      <c r="AB612" t="s">
        <v>4074</v>
      </c>
      <c r="AC612"/>
      <c r="AD612"/>
      <c r="AE612"/>
      <c r="AF612"/>
      <c r="AG612"/>
      <c r="AH612"/>
      <c r="AI612"/>
      <c r="AJ612"/>
      <c r="AK612"/>
      <c r="AL612"/>
      <c r="AM612"/>
      <c r="AN612"/>
      <c r="AO612" t="s">
        <v>196</v>
      </c>
      <c r="AP612" t="s">
        <v>197</v>
      </c>
      <c r="AQ612"/>
      <c r="AR612"/>
      <c r="AS612"/>
      <c r="AT612" t="s">
        <v>198</v>
      </c>
      <c r="AU612">
        <v>2020</v>
      </c>
      <c r="AV612">
        <v>22</v>
      </c>
      <c r="AW612"/>
      <c r="AX612"/>
      <c r="AY612"/>
      <c r="AZ612"/>
      <c r="BA612"/>
      <c r="BB612">
        <v>125</v>
      </c>
      <c r="BC612">
        <v>138</v>
      </c>
      <c r="BD612"/>
      <c r="BE612" t="s">
        <v>4075</v>
      </c>
      <c r="BF612" t="str">
        <f>HYPERLINK("http://dx.doi.org/10.17223/23062061/22/8","http://dx.doi.org/10.17223/23062061/22/8")</f>
        <v>http://dx.doi.org/10.17223/23062061/22/8</v>
      </c>
      <c r="BG612"/>
      <c r="BH612"/>
      <c r="BI612"/>
      <c r="BJ612"/>
      <c r="BK612"/>
      <c r="BL612"/>
      <c r="BM612"/>
      <c r="BN612"/>
      <c r="BO612"/>
      <c r="BP612"/>
      <c r="BQ612"/>
      <c r="BR612"/>
      <c r="BS612" t="s">
        <v>4076</v>
      </c>
      <c r="BT612" t="str">
        <f>HYPERLINK("https%3A%2F%2Fwww.webofscience.com%2Fwos%2Fwoscc%2Ffull-record%2FWOS:000530061000008","View Full Record in Web of Science")</f>
        <v>View Full Record in Web of Science</v>
      </c>
    </row>
    <row r="613" spans="1:75" customHeight="1" ht="12.75">
      <c r="A613" t="s">
        <v>72</v>
      </c>
      <c r="B613" t="s">
        <v>4077</v>
      </c>
      <c r="C613"/>
      <c r="D613"/>
      <c r="E613"/>
      <c r="F613" t="s">
        <v>4078</v>
      </c>
      <c r="G613"/>
      <c r="H613"/>
      <c r="I613" t="s">
        <v>4079</v>
      </c>
      <c r="J613" t="s">
        <v>4080</v>
      </c>
      <c r="K613"/>
      <c r="L613"/>
      <c r="M613"/>
      <c r="N613"/>
      <c r="O613"/>
      <c r="P613"/>
      <c r="Q613"/>
      <c r="R613"/>
      <c r="S613"/>
      <c r="T613"/>
      <c r="U613"/>
      <c r="V613"/>
      <c r="W613"/>
      <c r="X613"/>
      <c r="Y613"/>
      <c r="Z613"/>
      <c r="AA613"/>
      <c r="AB613"/>
      <c r="AC613"/>
      <c r="AD613"/>
      <c r="AE613"/>
      <c r="AF613"/>
      <c r="AG613"/>
      <c r="AH613"/>
      <c r="AI613"/>
      <c r="AJ613"/>
      <c r="AK613"/>
      <c r="AL613"/>
      <c r="AM613"/>
      <c r="AN613"/>
      <c r="AO613" t="s">
        <v>4081</v>
      </c>
      <c r="AP613" t="s">
        <v>4082</v>
      </c>
      <c r="AQ613"/>
      <c r="AR613"/>
      <c r="AS613"/>
      <c r="AT613"/>
      <c r="AU613">
        <v>2020</v>
      </c>
      <c r="AV613"/>
      <c r="AW613">
        <v>89</v>
      </c>
      <c r="AX613"/>
      <c r="AY613"/>
      <c r="AZ613"/>
      <c r="BA613"/>
      <c r="BB613">
        <v>113</v>
      </c>
      <c r="BC613">
        <v>128</v>
      </c>
      <c r="BD613"/>
      <c r="BE613" t="s">
        <v>4083</v>
      </c>
      <c r="BF613" t="str">
        <f>HYPERLINK("http://dx.doi.org/10.15382/sturI202089.113-128","http://dx.doi.org/10.15382/sturI202089.113-128")</f>
        <v>http://dx.doi.org/10.15382/sturI202089.113-128</v>
      </c>
      <c r="BG613"/>
      <c r="BH613"/>
      <c r="BI613"/>
      <c r="BJ613"/>
      <c r="BK613"/>
      <c r="BL613"/>
      <c r="BM613"/>
      <c r="BN613"/>
      <c r="BO613"/>
      <c r="BP613"/>
      <c r="BQ613"/>
      <c r="BR613"/>
      <c r="BS613" t="s">
        <v>4084</v>
      </c>
      <c r="BT613" t="str">
        <f>HYPERLINK("https%3A%2F%2Fwww.webofscience.com%2Fwos%2Fwoscc%2Ffull-record%2FWOS:000546888000006","View Full Record in Web of Science")</f>
        <v>View Full Record in Web of Science</v>
      </c>
    </row>
    <row r="614" spans="1:75" customHeight="1" ht="12.75">
      <c r="A614" t="s">
        <v>72</v>
      </c>
      <c r="B614" t="s">
        <v>80</v>
      </c>
      <c r="C614"/>
      <c r="D614"/>
      <c r="E614"/>
      <c r="F614" t="s">
        <v>81</v>
      </c>
      <c r="G614"/>
      <c r="H614"/>
      <c r="I614" t="s">
        <v>4085</v>
      </c>
      <c r="J614" t="s">
        <v>3324</v>
      </c>
      <c r="K614"/>
      <c r="L614"/>
      <c r="M614"/>
      <c r="N614"/>
      <c r="O614"/>
      <c r="P614"/>
      <c r="Q614"/>
      <c r="R614"/>
      <c r="S614"/>
      <c r="T614"/>
      <c r="U614"/>
      <c r="V614"/>
      <c r="W614"/>
      <c r="X614"/>
      <c r="Y614"/>
      <c r="Z614"/>
      <c r="AA614" t="s">
        <v>84</v>
      </c>
      <c r="AB614" t="s">
        <v>85</v>
      </c>
      <c r="AC614"/>
      <c r="AD614"/>
      <c r="AE614"/>
      <c r="AF614"/>
      <c r="AG614"/>
      <c r="AH614"/>
      <c r="AI614"/>
      <c r="AJ614"/>
      <c r="AK614"/>
      <c r="AL614"/>
      <c r="AM614"/>
      <c r="AN614"/>
      <c r="AO614" t="s">
        <v>3325</v>
      </c>
      <c r="AP614"/>
      <c r="AQ614"/>
      <c r="AR614"/>
      <c r="AS614"/>
      <c r="AT614"/>
      <c r="AU614">
        <v>2020</v>
      </c>
      <c r="AV614">
        <v>8</v>
      </c>
      <c r="AW614"/>
      <c r="AX614"/>
      <c r="AY614"/>
      <c r="AZ614"/>
      <c r="BA614"/>
      <c r="BB614">
        <v>58603</v>
      </c>
      <c r="BC614">
        <v>58619</v>
      </c>
      <c r="BD614"/>
      <c r="BE614" t="s">
        <v>4086</v>
      </c>
      <c r="BF614" t="str">
        <f>HYPERLINK("http://dx.doi.org/10.1109/ACCESS.2020.2982365","http://dx.doi.org/10.1109/ACCESS.2020.2982365")</f>
        <v>http://dx.doi.org/10.1109/ACCESS.2020.2982365</v>
      </c>
      <c r="BG614"/>
      <c r="BH614"/>
      <c r="BI614"/>
      <c r="BJ614"/>
      <c r="BK614"/>
      <c r="BL614"/>
      <c r="BM614"/>
      <c r="BN614"/>
      <c r="BO614"/>
      <c r="BP614"/>
      <c r="BQ614"/>
      <c r="BR614"/>
      <c r="BS614" t="s">
        <v>4087</v>
      </c>
      <c r="BT614" t="str">
        <f>HYPERLINK("https%3A%2F%2Fwww.webofscience.com%2Fwos%2Fwoscc%2Ffull-record%2FWOS:000527414300001","View Full Record in Web of Science")</f>
        <v>View Full Record in Web of Science</v>
      </c>
    </row>
    <row r="615" spans="1:75" customHeight="1" ht="12.75">
      <c r="A615" t="s">
        <v>147</v>
      </c>
      <c r="B615" t="s">
        <v>3796</v>
      </c>
      <c r="C615"/>
      <c r="D615"/>
      <c r="E615" t="s">
        <v>210</v>
      </c>
      <c r="F615" t="s">
        <v>3797</v>
      </c>
      <c r="G615"/>
      <c r="H615"/>
      <c r="I615" t="s">
        <v>4088</v>
      </c>
      <c r="J615" t="s">
        <v>2616</v>
      </c>
      <c r="K615"/>
      <c r="L615"/>
      <c r="M615"/>
      <c r="N615"/>
      <c r="O615" t="s">
        <v>214</v>
      </c>
      <c r="P615" t="s">
        <v>2617</v>
      </c>
      <c r="Q615" t="s">
        <v>1628</v>
      </c>
      <c r="R615" t="s">
        <v>2618</v>
      </c>
      <c r="S615"/>
      <c r="T615"/>
      <c r="U615"/>
      <c r="V615"/>
      <c r="W615"/>
      <c r="X615"/>
      <c r="Y615"/>
      <c r="Z615"/>
      <c r="AA615" t="s">
        <v>4089</v>
      </c>
      <c r="AB615" t="s">
        <v>4090</v>
      </c>
      <c r="AC615"/>
      <c r="AD615"/>
      <c r="AE615"/>
      <c r="AF615"/>
      <c r="AG615"/>
      <c r="AH615"/>
      <c r="AI615"/>
      <c r="AJ615"/>
      <c r="AK615"/>
      <c r="AL615"/>
      <c r="AM615"/>
      <c r="AN615"/>
      <c r="AO615"/>
      <c r="AP615"/>
      <c r="AQ615" t="s">
        <v>2619</v>
      </c>
      <c r="AR615"/>
      <c r="AS615"/>
      <c r="AT615"/>
      <c r="AU615">
        <v>2020</v>
      </c>
      <c r="AV615"/>
      <c r="AW615"/>
      <c r="AX615"/>
      <c r="AY615"/>
      <c r="AZ615"/>
      <c r="BA615"/>
      <c r="BB615"/>
      <c r="BC615"/>
      <c r="BD615"/>
      <c r="BE615"/>
      <c r="BF615"/>
      <c r="BG615"/>
      <c r="BH615"/>
      <c r="BI615"/>
      <c r="BJ615"/>
      <c r="BK615"/>
      <c r="BL615"/>
      <c r="BM615"/>
      <c r="BN615"/>
      <c r="BO615"/>
      <c r="BP615"/>
      <c r="BQ615"/>
      <c r="BR615"/>
      <c r="BS615" t="s">
        <v>4091</v>
      </c>
      <c r="BT615" t="str">
        <f>HYPERLINK("https%3A%2F%2Fwww.webofscience.com%2Fwos%2Fwoscc%2Ffull-record%2FWOS:000607234900159","View Full Record in Web of Science")</f>
        <v>View Full Record in Web of Science</v>
      </c>
    </row>
    <row r="616" spans="1:75" customHeight="1" ht="12.75">
      <c r="A616" t="s">
        <v>72</v>
      </c>
      <c r="B616" t="s">
        <v>723</v>
      </c>
      <c r="C616"/>
      <c r="D616"/>
      <c r="E616"/>
      <c r="F616" t="s">
        <v>2898</v>
      </c>
      <c r="G616"/>
      <c r="H616"/>
      <c r="I616" t="s">
        <v>4092</v>
      </c>
      <c r="J616" t="s">
        <v>105</v>
      </c>
      <c r="K616"/>
      <c r="L616"/>
      <c r="M616"/>
      <c r="N616"/>
      <c r="O616"/>
      <c r="P616"/>
      <c r="Q616"/>
      <c r="R616"/>
      <c r="S616"/>
      <c r="T616"/>
      <c r="U616"/>
      <c r="V616"/>
      <c r="W616"/>
      <c r="X616"/>
      <c r="Y616"/>
      <c r="Z616"/>
      <c r="AA616"/>
      <c r="AB616"/>
      <c r="AC616"/>
      <c r="AD616"/>
      <c r="AE616"/>
      <c r="AF616"/>
      <c r="AG616"/>
      <c r="AH616"/>
      <c r="AI616"/>
      <c r="AJ616"/>
      <c r="AK616"/>
      <c r="AL616"/>
      <c r="AM616"/>
      <c r="AN616"/>
      <c r="AO616" t="s">
        <v>106</v>
      </c>
      <c r="AP616"/>
      <c r="AQ616"/>
      <c r="AR616"/>
      <c r="AS616"/>
      <c r="AT616"/>
      <c r="AU616">
        <v>2020</v>
      </c>
      <c r="AV616"/>
      <c r="AW616">
        <v>4</v>
      </c>
      <c r="AX616"/>
      <c r="AY616"/>
      <c r="AZ616"/>
      <c r="BA616"/>
      <c r="BB616">
        <v>1007</v>
      </c>
      <c r="BC616">
        <v>1019</v>
      </c>
      <c r="BD616"/>
      <c r="BE616" t="s">
        <v>4093</v>
      </c>
      <c r="BF616" t="str">
        <f>HYPERLINK("http://dx.doi.org/10.28995/2073-0101-2020-4-1007-1019","http://dx.doi.org/10.28995/2073-0101-2020-4-1007-1019")</f>
        <v>http://dx.doi.org/10.28995/2073-0101-2020-4-1007-1019</v>
      </c>
      <c r="BG616"/>
      <c r="BH616"/>
      <c r="BI616"/>
      <c r="BJ616"/>
      <c r="BK616"/>
      <c r="BL616"/>
      <c r="BM616"/>
      <c r="BN616"/>
      <c r="BO616"/>
      <c r="BP616"/>
      <c r="BQ616"/>
      <c r="BR616"/>
      <c r="BS616" t="s">
        <v>4094</v>
      </c>
      <c r="BT616" t="str">
        <f>HYPERLINK("https%3A%2F%2Fwww.webofscience.com%2Fwos%2Fwoscc%2Ffull-record%2FWOS:000613509300004","View Full Record in Web of Science")</f>
        <v>View Full Record in Web of Science</v>
      </c>
    </row>
    <row r="617" spans="1:75" customHeight="1" ht="12.75">
      <c r="A617" t="s">
        <v>147</v>
      </c>
      <c r="B617" t="s">
        <v>4095</v>
      </c>
      <c r="C617"/>
      <c r="D617" t="s">
        <v>4096</v>
      </c>
      <c r="E617"/>
      <c r="F617" t="s">
        <v>4097</v>
      </c>
      <c r="G617"/>
      <c r="H617"/>
      <c r="I617" t="s">
        <v>4098</v>
      </c>
      <c r="J617" t="s">
        <v>4099</v>
      </c>
      <c r="K617" t="s">
        <v>1313</v>
      </c>
      <c r="L617"/>
      <c r="M617"/>
      <c r="N617"/>
      <c r="O617" t="s">
        <v>4100</v>
      </c>
      <c r="P617" t="s">
        <v>4101</v>
      </c>
      <c r="Q617" t="s">
        <v>3211</v>
      </c>
      <c r="R617" t="s">
        <v>4102</v>
      </c>
      <c r="S617"/>
      <c r="T617"/>
      <c r="U617"/>
      <c r="V617"/>
      <c r="W617"/>
      <c r="X617"/>
      <c r="Y617"/>
      <c r="Z617"/>
      <c r="AA617" t="s">
        <v>4103</v>
      </c>
      <c r="AB617" t="s">
        <v>4104</v>
      </c>
      <c r="AC617"/>
      <c r="AD617"/>
      <c r="AE617"/>
      <c r="AF617"/>
      <c r="AG617"/>
      <c r="AH617"/>
      <c r="AI617"/>
      <c r="AJ617"/>
      <c r="AK617"/>
      <c r="AL617"/>
      <c r="AM617"/>
      <c r="AN617"/>
      <c r="AO617" t="s">
        <v>1319</v>
      </c>
      <c r="AP617" t="s">
        <v>2948</v>
      </c>
      <c r="AQ617" t="s">
        <v>4105</v>
      </c>
      <c r="AR617"/>
      <c r="AS617"/>
      <c r="AT617"/>
      <c r="AU617">
        <v>2020</v>
      </c>
      <c r="AV617">
        <v>1156</v>
      </c>
      <c r="AW617"/>
      <c r="AX617"/>
      <c r="AY617"/>
      <c r="AZ617"/>
      <c r="BA617"/>
      <c r="BB617">
        <v>155</v>
      </c>
      <c r="BC617">
        <v>164</v>
      </c>
      <c r="BD617"/>
      <c r="BE617" t="s">
        <v>4106</v>
      </c>
      <c r="BF617" t="str">
        <f>HYPERLINK("http://dx.doi.org/10.1007/978-3-030-50097-9_16","http://dx.doi.org/10.1007/978-3-030-50097-9_16")</f>
        <v>http://dx.doi.org/10.1007/978-3-030-50097-9_16</v>
      </c>
      <c r="BG617"/>
      <c r="BH617"/>
      <c r="BI617"/>
      <c r="BJ617"/>
      <c r="BK617"/>
      <c r="BL617"/>
      <c r="BM617"/>
      <c r="BN617"/>
      <c r="BO617"/>
      <c r="BP617"/>
      <c r="BQ617"/>
      <c r="BR617"/>
      <c r="BS617" t="s">
        <v>4107</v>
      </c>
      <c r="BT617" t="str">
        <f>HYPERLINK("https%3A%2F%2Fwww.webofscience.com%2Fwos%2Fwoscc%2Ffull-record%2FWOS:000590145400016","View Full Record in Web of Science")</f>
        <v>View Full Record in Web of Science</v>
      </c>
    </row>
    <row r="618" spans="1:75" customHeight="1" ht="12.75">
      <c r="A618" t="s">
        <v>72</v>
      </c>
      <c r="B618" t="s">
        <v>4108</v>
      </c>
      <c r="C618"/>
      <c r="D618"/>
      <c r="E618"/>
      <c r="F618" t="s">
        <v>4109</v>
      </c>
      <c r="G618"/>
      <c r="H618"/>
      <c r="I618" t="s">
        <v>4110</v>
      </c>
      <c r="J618" t="s">
        <v>141</v>
      </c>
      <c r="K618"/>
      <c r="L618"/>
      <c r="M618"/>
      <c r="N618"/>
      <c r="O618"/>
      <c r="P618"/>
      <c r="Q618"/>
      <c r="R618"/>
      <c r="S618"/>
      <c r="T618"/>
      <c r="U618"/>
      <c r="V618"/>
      <c r="W618"/>
      <c r="X618"/>
      <c r="Y618"/>
      <c r="Z618"/>
      <c r="AA618"/>
      <c r="AB618"/>
      <c r="AC618"/>
      <c r="AD618"/>
      <c r="AE618"/>
      <c r="AF618"/>
      <c r="AG618"/>
      <c r="AH618"/>
      <c r="AI618"/>
      <c r="AJ618"/>
      <c r="AK618"/>
      <c r="AL618"/>
      <c r="AM618"/>
      <c r="AN618"/>
      <c r="AO618" t="s">
        <v>144</v>
      </c>
      <c r="AP618"/>
      <c r="AQ618"/>
      <c r="AR618"/>
      <c r="AS618"/>
      <c r="AT618"/>
      <c r="AU618">
        <v>2019</v>
      </c>
      <c r="AV618"/>
      <c r="AW618">
        <v>3</v>
      </c>
      <c r="AX618"/>
      <c r="AY618"/>
      <c r="AZ618"/>
      <c r="BA618"/>
      <c r="BB618">
        <v>1</v>
      </c>
      <c r="BC618">
        <v>16</v>
      </c>
      <c r="BD618"/>
      <c r="BE618" t="s">
        <v>4111</v>
      </c>
      <c r="BF618" t="str">
        <f>HYPERLINK("http://dx.doi.org/10.5281/zenodo.3562179","http://dx.doi.org/10.5281/zenodo.3562179")</f>
        <v>http://dx.doi.org/10.5281/zenodo.3562179</v>
      </c>
      <c r="BG618"/>
      <c r="BH618"/>
      <c r="BI618"/>
      <c r="BJ618"/>
      <c r="BK618"/>
      <c r="BL618"/>
      <c r="BM618"/>
      <c r="BN618"/>
      <c r="BO618"/>
      <c r="BP618"/>
      <c r="BQ618"/>
      <c r="BR618"/>
      <c r="BS618" t="s">
        <v>4112</v>
      </c>
      <c r="BT618" t="str">
        <f>HYPERLINK("https%3A%2F%2Fwww.webofscience.com%2Fwos%2Fwoscc%2Ffull-record%2FWOS:000504406100001","View Full Record in Web of Science")</f>
        <v>View Full Record in Web of Science</v>
      </c>
    </row>
    <row r="619" spans="1:75" customHeight="1" ht="12.75">
      <c r="A619" t="s">
        <v>72</v>
      </c>
      <c r="B619" t="s">
        <v>751</v>
      </c>
      <c r="C619"/>
      <c r="D619"/>
      <c r="E619"/>
      <c r="F619" t="s">
        <v>1939</v>
      </c>
      <c r="G619"/>
      <c r="H619"/>
      <c r="I619" t="s">
        <v>4113</v>
      </c>
      <c r="J619" t="s">
        <v>668</v>
      </c>
      <c r="K619"/>
      <c r="L619"/>
      <c r="M619"/>
      <c r="N619"/>
      <c r="O619"/>
      <c r="P619"/>
      <c r="Q619"/>
      <c r="R619"/>
      <c r="S619"/>
      <c r="T619"/>
      <c r="U619"/>
      <c r="V619"/>
      <c r="W619"/>
      <c r="X619"/>
      <c r="Y619"/>
      <c r="Z619"/>
      <c r="AA619" t="s">
        <v>754</v>
      </c>
      <c r="AB619"/>
      <c r="AC619"/>
      <c r="AD619"/>
      <c r="AE619"/>
      <c r="AF619"/>
      <c r="AG619"/>
      <c r="AH619"/>
      <c r="AI619"/>
      <c r="AJ619"/>
      <c r="AK619"/>
      <c r="AL619"/>
      <c r="AM619"/>
      <c r="AN619"/>
      <c r="AO619" t="s">
        <v>669</v>
      </c>
      <c r="AP619" t="s">
        <v>670</v>
      </c>
      <c r="AQ619"/>
      <c r="AR619"/>
      <c r="AS619"/>
      <c r="AT619"/>
      <c r="AU619">
        <v>2019</v>
      </c>
      <c r="AV619"/>
      <c r="AW619">
        <v>11</v>
      </c>
      <c r="AX619"/>
      <c r="AY619"/>
      <c r="AZ619"/>
      <c r="BA619"/>
      <c r="BB619">
        <v>418</v>
      </c>
      <c r="BC619">
        <v>432</v>
      </c>
      <c r="BD619"/>
      <c r="BE619" t="s">
        <v>4114</v>
      </c>
      <c r="BF619" t="str">
        <f>HYPERLINK("http://dx.doi.org/10.24224/2227-1295-2019-11-418-432","http://dx.doi.org/10.24224/2227-1295-2019-11-418-432")</f>
        <v>http://dx.doi.org/10.24224/2227-1295-2019-11-418-432</v>
      </c>
      <c r="BG619"/>
      <c r="BH619"/>
      <c r="BI619"/>
      <c r="BJ619"/>
      <c r="BK619"/>
      <c r="BL619"/>
      <c r="BM619"/>
      <c r="BN619"/>
      <c r="BO619"/>
      <c r="BP619"/>
      <c r="BQ619"/>
      <c r="BR619"/>
      <c r="BS619" t="s">
        <v>4115</v>
      </c>
      <c r="BT619" t="str">
        <f>HYPERLINK("https%3A%2F%2Fwww.webofscience.com%2Fwos%2Fwoscc%2Ffull-record%2FWOS:000498897100031","View Full Record in Web of Science")</f>
        <v>View Full Record in Web of Science</v>
      </c>
    </row>
    <row r="620" spans="1:75" customHeight="1" ht="12.75">
      <c r="A620" t="s">
        <v>72</v>
      </c>
      <c r="B620" t="s">
        <v>4116</v>
      </c>
      <c r="C620"/>
      <c r="D620"/>
      <c r="E620"/>
      <c r="F620" t="s">
        <v>4117</v>
      </c>
      <c r="G620"/>
      <c r="H620"/>
      <c r="I620" t="s">
        <v>4118</v>
      </c>
      <c r="J620" t="s">
        <v>875</v>
      </c>
      <c r="K620"/>
      <c r="L620"/>
      <c r="M620"/>
      <c r="N620"/>
      <c r="O620"/>
      <c r="P620"/>
      <c r="Q620"/>
      <c r="R620"/>
      <c r="S620"/>
      <c r="T620"/>
      <c r="U620"/>
      <c r="V620"/>
      <c r="W620"/>
      <c r="X620"/>
      <c r="Y620"/>
      <c r="Z620"/>
      <c r="AA620"/>
      <c r="AB620"/>
      <c r="AC620"/>
      <c r="AD620"/>
      <c r="AE620"/>
      <c r="AF620"/>
      <c r="AG620"/>
      <c r="AH620"/>
      <c r="AI620"/>
      <c r="AJ620"/>
      <c r="AK620"/>
      <c r="AL620"/>
      <c r="AM620"/>
      <c r="AN620"/>
      <c r="AO620" t="s">
        <v>878</v>
      </c>
      <c r="AP620" t="s">
        <v>879</v>
      </c>
      <c r="AQ620"/>
      <c r="AR620"/>
      <c r="AS620"/>
      <c r="AT620"/>
      <c r="AU620">
        <v>2019</v>
      </c>
      <c r="AV620">
        <v>23</v>
      </c>
      <c r="AW620">
        <v>2</v>
      </c>
      <c r="AX620"/>
      <c r="AY620"/>
      <c r="AZ620"/>
      <c r="BA620"/>
      <c r="BB620">
        <v>89</v>
      </c>
      <c r="BC620">
        <v>92</v>
      </c>
      <c r="BD620"/>
      <c r="BE620" t="s">
        <v>4119</v>
      </c>
      <c r="BF620" t="str">
        <f>HYPERLINK("http://dx.doi.org/10.15561/20755279.2019.0206","http://dx.doi.org/10.15561/20755279.2019.0206")</f>
        <v>http://dx.doi.org/10.15561/20755279.2019.0206</v>
      </c>
      <c r="BG620"/>
      <c r="BH620"/>
      <c r="BI620"/>
      <c r="BJ620"/>
      <c r="BK620"/>
      <c r="BL620"/>
      <c r="BM620"/>
      <c r="BN620"/>
      <c r="BO620"/>
      <c r="BP620"/>
      <c r="BQ620"/>
      <c r="BR620"/>
      <c r="BS620" t="s">
        <v>4120</v>
      </c>
      <c r="BT620" t="str">
        <f>HYPERLINK("https%3A%2F%2Fwww.webofscience.com%2Fwos%2Fwoscc%2Ffull-record%2FWOS:000465309700006","View Full Record in Web of Science")</f>
        <v>View Full Record in Web of Science</v>
      </c>
    </row>
    <row r="621" spans="1:75" customHeight="1" ht="12.75">
      <c r="A621" t="s">
        <v>72</v>
      </c>
      <c r="B621" t="s">
        <v>398</v>
      </c>
      <c r="C621"/>
      <c r="D621"/>
      <c r="E621"/>
      <c r="F621" t="s">
        <v>399</v>
      </c>
      <c r="G621"/>
      <c r="H621"/>
      <c r="I621" t="s">
        <v>4121</v>
      </c>
      <c r="J621" t="s">
        <v>194</v>
      </c>
      <c r="K621"/>
      <c r="L621"/>
      <c r="M621"/>
      <c r="N621"/>
      <c r="O621"/>
      <c r="P621"/>
      <c r="Q621"/>
      <c r="R621"/>
      <c r="S621"/>
      <c r="T621"/>
      <c r="U621"/>
      <c r="V621"/>
      <c r="W621"/>
      <c r="X621"/>
      <c r="Y621"/>
      <c r="Z621"/>
      <c r="AA621" t="s">
        <v>401</v>
      </c>
      <c r="AB621" t="s">
        <v>402</v>
      </c>
      <c r="AC621"/>
      <c r="AD621"/>
      <c r="AE621"/>
      <c r="AF621"/>
      <c r="AG621"/>
      <c r="AH621"/>
      <c r="AI621"/>
      <c r="AJ621"/>
      <c r="AK621"/>
      <c r="AL621"/>
      <c r="AM621"/>
      <c r="AN621"/>
      <c r="AO621" t="s">
        <v>196</v>
      </c>
      <c r="AP621" t="s">
        <v>197</v>
      </c>
      <c r="AQ621"/>
      <c r="AR621"/>
      <c r="AS621"/>
      <c r="AT621" t="s">
        <v>198</v>
      </c>
      <c r="AU621">
        <v>2018</v>
      </c>
      <c r="AV621">
        <v>16</v>
      </c>
      <c r="AW621"/>
      <c r="AX621"/>
      <c r="AY621"/>
      <c r="AZ621"/>
      <c r="BA621"/>
      <c r="BB621">
        <v>86</v>
      </c>
      <c r="BC621">
        <v>102</v>
      </c>
      <c r="BD621"/>
      <c r="BE621" t="s">
        <v>4122</v>
      </c>
      <c r="BF621" t="str">
        <f>HYPERLINK("http://dx.doi.org/10.17223/23062061/16/6","http://dx.doi.org/10.17223/23062061/16/6")</f>
        <v>http://dx.doi.org/10.17223/23062061/16/6</v>
      </c>
      <c r="BG621"/>
      <c r="BH621"/>
      <c r="BI621"/>
      <c r="BJ621"/>
      <c r="BK621"/>
      <c r="BL621"/>
      <c r="BM621"/>
      <c r="BN621"/>
      <c r="BO621"/>
      <c r="BP621"/>
      <c r="BQ621"/>
      <c r="BR621"/>
      <c r="BS621" t="s">
        <v>4123</v>
      </c>
      <c r="BT621" t="str">
        <f>HYPERLINK("https%3A%2F%2Fwww.webofscience.com%2Fwos%2Fwoscc%2Ffull-record%2FWOS:000451192400006","View Full Record in Web of Science")</f>
        <v>View Full Record in Web of Science</v>
      </c>
    </row>
    <row r="622" spans="1:75" customHeight="1" ht="12.75">
      <c r="A622" t="s">
        <v>72</v>
      </c>
      <c r="B622" t="s">
        <v>581</v>
      </c>
      <c r="C622"/>
      <c r="D622"/>
      <c r="E622"/>
      <c r="F622" t="s">
        <v>582</v>
      </c>
      <c r="G622"/>
      <c r="H622"/>
      <c r="I622" t="s">
        <v>4124</v>
      </c>
      <c r="J622" t="s">
        <v>584</v>
      </c>
      <c r="K622"/>
      <c r="L622"/>
      <c r="M622"/>
      <c r="N622"/>
      <c r="O622"/>
      <c r="P622"/>
      <c r="Q622"/>
      <c r="R622"/>
      <c r="S622"/>
      <c r="T622"/>
      <c r="U622"/>
      <c r="V622"/>
      <c r="W622"/>
      <c r="X622"/>
      <c r="Y622"/>
      <c r="Z622"/>
      <c r="AA622" t="s">
        <v>585</v>
      </c>
      <c r="AB622" t="s">
        <v>586</v>
      </c>
      <c r="AC622"/>
      <c r="AD622"/>
      <c r="AE622"/>
      <c r="AF622"/>
      <c r="AG622"/>
      <c r="AH622"/>
      <c r="AI622"/>
      <c r="AJ622"/>
      <c r="AK622"/>
      <c r="AL622"/>
      <c r="AM622"/>
      <c r="AN622"/>
      <c r="AO622" t="s">
        <v>587</v>
      </c>
      <c r="AP622" t="s">
        <v>588</v>
      </c>
      <c r="AQ622"/>
      <c r="AR622"/>
      <c r="AS622"/>
      <c r="AT622"/>
      <c r="AU622">
        <v>2018</v>
      </c>
      <c r="AV622">
        <v>82</v>
      </c>
      <c r="AW622">
        <v>6</v>
      </c>
      <c r="AX622"/>
      <c r="AY622"/>
      <c r="AZ622"/>
      <c r="BA622"/>
      <c r="BB622">
        <v>170</v>
      </c>
      <c r="BC622">
        <v>190</v>
      </c>
      <c r="BD622"/>
      <c r="BE622" t="s">
        <v>4125</v>
      </c>
      <c r="BF622" t="str">
        <f>HYPERLINK("http://dx.doi.org/10.18720/MCE.82.16","http://dx.doi.org/10.18720/MCE.82.16")</f>
        <v>http://dx.doi.org/10.18720/MCE.82.16</v>
      </c>
      <c r="BG622"/>
      <c r="BH622"/>
      <c r="BI622"/>
      <c r="BJ622"/>
      <c r="BK622"/>
      <c r="BL622"/>
      <c r="BM622"/>
      <c r="BN622"/>
      <c r="BO622"/>
      <c r="BP622"/>
      <c r="BQ622"/>
      <c r="BR622"/>
      <c r="BS622" t="s">
        <v>4126</v>
      </c>
      <c r="BT622" t="str">
        <f>HYPERLINK("https%3A%2F%2Fwww.webofscience.com%2Fwos%2Fwoscc%2Ffull-record%2FWOS:000457172600016","View Full Record in Web of Science")</f>
        <v>View Full Record in Web of Science</v>
      </c>
    </row>
    <row r="623" spans="1:75" customHeight="1" ht="12.75">
      <c r="A623" t="s">
        <v>72</v>
      </c>
      <c r="B623" t="s">
        <v>4127</v>
      </c>
      <c r="C623"/>
      <c r="D623"/>
      <c r="E623"/>
      <c r="F623" t="s">
        <v>4128</v>
      </c>
      <c r="G623"/>
      <c r="H623"/>
      <c r="I623" t="s">
        <v>4129</v>
      </c>
      <c r="J623" t="s">
        <v>409</v>
      </c>
      <c r="K623"/>
      <c r="L623"/>
      <c r="M623"/>
      <c r="N623"/>
      <c r="O623"/>
      <c r="P623"/>
      <c r="Q623"/>
      <c r="R623"/>
      <c r="S623"/>
      <c r="T623"/>
      <c r="U623"/>
      <c r="V623"/>
      <c r="W623"/>
      <c r="X623"/>
      <c r="Y623"/>
      <c r="Z623"/>
      <c r="AA623" t="s">
        <v>4130</v>
      </c>
      <c r="AB623" t="s">
        <v>4131</v>
      </c>
      <c r="AC623"/>
      <c r="AD623"/>
      <c r="AE623"/>
      <c r="AF623"/>
      <c r="AG623"/>
      <c r="AH623"/>
      <c r="AI623"/>
      <c r="AJ623"/>
      <c r="AK623"/>
      <c r="AL623"/>
      <c r="AM623"/>
      <c r="AN623"/>
      <c r="AO623" t="s">
        <v>412</v>
      </c>
      <c r="AP623" t="s">
        <v>413</v>
      </c>
      <c r="AQ623"/>
      <c r="AR623"/>
      <c r="AS623"/>
      <c r="AT623" t="s">
        <v>198</v>
      </c>
      <c r="AU623">
        <v>2017</v>
      </c>
      <c r="AV623">
        <v>90</v>
      </c>
      <c r="AW623">
        <v>4</v>
      </c>
      <c r="AX623"/>
      <c r="AY623"/>
      <c r="AZ623"/>
      <c r="BA623"/>
      <c r="BB623">
        <v>588</v>
      </c>
      <c r="BC623">
        <v>594</v>
      </c>
      <c r="BD623"/>
      <c r="BE623" t="s">
        <v>4132</v>
      </c>
      <c r="BF623" t="str">
        <f>HYPERLINK("http://dx.doi.org/10.1134/S1070427217040152","http://dx.doi.org/10.1134/S1070427217040152")</f>
        <v>http://dx.doi.org/10.1134/S1070427217040152</v>
      </c>
      <c r="BG623"/>
      <c r="BH623"/>
      <c r="BI623"/>
      <c r="BJ623"/>
      <c r="BK623"/>
      <c r="BL623"/>
      <c r="BM623"/>
      <c r="BN623"/>
      <c r="BO623"/>
      <c r="BP623"/>
      <c r="BQ623"/>
      <c r="BR623"/>
      <c r="BS623" t="s">
        <v>4133</v>
      </c>
      <c r="BT623" t="str">
        <f>HYPERLINK("https%3A%2F%2Fwww.webofscience.com%2Fwos%2Fwoscc%2Ffull-record%2FWOS:000406398900015","View Full Record in Web of Science")</f>
        <v>View Full Record in Web of Science</v>
      </c>
    </row>
    <row r="624" spans="1:75" customHeight="1" ht="12.75">
      <c r="A624" t="s">
        <v>147</v>
      </c>
      <c r="B624" t="s">
        <v>4134</v>
      </c>
      <c r="C624"/>
      <c r="D624"/>
      <c r="E624" t="s">
        <v>210</v>
      </c>
      <c r="F624" t="s">
        <v>4135</v>
      </c>
      <c r="G624"/>
      <c r="H624"/>
      <c r="I624" t="s">
        <v>4136</v>
      </c>
      <c r="J624" t="s">
        <v>1539</v>
      </c>
      <c r="K624"/>
      <c r="L624"/>
      <c r="M624"/>
      <c r="N624"/>
      <c r="O624" t="s">
        <v>1540</v>
      </c>
      <c r="P624" t="s">
        <v>1541</v>
      </c>
      <c r="Q624" t="s">
        <v>1542</v>
      </c>
      <c r="R624" t="s">
        <v>1543</v>
      </c>
      <c r="S624"/>
      <c r="T624"/>
      <c r="U624"/>
      <c r="V624"/>
      <c r="W624"/>
      <c r="X624"/>
      <c r="Y624"/>
      <c r="Z624"/>
      <c r="AA624"/>
      <c r="AB624"/>
      <c r="AC624"/>
      <c r="AD624"/>
      <c r="AE624"/>
      <c r="AF624"/>
      <c r="AG624"/>
      <c r="AH624"/>
      <c r="AI624"/>
      <c r="AJ624"/>
      <c r="AK624"/>
      <c r="AL624"/>
      <c r="AM624"/>
      <c r="AN624"/>
      <c r="AO624"/>
      <c r="AP624"/>
      <c r="AQ624" t="s">
        <v>1544</v>
      </c>
      <c r="AR624"/>
      <c r="AS624"/>
      <c r="AT624"/>
      <c r="AU624">
        <v>2016</v>
      </c>
      <c r="AV624"/>
      <c r="AW624"/>
      <c r="AX624"/>
      <c r="AY624"/>
      <c r="AZ624"/>
      <c r="BA624"/>
      <c r="BB624"/>
      <c r="BC624"/>
      <c r="BD624"/>
      <c r="BE624"/>
      <c r="BF624"/>
      <c r="BG624"/>
      <c r="BH624"/>
      <c r="BI624"/>
      <c r="BJ624"/>
      <c r="BK624"/>
      <c r="BL624"/>
      <c r="BM624"/>
      <c r="BN624"/>
      <c r="BO624"/>
      <c r="BP624"/>
      <c r="BQ624"/>
      <c r="BR624"/>
      <c r="BS624" t="s">
        <v>4137</v>
      </c>
      <c r="BT624" t="str">
        <f>HYPERLINK("https%3A%2F%2Fwww.webofscience.com%2Fwos%2Fwoscc%2Ffull-record%2FWOS:000403604400155","View Full Record in Web of Science")</f>
        <v>View Full Record in Web of Science</v>
      </c>
    </row>
    <row r="625" spans="1:75" customHeight="1" ht="12.75">
      <c r="A625" t="s">
        <v>72</v>
      </c>
      <c r="B625" t="s">
        <v>4138</v>
      </c>
      <c r="C625"/>
      <c r="D625"/>
      <c r="E625"/>
      <c r="F625" t="s">
        <v>4139</v>
      </c>
      <c r="G625"/>
      <c r="H625"/>
      <c r="I625" t="s">
        <v>4140</v>
      </c>
      <c r="J625" t="s">
        <v>561</v>
      </c>
      <c r="K625"/>
      <c r="L625"/>
      <c r="M625"/>
      <c r="N625"/>
      <c r="O625"/>
      <c r="P625"/>
      <c r="Q625"/>
      <c r="R625"/>
      <c r="S625"/>
      <c r="T625"/>
      <c r="U625"/>
      <c r="V625"/>
      <c r="W625"/>
      <c r="X625"/>
      <c r="Y625"/>
      <c r="Z625"/>
      <c r="AA625" t="s">
        <v>4141</v>
      </c>
      <c r="AB625" t="s">
        <v>4142</v>
      </c>
      <c r="AC625"/>
      <c r="AD625"/>
      <c r="AE625"/>
      <c r="AF625"/>
      <c r="AG625"/>
      <c r="AH625"/>
      <c r="AI625"/>
      <c r="AJ625"/>
      <c r="AK625"/>
      <c r="AL625"/>
      <c r="AM625"/>
      <c r="AN625"/>
      <c r="AO625" t="s">
        <v>564</v>
      </c>
      <c r="AP625" t="s">
        <v>565</v>
      </c>
      <c r="AQ625"/>
      <c r="AR625"/>
      <c r="AS625"/>
      <c r="AT625" t="s">
        <v>88</v>
      </c>
      <c r="AU625">
        <v>2015</v>
      </c>
      <c r="AV625">
        <v>22</v>
      </c>
      <c r="AW625">
        <v>3</v>
      </c>
      <c r="AX625"/>
      <c r="AY625"/>
      <c r="AZ625"/>
      <c r="BA625"/>
      <c r="BB625">
        <v>371</v>
      </c>
      <c r="BC625">
        <v>386</v>
      </c>
      <c r="BD625"/>
      <c r="BE625" t="s">
        <v>4143</v>
      </c>
      <c r="BF625" t="str">
        <f>HYPERLINK("http://dx.doi.org/10.1134/S0869864315030129","http://dx.doi.org/10.1134/S0869864315030129")</f>
        <v>http://dx.doi.org/10.1134/S0869864315030129</v>
      </c>
      <c r="BG625"/>
      <c r="BH625"/>
      <c r="BI625"/>
      <c r="BJ625"/>
      <c r="BK625"/>
      <c r="BL625"/>
      <c r="BM625"/>
      <c r="BN625"/>
      <c r="BO625"/>
      <c r="BP625"/>
      <c r="BQ625"/>
      <c r="BR625"/>
      <c r="BS625" t="s">
        <v>4144</v>
      </c>
      <c r="BT625" t="str">
        <f>HYPERLINK("https%3A%2F%2Fwww.webofscience.com%2Fwos%2Fwoscc%2Ffull-record%2FWOS:000360647500012","View Full Record in Web of Science")</f>
        <v>View Full Record in Web of Science</v>
      </c>
    </row>
    <row r="626" spans="1:75" customHeight="1" ht="12.75">
      <c r="A626" t="s">
        <v>147</v>
      </c>
      <c r="B626" t="s">
        <v>1408</v>
      </c>
      <c r="C626"/>
      <c r="D626"/>
      <c r="E626" t="s">
        <v>280</v>
      </c>
      <c r="F626" t="s">
        <v>1409</v>
      </c>
      <c r="G626"/>
      <c r="H626"/>
      <c r="I626" t="s">
        <v>4145</v>
      </c>
      <c r="J626" t="s">
        <v>4146</v>
      </c>
      <c r="K626" t="s">
        <v>284</v>
      </c>
      <c r="L626"/>
      <c r="M626"/>
      <c r="N626"/>
      <c r="O626" t="s">
        <v>4147</v>
      </c>
      <c r="P626" t="s">
        <v>4148</v>
      </c>
      <c r="Q626" t="s">
        <v>287</v>
      </c>
      <c r="R626" t="s">
        <v>4149</v>
      </c>
      <c r="S626"/>
      <c r="T626"/>
      <c r="U626"/>
      <c r="V626"/>
      <c r="W626"/>
      <c r="X626"/>
      <c r="Y626"/>
      <c r="Z626"/>
      <c r="AA626" t="s">
        <v>1412</v>
      </c>
      <c r="AB626" t="s">
        <v>1413</v>
      </c>
      <c r="AC626"/>
      <c r="AD626"/>
      <c r="AE626"/>
      <c r="AF626"/>
      <c r="AG626"/>
      <c r="AH626"/>
      <c r="AI626"/>
      <c r="AJ626"/>
      <c r="AK626"/>
      <c r="AL626"/>
      <c r="AM626"/>
      <c r="AN626"/>
      <c r="AO626" t="s">
        <v>289</v>
      </c>
      <c r="AP626"/>
      <c r="AQ626" t="s">
        <v>4150</v>
      </c>
      <c r="AR626"/>
      <c r="AS626"/>
      <c r="AT626"/>
      <c r="AU626">
        <v>2015</v>
      </c>
      <c r="AV626"/>
      <c r="AW626"/>
      <c r="AX626"/>
      <c r="AY626"/>
      <c r="AZ626"/>
      <c r="BA626"/>
      <c r="BB626">
        <v>17</v>
      </c>
      <c r="BC626">
        <v>24</v>
      </c>
      <c r="BD626"/>
      <c r="BE626"/>
      <c r="BF626"/>
      <c r="BG626"/>
      <c r="BH626"/>
      <c r="BI626"/>
      <c r="BJ626"/>
      <c r="BK626"/>
      <c r="BL626"/>
      <c r="BM626"/>
      <c r="BN626"/>
      <c r="BO626"/>
      <c r="BP626"/>
      <c r="BQ626"/>
      <c r="BR626"/>
      <c r="BS626" t="s">
        <v>4151</v>
      </c>
      <c r="BT626" t="str">
        <f>HYPERLINK("https%3A%2F%2Fwww.webofscience.com%2Fwos%2Fwoscc%2Ffull-record%2FWOS:000378098500003","View Full Record in Web of Science")</f>
        <v>View Full Record in Web of Science</v>
      </c>
    </row>
    <row r="627" spans="1:75" customHeight="1" ht="12.75">
      <c r="A627" t="s">
        <v>72</v>
      </c>
      <c r="B627" t="s">
        <v>4152</v>
      </c>
      <c r="C627"/>
      <c r="D627"/>
      <c r="E627"/>
      <c r="F627" t="s">
        <v>4153</v>
      </c>
      <c r="G627"/>
      <c r="H627"/>
      <c r="I627" t="s">
        <v>4154</v>
      </c>
      <c r="J627" t="s">
        <v>4155</v>
      </c>
      <c r="K627"/>
      <c r="L627"/>
      <c r="M627"/>
      <c r="N627"/>
      <c r="O627"/>
      <c r="P627"/>
      <c r="Q627"/>
      <c r="R627"/>
      <c r="S627"/>
      <c r="T627"/>
      <c r="U627"/>
      <c r="V627"/>
      <c r="W627"/>
      <c r="X627"/>
      <c r="Y627"/>
      <c r="Z627"/>
      <c r="AA627"/>
      <c r="AB627"/>
      <c r="AC627"/>
      <c r="AD627"/>
      <c r="AE627"/>
      <c r="AF627"/>
      <c r="AG627"/>
      <c r="AH627"/>
      <c r="AI627"/>
      <c r="AJ627"/>
      <c r="AK627"/>
      <c r="AL627"/>
      <c r="AM627"/>
      <c r="AN627"/>
      <c r="AO627" t="s">
        <v>4156</v>
      </c>
      <c r="AP627" t="s">
        <v>4157</v>
      </c>
      <c r="AQ627"/>
      <c r="AR627"/>
      <c r="AS627"/>
      <c r="AT627" t="s">
        <v>403</v>
      </c>
      <c r="AU627">
        <v>2014</v>
      </c>
      <c r="AV627">
        <v>22</v>
      </c>
      <c r="AW627">
        <v>7</v>
      </c>
      <c r="AX627"/>
      <c r="AY627"/>
      <c r="AZ627"/>
      <c r="BA627"/>
      <c r="BB627">
        <v>717</v>
      </c>
      <c r="BC627">
        <v>743</v>
      </c>
      <c r="BD627"/>
      <c r="BE627" t="s">
        <v>4158</v>
      </c>
      <c r="BF627" t="str">
        <f>HYPERLINK("http://dx.doi.org/10.1134/S0869593814070053","http://dx.doi.org/10.1134/S0869593814070053")</f>
        <v>http://dx.doi.org/10.1134/S0869593814070053</v>
      </c>
      <c r="BG627"/>
      <c r="BH627"/>
      <c r="BI627"/>
      <c r="BJ627"/>
      <c r="BK627"/>
      <c r="BL627"/>
      <c r="BM627"/>
      <c r="BN627"/>
      <c r="BO627"/>
      <c r="BP627"/>
      <c r="BQ627"/>
      <c r="BR627"/>
      <c r="BS627" t="s">
        <v>4159</v>
      </c>
      <c r="BT627" t="str">
        <f>HYPERLINK("https%3A%2F%2Fwww.webofscience.com%2Fwos%2Fwoscc%2Ffull-record%2FWOS:000346415800004","View Full Record in Web of Science")</f>
        <v>View Full Record in Web of Science</v>
      </c>
    </row>
    <row r="628" spans="1:75" customHeight="1" ht="12.75">
      <c r="A628" t="s">
        <v>147</v>
      </c>
      <c r="B628" t="s">
        <v>568</v>
      </c>
      <c r="C628"/>
      <c r="D628"/>
      <c r="E628" t="s">
        <v>210</v>
      </c>
      <c r="F628" t="s">
        <v>2012</v>
      </c>
      <c r="G628"/>
      <c r="H628"/>
      <c r="I628" t="s">
        <v>4160</v>
      </c>
      <c r="J628" t="s">
        <v>4161</v>
      </c>
      <c r="K628"/>
      <c r="L628"/>
      <c r="M628"/>
      <c r="N628"/>
      <c r="O628" t="s">
        <v>4162</v>
      </c>
      <c r="P628" t="s">
        <v>4163</v>
      </c>
      <c r="Q628" t="s">
        <v>4164</v>
      </c>
      <c r="R628" t="s">
        <v>4165</v>
      </c>
      <c r="S628"/>
      <c r="T628"/>
      <c r="U628"/>
      <c r="V628"/>
      <c r="W628"/>
      <c r="X628"/>
      <c r="Y628"/>
      <c r="Z628"/>
      <c r="AA628" t="s">
        <v>4166</v>
      </c>
      <c r="AB628" t="s">
        <v>4167</v>
      </c>
      <c r="AC628"/>
      <c r="AD628"/>
      <c r="AE628"/>
      <c r="AF628"/>
      <c r="AG628"/>
      <c r="AH628"/>
      <c r="AI628"/>
      <c r="AJ628"/>
      <c r="AK628"/>
      <c r="AL628"/>
      <c r="AM628"/>
      <c r="AN628"/>
      <c r="AO628"/>
      <c r="AP628"/>
      <c r="AQ628" t="s">
        <v>4168</v>
      </c>
      <c r="AR628"/>
      <c r="AS628"/>
      <c r="AT628"/>
      <c r="AU628">
        <v>2014</v>
      </c>
      <c r="AV628"/>
      <c r="AW628"/>
      <c r="AX628"/>
      <c r="AY628"/>
      <c r="AZ628"/>
      <c r="BA628"/>
      <c r="BB628"/>
      <c r="BC628"/>
      <c r="BD628"/>
      <c r="BE628"/>
      <c r="BF628"/>
      <c r="BG628"/>
      <c r="BH628"/>
      <c r="BI628"/>
      <c r="BJ628"/>
      <c r="BK628"/>
      <c r="BL628"/>
      <c r="BM628"/>
      <c r="BN628"/>
      <c r="BO628"/>
      <c r="BP628"/>
      <c r="BQ628"/>
      <c r="BR628"/>
      <c r="BS628" t="s">
        <v>4169</v>
      </c>
      <c r="BT628" t="str">
        <f>HYPERLINK("https%3A%2F%2Fwww.webofscience.com%2Fwos%2Fwoscc%2Ffull-record%2FWOS:000380470800042","View Full Record in Web of Science")</f>
        <v>View Full Record in Web of Science</v>
      </c>
    </row>
    <row r="629" spans="1:75" customHeight="1" ht="12.75">
      <c r="A629" t="s">
        <v>72</v>
      </c>
      <c r="B629" t="s">
        <v>4170</v>
      </c>
      <c r="C629"/>
      <c r="D629"/>
      <c r="E629"/>
      <c r="F629" t="s">
        <v>4171</v>
      </c>
      <c r="G629"/>
      <c r="H629"/>
      <c r="I629" t="s">
        <v>4172</v>
      </c>
      <c r="J629" t="s">
        <v>244</v>
      </c>
      <c r="K629"/>
      <c r="L629"/>
      <c r="M629"/>
      <c r="N629"/>
      <c r="O629"/>
      <c r="P629"/>
      <c r="Q629"/>
      <c r="R629"/>
      <c r="S629"/>
      <c r="T629"/>
      <c r="U629"/>
      <c r="V629"/>
      <c r="W629"/>
      <c r="X629"/>
      <c r="Y629"/>
      <c r="Z629"/>
      <c r="AA629"/>
      <c r="AB629"/>
      <c r="AC629"/>
      <c r="AD629"/>
      <c r="AE629"/>
      <c r="AF629"/>
      <c r="AG629"/>
      <c r="AH629"/>
      <c r="AI629"/>
      <c r="AJ629"/>
      <c r="AK629"/>
      <c r="AL629"/>
      <c r="AM629"/>
      <c r="AN629"/>
      <c r="AO629" t="s">
        <v>245</v>
      </c>
      <c r="AP629"/>
      <c r="AQ629"/>
      <c r="AR629"/>
      <c r="AS629"/>
      <c r="AT629"/>
      <c r="AU629">
        <v>2012</v>
      </c>
      <c r="AV629"/>
      <c r="AW629">
        <v>10</v>
      </c>
      <c r="AX629"/>
      <c r="AY629"/>
      <c r="AZ629"/>
      <c r="BA629"/>
      <c r="BB629">
        <v>145</v>
      </c>
      <c r="BC629">
        <v>149</v>
      </c>
      <c r="BD629"/>
      <c r="BE629"/>
      <c r="BF629"/>
      <c r="BG629"/>
      <c r="BH629"/>
      <c r="BI629"/>
      <c r="BJ629"/>
      <c r="BK629"/>
      <c r="BL629"/>
      <c r="BM629"/>
      <c r="BN629"/>
      <c r="BO629"/>
      <c r="BP629"/>
      <c r="BQ629"/>
      <c r="BR629"/>
      <c r="BS629" t="s">
        <v>4173</v>
      </c>
      <c r="BT629" t="str">
        <f>HYPERLINK("https%3A%2F%2Fwww.webofscience.com%2Fwos%2Fwoscc%2Ffull-record%2FWOS:000311018500012","View Full Record in Web of Science")</f>
        <v>View Full Record in Web of Science</v>
      </c>
    </row>
    <row r="630" spans="1:75" customHeight="1" ht="12.75">
      <c r="A630" t="s">
        <v>72</v>
      </c>
      <c r="B630" t="s">
        <v>2034</v>
      </c>
      <c r="C630"/>
      <c r="D630"/>
      <c r="E630"/>
      <c r="F630" t="s">
        <v>2034</v>
      </c>
      <c r="G630"/>
      <c r="H630"/>
      <c r="I630" t="s">
        <v>4174</v>
      </c>
      <c r="J630" t="s">
        <v>311</v>
      </c>
      <c r="K630"/>
      <c r="L630"/>
      <c r="M630"/>
      <c r="N630"/>
      <c r="O630"/>
      <c r="P630"/>
      <c r="Q630"/>
      <c r="R630"/>
      <c r="S630"/>
      <c r="T630"/>
      <c r="U630"/>
      <c r="V630"/>
      <c r="W630"/>
      <c r="X630"/>
      <c r="Y630"/>
      <c r="Z630"/>
      <c r="AA630"/>
      <c r="AB630"/>
      <c r="AC630"/>
      <c r="AD630"/>
      <c r="AE630"/>
      <c r="AF630"/>
      <c r="AG630"/>
      <c r="AH630"/>
      <c r="AI630"/>
      <c r="AJ630"/>
      <c r="AK630"/>
      <c r="AL630"/>
      <c r="AM630"/>
      <c r="AN630"/>
      <c r="AO630" t="s">
        <v>312</v>
      </c>
      <c r="AP630"/>
      <c r="AQ630"/>
      <c r="AR630"/>
      <c r="AS630"/>
      <c r="AT630" t="s">
        <v>78</v>
      </c>
      <c r="AU630">
        <v>2001</v>
      </c>
      <c r="AV630">
        <v>35</v>
      </c>
      <c r="AW630">
        <v>3</v>
      </c>
      <c r="AX630"/>
      <c r="AY630"/>
      <c r="AZ630"/>
      <c r="BA630"/>
      <c r="BB630">
        <v>298</v>
      </c>
      <c r="BC630">
        <v>302</v>
      </c>
      <c r="BD630"/>
      <c r="BE630" t="s">
        <v>4175</v>
      </c>
      <c r="BF630" t="str">
        <f>HYPERLINK("http://dx.doi.org/10.1023/A:1010410711855","http://dx.doi.org/10.1023/A:1010410711855")</f>
        <v>http://dx.doi.org/10.1023/A:1010410711855</v>
      </c>
      <c r="BG630"/>
      <c r="BH630"/>
      <c r="BI630"/>
      <c r="BJ630"/>
      <c r="BK630"/>
      <c r="BL630"/>
      <c r="BM630"/>
      <c r="BN630"/>
      <c r="BO630"/>
      <c r="BP630"/>
      <c r="BQ630"/>
      <c r="BR630"/>
      <c r="BS630" t="s">
        <v>4176</v>
      </c>
      <c r="BT630" t="str">
        <f>HYPERLINK("https%3A%2F%2Fwww.webofscience.com%2Fwos%2Fwoscc%2Ffull-record%2FWOS:000169595300014","View Full Record in Web of Science")</f>
        <v>View Full Record in Web of Science</v>
      </c>
    </row>
    <row r="631" spans="1:75" customHeight="1" ht="12.75">
      <c r="A631" t="s">
        <v>72</v>
      </c>
      <c r="B631" t="s">
        <v>4177</v>
      </c>
      <c r="C631"/>
      <c r="D631"/>
      <c r="E631"/>
      <c r="F631" t="s">
        <v>4177</v>
      </c>
      <c r="G631"/>
      <c r="H631"/>
      <c r="I631" t="s">
        <v>4178</v>
      </c>
      <c r="J631" t="s">
        <v>4179</v>
      </c>
      <c r="K631"/>
      <c r="L631"/>
      <c r="M631"/>
      <c r="N631"/>
      <c r="O631"/>
      <c r="P631"/>
      <c r="Q631"/>
      <c r="R631"/>
      <c r="S631"/>
      <c r="T631"/>
      <c r="U631"/>
      <c r="V631"/>
      <c r="W631"/>
      <c r="X631"/>
      <c r="Y631"/>
      <c r="Z631"/>
      <c r="AA631" t="s">
        <v>4180</v>
      </c>
      <c r="AB631" t="s">
        <v>4181</v>
      </c>
      <c r="AC631"/>
      <c r="AD631"/>
      <c r="AE631"/>
      <c r="AF631"/>
      <c r="AG631"/>
      <c r="AH631"/>
      <c r="AI631"/>
      <c r="AJ631"/>
      <c r="AK631"/>
      <c r="AL631"/>
      <c r="AM631"/>
      <c r="AN631"/>
      <c r="AO631" t="s">
        <v>4182</v>
      </c>
      <c r="AP631"/>
      <c r="AQ631"/>
      <c r="AR631"/>
      <c r="AS631"/>
      <c r="AT631" t="s">
        <v>171</v>
      </c>
      <c r="AU631">
        <v>1995</v>
      </c>
      <c r="AV631">
        <v>38</v>
      </c>
      <c r="AW631" t="s">
        <v>1639</v>
      </c>
      <c r="AX631"/>
      <c r="AY631"/>
      <c r="AZ631"/>
      <c r="BA631"/>
      <c r="BB631" t="s">
        <v>4183</v>
      </c>
      <c r="BC631" t="s">
        <v>4184</v>
      </c>
      <c r="BD631"/>
      <c r="BE631"/>
      <c r="BF631"/>
      <c r="BG631"/>
      <c r="BH631"/>
      <c r="BI631"/>
      <c r="BJ631"/>
      <c r="BK631"/>
      <c r="BL631"/>
      <c r="BM631"/>
      <c r="BN631"/>
      <c r="BO631"/>
      <c r="BP631"/>
      <c r="BQ631"/>
      <c r="BR631"/>
      <c r="BS631" t="s">
        <v>4185</v>
      </c>
      <c r="BT631" t="str">
        <f>HYPERLINK("https%3A%2F%2Fwww.webofscience.com%2Fwos%2Fwoscc%2Ffull-record%2FWOS:A1995RQ36400016","View Full Record in Web of Science")</f>
        <v>View Full Record in Web of Science</v>
      </c>
    </row>
    <row r="632" spans="1:75" customHeight="1" ht="12.75">
      <c r="A632" t="s">
        <v>72</v>
      </c>
      <c r="B632" t="s">
        <v>4186</v>
      </c>
      <c r="C632"/>
      <c r="D632"/>
      <c r="E632"/>
      <c r="F632" t="s">
        <v>4187</v>
      </c>
      <c r="G632"/>
      <c r="H632"/>
      <c r="I632" t="s">
        <v>4188</v>
      </c>
      <c r="J632" t="s">
        <v>4189</v>
      </c>
      <c r="K632"/>
      <c r="L632"/>
      <c r="M632"/>
      <c r="N632"/>
      <c r="O632"/>
      <c r="P632"/>
      <c r="Q632"/>
      <c r="R632"/>
      <c r="S632"/>
      <c r="T632"/>
      <c r="U632"/>
      <c r="V632"/>
      <c r="W632"/>
      <c r="X632"/>
      <c r="Y632"/>
      <c r="Z632"/>
      <c r="AA632" t="s">
        <v>4190</v>
      </c>
      <c r="AB632" t="s">
        <v>4191</v>
      </c>
      <c r="AC632"/>
      <c r="AD632"/>
      <c r="AE632"/>
      <c r="AF632"/>
      <c r="AG632"/>
      <c r="AH632"/>
      <c r="AI632"/>
      <c r="AJ632"/>
      <c r="AK632"/>
      <c r="AL632"/>
      <c r="AM632"/>
      <c r="AN632"/>
      <c r="AO632"/>
      <c r="AP632" t="s">
        <v>4192</v>
      </c>
      <c r="AQ632"/>
      <c r="AR632"/>
      <c r="AS632"/>
      <c r="AT632" t="s">
        <v>655</v>
      </c>
      <c r="AU632">
        <v>2023</v>
      </c>
      <c r="AV632">
        <v>16</v>
      </c>
      <c r="AW632">
        <v>3</v>
      </c>
      <c r="AX632"/>
      <c r="AY632"/>
      <c r="AZ632"/>
      <c r="BA632"/>
      <c r="BB632"/>
      <c r="BC632"/>
      <c r="BD632">
        <v>1237</v>
      </c>
      <c r="BE632" t="s">
        <v>4193</v>
      </c>
      <c r="BF632" t="str">
        <f>HYPERLINK("http://dx.doi.org/10.3390/en16031237","http://dx.doi.org/10.3390/en16031237")</f>
        <v>http://dx.doi.org/10.3390/en16031237</v>
      </c>
      <c r="BG632"/>
      <c r="BH632"/>
      <c r="BI632"/>
      <c r="BJ632"/>
      <c r="BK632"/>
      <c r="BL632"/>
      <c r="BM632"/>
      <c r="BN632"/>
      <c r="BO632"/>
      <c r="BP632"/>
      <c r="BQ632"/>
      <c r="BR632"/>
      <c r="BS632" t="s">
        <v>4194</v>
      </c>
      <c r="BT632" t="str">
        <f>HYPERLINK("https%3A%2F%2Fwww.webofscience.com%2Fwos%2Fwoscc%2Ffull-record%2FWOS:000930351400001","View Full Record in Web of Science")</f>
        <v>View Full Record in Web of Science</v>
      </c>
    </row>
    <row r="633" spans="1:75" customHeight="1" ht="12.75">
      <c r="A633" t="s">
        <v>72</v>
      </c>
      <c r="B633" t="s">
        <v>2208</v>
      </c>
      <c r="C633"/>
      <c r="D633"/>
      <c r="E633"/>
      <c r="F633" t="s">
        <v>2209</v>
      </c>
      <c r="G633"/>
      <c r="H633"/>
      <c r="I633" t="s">
        <v>4195</v>
      </c>
      <c r="J633" t="s">
        <v>561</v>
      </c>
      <c r="K633"/>
      <c r="L633"/>
      <c r="M633"/>
      <c r="N633"/>
      <c r="O633"/>
      <c r="P633"/>
      <c r="Q633"/>
      <c r="R633"/>
      <c r="S633"/>
      <c r="T633"/>
      <c r="U633"/>
      <c r="V633"/>
      <c r="W633"/>
      <c r="X633"/>
      <c r="Y633"/>
      <c r="Z633"/>
      <c r="AA633" t="s">
        <v>3132</v>
      </c>
      <c r="AB633" t="s">
        <v>4196</v>
      </c>
      <c r="AC633"/>
      <c r="AD633"/>
      <c r="AE633"/>
      <c r="AF633"/>
      <c r="AG633"/>
      <c r="AH633"/>
      <c r="AI633"/>
      <c r="AJ633"/>
      <c r="AK633"/>
      <c r="AL633"/>
      <c r="AM633"/>
      <c r="AN633"/>
      <c r="AO633" t="s">
        <v>564</v>
      </c>
      <c r="AP633" t="s">
        <v>565</v>
      </c>
      <c r="AQ633"/>
      <c r="AR633"/>
      <c r="AS633"/>
      <c r="AT633" t="s">
        <v>88</v>
      </c>
      <c r="AU633">
        <v>2022</v>
      </c>
      <c r="AV633">
        <v>29</v>
      </c>
      <c r="AW633">
        <v>3</v>
      </c>
      <c r="AX633"/>
      <c r="AY633"/>
      <c r="AZ633"/>
      <c r="BA633"/>
      <c r="BB633">
        <v>427</v>
      </c>
      <c r="BC633">
        <v>436</v>
      </c>
      <c r="BD633"/>
      <c r="BE633" t="s">
        <v>4197</v>
      </c>
      <c r="BF633" t="str">
        <f>HYPERLINK("http://dx.doi.org/10.1134/S0869864322030118","http://dx.doi.org/10.1134/S0869864322030118")</f>
        <v>http://dx.doi.org/10.1134/S0869864322030118</v>
      </c>
      <c r="BG633"/>
      <c r="BH633"/>
      <c r="BI633"/>
      <c r="BJ633"/>
      <c r="BK633"/>
      <c r="BL633"/>
      <c r="BM633"/>
      <c r="BN633"/>
      <c r="BO633"/>
      <c r="BP633"/>
      <c r="BQ633"/>
      <c r="BR633"/>
      <c r="BS633" t="s">
        <v>4198</v>
      </c>
      <c r="BT633" t="str">
        <f>HYPERLINK("https%3A%2F%2Fwww.webofscience.com%2Fwos%2Fwoscc%2Ffull-record%2FWOS:000868305900011","View Full Record in Web of Science")</f>
        <v>View Full Record in Web of Science</v>
      </c>
    </row>
    <row r="634" spans="1:75" customHeight="1" ht="12.75">
      <c r="A634" t="s">
        <v>72</v>
      </c>
      <c r="B634" t="s">
        <v>4199</v>
      </c>
      <c r="C634"/>
      <c r="D634"/>
      <c r="E634"/>
      <c r="F634" t="s">
        <v>4200</v>
      </c>
      <c r="G634"/>
      <c r="H634"/>
      <c r="I634" t="s">
        <v>4201</v>
      </c>
      <c r="J634" t="s">
        <v>141</v>
      </c>
      <c r="K634"/>
      <c r="L634"/>
      <c r="M634"/>
      <c r="N634"/>
      <c r="O634"/>
      <c r="P634"/>
      <c r="Q634"/>
      <c r="R634"/>
      <c r="S634"/>
      <c r="T634"/>
      <c r="U634"/>
      <c r="V634"/>
      <c r="W634"/>
      <c r="X634"/>
      <c r="Y634"/>
      <c r="Z634"/>
      <c r="AA634"/>
      <c r="AB634"/>
      <c r="AC634"/>
      <c r="AD634"/>
      <c r="AE634"/>
      <c r="AF634"/>
      <c r="AG634"/>
      <c r="AH634"/>
      <c r="AI634"/>
      <c r="AJ634"/>
      <c r="AK634"/>
      <c r="AL634"/>
      <c r="AM634"/>
      <c r="AN634"/>
      <c r="AO634" t="s">
        <v>144</v>
      </c>
      <c r="AP634"/>
      <c r="AQ634"/>
      <c r="AR634"/>
      <c r="AS634"/>
      <c r="AT634"/>
      <c r="AU634">
        <v>2022</v>
      </c>
      <c r="AV634"/>
      <c r="AW634">
        <v>3</v>
      </c>
      <c r="AX634"/>
      <c r="AY634"/>
      <c r="AZ634"/>
      <c r="BA634"/>
      <c r="BB634">
        <v>68</v>
      </c>
      <c r="BC634" t="s">
        <v>107</v>
      </c>
      <c r="BD634"/>
      <c r="BE634" t="s">
        <v>4202</v>
      </c>
      <c r="BF634" t="str">
        <f>HYPERLINK("http://dx.doi.org/10.52254/1857-0070.2022.3-55.06","http://dx.doi.org/10.52254/1857-0070.2022.3-55.06")</f>
        <v>http://dx.doi.org/10.52254/1857-0070.2022.3-55.06</v>
      </c>
      <c r="BG634"/>
      <c r="BH634"/>
      <c r="BI634"/>
      <c r="BJ634"/>
      <c r="BK634"/>
      <c r="BL634"/>
      <c r="BM634"/>
      <c r="BN634"/>
      <c r="BO634"/>
      <c r="BP634"/>
      <c r="BQ634"/>
      <c r="BR634"/>
      <c r="BS634" t="s">
        <v>4203</v>
      </c>
      <c r="BT634" t="str">
        <f>HYPERLINK("https%3A%2F%2Fwww.webofscience.com%2Fwos%2Fwoscc%2Ffull-record%2FWOS:000892787700010","View Full Record in Web of Science")</f>
        <v>View Full Record in Web of Science</v>
      </c>
    </row>
    <row r="635" spans="1:75" customHeight="1" ht="12.75">
      <c r="A635" t="s">
        <v>72</v>
      </c>
      <c r="B635" t="s">
        <v>2734</v>
      </c>
      <c r="C635"/>
      <c r="D635"/>
      <c r="E635"/>
      <c r="F635" t="s">
        <v>4204</v>
      </c>
      <c r="G635"/>
      <c r="H635"/>
      <c r="I635" t="s">
        <v>4205</v>
      </c>
      <c r="J635" t="s">
        <v>896</v>
      </c>
      <c r="K635"/>
      <c r="L635"/>
      <c r="M635"/>
      <c r="N635"/>
      <c r="O635"/>
      <c r="P635"/>
      <c r="Q635"/>
      <c r="R635"/>
      <c r="S635"/>
      <c r="T635"/>
      <c r="U635"/>
      <c r="V635"/>
      <c r="W635"/>
      <c r="X635"/>
      <c r="Y635"/>
      <c r="Z635"/>
      <c r="AA635"/>
      <c r="AB635"/>
      <c r="AC635"/>
      <c r="AD635"/>
      <c r="AE635"/>
      <c r="AF635"/>
      <c r="AG635"/>
      <c r="AH635"/>
      <c r="AI635"/>
      <c r="AJ635"/>
      <c r="AK635"/>
      <c r="AL635"/>
      <c r="AM635"/>
      <c r="AN635"/>
      <c r="AO635" t="s">
        <v>899</v>
      </c>
      <c r="AP635"/>
      <c r="AQ635"/>
      <c r="AR635"/>
      <c r="AS635"/>
      <c r="AT635" t="s">
        <v>4206</v>
      </c>
      <c r="AU635">
        <v>2021</v>
      </c>
      <c r="AV635">
        <v>16</v>
      </c>
      <c r="AW635">
        <v>3</v>
      </c>
      <c r="AX635"/>
      <c r="AY635"/>
      <c r="AZ635"/>
      <c r="BA635"/>
      <c r="BB635">
        <v>1203</v>
      </c>
      <c r="BC635">
        <v>1210</v>
      </c>
      <c r="BD635"/>
      <c r="BE635" t="s">
        <v>4207</v>
      </c>
      <c r="BF635" t="str">
        <f>HYPERLINK("http://dx.doi.org/10.13187/bg.2021.3.1203","http://dx.doi.org/10.13187/bg.2021.3.1203")</f>
        <v>http://dx.doi.org/10.13187/bg.2021.3.1203</v>
      </c>
      <c r="BG635"/>
      <c r="BH635"/>
      <c r="BI635"/>
      <c r="BJ635"/>
      <c r="BK635"/>
      <c r="BL635"/>
      <c r="BM635"/>
      <c r="BN635"/>
      <c r="BO635"/>
      <c r="BP635"/>
      <c r="BQ635"/>
      <c r="BR635"/>
      <c r="BS635" t="s">
        <v>4208</v>
      </c>
      <c r="BT635" t="str">
        <f>HYPERLINK("https%3A%2F%2Fwww.webofscience.com%2Fwos%2Fwoscc%2Ffull-record%2FWOS:000695383200016","View Full Record in Web of Science")</f>
        <v>View Full Record in Web of Science</v>
      </c>
    </row>
    <row r="636" spans="1:75" customHeight="1" ht="12.75">
      <c r="A636" t="s">
        <v>72</v>
      </c>
      <c r="B636" t="s">
        <v>4209</v>
      </c>
      <c r="C636"/>
      <c r="D636"/>
      <c r="E636"/>
      <c r="F636" t="s">
        <v>4210</v>
      </c>
      <c r="G636"/>
      <c r="H636"/>
      <c r="I636" t="s">
        <v>4211</v>
      </c>
      <c r="J636" t="s">
        <v>325</v>
      </c>
      <c r="K636"/>
      <c r="L636"/>
      <c r="M636"/>
      <c r="N636"/>
      <c r="O636"/>
      <c r="P636"/>
      <c r="Q636"/>
      <c r="R636"/>
      <c r="S636"/>
      <c r="T636"/>
      <c r="U636"/>
      <c r="V636"/>
      <c r="W636"/>
      <c r="X636"/>
      <c r="Y636"/>
      <c r="Z636"/>
      <c r="AA636"/>
      <c r="AB636"/>
      <c r="AC636"/>
      <c r="AD636"/>
      <c r="AE636"/>
      <c r="AF636"/>
      <c r="AG636"/>
      <c r="AH636"/>
      <c r="AI636"/>
      <c r="AJ636"/>
      <c r="AK636"/>
      <c r="AL636"/>
      <c r="AM636"/>
      <c r="AN636"/>
      <c r="AO636" t="s">
        <v>328</v>
      </c>
      <c r="AP636" t="s">
        <v>329</v>
      </c>
      <c r="AQ636"/>
      <c r="AR636"/>
      <c r="AS636"/>
      <c r="AT636"/>
      <c r="AU636">
        <v>2021</v>
      </c>
      <c r="AV636">
        <v>15</v>
      </c>
      <c r="AW636">
        <v>4</v>
      </c>
      <c r="AX636"/>
      <c r="AY636"/>
      <c r="AZ636"/>
      <c r="BA636"/>
      <c r="BB636">
        <v>1089</v>
      </c>
      <c r="BC636">
        <v>1106</v>
      </c>
      <c r="BD636"/>
      <c r="BE636" t="s">
        <v>4212</v>
      </c>
      <c r="BF636" t="str">
        <f>HYPERLINK("http://dx.doi.org/10.24874/IJQR15.04-05","http://dx.doi.org/10.24874/IJQR15.04-05")</f>
        <v>http://dx.doi.org/10.24874/IJQR15.04-05</v>
      </c>
      <c r="BG636"/>
      <c r="BH636"/>
      <c r="BI636"/>
      <c r="BJ636"/>
      <c r="BK636"/>
      <c r="BL636"/>
      <c r="BM636"/>
      <c r="BN636"/>
      <c r="BO636"/>
      <c r="BP636"/>
      <c r="BQ636"/>
      <c r="BR636"/>
      <c r="BS636" t="s">
        <v>4213</v>
      </c>
      <c r="BT636" t="str">
        <f>HYPERLINK("https%3A%2F%2Fwww.webofscience.com%2Fwos%2Fwoscc%2Ffull-record%2FWOS:000720953800005","View Full Record in Web of Science")</f>
        <v>View Full Record in Web of Science</v>
      </c>
    </row>
    <row r="637" spans="1:75" customHeight="1" ht="12.75">
      <c r="A637" t="s">
        <v>72</v>
      </c>
      <c r="B637" t="s">
        <v>316</v>
      </c>
      <c r="C637"/>
      <c r="D637"/>
      <c r="E637"/>
      <c r="F637" t="s">
        <v>4214</v>
      </c>
      <c r="G637"/>
      <c r="H637"/>
      <c r="I637" t="s">
        <v>4215</v>
      </c>
      <c r="J637" t="s">
        <v>204</v>
      </c>
      <c r="K637"/>
      <c r="L637"/>
      <c r="M637"/>
      <c r="N637"/>
      <c r="O637"/>
      <c r="P637"/>
      <c r="Q637"/>
      <c r="R637"/>
      <c r="S637"/>
      <c r="T637"/>
      <c r="U637"/>
      <c r="V637"/>
      <c r="W637"/>
      <c r="X637"/>
      <c r="Y637"/>
      <c r="Z637"/>
      <c r="AA637" t="s">
        <v>4216</v>
      </c>
      <c r="AB637" t="s">
        <v>4217</v>
      </c>
      <c r="AC637"/>
      <c r="AD637"/>
      <c r="AE637"/>
      <c r="AF637"/>
      <c r="AG637"/>
      <c r="AH637"/>
      <c r="AI637"/>
      <c r="AJ637"/>
      <c r="AK637"/>
      <c r="AL637"/>
      <c r="AM637"/>
      <c r="AN637"/>
      <c r="AO637" t="s">
        <v>205</v>
      </c>
      <c r="AP637" t="s">
        <v>206</v>
      </c>
      <c r="AQ637"/>
      <c r="AR637"/>
      <c r="AS637"/>
      <c r="AT637" t="s">
        <v>4218</v>
      </c>
      <c r="AU637">
        <v>2020</v>
      </c>
      <c r="AV637">
        <v>22</v>
      </c>
      <c r="AW637">
        <v>1</v>
      </c>
      <c r="AX637"/>
      <c r="AY637"/>
      <c r="AZ637"/>
      <c r="BA637"/>
      <c r="BB637">
        <v>113</v>
      </c>
      <c r="BC637">
        <v>145</v>
      </c>
      <c r="BD637"/>
      <c r="BE637" t="s">
        <v>4219</v>
      </c>
      <c r="BF637" t="str">
        <f>HYPERLINK("http://dx.doi.org/10.17853/1994-5639-2020-1-113-145","http://dx.doi.org/10.17853/1994-5639-2020-1-113-145")</f>
        <v>http://dx.doi.org/10.17853/1994-5639-2020-1-113-145</v>
      </c>
      <c r="BG637"/>
      <c r="BH637"/>
      <c r="BI637"/>
      <c r="BJ637"/>
      <c r="BK637"/>
      <c r="BL637"/>
      <c r="BM637"/>
      <c r="BN637"/>
      <c r="BO637"/>
      <c r="BP637"/>
      <c r="BQ637"/>
      <c r="BR637"/>
      <c r="BS637" t="s">
        <v>4220</v>
      </c>
      <c r="BT637" t="str">
        <f>HYPERLINK("https%3A%2F%2Fwww.webofscience.com%2Fwos%2Fwoscc%2Ffull-record%2FWOS:000512879700005","View Full Record in Web of Science")</f>
        <v>View Full Record in Web of Science</v>
      </c>
    </row>
    <row r="638" spans="1:75" customHeight="1" ht="12.75">
      <c r="A638" t="s">
        <v>72</v>
      </c>
      <c r="B638" t="s">
        <v>4221</v>
      </c>
      <c r="C638"/>
      <c r="D638"/>
      <c r="E638"/>
      <c r="F638" t="s">
        <v>4222</v>
      </c>
      <c r="G638"/>
      <c r="H638"/>
      <c r="I638" t="s">
        <v>4223</v>
      </c>
      <c r="J638" t="s">
        <v>325</v>
      </c>
      <c r="K638"/>
      <c r="L638"/>
      <c r="M638"/>
      <c r="N638"/>
      <c r="O638"/>
      <c r="P638"/>
      <c r="Q638"/>
      <c r="R638"/>
      <c r="S638"/>
      <c r="T638"/>
      <c r="U638"/>
      <c r="V638"/>
      <c r="W638"/>
      <c r="X638"/>
      <c r="Y638"/>
      <c r="Z638"/>
      <c r="AA638" t="s">
        <v>4064</v>
      </c>
      <c r="AB638"/>
      <c r="AC638"/>
      <c r="AD638"/>
      <c r="AE638"/>
      <c r="AF638"/>
      <c r="AG638"/>
      <c r="AH638"/>
      <c r="AI638"/>
      <c r="AJ638"/>
      <c r="AK638"/>
      <c r="AL638"/>
      <c r="AM638"/>
      <c r="AN638"/>
      <c r="AO638" t="s">
        <v>328</v>
      </c>
      <c r="AP638" t="s">
        <v>329</v>
      </c>
      <c r="AQ638"/>
      <c r="AR638"/>
      <c r="AS638"/>
      <c r="AT638"/>
      <c r="AU638">
        <v>2020</v>
      </c>
      <c r="AV638">
        <v>14</v>
      </c>
      <c r="AW638">
        <v>1</v>
      </c>
      <c r="AX638"/>
      <c r="AY638"/>
      <c r="AZ638"/>
      <c r="BA638"/>
      <c r="BB638">
        <v>33</v>
      </c>
      <c r="BC638">
        <v>50</v>
      </c>
      <c r="BD638"/>
      <c r="BE638" t="s">
        <v>4224</v>
      </c>
      <c r="BF638" t="str">
        <f>HYPERLINK("http://dx.doi.org/10.24874/IJQR14.01-03","http://dx.doi.org/10.24874/IJQR14.01-03")</f>
        <v>http://dx.doi.org/10.24874/IJQR14.01-03</v>
      </c>
      <c r="BG638"/>
      <c r="BH638"/>
      <c r="BI638"/>
      <c r="BJ638"/>
      <c r="BK638"/>
      <c r="BL638"/>
      <c r="BM638"/>
      <c r="BN638"/>
      <c r="BO638"/>
      <c r="BP638"/>
      <c r="BQ638"/>
      <c r="BR638"/>
      <c r="BS638" t="s">
        <v>4225</v>
      </c>
      <c r="BT638" t="str">
        <f>HYPERLINK("https%3A%2F%2Fwww.webofscience.com%2Fwos%2Fwoscc%2Ffull-record%2FWOS:000518417300003","View Full Record in Web of Science")</f>
        <v>View Full Record in Web of Science</v>
      </c>
    </row>
    <row r="639" spans="1:75" customHeight="1" ht="12.75">
      <c r="A639" t="s">
        <v>72</v>
      </c>
      <c r="B639" t="s">
        <v>761</v>
      </c>
      <c r="C639"/>
      <c r="D639"/>
      <c r="E639"/>
      <c r="F639" t="s">
        <v>4226</v>
      </c>
      <c r="G639"/>
      <c r="H639"/>
      <c r="I639" t="s">
        <v>4227</v>
      </c>
      <c r="J639" t="s">
        <v>3233</v>
      </c>
      <c r="K639"/>
      <c r="L639"/>
      <c r="M639"/>
      <c r="N639"/>
      <c r="O639"/>
      <c r="P639"/>
      <c r="Q639"/>
      <c r="R639"/>
      <c r="S639"/>
      <c r="T639"/>
      <c r="U639"/>
      <c r="V639"/>
      <c r="W639"/>
      <c r="X639"/>
      <c r="Y639"/>
      <c r="Z639"/>
      <c r="AA639" t="s">
        <v>4228</v>
      </c>
      <c r="AB639" t="s">
        <v>3235</v>
      </c>
      <c r="AC639"/>
      <c r="AD639"/>
      <c r="AE639"/>
      <c r="AF639"/>
      <c r="AG639"/>
      <c r="AH639"/>
      <c r="AI639"/>
      <c r="AJ639"/>
      <c r="AK639"/>
      <c r="AL639"/>
      <c r="AM639"/>
      <c r="AN639"/>
      <c r="AO639" t="s">
        <v>3236</v>
      </c>
      <c r="AP639" t="s">
        <v>3237</v>
      </c>
      <c r="AQ639"/>
      <c r="AR639"/>
      <c r="AS639"/>
      <c r="AT639" t="s">
        <v>830</v>
      </c>
      <c r="AU639">
        <v>2019</v>
      </c>
      <c r="AV639"/>
      <c r="AW639">
        <v>47</v>
      </c>
      <c r="AX639"/>
      <c r="AY639"/>
      <c r="AZ639"/>
      <c r="BA639"/>
      <c r="BB639">
        <v>197</v>
      </c>
      <c r="BC639">
        <v>216</v>
      </c>
      <c r="BD639"/>
      <c r="BE639" t="s">
        <v>4229</v>
      </c>
      <c r="BF639" t="str">
        <f>HYPERLINK("http://dx.doi.org/10.17223/19996195/47/11","http://dx.doi.org/10.17223/19996195/47/11")</f>
        <v>http://dx.doi.org/10.17223/19996195/47/11</v>
      </c>
      <c r="BG639"/>
      <c r="BH639"/>
      <c r="BI639"/>
      <c r="BJ639"/>
      <c r="BK639"/>
      <c r="BL639"/>
      <c r="BM639"/>
      <c r="BN639"/>
      <c r="BO639"/>
      <c r="BP639"/>
      <c r="BQ639"/>
      <c r="BR639"/>
      <c r="BS639" t="s">
        <v>4230</v>
      </c>
      <c r="BT639" t="str">
        <f>HYPERLINK("https%3A%2F%2Fwww.webofscience.com%2Fwos%2Fwoscc%2Ffull-record%2FWOS:000507408400011","View Full Record in Web of Science")</f>
        <v>View Full Record in Web of Science</v>
      </c>
    </row>
    <row r="640" spans="1:75" customHeight="1" ht="12.75">
      <c r="A640" t="s">
        <v>72</v>
      </c>
      <c r="B640" t="s">
        <v>1074</v>
      </c>
      <c r="C640"/>
      <c r="D640"/>
      <c r="E640"/>
      <c r="F640" t="s">
        <v>1075</v>
      </c>
      <c r="G640"/>
      <c r="H640"/>
      <c r="I640" t="s">
        <v>4231</v>
      </c>
      <c r="J640" t="s">
        <v>4232</v>
      </c>
      <c r="K640"/>
      <c r="L640"/>
      <c r="M640"/>
      <c r="N640"/>
      <c r="O640"/>
      <c r="P640"/>
      <c r="Q640"/>
      <c r="R640"/>
      <c r="S640"/>
      <c r="T640"/>
      <c r="U640"/>
      <c r="V640"/>
      <c r="W640"/>
      <c r="X640"/>
      <c r="Y640"/>
      <c r="Z640"/>
      <c r="AA640" t="s">
        <v>1078</v>
      </c>
      <c r="AB640" t="s">
        <v>1079</v>
      </c>
      <c r="AC640"/>
      <c r="AD640"/>
      <c r="AE640"/>
      <c r="AF640"/>
      <c r="AG640"/>
      <c r="AH640"/>
      <c r="AI640"/>
      <c r="AJ640"/>
      <c r="AK640"/>
      <c r="AL640"/>
      <c r="AM640"/>
      <c r="AN640"/>
      <c r="AO640" t="s">
        <v>4233</v>
      </c>
      <c r="AP640" t="s">
        <v>4234</v>
      </c>
      <c r="AQ640"/>
      <c r="AR640"/>
      <c r="AS640"/>
      <c r="AT640" t="s">
        <v>88</v>
      </c>
      <c r="AU640">
        <v>2019</v>
      </c>
      <c r="AV640">
        <v>60</v>
      </c>
      <c r="AW640">
        <v>3</v>
      </c>
      <c r="AX640"/>
      <c r="AY640"/>
      <c r="AZ640"/>
      <c r="BA640"/>
      <c r="BB640">
        <v>526</v>
      </c>
      <c r="BC640">
        <v>541</v>
      </c>
      <c r="BD640"/>
      <c r="BE640" t="s">
        <v>4235</v>
      </c>
      <c r="BF640" t="str">
        <f>HYPERLINK("http://dx.doi.org/10.1134/S0037446619030157","http://dx.doi.org/10.1134/S0037446619030157")</f>
        <v>http://dx.doi.org/10.1134/S0037446619030157</v>
      </c>
      <c r="BG640"/>
      <c r="BH640"/>
      <c r="BI640"/>
      <c r="BJ640"/>
      <c r="BK640"/>
      <c r="BL640"/>
      <c r="BM640"/>
      <c r="BN640"/>
      <c r="BO640"/>
      <c r="BP640"/>
      <c r="BQ640"/>
      <c r="BR640"/>
      <c r="BS640" t="s">
        <v>4236</v>
      </c>
      <c r="BT640" t="str">
        <f>HYPERLINK("https%3A%2F%2Fwww.webofscience.com%2Fwos%2Fwoscc%2Ffull-record%2FWOS:000471617300015","View Full Record in Web of Science")</f>
        <v>View Full Record in Web of Science</v>
      </c>
    </row>
    <row r="641" spans="1:75" customHeight="1" ht="12.75">
      <c r="A641" t="s">
        <v>72</v>
      </c>
      <c r="B641" t="s">
        <v>4237</v>
      </c>
      <c r="C641"/>
      <c r="D641"/>
      <c r="E641"/>
      <c r="F641" t="s">
        <v>4238</v>
      </c>
      <c r="G641"/>
      <c r="H641"/>
      <c r="I641" t="s">
        <v>4239</v>
      </c>
      <c r="J641" t="s">
        <v>141</v>
      </c>
      <c r="K641"/>
      <c r="L641"/>
      <c r="M641"/>
      <c r="N641"/>
      <c r="O641"/>
      <c r="P641"/>
      <c r="Q641"/>
      <c r="R641"/>
      <c r="S641"/>
      <c r="T641"/>
      <c r="U641"/>
      <c r="V641"/>
      <c r="W641"/>
      <c r="X641"/>
      <c r="Y641"/>
      <c r="Z641"/>
      <c r="AA641" t="s">
        <v>142</v>
      </c>
      <c r="AB641" t="s">
        <v>143</v>
      </c>
      <c r="AC641"/>
      <c r="AD641"/>
      <c r="AE641"/>
      <c r="AF641"/>
      <c r="AG641"/>
      <c r="AH641"/>
      <c r="AI641"/>
      <c r="AJ641"/>
      <c r="AK641"/>
      <c r="AL641"/>
      <c r="AM641"/>
      <c r="AN641"/>
      <c r="AO641" t="s">
        <v>144</v>
      </c>
      <c r="AP641"/>
      <c r="AQ641"/>
      <c r="AR641"/>
      <c r="AS641"/>
      <c r="AT641"/>
      <c r="AU641">
        <v>2019</v>
      </c>
      <c r="AV641"/>
      <c r="AW641">
        <v>1</v>
      </c>
      <c r="AX641"/>
      <c r="AY641"/>
      <c r="AZ641"/>
      <c r="BA641"/>
      <c r="BB641">
        <v>1</v>
      </c>
      <c r="BC641">
        <v>11</v>
      </c>
      <c r="BD641"/>
      <c r="BE641" t="s">
        <v>4240</v>
      </c>
      <c r="BF641" t="str">
        <f>HYPERLINK("http://dx.doi.org/10.5281/zenodo.2650407","http://dx.doi.org/10.5281/zenodo.2650407")</f>
        <v>http://dx.doi.org/10.5281/zenodo.2650407</v>
      </c>
      <c r="BG641"/>
      <c r="BH641"/>
      <c r="BI641"/>
      <c r="BJ641"/>
      <c r="BK641"/>
      <c r="BL641"/>
      <c r="BM641"/>
      <c r="BN641"/>
      <c r="BO641"/>
      <c r="BP641"/>
      <c r="BQ641"/>
      <c r="BR641"/>
      <c r="BS641" t="s">
        <v>4241</v>
      </c>
      <c r="BT641" t="str">
        <f>HYPERLINK("https%3A%2F%2Fwww.webofscience.com%2Fwos%2Fwoscc%2Ffull-record%2FWOS:000465587600001","View Full Record in Web of Science")</f>
        <v>View Full Record in Web of Science</v>
      </c>
    </row>
    <row r="642" spans="1:75" customHeight="1" ht="12.75">
      <c r="A642" t="s">
        <v>72</v>
      </c>
      <c r="B642" t="s">
        <v>3780</v>
      </c>
      <c r="C642"/>
      <c r="D642"/>
      <c r="E642"/>
      <c r="F642" t="s">
        <v>3781</v>
      </c>
      <c r="G642"/>
      <c r="H642"/>
      <c r="I642" t="s">
        <v>4242</v>
      </c>
      <c r="J642" t="s">
        <v>668</v>
      </c>
      <c r="K642"/>
      <c r="L642"/>
      <c r="M642"/>
      <c r="N642"/>
      <c r="O642"/>
      <c r="P642"/>
      <c r="Q642"/>
      <c r="R642"/>
      <c r="S642"/>
      <c r="T642"/>
      <c r="U642"/>
      <c r="V642"/>
      <c r="W642"/>
      <c r="X642"/>
      <c r="Y642"/>
      <c r="Z642"/>
      <c r="AA642"/>
      <c r="AB642"/>
      <c r="AC642"/>
      <c r="AD642"/>
      <c r="AE642"/>
      <c r="AF642"/>
      <c r="AG642"/>
      <c r="AH642"/>
      <c r="AI642"/>
      <c r="AJ642"/>
      <c r="AK642"/>
      <c r="AL642"/>
      <c r="AM642"/>
      <c r="AN642"/>
      <c r="AO642" t="s">
        <v>669</v>
      </c>
      <c r="AP642" t="s">
        <v>670</v>
      </c>
      <c r="AQ642"/>
      <c r="AR642"/>
      <c r="AS642"/>
      <c r="AT642"/>
      <c r="AU642">
        <v>2019</v>
      </c>
      <c r="AV642"/>
      <c r="AW642">
        <v>11</v>
      </c>
      <c r="AX642"/>
      <c r="AY642"/>
      <c r="AZ642"/>
      <c r="BA642"/>
      <c r="BB642">
        <v>144</v>
      </c>
      <c r="BC642">
        <v>154</v>
      </c>
      <c r="BD642"/>
      <c r="BE642" t="s">
        <v>4243</v>
      </c>
      <c r="BF642" t="str">
        <f>HYPERLINK("http://dx.doi.org/10.24224/2227-1295-2019-11-144-154","http://dx.doi.org/10.24224/2227-1295-2019-11-144-154")</f>
        <v>http://dx.doi.org/10.24224/2227-1295-2019-11-144-154</v>
      </c>
      <c r="BG642"/>
      <c r="BH642"/>
      <c r="BI642"/>
      <c r="BJ642"/>
      <c r="BK642"/>
      <c r="BL642"/>
      <c r="BM642"/>
      <c r="BN642"/>
      <c r="BO642"/>
      <c r="BP642"/>
      <c r="BQ642"/>
      <c r="BR642"/>
      <c r="BS642" t="s">
        <v>4244</v>
      </c>
      <c r="BT642" t="str">
        <f>HYPERLINK("https%3A%2F%2Fwww.webofscience.com%2Fwos%2Fwoscc%2Ffull-record%2FWOS:000498897100011","View Full Record in Web of Science")</f>
        <v>View Full Record in Web of Science</v>
      </c>
    </row>
    <row r="643" spans="1:75" customHeight="1" ht="12.75">
      <c r="A643" t="s">
        <v>147</v>
      </c>
      <c r="B643" t="s">
        <v>4245</v>
      </c>
      <c r="C643" t="s">
        <v>1232</v>
      </c>
      <c r="D643"/>
      <c r="E643"/>
      <c r="F643" t="s">
        <v>4246</v>
      </c>
      <c r="G643" t="s">
        <v>1232</v>
      </c>
      <c r="H643"/>
      <c r="I643" t="s">
        <v>4247</v>
      </c>
      <c r="J643" t="s">
        <v>1235</v>
      </c>
      <c r="K643" t="s">
        <v>1236</v>
      </c>
      <c r="L643"/>
      <c r="M643"/>
      <c r="N643"/>
      <c r="O643" t="s">
        <v>1237</v>
      </c>
      <c r="P643" t="s">
        <v>1238</v>
      </c>
      <c r="Q643" t="s">
        <v>910</v>
      </c>
      <c r="R643" t="s">
        <v>1239</v>
      </c>
      <c r="S643"/>
      <c r="T643"/>
      <c r="U643"/>
      <c r="V643"/>
      <c r="W643"/>
      <c r="X643"/>
      <c r="Y643"/>
      <c r="Z643"/>
      <c r="AA643" t="s">
        <v>1885</v>
      </c>
      <c r="AB643" t="s">
        <v>3257</v>
      </c>
      <c r="AC643"/>
      <c r="AD643"/>
      <c r="AE643"/>
      <c r="AF643"/>
      <c r="AG643"/>
      <c r="AH643"/>
      <c r="AI643"/>
      <c r="AJ643"/>
      <c r="AK643"/>
      <c r="AL643"/>
      <c r="AM643"/>
      <c r="AN643"/>
      <c r="AO643" t="s">
        <v>1240</v>
      </c>
      <c r="AP643"/>
      <c r="AQ643"/>
      <c r="AR643"/>
      <c r="AS643"/>
      <c r="AT643"/>
      <c r="AU643">
        <v>2019</v>
      </c>
      <c r="AV643">
        <v>110</v>
      </c>
      <c r="AW643"/>
      <c r="AX643"/>
      <c r="AY643"/>
      <c r="AZ643"/>
      <c r="BA643"/>
      <c r="BB643"/>
      <c r="BC643"/>
      <c r="BD643">
        <v>2090</v>
      </c>
      <c r="BE643" t="s">
        <v>4248</v>
      </c>
      <c r="BF643" t="str">
        <f>HYPERLINK("http://dx.doi.org/10.1051/e3sconf/201911002090","http://dx.doi.org/10.1051/e3sconf/201911002090")</f>
        <v>http://dx.doi.org/10.1051/e3sconf/201911002090</v>
      </c>
      <c r="BG643"/>
      <c r="BH643"/>
      <c r="BI643"/>
      <c r="BJ643"/>
      <c r="BK643"/>
      <c r="BL643"/>
      <c r="BM643"/>
      <c r="BN643"/>
      <c r="BO643"/>
      <c r="BP643"/>
      <c r="BQ643"/>
      <c r="BR643"/>
      <c r="BS643" t="s">
        <v>4249</v>
      </c>
      <c r="BT643" t="str">
        <f>HYPERLINK("https%3A%2F%2Fwww.webofscience.com%2Fwos%2Fwoscc%2Ffull-record%2FWOS:000569050000179","View Full Record in Web of Science")</f>
        <v>View Full Record in Web of Science</v>
      </c>
    </row>
    <row r="644" spans="1:75" customHeight="1" ht="12.75">
      <c r="A644" t="s">
        <v>147</v>
      </c>
      <c r="B644" t="s">
        <v>4250</v>
      </c>
      <c r="C644"/>
      <c r="D644"/>
      <c r="E644" t="s">
        <v>210</v>
      </c>
      <c r="F644" t="s">
        <v>4251</v>
      </c>
      <c r="G644"/>
      <c r="H644"/>
      <c r="I644" t="s">
        <v>4252</v>
      </c>
      <c r="J644" t="s">
        <v>2113</v>
      </c>
      <c r="K644" t="s">
        <v>2114</v>
      </c>
      <c r="L644"/>
      <c r="M644"/>
      <c r="N644"/>
      <c r="O644" t="s">
        <v>2115</v>
      </c>
      <c r="P644" t="s">
        <v>2116</v>
      </c>
      <c r="Q644" t="s">
        <v>2117</v>
      </c>
      <c r="R644" t="s">
        <v>2118</v>
      </c>
      <c r="S644" t="s">
        <v>2119</v>
      </c>
      <c r="T644"/>
      <c r="U644"/>
      <c r="V644"/>
      <c r="W644"/>
      <c r="X644"/>
      <c r="Y644"/>
      <c r="Z644"/>
      <c r="AA644" t="s">
        <v>4253</v>
      </c>
      <c r="AB644" t="s">
        <v>4254</v>
      </c>
      <c r="AC644"/>
      <c r="AD644"/>
      <c r="AE644"/>
      <c r="AF644"/>
      <c r="AG644"/>
      <c r="AH644"/>
      <c r="AI644"/>
      <c r="AJ644"/>
      <c r="AK644"/>
      <c r="AL644"/>
      <c r="AM644"/>
      <c r="AN644"/>
      <c r="AO644" t="s">
        <v>2122</v>
      </c>
      <c r="AP644"/>
      <c r="AQ644" t="s">
        <v>2123</v>
      </c>
      <c r="AR644"/>
      <c r="AS644"/>
      <c r="AT644"/>
      <c r="AU644">
        <v>2019</v>
      </c>
      <c r="AV644"/>
      <c r="AW644"/>
      <c r="AX644"/>
      <c r="AY644"/>
      <c r="AZ644"/>
      <c r="BA644"/>
      <c r="BB644">
        <v>110</v>
      </c>
      <c r="BC644">
        <v>115</v>
      </c>
      <c r="BD644"/>
      <c r="BE644"/>
      <c r="BF644"/>
      <c r="BG644"/>
      <c r="BH644"/>
      <c r="BI644"/>
      <c r="BJ644"/>
      <c r="BK644"/>
      <c r="BL644"/>
      <c r="BM644"/>
      <c r="BN644"/>
      <c r="BO644"/>
      <c r="BP644"/>
      <c r="BQ644"/>
      <c r="BR644"/>
      <c r="BS644" t="s">
        <v>4255</v>
      </c>
      <c r="BT644" t="str">
        <f>HYPERLINK("https%3A%2F%2Fwww.webofscience.com%2Fwos%2Fwoscc%2Ffull-record%2FWOS:000469452600026","View Full Record in Web of Science")</f>
        <v>View Full Record in Web of Science</v>
      </c>
    </row>
    <row r="645" spans="1:75" customHeight="1" ht="12.75">
      <c r="A645" t="s">
        <v>72</v>
      </c>
      <c r="B645" t="s">
        <v>4256</v>
      </c>
      <c r="C645"/>
      <c r="D645"/>
      <c r="E645"/>
      <c r="F645" t="s">
        <v>4257</v>
      </c>
      <c r="G645"/>
      <c r="H645"/>
      <c r="I645" t="s">
        <v>4258</v>
      </c>
      <c r="J645" t="s">
        <v>676</v>
      </c>
      <c r="K645"/>
      <c r="L645"/>
      <c r="M645"/>
      <c r="N645"/>
      <c r="O645"/>
      <c r="P645"/>
      <c r="Q645"/>
      <c r="R645"/>
      <c r="S645"/>
      <c r="T645"/>
      <c r="U645"/>
      <c r="V645"/>
      <c r="W645"/>
      <c r="X645"/>
      <c r="Y645"/>
      <c r="Z645"/>
      <c r="AA645" t="s">
        <v>1945</v>
      </c>
      <c r="AB645" t="s">
        <v>1946</v>
      </c>
      <c r="AC645"/>
      <c r="AD645"/>
      <c r="AE645"/>
      <c r="AF645"/>
      <c r="AG645"/>
      <c r="AH645"/>
      <c r="AI645"/>
      <c r="AJ645"/>
      <c r="AK645"/>
      <c r="AL645"/>
      <c r="AM645"/>
      <c r="AN645"/>
      <c r="AO645" t="s">
        <v>679</v>
      </c>
      <c r="AP645"/>
      <c r="AQ645"/>
      <c r="AR645"/>
      <c r="AS645"/>
      <c r="AT645"/>
      <c r="AU645">
        <v>2019</v>
      </c>
      <c r="AV645">
        <v>10</v>
      </c>
      <c r="AW645">
        <v>11</v>
      </c>
      <c r="AX645"/>
      <c r="AY645"/>
      <c r="AZ645"/>
      <c r="BA645"/>
      <c r="BB645"/>
      <c r="BC645"/>
      <c r="BD645"/>
      <c r="BE645" t="s">
        <v>4259</v>
      </c>
      <c r="BF645" t="str">
        <f>HYPERLINK("http://dx.doi.org/10.18254/S207987840008095-3","http://dx.doi.org/10.18254/S207987840008095-3")</f>
        <v>http://dx.doi.org/10.18254/S207987840008095-3</v>
      </c>
      <c r="BG645"/>
      <c r="BH645"/>
      <c r="BI645"/>
      <c r="BJ645"/>
      <c r="BK645"/>
      <c r="BL645"/>
      <c r="BM645"/>
      <c r="BN645"/>
      <c r="BO645"/>
      <c r="BP645"/>
      <c r="BQ645"/>
      <c r="BR645"/>
      <c r="BS645" t="s">
        <v>4260</v>
      </c>
      <c r="BT645" t="str">
        <f>HYPERLINK("https%3A%2F%2Fwww.webofscience.com%2Fwos%2Fwoscc%2Ffull-record%2FWOS:000506663000033","View Full Record in Web of Science")</f>
        <v>View Full Record in Web of Science</v>
      </c>
    </row>
    <row r="646" spans="1:75" customHeight="1" ht="12.75">
      <c r="A646" t="s">
        <v>72</v>
      </c>
      <c r="B646" t="s">
        <v>2817</v>
      </c>
      <c r="C646"/>
      <c r="D646"/>
      <c r="E646"/>
      <c r="F646" t="s">
        <v>2818</v>
      </c>
      <c r="G646"/>
      <c r="H646"/>
      <c r="I646" t="s">
        <v>4261</v>
      </c>
      <c r="J646" t="s">
        <v>685</v>
      </c>
      <c r="K646"/>
      <c r="L646"/>
      <c r="M646"/>
      <c r="N646"/>
      <c r="O646"/>
      <c r="P646"/>
      <c r="Q646"/>
      <c r="R646"/>
      <c r="S646"/>
      <c r="T646"/>
      <c r="U646"/>
      <c r="V646"/>
      <c r="W646"/>
      <c r="X646"/>
      <c r="Y646"/>
      <c r="Z646"/>
      <c r="AA646"/>
      <c r="AB646"/>
      <c r="AC646"/>
      <c r="AD646"/>
      <c r="AE646"/>
      <c r="AF646"/>
      <c r="AG646"/>
      <c r="AH646"/>
      <c r="AI646"/>
      <c r="AJ646"/>
      <c r="AK646"/>
      <c r="AL646"/>
      <c r="AM646"/>
      <c r="AN646"/>
      <c r="AO646" t="s">
        <v>687</v>
      </c>
      <c r="AP646" t="s">
        <v>688</v>
      </c>
      <c r="AQ646"/>
      <c r="AR646"/>
      <c r="AS646"/>
      <c r="AT646" t="s">
        <v>541</v>
      </c>
      <c r="AU646">
        <v>2019</v>
      </c>
      <c r="AV646">
        <v>46</v>
      </c>
      <c r="AW646">
        <v>1</v>
      </c>
      <c r="AX646"/>
      <c r="AY646"/>
      <c r="AZ646"/>
      <c r="BA646"/>
      <c r="BB646">
        <v>65</v>
      </c>
      <c r="BC646">
        <v>73</v>
      </c>
      <c r="BD646"/>
      <c r="BE646" t="s">
        <v>4262</v>
      </c>
      <c r="BF646" t="str">
        <f>HYPERLINK("http://dx.doi.org/10.1134/S1062359019010114","http://dx.doi.org/10.1134/S1062359019010114")</f>
        <v>http://dx.doi.org/10.1134/S1062359019010114</v>
      </c>
      <c r="BG646"/>
      <c r="BH646"/>
      <c r="BI646"/>
      <c r="BJ646"/>
      <c r="BK646"/>
      <c r="BL646"/>
      <c r="BM646"/>
      <c r="BN646"/>
      <c r="BO646"/>
      <c r="BP646"/>
      <c r="BQ646"/>
      <c r="BR646"/>
      <c r="BS646" t="s">
        <v>4263</v>
      </c>
      <c r="BT646" t="str">
        <f>HYPERLINK("https%3A%2F%2Fwww.webofscience.com%2Fwos%2Fwoscc%2Ffull-record%2FWOS:000467048800009","View Full Record in Web of Science")</f>
        <v>View Full Record in Web of Science</v>
      </c>
    </row>
    <row r="647" spans="1:75" customHeight="1" ht="12.75">
      <c r="A647" t="s">
        <v>72</v>
      </c>
      <c r="B647" t="s">
        <v>4264</v>
      </c>
      <c r="C647"/>
      <c r="D647"/>
      <c r="E647"/>
      <c r="F647" t="s">
        <v>4265</v>
      </c>
      <c r="G647"/>
      <c r="H647"/>
      <c r="I647" t="s">
        <v>4266</v>
      </c>
      <c r="J647" t="s">
        <v>1987</v>
      </c>
      <c r="K647"/>
      <c r="L647"/>
      <c r="M647"/>
      <c r="N647"/>
      <c r="O647"/>
      <c r="P647"/>
      <c r="Q647"/>
      <c r="R647"/>
      <c r="S647"/>
      <c r="T647"/>
      <c r="U647"/>
      <c r="V647"/>
      <c r="W647"/>
      <c r="X647"/>
      <c r="Y647"/>
      <c r="Z647"/>
      <c r="AA647" t="s">
        <v>4267</v>
      </c>
      <c r="AB647" t="s">
        <v>4268</v>
      </c>
      <c r="AC647"/>
      <c r="AD647"/>
      <c r="AE647"/>
      <c r="AF647"/>
      <c r="AG647"/>
      <c r="AH647"/>
      <c r="AI647"/>
      <c r="AJ647"/>
      <c r="AK647"/>
      <c r="AL647"/>
      <c r="AM647"/>
      <c r="AN647"/>
      <c r="AO647" t="s">
        <v>1990</v>
      </c>
      <c r="AP647" t="s">
        <v>1991</v>
      </c>
      <c r="AQ647"/>
      <c r="AR647"/>
      <c r="AS647"/>
      <c r="AT647" t="s">
        <v>1173</v>
      </c>
      <c r="AU647">
        <v>2018</v>
      </c>
      <c r="AV647">
        <v>54</v>
      </c>
      <c r="AW647"/>
      <c r="AX647"/>
      <c r="AY647"/>
      <c r="AZ647"/>
      <c r="BA647"/>
      <c r="BB647">
        <v>5</v>
      </c>
      <c r="BC647">
        <v>28</v>
      </c>
      <c r="BD647"/>
      <c r="BE647" t="s">
        <v>4269</v>
      </c>
      <c r="BF647" t="str">
        <f>HYPERLINK("http://dx.doi.org/10.17223/19986645/54/1","http://dx.doi.org/10.17223/19986645/54/1")</f>
        <v>http://dx.doi.org/10.17223/19986645/54/1</v>
      </c>
      <c r="BG647"/>
      <c r="BH647"/>
      <c r="BI647"/>
      <c r="BJ647"/>
      <c r="BK647"/>
      <c r="BL647"/>
      <c r="BM647"/>
      <c r="BN647"/>
      <c r="BO647"/>
      <c r="BP647"/>
      <c r="BQ647"/>
      <c r="BR647"/>
      <c r="BS647" t="s">
        <v>4270</v>
      </c>
      <c r="BT647" t="str">
        <f>HYPERLINK("https%3A%2F%2Fwww.webofscience.com%2Fwos%2Fwoscc%2Ffull-record%2FWOS:000448064100001","View Full Record in Web of Science")</f>
        <v>View Full Record in Web of Science</v>
      </c>
    </row>
    <row r="648" spans="1:75" customHeight="1" ht="12.75">
      <c r="A648" t="s">
        <v>147</v>
      </c>
      <c r="B648" t="s">
        <v>4245</v>
      </c>
      <c r="C648"/>
      <c r="D648" t="s">
        <v>4271</v>
      </c>
      <c r="E648"/>
      <c r="F648" t="s">
        <v>4246</v>
      </c>
      <c r="G648"/>
      <c r="H648"/>
      <c r="I648" t="s">
        <v>4272</v>
      </c>
      <c r="J648" t="s">
        <v>4273</v>
      </c>
      <c r="K648" t="s">
        <v>1276</v>
      </c>
      <c r="L648"/>
      <c r="M648"/>
      <c r="N648"/>
      <c r="O648" t="s">
        <v>1237</v>
      </c>
      <c r="P648" t="s">
        <v>4274</v>
      </c>
      <c r="Q648" t="s">
        <v>4275</v>
      </c>
      <c r="R648"/>
      <c r="S648" t="s">
        <v>4276</v>
      </c>
      <c r="T648"/>
      <c r="U648"/>
      <c r="V648"/>
      <c r="W648"/>
      <c r="X648"/>
      <c r="Y648"/>
      <c r="Z648"/>
      <c r="AA648" t="s">
        <v>1885</v>
      </c>
      <c r="AB648" t="s">
        <v>3257</v>
      </c>
      <c r="AC648"/>
      <c r="AD648"/>
      <c r="AE648"/>
      <c r="AF648"/>
      <c r="AG648"/>
      <c r="AH648"/>
      <c r="AI648"/>
      <c r="AJ648"/>
      <c r="AK648"/>
      <c r="AL648"/>
      <c r="AM648"/>
      <c r="AN648"/>
      <c r="AO648" t="s">
        <v>1282</v>
      </c>
      <c r="AP648"/>
      <c r="AQ648"/>
      <c r="AR648"/>
      <c r="AS648"/>
      <c r="AT648"/>
      <c r="AU648">
        <v>2018</v>
      </c>
      <c r="AV648">
        <v>170</v>
      </c>
      <c r="AW648"/>
      <c r="AX648"/>
      <c r="AY648"/>
      <c r="AZ648"/>
      <c r="BA648"/>
      <c r="BB648"/>
      <c r="BC648"/>
      <c r="BD648">
        <v>1003</v>
      </c>
      <c r="BE648" t="s">
        <v>4277</v>
      </c>
      <c r="BF648" t="str">
        <f>HYPERLINK("http://dx.doi.org/10.1051/matecconf/201817001003","http://dx.doi.org/10.1051/matecconf/201817001003")</f>
        <v>http://dx.doi.org/10.1051/matecconf/201817001003</v>
      </c>
      <c r="BG648"/>
      <c r="BH648"/>
      <c r="BI648"/>
      <c r="BJ648"/>
      <c r="BK648"/>
      <c r="BL648"/>
      <c r="BM648"/>
      <c r="BN648"/>
      <c r="BO648"/>
      <c r="BP648"/>
      <c r="BQ648"/>
      <c r="BR648"/>
      <c r="BS648" t="s">
        <v>4278</v>
      </c>
      <c r="BT648" t="str">
        <f>HYPERLINK("https%3A%2F%2Fwww.webofscience.com%2Fwos%2Fwoscc%2Ffull-record%2FWOS:000449660800003","View Full Record in Web of Science")</f>
        <v>View Full Record in Web of Science</v>
      </c>
    </row>
    <row r="649" spans="1:75" customHeight="1" ht="12.75">
      <c r="A649" t="s">
        <v>147</v>
      </c>
      <c r="B649" t="s">
        <v>4279</v>
      </c>
      <c r="C649"/>
      <c r="D649"/>
      <c r="E649" t="s">
        <v>175</v>
      </c>
      <c r="F649" t="s">
        <v>4280</v>
      </c>
      <c r="G649"/>
      <c r="H649"/>
      <c r="I649" t="s">
        <v>4281</v>
      </c>
      <c r="J649" t="s">
        <v>4282</v>
      </c>
      <c r="K649" t="s">
        <v>1469</v>
      </c>
      <c r="L649"/>
      <c r="M649"/>
      <c r="N649"/>
      <c r="O649" t="s">
        <v>4283</v>
      </c>
      <c r="P649" t="s">
        <v>4284</v>
      </c>
      <c r="Q649" t="s">
        <v>4285</v>
      </c>
      <c r="R649" t="s">
        <v>4286</v>
      </c>
      <c r="S649"/>
      <c r="T649"/>
      <c r="U649"/>
      <c r="V649"/>
      <c r="W649"/>
      <c r="X649"/>
      <c r="Y649"/>
      <c r="Z649"/>
      <c r="AA649" t="s">
        <v>4287</v>
      </c>
      <c r="AB649" t="s">
        <v>4288</v>
      </c>
      <c r="AC649"/>
      <c r="AD649"/>
      <c r="AE649"/>
      <c r="AF649"/>
      <c r="AG649"/>
      <c r="AH649"/>
      <c r="AI649"/>
      <c r="AJ649"/>
      <c r="AK649"/>
      <c r="AL649"/>
      <c r="AM649"/>
      <c r="AN649"/>
      <c r="AO649" t="s">
        <v>1472</v>
      </c>
      <c r="AP649"/>
      <c r="AQ649"/>
      <c r="AR649"/>
      <c r="AS649"/>
      <c r="AT649"/>
      <c r="AU649">
        <v>2018</v>
      </c>
      <c r="AV649">
        <v>450</v>
      </c>
      <c r="AW649"/>
      <c r="AX649"/>
      <c r="AY649"/>
      <c r="AZ649"/>
      <c r="BA649"/>
      <c r="BB649"/>
      <c r="BC649"/>
      <c r="BD649">
        <v>32034</v>
      </c>
      <c r="BE649" t="s">
        <v>4289</v>
      </c>
      <c r="BF649" t="str">
        <f>HYPERLINK("http://dx.doi.org/10.1088/1757-899X/450/3/032034","http://dx.doi.org/10.1088/1757-899X/450/3/032034")</f>
        <v>http://dx.doi.org/10.1088/1757-899X/450/3/032034</v>
      </c>
      <c r="BG649"/>
      <c r="BH649"/>
      <c r="BI649"/>
      <c r="BJ649"/>
      <c r="BK649"/>
      <c r="BL649"/>
      <c r="BM649"/>
      <c r="BN649"/>
      <c r="BO649"/>
      <c r="BP649"/>
      <c r="BQ649"/>
      <c r="BR649"/>
      <c r="BS649" t="s">
        <v>4290</v>
      </c>
      <c r="BT649" t="str">
        <f>HYPERLINK("https%3A%2F%2Fwww.webofscience.com%2Fwos%2Fwoscc%2Ffull-record%2FWOS:000462356300069","View Full Record in Web of Science")</f>
        <v>View Full Record in Web of Science</v>
      </c>
    </row>
    <row r="650" spans="1:75" customHeight="1" ht="12.75">
      <c r="A650" t="s">
        <v>147</v>
      </c>
      <c r="B650" t="s">
        <v>4291</v>
      </c>
      <c r="C650"/>
      <c r="D650" t="s">
        <v>233</v>
      </c>
      <c r="E650"/>
      <c r="F650" t="s">
        <v>4292</v>
      </c>
      <c r="G650"/>
      <c r="H650"/>
      <c r="I650" t="s">
        <v>4293</v>
      </c>
      <c r="J650" t="s">
        <v>444</v>
      </c>
      <c r="K650" t="s">
        <v>445</v>
      </c>
      <c r="L650"/>
      <c r="M650"/>
      <c r="N650"/>
      <c r="O650" t="s">
        <v>446</v>
      </c>
      <c r="P650" t="s">
        <v>447</v>
      </c>
      <c r="Q650" t="s">
        <v>448</v>
      </c>
      <c r="R650"/>
      <c r="S650"/>
      <c r="T650"/>
      <c r="U650"/>
      <c r="V650"/>
      <c r="W650"/>
      <c r="X650"/>
      <c r="Y650"/>
      <c r="Z650"/>
      <c r="AA650" t="s">
        <v>4294</v>
      </c>
      <c r="AB650" t="s">
        <v>4295</v>
      </c>
      <c r="AC650"/>
      <c r="AD650"/>
      <c r="AE650"/>
      <c r="AF650"/>
      <c r="AG650"/>
      <c r="AH650"/>
      <c r="AI650"/>
      <c r="AJ650"/>
      <c r="AK650"/>
      <c r="AL650"/>
      <c r="AM650"/>
      <c r="AN650"/>
      <c r="AO650" t="s">
        <v>450</v>
      </c>
      <c r="AP650"/>
      <c r="AQ650" t="s">
        <v>451</v>
      </c>
      <c r="AR650"/>
      <c r="AS650"/>
      <c r="AT650"/>
      <c r="AU650">
        <v>2017</v>
      </c>
      <c r="AV650"/>
      <c r="AW650"/>
      <c r="AX650"/>
      <c r="AY650"/>
      <c r="AZ650"/>
      <c r="BA650"/>
      <c r="BB650">
        <v>395</v>
      </c>
      <c r="BC650">
        <v>402</v>
      </c>
      <c r="BD650"/>
      <c r="BE650"/>
      <c r="BF650"/>
      <c r="BG650"/>
      <c r="BH650"/>
      <c r="BI650"/>
      <c r="BJ650"/>
      <c r="BK650"/>
      <c r="BL650"/>
      <c r="BM650"/>
      <c r="BN650"/>
      <c r="BO650"/>
      <c r="BP650"/>
      <c r="BQ650"/>
      <c r="BR650"/>
      <c r="BS650" t="s">
        <v>4296</v>
      </c>
      <c r="BT650" t="str">
        <f>HYPERLINK("https%3A%2F%2Fwww.webofscience.com%2Fwos%2Fwoscc%2Ffull-record%2FWOS:000426114200050","View Full Record in Web of Science")</f>
        <v>View Full Record in Web of Science</v>
      </c>
    </row>
    <row r="651" spans="1:75" customHeight="1" ht="12.75">
      <c r="A651" t="s">
        <v>147</v>
      </c>
      <c r="B651" t="s">
        <v>1155</v>
      </c>
      <c r="C651"/>
      <c r="D651"/>
      <c r="E651" t="s">
        <v>210</v>
      </c>
      <c r="F651" t="s">
        <v>1156</v>
      </c>
      <c r="G651"/>
      <c r="H651"/>
      <c r="I651" t="s">
        <v>4297</v>
      </c>
      <c r="J651" t="s">
        <v>916</v>
      </c>
      <c r="K651" t="s">
        <v>420</v>
      </c>
      <c r="L651"/>
      <c r="M651"/>
      <c r="N651"/>
      <c r="O651" t="s">
        <v>917</v>
      </c>
      <c r="P651" t="s">
        <v>918</v>
      </c>
      <c r="Q651" t="s">
        <v>919</v>
      </c>
      <c r="R651" t="s">
        <v>920</v>
      </c>
      <c r="S651"/>
      <c r="T651"/>
      <c r="U651"/>
      <c r="V651"/>
      <c r="W651"/>
      <c r="X651"/>
      <c r="Y651"/>
      <c r="Z651"/>
      <c r="AA651" t="s">
        <v>425</v>
      </c>
      <c r="AB651" t="s">
        <v>426</v>
      </c>
      <c r="AC651"/>
      <c r="AD651"/>
      <c r="AE651"/>
      <c r="AF651"/>
      <c r="AG651"/>
      <c r="AH651"/>
      <c r="AI651"/>
      <c r="AJ651"/>
      <c r="AK651"/>
      <c r="AL651"/>
      <c r="AM651"/>
      <c r="AN651"/>
      <c r="AO651" t="s">
        <v>427</v>
      </c>
      <c r="AP651" t="s">
        <v>428</v>
      </c>
      <c r="AQ651" t="s">
        <v>923</v>
      </c>
      <c r="AR651"/>
      <c r="AS651"/>
      <c r="AT651"/>
      <c r="AU651">
        <v>2017</v>
      </c>
      <c r="AV651"/>
      <c r="AW651"/>
      <c r="AX651"/>
      <c r="AY651"/>
      <c r="AZ651"/>
      <c r="BA651"/>
      <c r="BB651"/>
      <c r="BC651"/>
      <c r="BD651"/>
      <c r="BE651"/>
      <c r="BF651"/>
      <c r="BG651"/>
      <c r="BH651"/>
      <c r="BI651"/>
      <c r="BJ651"/>
      <c r="BK651"/>
      <c r="BL651"/>
      <c r="BM651"/>
      <c r="BN651"/>
      <c r="BO651"/>
      <c r="BP651"/>
      <c r="BQ651"/>
      <c r="BR651"/>
      <c r="BS651" t="s">
        <v>4298</v>
      </c>
      <c r="BT651" t="str">
        <f>HYPERLINK("https%3A%2F%2Fwww.webofscience.com%2Fwos%2Fwoscc%2Ffull-record%2FWOS:000426878200031","View Full Record in Web of Science")</f>
        <v>View Full Record in Web of Science</v>
      </c>
    </row>
    <row r="652" spans="1:75" customHeight="1" ht="12.75">
      <c r="A652" t="s">
        <v>147</v>
      </c>
      <c r="B652" t="s">
        <v>4299</v>
      </c>
      <c r="C652"/>
      <c r="D652" t="s">
        <v>233</v>
      </c>
      <c r="E652"/>
      <c r="F652" t="s">
        <v>4300</v>
      </c>
      <c r="G652"/>
      <c r="H652"/>
      <c r="I652" t="s">
        <v>4301</v>
      </c>
      <c r="J652" t="s">
        <v>444</v>
      </c>
      <c r="K652" t="s">
        <v>445</v>
      </c>
      <c r="L652"/>
      <c r="M652"/>
      <c r="N652"/>
      <c r="O652" t="s">
        <v>446</v>
      </c>
      <c r="P652" t="s">
        <v>447</v>
      </c>
      <c r="Q652" t="s">
        <v>448</v>
      </c>
      <c r="R652"/>
      <c r="S652"/>
      <c r="T652"/>
      <c r="U652"/>
      <c r="V652"/>
      <c r="W652"/>
      <c r="X652"/>
      <c r="Y652"/>
      <c r="Z652"/>
      <c r="AA652" t="s">
        <v>2166</v>
      </c>
      <c r="AB652" t="s">
        <v>2167</v>
      </c>
      <c r="AC652"/>
      <c r="AD652"/>
      <c r="AE652"/>
      <c r="AF652"/>
      <c r="AG652"/>
      <c r="AH652"/>
      <c r="AI652"/>
      <c r="AJ652"/>
      <c r="AK652"/>
      <c r="AL652"/>
      <c r="AM652"/>
      <c r="AN652"/>
      <c r="AO652" t="s">
        <v>450</v>
      </c>
      <c r="AP652"/>
      <c r="AQ652" t="s">
        <v>451</v>
      </c>
      <c r="AR652"/>
      <c r="AS652"/>
      <c r="AT652"/>
      <c r="AU652">
        <v>2017</v>
      </c>
      <c r="AV652"/>
      <c r="AW652"/>
      <c r="AX652"/>
      <c r="AY652"/>
      <c r="AZ652"/>
      <c r="BA652"/>
      <c r="BB652">
        <v>315</v>
      </c>
      <c r="BC652">
        <v>320</v>
      </c>
      <c r="BD652"/>
      <c r="BE652" t="s">
        <v>4302</v>
      </c>
      <c r="BF652" t="str">
        <f>HYPERLINK("http://dx.doi.org/10.1007/978-3-319-60696-5_40","http://dx.doi.org/10.1007/978-3-319-60696-5_40")</f>
        <v>http://dx.doi.org/10.1007/978-3-319-60696-5_40</v>
      </c>
      <c r="BG652"/>
      <c r="BH652"/>
      <c r="BI652"/>
      <c r="BJ652"/>
      <c r="BK652"/>
      <c r="BL652"/>
      <c r="BM652"/>
      <c r="BN652"/>
      <c r="BO652"/>
      <c r="BP652"/>
      <c r="BQ652"/>
      <c r="BR652"/>
      <c r="BS652" t="s">
        <v>4303</v>
      </c>
      <c r="BT652" t="str">
        <f>HYPERLINK("https%3A%2F%2Fwww.webofscience.com%2Fwos%2Fwoscc%2Ffull-record%2FWOS:000426114200040","View Full Record in Web of Science")</f>
        <v>View Full Record in Web of Science</v>
      </c>
    </row>
    <row r="653" spans="1:75" customHeight="1" ht="12.75">
      <c r="A653" t="s">
        <v>72</v>
      </c>
      <c r="B653" t="s">
        <v>4304</v>
      </c>
      <c r="C653"/>
      <c r="D653"/>
      <c r="E653"/>
      <c r="F653" t="s">
        <v>4305</v>
      </c>
      <c r="G653"/>
      <c r="H653"/>
      <c r="I653" t="s">
        <v>4306</v>
      </c>
      <c r="J653" t="s">
        <v>409</v>
      </c>
      <c r="K653"/>
      <c r="L653"/>
      <c r="M653"/>
      <c r="N653"/>
      <c r="O653"/>
      <c r="P653"/>
      <c r="Q653"/>
      <c r="R653"/>
      <c r="S653"/>
      <c r="T653"/>
      <c r="U653"/>
      <c r="V653"/>
      <c r="W653"/>
      <c r="X653"/>
      <c r="Y653"/>
      <c r="Z653"/>
      <c r="AA653" t="s">
        <v>480</v>
      </c>
      <c r="AB653" t="s">
        <v>481</v>
      </c>
      <c r="AC653"/>
      <c r="AD653"/>
      <c r="AE653"/>
      <c r="AF653"/>
      <c r="AG653"/>
      <c r="AH653"/>
      <c r="AI653"/>
      <c r="AJ653"/>
      <c r="AK653"/>
      <c r="AL653"/>
      <c r="AM653"/>
      <c r="AN653"/>
      <c r="AO653" t="s">
        <v>412</v>
      </c>
      <c r="AP653"/>
      <c r="AQ653"/>
      <c r="AR653"/>
      <c r="AS653"/>
      <c r="AT653" t="s">
        <v>491</v>
      </c>
      <c r="AU653">
        <v>2013</v>
      </c>
      <c r="AV653">
        <v>86</v>
      </c>
      <c r="AW653">
        <v>6</v>
      </c>
      <c r="AX653"/>
      <c r="AY653"/>
      <c r="AZ653"/>
      <c r="BA653"/>
      <c r="BB653">
        <v>848</v>
      </c>
      <c r="BC653">
        <v>852</v>
      </c>
      <c r="BD653"/>
      <c r="BE653" t="s">
        <v>4307</v>
      </c>
      <c r="BF653" t="str">
        <f>HYPERLINK("http://dx.doi.org/10.1134/S1070427213060116","http://dx.doi.org/10.1134/S1070427213060116")</f>
        <v>http://dx.doi.org/10.1134/S1070427213060116</v>
      </c>
      <c r="BG653"/>
      <c r="BH653"/>
      <c r="BI653"/>
      <c r="BJ653"/>
      <c r="BK653"/>
      <c r="BL653"/>
      <c r="BM653"/>
      <c r="BN653"/>
      <c r="BO653"/>
      <c r="BP653"/>
      <c r="BQ653"/>
      <c r="BR653"/>
      <c r="BS653" t="s">
        <v>4308</v>
      </c>
      <c r="BT653" t="str">
        <f>HYPERLINK("https%3A%2F%2Fwww.webofscience.com%2Fwos%2Fwoscc%2Ffull-record%2FWOS:000322156700011","View Full Record in Web of Science")</f>
        <v>View Full Record in Web of Science</v>
      </c>
    </row>
    <row r="654" spans="1:75" customHeight="1" ht="12.75">
      <c r="A654" t="s">
        <v>147</v>
      </c>
      <c r="B654" t="s">
        <v>4309</v>
      </c>
      <c r="C654"/>
      <c r="D654"/>
      <c r="E654" t="s">
        <v>210</v>
      </c>
      <c r="F654" t="s">
        <v>4310</v>
      </c>
      <c r="G654"/>
      <c r="H654"/>
      <c r="I654" t="s">
        <v>4311</v>
      </c>
      <c r="J654" t="s">
        <v>4312</v>
      </c>
      <c r="K654"/>
      <c r="L654"/>
      <c r="M654"/>
      <c r="N654"/>
      <c r="O654" t="s">
        <v>4313</v>
      </c>
      <c r="P654" t="s">
        <v>4314</v>
      </c>
      <c r="Q654" t="s">
        <v>2563</v>
      </c>
      <c r="R654" t="s">
        <v>210</v>
      </c>
      <c r="S654"/>
      <c r="T654"/>
      <c r="U654"/>
      <c r="V654"/>
      <c r="W654"/>
      <c r="X654"/>
      <c r="Y654"/>
      <c r="Z654"/>
      <c r="AA654" t="s">
        <v>2584</v>
      </c>
      <c r="AB654" t="s">
        <v>2585</v>
      </c>
      <c r="AC654"/>
      <c r="AD654"/>
      <c r="AE654"/>
      <c r="AF654"/>
      <c r="AG654"/>
      <c r="AH654"/>
      <c r="AI654"/>
      <c r="AJ654"/>
      <c r="AK654"/>
      <c r="AL654"/>
      <c r="AM654"/>
      <c r="AN654"/>
      <c r="AO654"/>
      <c r="AP654"/>
      <c r="AQ654" t="s">
        <v>4315</v>
      </c>
      <c r="AR654"/>
      <c r="AS654"/>
      <c r="AT654"/>
      <c r="AU654">
        <v>2009</v>
      </c>
      <c r="AV654"/>
      <c r="AW654"/>
      <c r="AX654"/>
      <c r="AY654"/>
      <c r="AZ654"/>
      <c r="BA654"/>
      <c r="BB654">
        <v>1328</v>
      </c>
      <c r="BC654">
        <v>1331</v>
      </c>
      <c r="BD654"/>
      <c r="BE654" t="s">
        <v>4316</v>
      </c>
      <c r="BF654" t="str">
        <f>HYPERLINK("http://dx.doi.org/10.1109/EURCON.2009.5167811","http://dx.doi.org/10.1109/EURCON.2009.5167811")</f>
        <v>http://dx.doi.org/10.1109/EURCON.2009.5167811</v>
      </c>
      <c r="BG654"/>
      <c r="BH654"/>
      <c r="BI654"/>
      <c r="BJ654"/>
      <c r="BK654"/>
      <c r="BL654"/>
      <c r="BM654"/>
      <c r="BN654"/>
      <c r="BO654"/>
      <c r="BP654"/>
      <c r="BQ654"/>
      <c r="BR654"/>
      <c r="BS654" t="s">
        <v>4317</v>
      </c>
      <c r="BT654" t="str">
        <f>HYPERLINK("https%3A%2F%2Fwww.webofscience.com%2Fwos%2Fwoscc%2Ffull-record%2FWOS:000272589500216","View Full Record in Web of Science")</f>
        <v>View Full Record in Web of Science</v>
      </c>
    </row>
    <row r="655" spans="1:75" customHeight="1" ht="12.75">
      <c r="A655" t="s">
        <v>72</v>
      </c>
      <c r="B655" t="s">
        <v>4318</v>
      </c>
      <c r="C655"/>
      <c r="D655"/>
      <c r="E655"/>
      <c r="F655" t="s">
        <v>4319</v>
      </c>
      <c r="G655"/>
      <c r="H655"/>
      <c r="I655" t="s">
        <v>4320</v>
      </c>
      <c r="J655" t="s">
        <v>304</v>
      </c>
      <c r="K655"/>
      <c r="L655"/>
      <c r="M655"/>
      <c r="N655"/>
      <c r="O655"/>
      <c r="P655"/>
      <c r="Q655"/>
      <c r="R655"/>
      <c r="S655"/>
      <c r="T655"/>
      <c r="U655"/>
      <c r="V655"/>
      <c r="W655"/>
      <c r="X655"/>
      <c r="Y655"/>
      <c r="Z655"/>
      <c r="AA655"/>
      <c r="AB655"/>
      <c r="AC655"/>
      <c r="AD655"/>
      <c r="AE655"/>
      <c r="AF655"/>
      <c r="AG655"/>
      <c r="AH655"/>
      <c r="AI655"/>
      <c r="AJ655"/>
      <c r="AK655"/>
      <c r="AL655"/>
      <c r="AM655"/>
      <c r="AN655"/>
      <c r="AO655" t="s">
        <v>77</v>
      </c>
      <c r="AP655"/>
      <c r="AQ655"/>
      <c r="AR655"/>
      <c r="AS655"/>
      <c r="AT655"/>
      <c r="AU655">
        <v>2008</v>
      </c>
      <c r="AV655"/>
      <c r="AW655">
        <v>1</v>
      </c>
      <c r="AX655"/>
      <c r="AY655"/>
      <c r="AZ655"/>
      <c r="BA655"/>
      <c r="BB655">
        <v>142</v>
      </c>
      <c r="BC655">
        <v>149</v>
      </c>
      <c r="BD655"/>
      <c r="BE655"/>
      <c r="BF655"/>
      <c r="BG655"/>
      <c r="BH655"/>
      <c r="BI655"/>
      <c r="BJ655"/>
      <c r="BK655"/>
      <c r="BL655"/>
      <c r="BM655"/>
      <c r="BN655"/>
      <c r="BO655"/>
      <c r="BP655"/>
      <c r="BQ655"/>
      <c r="BR655"/>
      <c r="BS655" t="s">
        <v>4321</v>
      </c>
      <c r="BT655" t="str">
        <f>HYPERLINK("https%3A%2F%2Fwww.webofscience.com%2Fwos%2Fwoscc%2Ffull-record%2FWOS:000253186900013","View Full Record in Web of Science")</f>
        <v>View Full Record in Web of Science</v>
      </c>
    </row>
    <row r="656" spans="1:75" customHeight="1" ht="12.75">
      <c r="A656" t="s">
        <v>147</v>
      </c>
      <c r="B656" t="s">
        <v>1180</v>
      </c>
      <c r="C656"/>
      <c r="D656" t="s">
        <v>4322</v>
      </c>
      <c r="E656"/>
      <c r="F656" t="s">
        <v>1182</v>
      </c>
      <c r="G656"/>
      <c r="H656"/>
      <c r="I656" t="s">
        <v>4323</v>
      </c>
      <c r="J656" t="s">
        <v>4324</v>
      </c>
      <c r="K656" t="s">
        <v>4325</v>
      </c>
      <c r="L656"/>
      <c r="M656"/>
      <c r="N656"/>
      <c r="O656" t="s">
        <v>4324</v>
      </c>
      <c r="P656" t="s">
        <v>4326</v>
      </c>
      <c r="Q656" t="s">
        <v>3276</v>
      </c>
      <c r="R656" t="s">
        <v>4327</v>
      </c>
      <c r="S656"/>
      <c r="T656"/>
      <c r="U656"/>
      <c r="V656"/>
      <c r="W656"/>
      <c r="X656"/>
      <c r="Y656"/>
      <c r="Z656"/>
      <c r="AA656"/>
      <c r="AB656"/>
      <c r="AC656"/>
      <c r="AD656"/>
      <c r="AE656"/>
      <c r="AF656"/>
      <c r="AG656"/>
      <c r="AH656"/>
      <c r="AI656"/>
      <c r="AJ656"/>
      <c r="AK656"/>
      <c r="AL656"/>
      <c r="AM656"/>
      <c r="AN656"/>
      <c r="AO656" t="s">
        <v>1190</v>
      </c>
      <c r="AP656"/>
      <c r="AQ656" t="s">
        <v>4328</v>
      </c>
      <c r="AR656"/>
      <c r="AS656"/>
      <c r="AT656"/>
      <c r="AU656">
        <v>2006</v>
      </c>
      <c r="AV656">
        <v>6580</v>
      </c>
      <c r="AW656"/>
      <c r="AX656"/>
      <c r="AY656"/>
      <c r="AZ656"/>
      <c r="BA656"/>
      <c r="BB656" t="s">
        <v>4329</v>
      </c>
      <c r="BC656" t="s">
        <v>4329</v>
      </c>
      <c r="BD656" t="s">
        <v>4330</v>
      </c>
      <c r="BE656" t="s">
        <v>4331</v>
      </c>
      <c r="BF656" t="str">
        <f>HYPERLINK("http://dx.doi.org/10.1117/12.724894","http://dx.doi.org/10.1117/12.724894")</f>
        <v>http://dx.doi.org/10.1117/12.724894</v>
      </c>
      <c r="BG656"/>
      <c r="BH656"/>
      <c r="BI656"/>
      <c r="BJ656"/>
      <c r="BK656"/>
      <c r="BL656"/>
      <c r="BM656"/>
      <c r="BN656"/>
      <c r="BO656"/>
      <c r="BP656"/>
      <c r="BQ656"/>
      <c r="BR656"/>
      <c r="BS656" t="s">
        <v>4332</v>
      </c>
      <c r="BT656" t="str">
        <f>HYPERLINK("https%3A%2F%2Fwww.webofscience.com%2Fwos%2Fwoscc%2Ffull-record%2FWOS:000245102200011","View Full Record in Web of Science")</f>
        <v>View Full Record in Web of Science</v>
      </c>
    </row>
    <row r="657" spans="1:75" customHeight="1" ht="12.75">
      <c r="A657" t="s">
        <v>72</v>
      </c>
      <c r="B657" t="s">
        <v>1203</v>
      </c>
      <c r="C657"/>
      <c r="D657"/>
      <c r="E657"/>
      <c r="F657" t="s">
        <v>1203</v>
      </c>
      <c r="G657"/>
      <c r="H657"/>
      <c r="I657" t="s">
        <v>4333</v>
      </c>
      <c r="J657" t="s">
        <v>1206</v>
      </c>
      <c r="K657"/>
      <c r="L657"/>
      <c r="M657"/>
      <c r="N657"/>
      <c r="O657"/>
      <c r="P657"/>
      <c r="Q657"/>
      <c r="R657"/>
      <c r="S657"/>
      <c r="T657"/>
      <c r="U657"/>
      <c r="V657"/>
      <c r="W657"/>
      <c r="X657"/>
      <c r="Y657"/>
      <c r="Z657"/>
      <c r="AA657"/>
      <c r="AB657"/>
      <c r="AC657"/>
      <c r="AD657"/>
      <c r="AE657"/>
      <c r="AF657"/>
      <c r="AG657"/>
      <c r="AH657"/>
      <c r="AI657"/>
      <c r="AJ657"/>
      <c r="AK657"/>
      <c r="AL657"/>
      <c r="AM657"/>
      <c r="AN657"/>
      <c r="AO657" t="s">
        <v>624</v>
      </c>
      <c r="AP657"/>
      <c r="AQ657"/>
      <c r="AR657"/>
      <c r="AS657"/>
      <c r="AT657" t="s">
        <v>403</v>
      </c>
      <c r="AU657">
        <v>2004</v>
      </c>
      <c r="AV657">
        <v>78</v>
      </c>
      <c r="AW657">
        <v>12</v>
      </c>
      <c r="AX657"/>
      <c r="AY657"/>
      <c r="AZ657"/>
      <c r="BA657"/>
      <c r="BB657">
        <v>1976</v>
      </c>
      <c r="BC657">
        <v>1979</v>
      </c>
      <c r="BD657"/>
      <c r="BE657"/>
      <c r="BF657"/>
      <c r="BG657"/>
      <c r="BH657"/>
      <c r="BI657"/>
      <c r="BJ657"/>
      <c r="BK657"/>
      <c r="BL657"/>
      <c r="BM657"/>
      <c r="BN657"/>
      <c r="BO657"/>
      <c r="BP657"/>
      <c r="BQ657"/>
      <c r="BR657"/>
      <c r="BS657" t="s">
        <v>4334</v>
      </c>
      <c r="BT657" t="str">
        <f>HYPERLINK("https%3A%2F%2Fwww.webofscience.com%2Fwos%2Fwoscc%2Ffull-record%2FWOS:000225664900020","View Full Record in Web of Science")</f>
        <v>View Full Record in Web of Science</v>
      </c>
    </row>
    <row r="658" spans="1:75" customHeight="1" ht="12.75">
      <c r="A658" t="s">
        <v>72</v>
      </c>
      <c r="B658" t="s">
        <v>4335</v>
      </c>
      <c r="C658"/>
      <c r="D658"/>
      <c r="E658"/>
      <c r="F658" t="s">
        <v>4335</v>
      </c>
      <c r="G658"/>
      <c r="H658"/>
      <c r="I658" t="s">
        <v>4336</v>
      </c>
      <c r="J658" t="s">
        <v>409</v>
      </c>
      <c r="K658"/>
      <c r="L658"/>
      <c r="M658"/>
      <c r="N658"/>
      <c r="O658" t="s">
        <v>486</v>
      </c>
      <c r="P658" t="s">
        <v>487</v>
      </c>
      <c r="Q658" t="s">
        <v>488</v>
      </c>
      <c r="R658"/>
      <c r="S658"/>
      <c r="T658"/>
      <c r="U658"/>
      <c r="V658"/>
      <c r="W658"/>
      <c r="X658"/>
      <c r="Y658"/>
      <c r="Z658"/>
      <c r="AA658"/>
      <c r="AB658"/>
      <c r="AC658"/>
      <c r="AD658"/>
      <c r="AE658"/>
      <c r="AF658"/>
      <c r="AG658"/>
      <c r="AH658"/>
      <c r="AI658"/>
      <c r="AJ658"/>
      <c r="AK658"/>
      <c r="AL658"/>
      <c r="AM658"/>
      <c r="AN658"/>
      <c r="AO658" t="s">
        <v>412</v>
      </c>
      <c r="AP658"/>
      <c r="AQ658"/>
      <c r="AR658"/>
      <c r="AS658"/>
      <c r="AT658" t="s">
        <v>491</v>
      </c>
      <c r="AU658">
        <v>2000</v>
      </c>
      <c r="AV658">
        <v>73</v>
      </c>
      <c r="AW658">
        <v>6</v>
      </c>
      <c r="AX658"/>
      <c r="AY658"/>
      <c r="AZ658"/>
      <c r="BA658"/>
      <c r="BB658">
        <v>1021</v>
      </c>
      <c r="BC658">
        <v>1024</v>
      </c>
      <c r="BD658"/>
      <c r="BE658"/>
      <c r="BF658"/>
      <c r="BG658"/>
      <c r="BH658"/>
      <c r="BI658"/>
      <c r="BJ658"/>
      <c r="BK658"/>
      <c r="BL658"/>
      <c r="BM658"/>
      <c r="BN658"/>
      <c r="BO658"/>
      <c r="BP658"/>
      <c r="BQ658"/>
      <c r="BR658"/>
      <c r="BS658" t="s">
        <v>4337</v>
      </c>
      <c r="BT658" t="str">
        <f>HYPERLINK("https%3A%2F%2Fwww.webofscience.com%2Fwos%2Fwoscc%2Ffull-record%2FWOS:000165979500021","View Full Record in Web of Science")</f>
        <v>View Full Record in Web of Science</v>
      </c>
    </row>
    <row r="659" spans="1:75" customHeight="1" ht="12.75">
      <c r="A659" t="s">
        <v>72</v>
      </c>
      <c r="B659" t="s">
        <v>4338</v>
      </c>
      <c r="C659"/>
      <c r="D659"/>
      <c r="E659"/>
      <c r="F659" t="s">
        <v>4339</v>
      </c>
      <c r="G659"/>
      <c r="H659"/>
      <c r="I659" t="s">
        <v>4340</v>
      </c>
      <c r="J659" t="s">
        <v>4341</v>
      </c>
      <c r="K659"/>
      <c r="L659"/>
      <c r="M659"/>
      <c r="N659"/>
      <c r="O659"/>
      <c r="P659"/>
      <c r="Q659"/>
      <c r="R659"/>
      <c r="S659"/>
      <c r="T659"/>
      <c r="U659"/>
      <c r="V659"/>
      <c r="W659"/>
      <c r="X659"/>
      <c r="Y659"/>
      <c r="Z659"/>
      <c r="AA659" t="s">
        <v>2853</v>
      </c>
      <c r="AB659" t="s">
        <v>1760</v>
      </c>
      <c r="AC659"/>
      <c r="AD659"/>
      <c r="AE659"/>
      <c r="AF659"/>
      <c r="AG659"/>
      <c r="AH659"/>
      <c r="AI659"/>
      <c r="AJ659"/>
      <c r="AK659"/>
      <c r="AL659"/>
      <c r="AM659"/>
      <c r="AN659"/>
      <c r="AO659" t="s">
        <v>4342</v>
      </c>
      <c r="AP659" t="s">
        <v>4343</v>
      </c>
      <c r="AQ659"/>
      <c r="AR659"/>
      <c r="AS659"/>
      <c r="AT659" t="s">
        <v>655</v>
      </c>
      <c r="AU659">
        <v>2023</v>
      </c>
      <c r="AV659">
        <v>106</v>
      </c>
      <c r="AW659">
        <v>1</v>
      </c>
      <c r="AX659"/>
      <c r="AY659"/>
      <c r="AZ659"/>
      <c r="BA659"/>
      <c r="BB659">
        <v>327</v>
      </c>
      <c r="BC659">
        <v>331</v>
      </c>
      <c r="BD659"/>
      <c r="BE659" t="s">
        <v>4344</v>
      </c>
      <c r="BF659" t="str">
        <f>HYPERLINK("http://dx.doi.org/10.1007/s00233-022-10327-w","http://dx.doi.org/10.1007/s00233-022-10327-w")</f>
        <v>http://dx.doi.org/10.1007/s00233-022-10327-w</v>
      </c>
      <c r="BG659"/>
      <c r="BH659" t="s">
        <v>4345</v>
      </c>
      <c r="BI659"/>
      <c r="BJ659"/>
      <c r="BK659"/>
      <c r="BL659"/>
      <c r="BM659"/>
      <c r="BN659"/>
      <c r="BO659"/>
      <c r="BP659"/>
      <c r="BQ659"/>
      <c r="BR659"/>
      <c r="BS659" t="s">
        <v>4346</v>
      </c>
      <c r="BT659" t="str">
        <f>HYPERLINK("https%3A%2F%2Fwww.webofscience.com%2Fwos%2Fwoscc%2Ffull-record%2FWOS:000894407100001","View Full Record in Web of Science")</f>
        <v>View Full Record in Web of Science</v>
      </c>
    </row>
    <row r="660" spans="1:75" customHeight="1" ht="12.75">
      <c r="A660" t="s">
        <v>72</v>
      </c>
      <c r="B660" t="s">
        <v>4347</v>
      </c>
      <c r="C660"/>
      <c r="D660"/>
      <c r="E660"/>
      <c r="F660" t="s">
        <v>4348</v>
      </c>
      <c r="G660"/>
      <c r="H660"/>
      <c r="I660" t="s">
        <v>4349</v>
      </c>
      <c r="J660" t="s">
        <v>95</v>
      </c>
      <c r="K660"/>
      <c r="L660"/>
      <c r="M660"/>
      <c r="N660"/>
      <c r="O660"/>
      <c r="P660"/>
      <c r="Q660"/>
      <c r="R660"/>
      <c r="S660"/>
      <c r="T660"/>
      <c r="U660"/>
      <c r="V660"/>
      <c r="W660"/>
      <c r="X660"/>
      <c r="Y660"/>
      <c r="Z660"/>
      <c r="AA660" t="s">
        <v>4350</v>
      </c>
      <c r="AB660" t="s">
        <v>4351</v>
      </c>
      <c r="AC660"/>
      <c r="AD660"/>
      <c r="AE660"/>
      <c r="AF660"/>
      <c r="AG660"/>
      <c r="AH660"/>
      <c r="AI660"/>
      <c r="AJ660"/>
      <c r="AK660"/>
      <c r="AL660"/>
      <c r="AM660"/>
      <c r="AN660"/>
      <c r="AO660" t="s">
        <v>98</v>
      </c>
      <c r="AP660" t="s">
        <v>99</v>
      </c>
      <c r="AQ660"/>
      <c r="AR660"/>
      <c r="AS660"/>
      <c r="AT660"/>
      <c r="AU660">
        <v>2022</v>
      </c>
      <c r="AV660"/>
      <c r="AW660">
        <v>4</v>
      </c>
      <c r="AX660"/>
      <c r="AY660"/>
      <c r="AZ660"/>
      <c r="BA660"/>
      <c r="BB660">
        <v>214</v>
      </c>
      <c r="BC660">
        <v>223</v>
      </c>
      <c r="BD660"/>
      <c r="BE660" t="s">
        <v>4352</v>
      </c>
      <c r="BF660" t="str">
        <f>HYPERLINK("http://dx.doi.org/10.25750/1995-4301-2022-4-214-223","http://dx.doi.org/10.25750/1995-4301-2022-4-214-223")</f>
        <v>http://dx.doi.org/10.25750/1995-4301-2022-4-214-223</v>
      </c>
      <c r="BG660"/>
      <c r="BH660"/>
      <c r="BI660"/>
      <c r="BJ660"/>
      <c r="BK660"/>
      <c r="BL660"/>
      <c r="BM660"/>
      <c r="BN660"/>
      <c r="BO660"/>
      <c r="BP660"/>
      <c r="BQ660"/>
      <c r="BR660"/>
      <c r="BS660" t="s">
        <v>4353</v>
      </c>
      <c r="BT660" t="str">
        <f>HYPERLINK("https%3A%2F%2Fwww.webofscience.com%2Fwos%2Fwoscc%2Ffull-record%2FWOS:000929704700029","View Full Record in Web of Science")</f>
        <v>View Full Record in Web of Science</v>
      </c>
    </row>
    <row r="661" spans="1:75" customHeight="1" ht="12.75">
      <c r="A661" t="s">
        <v>72</v>
      </c>
      <c r="B661" t="s">
        <v>4354</v>
      </c>
      <c r="C661"/>
      <c r="D661"/>
      <c r="E661"/>
      <c r="F661" t="s">
        <v>4355</v>
      </c>
      <c r="G661"/>
      <c r="H661"/>
      <c r="I661" t="s">
        <v>4356</v>
      </c>
      <c r="J661" t="s">
        <v>4357</v>
      </c>
      <c r="K661"/>
      <c r="L661"/>
      <c r="M661"/>
      <c r="N661"/>
      <c r="O661"/>
      <c r="P661"/>
      <c r="Q661"/>
      <c r="R661"/>
      <c r="S661"/>
      <c r="T661"/>
      <c r="U661"/>
      <c r="V661"/>
      <c r="W661"/>
      <c r="X661"/>
      <c r="Y661"/>
      <c r="Z661"/>
      <c r="AA661"/>
      <c r="AB661"/>
      <c r="AC661"/>
      <c r="AD661"/>
      <c r="AE661"/>
      <c r="AF661"/>
      <c r="AG661"/>
      <c r="AH661"/>
      <c r="AI661"/>
      <c r="AJ661"/>
      <c r="AK661"/>
      <c r="AL661"/>
      <c r="AM661"/>
      <c r="AN661"/>
      <c r="AO661" t="s">
        <v>4358</v>
      </c>
      <c r="AP661" t="s">
        <v>4359</v>
      </c>
      <c r="AQ661"/>
      <c r="AR661"/>
      <c r="AS661"/>
      <c r="AT661"/>
      <c r="AU661">
        <v>2022</v>
      </c>
      <c r="AV661">
        <v>17</v>
      </c>
      <c r="AW661">
        <v>1</v>
      </c>
      <c r="AX661"/>
      <c r="AY661"/>
      <c r="AZ661"/>
      <c r="BA661"/>
      <c r="BB661">
        <v>493</v>
      </c>
      <c r="BC661">
        <v>515</v>
      </c>
      <c r="BD661"/>
      <c r="BE661"/>
      <c r="BF661"/>
      <c r="BG661"/>
      <c r="BH661"/>
      <c r="BI661"/>
      <c r="BJ661"/>
      <c r="BK661"/>
      <c r="BL661"/>
      <c r="BM661"/>
      <c r="BN661"/>
      <c r="BO661"/>
      <c r="BP661"/>
      <c r="BQ661"/>
      <c r="BR661"/>
      <c r="BS661" t="s">
        <v>4360</v>
      </c>
      <c r="BT661" t="str">
        <f>HYPERLINK("https%3A%2F%2Fwww.webofscience.com%2Fwos%2Fwoscc%2Ffull-record%2FWOS:000805642800025","View Full Record in Web of Science")</f>
        <v>View Full Record in Web of Science</v>
      </c>
    </row>
    <row r="662" spans="1:75" customHeight="1" ht="12.75">
      <c r="A662" t="s">
        <v>72</v>
      </c>
      <c r="B662" t="s">
        <v>4361</v>
      </c>
      <c r="C662"/>
      <c r="D662"/>
      <c r="E662"/>
      <c r="F662" t="s">
        <v>4362</v>
      </c>
      <c r="G662"/>
      <c r="H662"/>
      <c r="I662" t="s">
        <v>4363</v>
      </c>
      <c r="J662" t="s">
        <v>434</v>
      </c>
      <c r="K662"/>
      <c r="L662"/>
      <c r="M662"/>
      <c r="N662"/>
      <c r="O662"/>
      <c r="P662"/>
      <c r="Q662"/>
      <c r="R662"/>
      <c r="S662"/>
      <c r="T662"/>
      <c r="U662"/>
      <c r="V662"/>
      <c r="W662"/>
      <c r="X662"/>
      <c r="Y662"/>
      <c r="Z662"/>
      <c r="AA662" t="s">
        <v>608</v>
      </c>
      <c r="AB662" t="s">
        <v>609</v>
      </c>
      <c r="AC662"/>
      <c r="AD662"/>
      <c r="AE662"/>
      <c r="AF662"/>
      <c r="AG662"/>
      <c r="AH662"/>
      <c r="AI662"/>
      <c r="AJ662"/>
      <c r="AK662"/>
      <c r="AL662"/>
      <c r="AM662"/>
      <c r="AN662"/>
      <c r="AO662" t="s">
        <v>437</v>
      </c>
      <c r="AP662" t="s">
        <v>438</v>
      </c>
      <c r="AQ662"/>
      <c r="AR662"/>
      <c r="AS662"/>
      <c r="AT662"/>
      <c r="AU662">
        <v>2022</v>
      </c>
      <c r="AV662">
        <v>15</v>
      </c>
      <c r="AW662">
        <v>4</v>
      </c>
      <c r="AX662"/>
      <c r="AY662"/>
      <c r="AZ662"/>
      <c r="BA662"/>
      <c r="BB662">
        <v>7</v>
      </c>
      <c r="BC662">
        <v>42</v>
      </c>
      <c r="BD662"/>
      <c r="BE662" t="s">
        <v>4364</v>
      </c>
      <c r="BF662" t="str">
        <f>HYPERLINK("http://dx.doi.org/10.24833/2071-8160-2022-4-85-7-42","http://dx.doi.org/10.24833/2071-8160-2022-4-85-7-42")</f>
        <v>http://dx.doi.org/10.24833/2071-8160-2022-4-85-7-42</v>
      </c>
      <c r="BG662"/>
      <c r="BH662"/>
      <c r="BI662"/>
      <c r="BJ662"/>
      <c r="BK662"/>
      <c r="BL662"/>
      <c r="BM662"/>
      <c r="BN662"/>
      <c r="BO662"/>
      <c r="BP662"/>
      <c r="BQ662"/>
      <c r="BR662"/>
      <c r="BS662" t="s">
        <v>4365</v>
      </c>
      <c r="BT662" t="str">
        <f>HYPERLINK("https%3A%2F%2Fwww.webofscience.com%2Fwos%2Fwoscc%2Ffull-record%2FWOS:000874742700001","View Full Record in Web of Science")</f>
        <v>View Full Record in Web of Science</v>
      </c>
    </row>
    <row r="663" spans="1:75" customHeight="1" ht="12.75">
      <c r="A663" t="s">
        <v>72</v>
      </c>
      <c r="B663" t="s">
        <v>1128</v>
      </c>
      <c r="C663"/>
      <c r="D663"/>
      <c r="E663"/>
      <c r="F663" t="s">
        <v>1129</v>
      </c>
      <c r="G663"/>
      <c r="H663"/>
      <c r="I663" t="s">
        <v>4366</v>
      </c>
      <c r="J663" t="s">
        <v>131</v>
      </c>
      <c r="K663"/>
      <c r="L663"/>
      <c r="M663"/>
      <c r="N663"/>
      <c r="O663"/>
      <c r="P663"/>
      <c r="Q663"/>
      <c r="R663"/>
      <c r="S663"/>
      <c r="T663"/>
      <c r="U663"/>
      <c r="V663"/>
      <c r="W663"/>
      <c r="X663"/>
      <c r="Y663"/>
      <c r="Z663"/>
      <c r="AA663" t="s">
        <v>132</v>
      </c>
      <c r="AB663" t="s">
        <v>133</v>
      </c>
      <c r="AC663"/>
      <c r="AD663"/>
      <c r="AE663"/>
      <c r="AF663"/>
      <c r="AG663"/>
      <c r="AH663"/>
      <c r="AI663"/>
      <c r="AJ663"/>
      <c r="AK663"/>
      <c r="AL663"/>
      <c r="AM663"/>
      <c r="AN663"/>
      <c r="AO663" t="s">
        <v>134</v>
      </c>
      <c r="AP663" t="s">
        <v>135</v>
      </c>
      <c r="AQ663"/>
      <c r="AR663"/>
      <c r="AS663"/>
      <c r="AT663"/>
      <c r="AU663">
        <v>2021</v>
      </c>
      <c r="AV663">
        <v>21</v>
      </c>
      <c r="AW663">
        <v>4</v>
      </c>
      <c r="AX663"/>
      <c r="AY663"/>
      <c r="AZ663"/>
      <c r="BA663"/>
      <c r="BB663">
        <v>107</v>
      </c>
      <c r="BC663">
        <v>114</v>
      </c>
      <c r="BD663"/>
      <c r="BE663" t="s">
        <v>4367</v>
      </c>
      <c r="BF663" t="str">
        <f>HYPERLINK("http://dx.doi.org/10.14529/hsm210413","http://dx.doi.org/10.14529/hsm210413")</f>
        <v>http://dx.doi.org/10.14529/hsm210413</v>
      </c>
      <c r="BG663"/>
      <c r="BH663"/>
      <c r="BI663"/>
      <c r="BJ663"/>
      <c r="BK663"/>
      <c r="BL663"/>
      <c r="BM663"/>
      <c r="BN663"/>
      <c r="BO663"/>
      <c r="BP663"/>
      <c r="BQ663"/>
      <c r="BR663"/>
      <c r="BS663" t="s">
        <v>4368</v>
      </c>
      <c r="BT663" t="str">
        <f>HYPERLINK("https%3A%2F%2Fwww.webofscience.com%2Fwos%2Fwoscc%2Ffull-record%2FWOS:000762279000013","View Full Record in Web of Science")</f>
        <v>View Full Record in Web of Science</v>
      </c>
    </row>
    <row r="664" spans="1:75" customHeight="1" ht="12.75">
      <c r="A664" t="s">
        <v>72</v>
      </c>
      <c r="B664" t="s">
        <v>4369</v>
      </c>
      <c r="C664"/>
      <c r="D664"/>
      <c r="E664"/>
      <c r="F664" t="s">
        <v>4370</v>
      </c>
      <c r="G664"/>
      <c r="H664"/>
      <c r="I664" t="s">
        <v>4371</v>
      </c>
      <c r="J664" t="s">
        <v>4372</v>
      </c>
      <c r="K664"/>
      <c r="L664"/>
      <c r="M664"/>
      <c r="N664"/>
      <c r="O664"/>
      <c r="P664"/>
      <c r="Q664"/>
      <c r="R664"/>
      <c r="S664"/>
      <c r="T664"/>
      <c r="U664"/>
      <c r="V664"/>
      <c r="W664"/>
      <c r="X664"/>
      <c r="Y664"/>
      <c r="Z664"/>
      <c r="AA664" t="s">
        <v>1885</v>
      </c>
      <c r="AB664" t="s">
        <v>3257</v>
      </c>
      <c r="AC664"/>
      <c r="AD664"/>
      <c r="AE664"/>
      <c r="AF664"/>
      <c r="AG664"/>
      <c r="AH664"/>
      <c r="AI664"/>
      <c r="AJ664"/>
      <c r="AK664"/>
      <c r="AL664"/>
      <c r="AM664"/>
      <c r="AN664"/>
      <c r="AO664" t="s">
        <v>4373</v>
      </c>
      <c r="AP664"/>
      <c r="AQ664"/>
      <c r="AR664"/>
      <c r="AS664"/>
      <c r="AT664"/>
      <c r="AU664">
        <v>2021</v>
      </c>
      <c r="AV664"/>
      <c r="AW664">
        <v>2</v>
      </c>
      <c r="AX664">
        <v>1</v>
      </c>
      <c r="AY664"/>
      <c r="AZ664"/>
      <c r="BA664"/>
      <c r="BB664">
        <v>160</v>
      </c>
      <c r="BC664">
        <v>167</v>
      </c>
      <c r="BD664"/>
      <c r="BE664" t="s">
        <v>4374</v>
      </c>
      <c r="BF664" t="str">
        <f>HYPERLINK("http://dx.doi.org/10.37220/MIT.2021.52.2.023","http://dx.doi.org/10.37220/MIT.2021.52.2.023")</f>
        <v>http://dx.doi.org/10.37220/MIT.2021.52.2.023</v>
      </c>
      <c r="BG664"/>
      <c r="BH664"/>
      <c r="BI664"/>
      <c r="BJ664"/>
      <c r="BK664"/>
      <c r="BL664"/>
      <c r="BM664"/>
      <c r="BN664"/>
      <c r="BO664"/>
      <c r="BP664"/>
      <c r="BQ664"/>
      <c r="BR664"/>
      <c r="BS664" t="s">
        <v>4375</v>
      </c>
      <c r="BT664" t="str">
        <f>HYPERLINK("https%3A%2F%2Fwww.webofscience.com%2Fwos%2Fwoscc%2Ffull-record%2FWOS:000664516800022","View Full Record in Web of Science")</f>
        <v>View Full Record in Web of Science</v>
      </c>
    </row>
    <row r="665" spans="1:75" customHeight="1" ht="12.75">
      <c r="A665" t="s">
        <v>72</v>
      </c>
      <c r="B665" t="s">
        <v>102</v>
      </c>
      <c r="C665"/>
      <c r="D665"/>
      <c r="E665"/>
      <c r="F665" t="s">
        <v>1786</v>
      </c>
      <c r="G665"/>
      <c r="H665"/>
      <c r="I665" t="s">
        <v>4376</v>
      </c>
      <c r="J665" t="s">
        <v>105</v>
      </c>
      <c r="K665"/>
      <c r="L665"/>
      <c r="M665"/>
      <c r="N665"/>
      <c r="O665"/>
      <c r="P665"/>
      <c r="Q665"/>
      <c r="R665"/>
      <c r="S665"/>
      <c r="T665"/>
      <c r="U665"/>
      <c r="V665"/>
      <c r="W665"/>
      <c r="X665"/>
      <c r="Y665"/>
      <c r="Z665"/>
      <c r="AA665"/>
      <c r="AB665"/>
      <c r="AC665"/>
      <c r="AD665"/>
      <c r="AE665"/>
      <c r="AF665"/>
      <c r="AG665"/>
      <c r="AH665"/>
      <c r="AI665"/>
      <c r="AJ665"/>
      <c r="AK665"/>
      <c r="AL665"/>
      <c r="AM665"/>
      <c r="AN665"/>
      <c r="AO665" t="s">
        <v>106</v>
      </c>
      <c r="AP665"/>
      <c r="AQ665"/>
      <c r="AR665"/>
      <c r="AS665"/>
      <c r="AT665"/>
      <c r="AU665">
        <v>2021</v>
      </c>
      <c r="AV665"/>
      <c r="AW665">
        <v>2</v>
      </c>
      <c r="AX665"/>
      <c r="AY665"/>
      <c r="AZ665"/>
      <c r="BA665"/>
      <c r="BB665">
        <v>482</v>
      </c>
      <c r="BC665">
        <v>495</v>
      </c>
      <c r="BD665"/>
      <c r="BE665" t="s">
        <v>4377</v>
      </c>
      <c r="BF665" t="str">
        <f>HYPERLINK("http://dx.doi.org/10.28995/2073-0101-2021-2-482-495","http://dx.doi.org/10.28995/2073-0101-2021-2-482-495")</f>
        <v>http://dx.doi.org/10.28995/2073-0101-2021-2-482-495</v>
      </c>
      <c r="BG665"/>
      <c r="BH665"/>
      <c r="BI665"/>
      <c r="BJ665"/>
      <c r="BK665"/>
      <c r="BL665"/>
      <c r="BM665"/>
      <c r="BN665"/>
      <c r="BO665"/>
      <c r="BP665"/>
      <c r="BQ665"/>
      <c r="BR665"/>
      <c r="BS665" t="s">
        <v>4378</v>
      </c>
      <c r="BT665" t="str">
        <f>HYPERLINK("https%3A%2F%2Fwww.webofscience.com%2Fwos%2Fwoscc%2Ffull-record%2FWOS:000698603400013","View Full Record in Web of Science")</f>
        <v>View Full Record in Web of Science</v>
      </c>
    </row>
    <row r="666" spans="1:75" customHeight="1" ht="12.75">
      <c r="A666" t="s">
        <v>72</v>
      </c>
      <c r="B666" t="s">
        <v>4379</v>
      </c>
      <c r="C666"/>
      <c r="D666"/>
      <c r="E666"/>
      <c r="F666" t="s">
        <v>4380</v>
      </c>
      <c r="G666"/>
      <c r="H666"/>
      <c r="I666" t="s">
        <v>4381</v>
      </c>
      <c r="J666" t="s">
        <v>4382</v>
      </c>
      <c r="K666"/>
      <c r="L666"/>
      <c r="M666"/>
      <c r="N666"/>
      <c r="O666"/>
      <c r="P666"/>
      <c r="Q666"/>
      <c r="R666"/>
      <c r="S666"/>
      <c r="T666"/>
      <c r="U666"/>
      <c r="V666"/>
      <c r="W666"/>
      <c r="X666"/>
      <c r="Y666"/>
      <c r="Z666"/>
      <c r="AA666" t="s">
        <v>686</v>
      </c>
      <c r="AB666"/>
      <c r="AC666"/>
      <c r="AD666"/>
      <c r="AE666"/>
      <c r="AF666"/>
      <c r="AG666"/>
      <c r="AH666"/>
      <c r="AI666"/>
      <c r="AJ666"/>
      <c r="AK666"/>
      <c r="AL666"/>
      <c r="AM666"/>
      <c r="AN666"/>
      <c r="AO666" t="s">
        <v>4383</v>
      </c>
      <c r="AP666" t="s">
        <v>4384</v>
      </c>
      <c r="AQ666"/>
      <c r="AR666"/>
      <c r="AS666"/>
      <c r="AT666" t="s">
        <v>198</v>
      </c>
      <c r="AU666">
        <v>2020</v>
      </c>
      <c r="AV666">
        <v>13</v>
      </c>
      <c r="AW666">
        <v>2</v>
      </c>
      <c r="AX666"/>
      <c r="AY666"/>
      <c r="AZ666"/>
      <c r="BA666"/>
      <c r="BB666">
        <v>186</v>
      </c>
      <c r="BC666">
        <v>192</v>
      </c>
      <c r="BD666"/>
      <c r="BE666" t="s">
        <v>4385</v>
      </c>
      <c r="BF666" t="str">
        <f>HYPERLINK("http://dx.doi.org/10.1134/S1995082920020297","http://dx.doi.org/10.1134/S1995082920020297")</f>
        <v>http://dx.doi.org/10.1134/S1995082920020297</v>
      </c>
      <c r="BG666"/>
      <c r="BH666"/>
      <c r="BI666"/>
      <c r="BJ666"/>
      <c r="BK666"/>
      <c r="BL666"/>
      <c r="BM666"/>
      <c r="BN666"/>
      <c r="BO666"/>
      <c r="BP666"/>
      <c r="BQ666"/>
      <c r="BR666"/>
      <c r="BS666" t="s">
        <v>4386</v>
      </c>
      <c r="BT666" t="str">
        <f>HYPERLINK("https%3A%2F%2Fwww.webofscience.com%2Fwos%2Fwoscc%2Ffull-record%2FWOS:000545314100010","View Full Record in Web of Science")</f>
        <v>View Full Record in Web of Science</v>
      </c>
    </row>
    <row r="667" spans="1:75" customHeight="1" ht="12.75">
      <c r="A667" t="s">
        <v>147</v>
      </c>
      <c r="B667" t="s">
        <v>4387</v>
      </c>
      <c r="C667"/>
      <c r="D667" t="s">
        <v>1215</v>
      </c>
      <c r="E667"/>
      <c r="F667" t="s">
        <v>4388</v>
      </c>
      <c r="G667"/>
      <c r="H667"/>
      <c r="I667" t="s">
        <v>4389</v>
      </c>
      <c r="J667" t="s">
        <v>1218</v>
      </c>
      <c r="K667" t="s">
        <v>1219</v>
      </c>
      <c r="L667"/>
      <c r="M667"/>
      <c r="N667"/>
      <c r="O667" t="s">
        <v>1220</v>
      </c>
      <c r="P667" t="s">
        <v>1221</v>
      </c>
      <c r="Q667" t="s">
        <v>1222</v>
      </c>
      <c r="R667"/>
      <c r="S667"/>
      <c r="T667"/>
      <c r="U667"/>
      <c r="V667"/>
      <c r="W667"/>
      <c r="X667"/>
      <c r="Y667"/>
      <c r="Z667"/>
      <c r="AA667"/>
      <c r="AB667"/>
      <c r="AC667"/>
      <c r="AD667"/>
      <c r="AE667"/>
      <c r="AF667"/>
      <c r="AG667"/>
      <c r="AH667"/>
      <c r="AI667"/>
      <c r="AJ667"/>
      <c r="AK667"/>
      <c r="AL667"/>
      <c r="AM667"/>
      <c r="AN667"/>
      <c r="AO667" t="s">
        <v>1223</v>
      </c>
      <c r="AP667"/>
      <c r="AQ667"/>
      <c r="AR667"/>
      <c r="AS667"/>
      <c r="AT667"/>
      <c r="AU667">
        <v>2020</v>
      </c>
      <c r="AV667">
        <v>24</v>
      </c>
      <c r="AW667"/>
      <c r="AX667"/>
      <c r="AY667"/>
      <c r="AZ667"/>
      <c r="BA667"/>
      <c r="BB667"/>
      <c r="BC667"/>
      <c r="BD667">
        <v>39</v>
      </c>
      <c r="BE667" t="s">
        <v>4390</v>
      </c>
      <c r="BF667" t="str">
        <f>HYPERLINK("http://dx.doi.org/10.1051/bioconf/20202400039","http://dx.doi.org/10.1051/bioconf/20202400039")</f>
        <v>http://dx.doi.org/10.1051/bioconf/20202400039</v>
      </c>
      <c r="BG667"/>
      <c r="BH667"/>
      <c r="BI667"/>
      <c r="BJ667"/>
      <c r="BK667"/>
      <c r="BL667"/>
      <c r="BM667"/>
      <c r="BN667"/>
      <c r="BO667"/>
      <c r="BP667"/>
      <c r="BQ667"/>
      <c r="BR667"/>
      <c r="BS667" t="s">
        <v>4391</v>
      </c>
      <c r="BT667" t="str">
        <f>HYPERLINK("https%3A%2F%2Fwww.webofscience.com%2Fwos%2Fwoscc%2Ffull-record%2FWOS:000624287900039","View Full Record in Web of Science")</f>
        <v>View Full Record in Web of Science</v>
      </c>
    </row>
    <row r="668" spans="1:75" customHeight="1" ht="12.75">
      <c r="A668" t="s">
        <v>72</v>
      </c>
      <c r="B668" t="s">
        <v>4354</v>
      </c>
      <c r="C668"/>
      <c r="D668"/>
      <c r="E668"/>
      <c r="F668" t="s">
        <v>4355</v>
      </c>
      <c r="G668"/>
      <c r="H668"/>
      <c r="I668" t="s">
        <v>4392</v>
      </c>
      <c r="J668" t="s">
        <v>4357</v>
      </c>
      <c r="K668"/>
      <c r="L668"/>
      <c r="M668"/>
      <c r="N668"/>
      <c r="O668"/>
      <c r="P668"/>
      <c r="Q668"/>
      <c r="R668"/>
      <c r="S668"/>
      <c r="T668"/>
      <c r="U668"/>
      <c r="V668"/>
      <c r="W668"/>
      <c r="X668"/>
      <c r="Y668"/>
      <c r="Z668"/>
      <c r="AA668" t="s">
        <v>4393</v>
      </c>
      <c r="AB668" t="s">
        <v>4394</v>
      </c>
      <c r="AC668"/>
      <c r="AD668"/>
      <c r="AE668"/>
      <c r="AF668"/>
      <c r="AG668"/>
      <c r="AH668"/>
      <c r="AI668"/>
      <c r="AJ668"/>
      <c r="AK668"/>
      <c r="AL668"/>
      <c r="AM668"/>
      <c r="AN668"/>
      <c r="AO668" t="s">
        <v>4358</v>
      </c>
      <c r="AP668" t="s">
        <v>4359</v>
      </c>
      <c r="AQ668"/>
      <c r="AR668"/>
      <c r="AS668"/>
      <c r="AT668"/>
      <c r="AU668">
        <v>2020</v>
      </c>
      <c r="AV668">
        <v>15</v>
      </c>
      <c r="AW668">
        <v>1</v>
      </c>
      <c r="AX668"/>
      <c r="AY668"/>
      <c r="AZ668"/>
      <c r="BA668"/>
      <c r="BB668">
        <v>309</v>
      </c>
      <c r="BC668">
        <v>325</v>
      </c>
      <c r="BD668"/>
      <c r="BE668"/>
      <c r="BF668"/>
      <c r="BG668"/>
      <c r="BH668"/>
      <c r="BI668"/>
      <c r="BJ668"/>
      <c r="BK668"/>
      <c r="BL668"/>
      <c r="BM668"/>
      <c r="BN668"/>
      <c r="BO668"/>
      <c r="BP668"/>
      <c r="BQ668"/>
      <c r="BR668"/>
      <c r="BS668" t="s">
        <v>4395</v>
      </c>
      <c r="BT668" t="str">
        <f>HYPERLINK("https%3A%2F%2Fwww.webofscience.com%2Fwos%2Fwoscc%2Ffull-record%2FWOS:000536400400017","View Full Record in Web of Science")</f>
        <v>View Full Record in Web of Science</v>
      </c>
    </row>
    <row r="669" spans="1:75" customHeight="1" ht="12.75">
      <c r="A669" t="s">
        <v>231</v>
      </c>
      <c r="B669" t="s">
        <v>2621</v>
      </c>
      <c r="C669"/>
      <c r="D669" t="s">
        <v>4396</v>
      </c>
      <c r="E669"/>
      <c r="F669" t="s">
        <v>2954</v>
      </c>
      <c r="G669"/>
      <c r="H669"/>
      <c r="I669" t="s">
        <v>4397</v>
      </c>
      <c r="J669" t="s">
        <v>4398</v>
      </c>
      <c r="K669"/>
      <c r="L669"/>
      <c r="M669"/>
      <c r="N669"/>
      <c r="O669"/>
      <c r="P669"/>
      <c r="Q669"/>
      <c r="R669"/>
      <c r="S669"/>
      <c r="T669"/>
      <c r="U669"/>
      <c r="V669"/>
      <c r="W669"/>
      <c r="X669"/>
      <c r="Y669"/>
      <c r="Z669"/>
      <c r="AA669"/>
      <c r="AB669"/>
      <c r="AC669"/>
      <c r="AD669"/>
      <c r="AE669"/>
      <c r="AF669"/>
      <c r="AG669"/>
      <c r="AH669"/>
      <c r="AI669"/>
      <c r="AJ669"/>
      <c r="AK669"/>
      <c r="AL669"/>
      <c r="AM669"/>
      <c r="AN669"/>
      <c r="AO669"/>
      <c r="AP669"/>
      <c r="AQ669" t="s">
        <v>4399</v>
      </c>
      <c r="AR669"/>
      <c r="AS669"/>
      <c r="AT669"/>
      <c r="AU669">
        <v>2020</v>
      </c>
      <c r="AV669"/>
      <c r="AW669"/>
      <c r="AX669"/>
      <c r="AY669"/>
      <c r="AZ669"/>
      <c r="BA669"/>
      <c r="BB669">
        <v>229</v>
      </c>
      <c r="BC669" t="s">
        <v>107</v>
      </c>
      <c r="BD669"/>
      <c r="BE669"/>
      <c r="BF669"/>
      <c r="BG669"/>
      <c r="BH669"/>
      <c r="BI669"/>
      <c r="BJ669"/>
      <c r="BK669"/>
      <c r="BL669"/>
      <c r="BM669"/>
      <c r="BN669"/>
      <c r="BO669"/>
      <c r="BP669"/>
      <c r="BQ669"/>
      <c r="BR669"/>
      <c r="BS669" t="s">
        <v>4400</v>
      </c>
      <c r="BT669" t="str">
        <f>HYPERLINK("https%3A%2F%2Fwww.webofscience.com%2Fwos%2Fwoscc%2Ffull-record%2FWOS:000588252000019","View Full Record in Web of Science")</f>
        <v>View Full Record in Web of Science</v>
      </c>
    </row>
    <row r="670" spans="1:75" customHeight="1" ht="12.75">
      <c r="A670" t="s">
        <v>72</v>
      </c>
      <c r="B670" t="s">
        <v>431</v>
      </c>
      <c r="C670"/>
      <c r="D670"/>
      <c r="E670"/>
      <c r="F670" t="s">
        <v>2129</v>
      </c>
      <c r="G670"/>
      <c r="H670"/>
      <c r="I670" t="s">
        <v>4401</v>
      </c>
      <c r="J670" t="s">
        <v>642</v>
      </c>
      <c r="K670"/>
      <c r="L670"/>
      <c r="M670"/>
      <c r="N670"/>
      <c r="O670"/>
      <c r="P670"/>
      <c r="Q670"/>
      <c r="R670"/>
      <c r="S670"/>
      <c r="T670"/>
      <c r="U670"/>
      <c r="V670"/>
      <c r="W670"/>
      <c r="X670"/>
      <c r="Y670"/>
      <c r="Z670"/>
      <c r="AA670" t="s">
        <v>1945</v>
      </c>
      <c r="AB670" t="s">
        <v>1946</v>
      </c>
      <c r="AC670"/>
      <c r="AD670"/>
      <c r="AE670"/>
      <c r="AF670"/>
      <c r="AG670"/>
      <c r="AH670"/>
      <c r="AI670"/>
      <c r="AJ670"/>
      <c r="AK670"/>
      <c r="AL670"/>
      <c r="AM670"/>
      <c r="AN670"/>
      <c r="AO670" t="s">
        <v>643</v>
      </c>
      <c r="AP670" t="s">
        <v>644</v>
      </c>
      <c r="AQ670"/>
      <c r="AR670"/>
      <c r="AS670"/>
      <c r="AT670"/>
      <c r="AU670">
        <v>2020</v>
      </c>
      <c r="AV670">
        <v>8</v>
      </c>
      <c r="AW670">
        <v>1</v>
      </c>
      <c r="AX670"/>
      <c r="AY670"/>
      <c r="AZ670"/>
      <c r="BA670"/>
      <c r="BB670">
        <v>150</v>
      </c>
      <c r="BC670">
        <v>163</v>
      </c>
      <c r="BD670"/>
      <c r="BE670" t="s">
        <v>4402</v>
      </c>
      <c r="BF670" t="str">
        <f>HYPERLINK("http://dx.doi.org/10.15826/qr.2020.1.453","http://dx.doi.org/10.15826/qr.2020.1.453")</f>
        <v>http://dx.doi.org/10.15826/qr.2020.1.453</v>
      </c>
      <c r="BG670"/>
      <c r="BH670"/>
      <c r="BI670"/>
      <c r="BJ670"/>
      <c r="BK670"/>
      <c r="BL670"/>
      <c r="BM670"/>
      <c r="BN670"/>
      <c r="BO670"/>
      <c r="BP670"/>
      <c r="BQ670"/>
      <c r="BR670"/>
      <c r="BS670" t="s">
        <v>4403</v>
      </c>
      <c r="BT670" t="str">
        <f>HYPERLINK("https%3A%2F%2Fwww.webofscience.com%2Fwos%2Fwoscc%2Ffull-record%2FWOS:000579426800010","View Full Record in Web of Science")</f>
        <v>View Full Record in Web of Science</v>
      </c>
    </row>
    <row r="671" spans="1:75" customHeight="1" ht="12.75">
      <c r="A671" t="s">
        <v>72</v>
      </c>
      <c r="B671" t="s">
        <v>4404</v>
      </c>
      <c r="C671"/>
      <c r="D671"/>
      <c r="E671"/>
      <c r="F671" t="s">
        <v>4405</v>
      </c>
      <c r="G671"/>
      <c r="H671"/>
      <c r="I671" t="s">
        <v>4406</v>
      </c>
      <c r="J671" t="s">
        <v>4407</v>
      </c>
      <c r="K671"/>
      <c r="L671"/>
      <c r="M671"/>
      <c r="N671"/>
      <c r="O671"/>
      <c r="P671"/>
      <c r="Q671"/>
      <c r="R671"/>
      <c r="S671"/>
      <c r="T671"/>
      <c r="U671"/>
      <c r="V671"/>
      <c r="W671"/>
      <c r="X671"/>
      <c r="Y671"/>
      <c r="Z671"/>
      <c r="AA671" t="s">
        <v>507</v>
      </c>
      <c r="AB671" t="s">
        <v>508</v>
      </c>
      <c r="AC671"/>
      <c r="AD671"/>
      <c r="AE671"/>
      <c r="AF671"/>
      <c r="AG671"/>
      <c r="AH671"/>
      <c r="AI671"/>
      <c r="AJ671"/>
      <c r="AK671"/>
      <c r="AL671"/>
      <c r="AM671"/>
      <c r="AN671"/>
      <c r="AO671" t="s">
        <v>4408</v>
      </c>
      <c r="AP671"/>
      <c r="AQ671"/>
      <c r="AR671"/>
      <c r="AS671"/>
      <c r="AT671" t="s">
        <v>4409</v>
      </c>
      <c r="AU671">
        <v>2019</v>
      </c>
      <c r="AV671">
        <v>14</v>
      </c>
      <c r="AW671">
        <v>2</v>
      </c>
      <c r="AX671"/>
      <c r="AY671"/>
      <c r="AZ671"/>
      <c r="BA671"/>
      <c r="BB671">
        <v>256</v>
      </c>
      <c r="BC671">
        <v>266</v>
      </c>
      <c r="BD671"/>
      <c r="BE671" t="s">
        <v>4410</v>
      </c>
      <c r="BF671" t="str">
        <f>HYPERLINK("http://dx.doi.org/10.5281/zenodo.3722888","http://dx.doi.org/10.5281/zenodo.3722888")</f>
        <v>http://dx.doi.org/10.5281/zenodo.3722888</v>
      </c>
      <c r="BG671"/>
      <c r="BH671"/>
      <c r="BI671"/>
      <c r="BJ671"/>
      <c r="BK671"/>
      <c r="BL671"/>
      <c r="BM671"/>
      <c r="BN671"/>
      <c r="BO671"/>
      <c r="BP671"/>
      <c r="BQ671"/>
      <c r="BR671"/>
      <c r="BS671" t="s">
        <v>4411</v>
      </c>
      <c r="BT671" t="str">
        <f>HYPERLINK("https%3A%2F%2Fwww.webofscience.com%2Fwos%2Fwoscc%2Ffull-record%2FWOS:000522670600013","View Full Record in Web of Science")</f>
        <v>View Full Record in Web of Science</v>
      </c>
    </row>
    <row r="672" spans="1:75" customHeight="1" ht="12.75">
      <c r="A672" t="s">
        <v>72</v>
      </c>
      <c r="B672" t="s">
        <v>4412</v>
      </c>
      <c r="C672"/>
      <c r="D672"/>
      <c r="E672"/>
      <c r="F672" t="s">
        <v>4413</v>
      </c>
      <c r="G672"/>
      <c r="H672"/>
      <c r="I672" t="s">
        <v>4414</v>
      </c>
      <c r="J672" t="s">
        <v>4382</v>
      </c>
      <c r="K672"/>
      <c r="L672"/>
      <c r="M672"/>
      <c r="N672"/>
      <c r="O672"/>
      <c r="P672"/>
      <c r="Q672"/>
      <c r="R672"/>
      <c r="S672"/>
      <c r="T672"/>
      <c r="U672"/>
      <c r="V672"/>
      <c r="W672"/>
      <c r="X672"/>
      <c r="Y672"/>
      <c r="Z672"/>
      <c r="AA672"/>
      <c r="AB672"/>
      <c r="AC672"/>
      <c r="AD672"/>
      <c r="AE672"/>
      <c r="AF672"/>
      <c r="AG672"/>
      <c r="AH672"/>
      <c r="AI672"/>
      <c r="AJ672"/>
      <c r="AK672"/>
      <c r="AL672"/>
      <c r="AM672"/>
      <c r="AN672"/>
      <c r="AO672" t="s">
        <v>4383</v>
      </c>
      <c r="AP672" t="s">
        <v>4384</v>
      </c>
      <c r="AQ672"/>
      <c r="AR672"/>
      <c r="AS672"/>
      <c r="AT672" t="s">
        <v>491</v>
      </c>
      <c r="AU672">
        <v>2019</v>
      </c>
      <c r="AV672">
        <v>12</v>
      </c>
      <c r="AW672"/>
      <c r="AX672"/>
      <c r="AY672">
        <v>1</v>
      </c>
      <c r="AZ672"/>
      <c r="BA672"/>
      <c r="BB672">
        <v>10</v>
      </c>
      <c r="BC672">
        <v>17</v>
      </c>
      <c r="BD672"/>
      <c r="BE672" t="s">
        <v>4415</v>
      </c>
      <c r="BF672" t="str">
        <f>HYPERLINK("http://dx.doi.org/10.1134/S1995082919050134","http://dx.doi.org/10.1134/S1995082919050134")</f>
        <v>http://dx.doi.org/10.1134/S1995082919050134</v>
      </c>
      <c r="BG672"/>
      <c r="BH672"/>
      <c r="BI672"/>
      <c r="BJ672"/>
      <c r="BK672"/>
      <c r="BL672"/>
      <c r="BM672"/>
      <c r="BN672"/>
      <c r="BO672"/>
      <c r="BP672"/>
      <c r="BQ672"/>
      <c r="BR672"/>
      <c r="BS672" t="s">
        <v>4416</v>
      </c>
      <c r="BT672" t="str">
        <f>HYPERLINK("https%3A%2F%2Fwww.webofscience.com%2Fwos%2Fwoscc%2Ffull-record%2FWOS:000483728400002","View Full Record in Web of Science")</f>
        <v>View Full Record in Web of Science</v>
      </c>
    </row>
    <row r="673" spans="1:75" customHeight="1" ht="12.75">
      <c r="A673" t="s">
        <v>72</v>
      </c>
      <c r="B673" t="s">
        <v>128</v>
      </c>
      <c r="C673"/>
      <c r="D673"/>
      <c r="E673"/>
      <c r="F673" t="s">
        <v>129</v>
      </c>
      <c r="G673"/>
      <c r="H673"/>
      <c r="I673" t="s">
        <v>4417</v>
      </c>
      <c r="J673" t="s">
        <v>131</v>
      </c>
      <c r="K673"/>
      <c r="L673"/>
      <c r="M673"/>
      <c r="N673"/>
      <c r="O673"/>
      <c r="P673"/>
      <c r="Q673"/>
      <c r="R673"/>
      <c r="S673"/>
      <c r="T673"/>
      <c r="U673"/>
      <c r="V673"/>
      <c r="W673"/>
      <c r="X673"/>
      <c r="Y673"/>
      <c r="Z673"/>
      <c r="AA673" t="s">
        <v>4418</v>
      </c>
      <c r="AB673" t="s">
        <v>4419</v>
      </c>
      <c r="AC673"/>
      <c r="AD673"/>
      <c r="AE673"/>
      <c r="AF673"/>
      <c r="AG673"/>
      <c r="AH673"/>
      <c r="AI673"/>
      <c r="AJ673"/>
      <c r="AK673"/>
      <c r="AL673"/>
      <c r="AM673"/>
      <c r="AN673"/>
      <c r="AO673" t="s">
        <v>134</v>
      </c>
      <c r="AP673" t="s">
        <v>135</v>
      </c>
      <c r="AQ673"/>
      <c r="AR673"/>
      <c r="AS673"/>
      <c r="AT673"/>
      <c r="AU673">
        <v>2019</v>
      </c>
      <c r="AV673">
        <v>19</v>
      </c>
      <c r="AW673">
        <v>3</v>
      </c>
      <c r="AX673"/>
      <c r="AY673"/>
      <c r="AZ673"/>
      <c r="BA673"/>
      <c r="BB673">
        <v>66</v>
      </c>
      <c r="BC673">
        <v>73</v>
      </c>
      <c r="BD673"/>
      <c r="BE673" t="s">
        <v>4420</v>
      </c>
      <c r="BF673" t="str">
        <f>HYPERLINK("http://dx.doi.org/10.14529/hsm190308","http://dx.doi.org/10.14529/hsm190308")</f>
        <v>http://dx.doi.org/10.14529/hsm190308</v>
      </c>
      <c r="BG673"/>
      <c r="BH673"/>
      <c r="BI673"/>
      <c r="BJ673"/>
      <c r="BK673"/>
      <c r="BL673"/>
      <c r="BM673"/>
      <c r="BN673"/>
      <c r="BO673"/>
      <c r="BP673"/>
      <c r="BQ673"/>
      <c r="BR673"/>
      <c r="BS673" t="s">
        <v>4421</v>
      </c>
      <c r="BT673" t="str">
        <f>HYPERLINK("https%3A%2F%2Fwww.webofscience.com%2Fwos%2Fwoscc%2Ffull-record%2FWOS:000502010700008","View Full Record in Web of Science")</f>
        <v>View Full Record in Web of Science</v>
      </c>
    </row>
    <row r="674" spans="1:75" customHeight="1" ht="12.75">
      <c r="A674" t="s">
        <v>72</v>
      </c>
      <c r="B674" t="s">
        <v>2734</v>
      </c>
      <c r="C674"/>
      <c r="D674"/>
      <c r="E674"/>
      <c r="F674" t="s">
        <v>4204</v>
      </c>
      <c r="G674"/>
      <c r="H674"/>
      <c r="I674" t="s">
        <v>4422</v>
      </c>
      <c r="J674" t="s">
        <v>896</v>
      </c>
      <c r="K674"/>
      <c r="L674"/>
      <c r="M674"/>
      <c r="N674"/>
      <c r="O674"/>
      <c r="P674"/>
      <c r="Q674"/>
      <c r="R674"/>
      <c r="S674"/>
      <c r="T674"/>
      <c r="U674"/>
      <c r="V674"/>
      <c r="W674"/>
      <c r="X674"/>
      <c r="Y674"/>
      <c r="Z674"/>
      <c r="AA674" t="s">
        <v>4423</v>
      </c>
      <c r="AB674" t="s">
        <v>4424</v>
      </c>
      <c r="AC674"/>
      <c r="AD674"/>
      <c r="AE674"/>
      <c r="AF674"/>
      <c r="AG674"/>
      <c r="AH674"/>
      <c r="AI674"/>
      <c r="AJ674"/>
      <c r="AK674"/>
      <c r="AL674"/>
      <c r="AM674"/>
      <c r="AN674"/>
      <c r="AO674" t="s">
        <v>899</v>
      </c>
      <c r="AP674"/>
      <c r="AQ674"/>
      <c r="AR674"/>
      <c r="AS674"/>
      <c r="AT674"/>
      <c r="AU674">
        <v>2019</v>
      </c>
      <c r="AV674">
        <v>54</v>
      </c>
      <c r="AW674">
        <v>4</v>
      </c>
      <c r="AX674"/>
      <c r="AY674"/>
      <c r="AZ674"/>
      <c r="BA674"/>
      <c r="BB674">
        <v>1811</v>
      </c>
      <c r="BC674">
        <v>1819</v>
      </c>
      <c r="BD674"/>
      <c r="BE674" t="s">
        <v>4425</v>
      </c>
      <c r="BF674" t="str">
        <f>HYPERLINK("http://dx.doi.org/10.13187/bg.2019.4.1811","http://dx.doi.org/10.13187/bg.2019.4.1811")</f>
        <v>http://dx.doi.org/10.13187/bg.2019.4.1811</v>
      </c>
      <c r="BG674"/>
      <c r="BH674"/>
      <c r="BI674"/>
      <c r="BJ674"/>
      <c r="BK674"/>
      <c r="BL674"/>
      <c r="BM674"/>
      <c r="BN674"/>
      <c r="BO674"/>
      <c r="BP674"/>
      <c r="BQ674"/>
      <c r="BR674"/>
      <c r="BS674" t="s">
        <v>4426</v>
      </c>
      <c r="BT674" t="str">
        <f>HYPERLINK("https%3A%2F%2Fwww.webofscience.com%2Fwos%2Fwoscc%2Ffull-record%2FWOS:000501567300041","View Full Record in Web of Science")</f>
        <v>View Full Record in Web of Science</v>
      </c>
    </row>
    <row r="675" spans="1:75" customHeight="1" ht="12.75">
      <c r="A675" t="s">
        <v>72</v>
      </c>
      <c r="B675" t="s">
        <v>1660</v>
      </c>
      <c r="C675"/>
      <c r="D675"/>
      <c r="E675"/>
      <c r="F675" t="s">
        <v>1661</v>
      </c>
      <c r="G675"/>
      <c r="H675"/>
      <c r="I675" t="s">
        <v>4427</v>
      </c>
      <c r="J675" t="s">
        <v>244</v>
      </c>
      <c r="K675"/>
      <c r="L675"/>
      <c r="M675"/>
      <c r="N675"/>
      <c r="O675"/>
      <c r="P675"/>
      <c r="Q675"/>
      <c r="R675"/>
      <c r="S675"/>
      <c r="T675"/>
      <c r="U675"/>
      <c r="V675"/>
      <c r="W675"/>
      <c r="X675"/>
      <c r="Y675"/>
      <c r="Z675"/>
      <c r="AA675" t="s">
        <v>1460</v>
      </c>
      <c r="AB675" t="s">
        <v>1461</v>
      </c>
      <c r="AC675"/>
      <c r="AD675"/>
      <c r="AE675"/>
      <c r="AF675"/>
      <c r="AG675"/>
      <c r="AH675"/>
      <c r="AI675"/>
      <c r="AJ675"/>
      <c r="AK675"/>
      <c r="AL675"/>
      <c r="AM675"/>
      <c r="AN675"/>
      <c r="AO675" t="s">
        <v>245</v>
      </c>
      <c r="AP675" t="s">
        <v>246</v>
      </c>
      <c r="AQ675"/>
      <c r="AR675"/>
      <c r="AS675"/>
      <c r="AT675"/>
      <c r="AU675">
        <v>2019</v>
      </c>
      <c r="AV675"/>
      <c r="AW675">
        <v>8</v>
      </c>
      <c r="AX675"/>
      <c r="AY675"/>
      <c r="AZ675"/>
      <c r="BA675"/>
      <c r="BB675">
        <v>128</v>
      </c>
      <c r="BC675">
        <v>134</v>
      </c>
      <c r="BD675"/>
      <c r="BE675" t="s">
        <v>4428</v>
      </c>
      <c r="BF675" t="str">
        <f>HYPERLINK("http://dx.doi.org/10.31166/VoprosyIstorii201908Statyil6","http://dx.doi.org/10.31166/VoprosyIstorii201908Statyil6")</f>
        <v>http://dx.doi.org/10.31166/VoprosyIstorii201908Statyil6</v>
      </c>
      <c r="BG675"/>
      <c r="BH675"/>
      <c r="BI675"/>
      <c r="BJ675"/>
      <c r="BK675"/>
      <c r="BL675"/>
      <c r="BM675"/>
      <c r="BN675"/>
      <c r="BO675"/>
      <c r="BP675"/>
      <c r="BQ675"/>
      <c r="BR675"/>
      <c r="BS675" t="s">
        <v>4429</v>
      </c>
      <c r="BT675" t="str">
        <f>HYPERLINK("https%3A%2F%2Fwww.webofscience.com%2Fwos%2Fwoscc%2Ffull-record%2FWOS:000484656400012","View Full Record in Web of Science")</f>
        <v>View Full Record in Web of Science</v>
      </c>
    </row>
    <row r="676" spans="1:75" customHeight="1" ht="12.75">
      <c r="A676" t="s">
        <v>147</v>
      </c>
      <c r="B676" t="s">
        <v>4430</v>
      </c>
      <c r="C676"/>
      <c r="D676" t="s">
        <v>386</v>
      </c>
      <c r="E676"/>
      <c r="F676" t="s">
        <v>4431</v>
      </c>
      <c r="G676"/>
      <c r="H676"/>
      <c r="I676" t="s">
        <v>4432</v>
      </c>
      <c r="J676" t="s">
        <v>389</v>
      </c>
      <c r="K676" t="s">
        <v>390</v>
      </c>
      <c r="L676"/>
      <c r="M676"/>
      <c r="N676"/>
      <c r="O676" t="s">
        <v>391</v>
      </c>
      <c r="P676" t="s">
        <v>392</v>
      </c>
      <c r="Q676" t="s">
        <v>393</v>
      </c>
      <c r="R676" t="s">
        <v>394</v>
      </c>
      <c r="S676"/>
      <c r="T676"/>
      <c r="U676"/>
      <c r="V676"/>
      <c r="W676"/>
      <c r="X676"/>
      <c r="Y676"/>
      <c r="Z676"/>
      <c r="AA676" t="s">
        <v>808</v>
      </c>
      <c r="AB676" t="s">
        <v>809</v>
      </c>
      <c r="AC676"/>
      <c r="AD676"/>
      <c r="AE676"/>
      <c r="AF676"/>
      <c r="AG676"/>
      <c r="AH676"/>
      <c r="AI676"/>
      <c r="AJ676"/>
      <c r="AK676"/>
      <c r="AL676"/>
      <c r="AM676"/>
      <c r="AN676"/>
      <c r="AO676" t="s">
        <v>395</v>
      </c>
      <c r="AP676"/>
      <c r="AQ676" t="s">
        <v>396</v>
      </c>
      <c r="AR676"/>
      <c r="AS676"/>
      <c r="AT676"/>
      <c r="AU676">
        <v>2019</v>
      </c>
      <c r="AV676"/>
      <c r="AW676"/>
      <c r="AX676"/>
      <c r="AY676"/>
      <c r="AZ676"/>
      <c r="BA676"/>
      <c r="BB676">
        <v>399</v>
      </c>
      <c r="BC676">
        <v>402</v>
      </c>
      <c r="BD676"/>
      <c r="BE676"/>
      <c r="BF676"/>
      <c r="BG676"/>
      <c r="BH676"/>
      <c r="BI676"/>
      <c r="BJ676"/>
      <c r="BK676"/>
      <c r="BL676"/>
      <c r="BM676"/>
      <c r="BN676"/>
      <c r="BO676"/>
      <c r="BP676"/>
      <c r="BQ676"/>
      <c r="BR676"/>
      <c r="BS676" t="s">
        <v>4433</v>
      </c>
      <c r="BT676" t="str">
        <f>HYPERLINK("https%3A%2F%2Fwww.webofscience.com%2Fwos%2Fwoscc%2Ffull-record%2FWOS:000492146100097","View Full Record in Web of Science")</f>
        <v>View Full Record in Web of Science</v>
      </c>
    </row>
    <row r="677" spans="1:75" customHeight="1" ht="12.75">
      <c r="A677" t="s">
        <v>72</v>
      </c>
      <c r="B677" t="s">
        <v>4434</v>
      </c>
      <c r="C677"/>
      <c r="D677"/>
      <c r="E677"/>
      <c r="F677" t="s">
        <v>4435</v>
      </c>
      <c r="G677"/>
      <c r="H677"/>
      <c r="I677" t="s">
        <v>4436</v>
      </c>
      <c r="J677" t="s">
        <v>131</v>
      </c>
      <c r="K677"/>
      <c r="L677"/>
      <c r="M677"/>
      <c r="N677"/>
      <c r="O677"/>
      <c r="P677"/>
      <c r="Q677"/>
      <c r="R677"/>
      <c r="S677"/>
      <c r="T677"/>
      <c r="U677"/>
      <c r="V677"/>
      <c r="W677"/>
      <c r="X677"/>
      <c r="Y677"/>
      <c r="Z677"/>
      <c r="AA677"/>
      <c r="AB677"/>
      <c r="AC677"/>
      <c r="AD677"/>
      <c r="AE677"/>
      <c r="AF677"/>
      <c r="AG677"/>
      <c r="AH677"/>
      <c r="AI677"/>
      <c r="AJ677"/>
      <c r="AK677"/>
      <c r="AL677"/>
      <c r="AM677"/>
      <c r="AN677"/>
      <c r="AO677" t="s">
        <v>134</v>
      </c>
      <c r="AP677" t="s">
        <v>135</v>
      </c>
      <c r="AQ677"/>
      <c r="AR677"/>
      <c r="AS677"/>
      <c r="AT677"/>
      <c r="AU677">
        <v>2019</v>
      </c>
      <c r="AV677">
        <v>19</v>
      </c>
      <c r="AW677"/>
      <c r="AX677"/>
      <c r="AY677">
        <v>2</v>
      </c>
      <c r="AZ677"/>
      <c r="BA677"/>
      <c r="BB677">
        <v>110</v>
      </c>
      <c r="BC677">
        <v>118</v>
      </c>
      <c r="BD677"/>
      <c r="BE677" t="s">
        <v>4437</v>
      </c>
      <c r="BF677" t="str">
        <f>HYPERLINK("http://dx.doi.org/10.14529/hsm19s215","http://dx.doi.org/10.14529/hsm19s215")</f>
        <v>http://dx.doi.org/10.14529/hsm19s215</v>
      </c>
      <c r="BG677"/>
      <c r="BH677"/>
      <c r="BI677"/>
      <c r="BJ677"/>
      <c r="BK677"/>
      <c r="BL677"/>
      <c r="BM677"/>
      <c r="BN677"/>
      <c r="BO677"/>
      <c r="BP677"/>
      <c r="BQ677"/>
      <c r="BR677"/>
      <c r="BS677" t="s">
        <v>4438</v>
      </c>
      <c r="BT677" t="str">
        <f>HYPERLINK("https%3A%2F%2Fwww.webofscience.com%2Fwos%2Fwoscc%2Ffull-record%2FWOS:000521649200015","View Full Record in Web of Science")</f>
        <v>View Full Record in Web of Science</v>
      </c>
    </row>
    <row r="678" spans="1:75" customHeight="1" ht="12.75">
      <c r="A678" t="s">
        <v>72</v>
      </c>
      <c r="B678" t="s">
        <v>1074</v>
      </c>
      <c r="C678"/>
      <c r="D678"/>
      <c r="E678"/>
      <c r="F678" t="s">
        <v>1075</v>
      </c>
      <c r="G678"/>
      <c r="H678"/>
      <c r="I678" t="s">
        <v>4439</v>
      </c>
      <c r="J678" t="s">
        <v>1077</v>
      </c>
      <c r="K678"/>
      <c r="L678"/>
      <c r="M678"/>
      <c r="N678"/>
      <c r="O678"/>
      <c r="P678"/>
      <c r="Q678"/>
      <c r="R678"/>
      <c r="S678"/>
      <c r="T678"/>
      <c r="U678"/>
      <c r="V678"/>
      <c r="W678"/>
      <c r="X678"/>
      <c r="Y678"/>
      <c r="Z678"/>
      <c r="AA678" t="s">
        <v>1078</v>
      </c>
      <c r="AB678" t="s">
        <v>1079</v>
      </c>
      <c r="AC678"/>
      <c r="AD678"/>
      <c r="AE678"/>
      <c r="AF678"/>
      <c r="AG678"/>
      <c r="AH678"/>
      <c r="AI678"/>
      <c r="AJ678"/>
      <c r="AK678"/>
      <c r="AL678"/>
      <c r="AM678"/>
      <c r="AN678"/>
      <c r="AO678" t="s">
        <v>1080</v>
      </c>
      <c r="AP678" t="s">
        <v>1081</v>
      </c>
      <c r="AQ678"/>
      <c r="AR678"/>
      <c r="AS678"/>
      <c r="AT678" t="s">
        <v>541</v>
      </c>
      <c r="AU678">
        <v>2019</v>
      </c>
      <c r="AV678">
        <v>40</v>
      </c>
      <c r="AW678">
        <v>1</v>
      </c>
      <c r="AX678"/>
      <c r="AY678"/>
      <c r="AZ678" t="s">
        <v>339</v>
      </c>
      <c r="BA678"/>
      <c r="BB678">
        <v>90</v>
      </c>
      <c r="BC678">
        <v>100</v>
      </c>
      <c r="BD678"/>
      <c r="BE678" t="s">
        <v>4440</v>
      </c>
      <c r="BF678" t="str">
        <f>HYPERLINK("http://dx.doi.org/10.1134/S1995080219010128","http://dx.doi.org/10.1134/S1995080219010128")</f>
        <v>http://dx.doi.org/10.1134/S1995080219010128</v>
      </c>
      <c r="BG678"/>
      <c r="BH678"/>
      <c r="BI678"/>
      <c r="BJ678"/>
      <c r="BK678"/>
      <c r="BL678"/>
      <c r="BM678"/>
      <c r="BN678"/>
      <c r="BO678"/>
      <c r="BP678"/>
      <c r="BQ678"/>
      <c r="BR678"/>
      <c r="BS678" t="s">
        <v>4441</v>
      </c>
      <c r="BT678" t="str">
        <f>HYPERLINK("https%3A%2F%2Fwww.webofscience.com%2Fwos%2Fwoscc%2Ffull-record%2FWOS:000464212300011","View Full Record in Web of Science")</f>
        <v>View Full Record in Web of Science</v>
      </c>
    </row>
    <row r="679" spans="1:75" customHeight="1" ht="12.75">
      <c r="A679" t="s">
        <v>72</v>
      </c>
      <c r="B679" t="s">
        <v>4442</v>
      </c>
      <c r="C679"/>
      <c r="D679"/>
      <c r="E679"/>
      <c r="F679" t="s">
        <v>4443</v>
      </c>
      <c r="G679"/>
      <c r="H679"/>
      <c r="I679" t="s">
        <v>4444</v>
      </c>
      <c r="J679" t="s">
        <v>434</v>
      </c>
      <c r="K679"/>
      <c r="L679"/>
      <c r="M679"/>
      <c r="N679"/>
      <c r="O679"/>
      <c r="P679"/>
      <c r="Q679"/>
      <c r="R679"/>
      <c r="S679"/>
      <c r="T679"/>
      <c r="U679"/>
      <c r="V679"/>
      <c r="W679"/>
      <c r="X679"/>
      <c r="Y679"/>
      <c r="Z679"/>
      <c r="AA679" t="s">
        <v>608</v>
      </c>
      <c r="AB679" t="s">
        <v>609</v>
      </c>
      <c r="AC679"/>
      <c r="AD679"/>
      <c r="AE679"/>
      <c r="AF679"/>
      <c r="AG679"/>
      <c r="AH679"/>
      <c r="AI679"/>
      <c r="AJ679"/>
      <c r="AK679"/>
      <c r="AL679"/>
      <c r="AM679"/>
      <c r="AN679"/>
      <c r="AO679" t="s">
        <v>437</v>
      </c>
      <c r="AP679" t="s">
        <v>438</v>
      </c>
      <c r="AQ679"/>
      <c r="AR679"/>
      <c r="AS679"/>
      <c r="AT679"/>
      <c r="AU679">
        <v>2019</v>
      </c>
      <c r="AV679"/>
      <c r="AW679">
        <v>1</v>
      </c>
      <c r="AX679"/>
      <c r="AY679"/>
      <c r="AZ679"/>
      <c r="BA679"/>
      <c r="BB679">
        <v>59</v>
      </c>
      <c r="BC679">
        <v>82</v>
      </c>
      <c r="BD679"/>
      <c r="BE679" t="s">
        <v>4445</v>
      </c>
      <c r="BF679" t="str">
        <f>HYPERLINK("http://dx.doi.org/10.24833/2071-8160-2019-1-64-59-82","http://dx.doi.org/10.24833/2071-8160-2019-1-64-59-82")</f>
        <v>http://dx.doi.org/10.24833/2071-8160-2019-1-64-59-82</v>
      </c>
      <c r="BG679"/>
      <c r="BH679"/>
      <c r="BI679"/>
      <c r="BJ679"/>
      <c r="BK679"/>
      <c r="BL679"/>
      <c r="BM679"/>
      <c r="BN679"/>
      <c r="BO679"/>
      <c r="BP679"/>
      <c r="BQ679"/>
      <c r="BR679"/>
      <c r="BS679" t="s">
        <v>4446</v>
      </c>
      <c r="BT679" t="str">
        <f>HYPERLINK("https%3A%2F%2Fwww.webofscience.com%2Fwos%2Fwoscc%2Ffull-record%2FWOS:000473744600005","View Full Record in Web of Science")</f>
        <v>View Full Record in Web of Science</v>
      </c>
    </row>
    <row r="680" spans="1:75" customHeight="1" ht="12.75">
      <c r="A680" t="s">
        <v>72</v>
      </c>
      <c r="B680" t="s">
        <v>4447</v>
      </c>
      <c r="C680"/>
      <c r="D680"/>
      <c r="E680"/>
      <c r="F680" t="s">
        <v>4448</v>
      </c>
      <c r="G680"/>
      <c r="H680"/>
      <c r="I680" t="s">
        <v>4449</v>
      </c>
      <c r="J680" t="s">
        <v>4450</v>
      </c>
      <c r="K680"/>
      <c r="L680"/>
      <c r="M680"/>
      <c r="N680"/>
      <c r="O680"/>
      <c r="P680"/>
      <c r="Q680"/>
      <c r="R680"/>
      <c r="S680"/>
      <c r="T680"/>
      <c r="U680"/>
      <c r="V680"/>
      <c r="W680"/>
      <c r="X680"/>
      <c r="Y680"/>
      <c r="Z680"/>
      <c r="AA680" t="s">
        <v>2283</v>
      </c>
      <c r="AB680"/>
      <c r="AC680"/>
      <c r="AD680"/>
      <c r="AE680"/>
      <c r="AF680"/>
      <c r="AG680"/>
      <c r="AH680"/>
      <c r="AI680"/>
      <c r="AJ680"/>
      <c r="AK680"/>
      <c r="AL680"/>
      <c r="AM680"/>
      <c r="AN680"/>
      <c r="AO680" t="s">
        <v>4451</v>
      </c>
      <c r="AP680" t="s">
        <v>4452</v>
      </c>
      <c r="AQ680"/>
      <c r="AR680"/>
      <c r="AS680"/>
      <c r="AT680"/>
      <c r="AU680">
        <v>2018</v>
      </c>
      <c r="AV680">
        <v>160</v>
      </c>
      <c r="AW680">
        <v>1</v>
      </c>
      <c r="AX680"/>
      <c r="AY680"/>
      <c r="AZ680"/>
      <c r="BA680"/>
      <c r="BB680">
        <v>54</v>
      </c>
      <c r="BC680">
        <v>66</v>
      </c>
      <c r="BD680"/>
      <c r="BE680"/>
      <c r="BF680"/>
      <c r="BG680"/>
      <c r="BH680"/>
      <c r="BI680"/>
      <c r="BJ680"/>
      <c r="BK680"/>
      <c r="BL680"/>
      <c r="BM680"/>
      <c r="BN680"/>
      <c r="BO680"/>
      <c r="BP680"/>
      <c r="BQ680"/>
      <c r="BR680"/>
      <c r="BS680" t="s">
        <v>4453</v>
      </c>
      <c r="BT680" t="str">
        <f>HYPERLINK("https%3A%2F%2Fwww.webofscience.com%2Fwos%2Fwoscc%2Ffull-record%2FWOS:000438854600005","View Full Record in Web of Science")</f>
        <v>View Full Record in Web of Science</v>
      </c>
    </row>
    <row r="681" spans="1:75" customHeight="1" ht="12.75">
      <c r="A681" t="s">
        <v>72</v>
      </c>
      <c r="B681" t="s">
        <v>4454</v>
      </c>
      <c r="C681"/>
      <c r="D681"/>
      <c r="E681"/>
      <c r="F681" t="s">
        <v>4455</v>
      </c>
      <c r="G681"/>
      <c r="H681"/>
      <c r="I681" t="s">
        <v>4456</v>
      </c>
      <c r="J681" t="s">
        <v>2633</v>
      </c>
      <c r="K681"/>
      <c r="L681"/>
      <c r="M681"/>
      <c r="N681"/>
      <c r="O681"/>
      <c r="P681"/>
      <c r="Q681"/>
      <c r="R681"/>
      <c r="S681"/>
      <c r="T681"/>
      <c r="U681"/>
      <c r="V681"/>
      <c r="W681"/>
      <c r="X681"/>
      <c r="Y681"/>
      <c r="Z681"/>
      <c r="AA681" t="s">
        <v>4457</v>
      </c>
      <c r="AB681" t="s">
        <v>4458</v>
      </c>
      <c r="AC681"/>
      <c r="AD681"/>
      <c r="AE681"/>
      <c r="AF681"/>
      <c r="AG681"/>
      <c r="AH681"/>
      <c r="AI681"/>
      <c r="AJ681"/>
      <c r="AK681"/>
      <c r="AL681"/>
      <c r="AM681"/>
      <c r="AN681"/>
      <c r="AO681" t="s">
        <v>2634</v>
      </c>
      <c r="AP681"/>
      <c r="AQ681"/>
      <c r="AR681"/>
      <c r="AS681"/>
      <c r="AT681"/>
      <c r="AU681">
        <v>2018</v>
      </c>
      <c r="AV681">
        <v>22</v>
      </c>
      <c r="AW681">
        <v>1</v>
      </c>
      <c r="AX681"/>
      <c r="AY681"/>
      <c r="AZ681"/>
      <c r="BA681"/>
      <c r="BB681">
        <v>44</v>
      </c>
      <c r="BC681">
        <v>49</v>
      </c>
      <c r="BD681"/>
      <c r="BE681" t="s">
        <v>4459</v>
      </c>
      <c r="BF681" t="str">
        <f>HYPERLINK("http://dx.doi.org/10.15561/18189172.2018.0106","http://dx.doi.org/10.15561/18189172.2018.0106")</f>
        <v>http://dx.doi.org/10.15561/18189172.2018.0106</v>
      </c>
      <c r="BG681"/>
      <c r="BH681"/>
      <c r="BI681"/>
      <c r="BJ681"/>
      <c r="BK681"/>
      <c r="BL681"/>
      <c r="BM681"/>
      <c r="BN681"/>
      <c r="BO681"/>
      <c r="BP681"/>
      <c r="BQ681"/>
      <c r="BR681"/>
      <c r="BS681" t="s">
        <v>4460</v>
      </c>
      <c r="BT681" t="str">
        <f>HYPERLINK("https%3A%2F%2Fwww.webofscience.com%2Fwos%2Fwoscc%2Ffull-record%2FWOS:000431046900006","View Full Record in Web of Science")</f>
        <v>View Full Record in Web of Science</v>
      </c>
    </row>
    <row r="682" spans="1:75" customHeight="1" ht="12.75">
      <c r="A682" t="s">
        <v>147</v>
      </c>
      <c r="B682" t="s">
        <v>3285</v>
      </c>
      <c r="C682"/>
      <c r="D682"/>
      <c r="E682" t="s">
        <v>210</v>
      </c>
      <c r="F682" t="s">
        <v>3286</v>
      </c>
      <c r="G682"/>
      <c r="H682"/>
      <c r="I682" t="s">
        <v>4461</v>
      </c>
      <c r="J682" t="s">
        <v>1261</v>
      </c>
      <c r="K682"/>
      <c r="L682"/>
      <c r="M682"/>
      <c r="N682"/>
      <c r="O682" t="s">
        <v>214</v>
      </c>
      <c r="P682" t="s">
        <v>909</v>
      </c>
      <c r="Q682" t="s">
        <v>910</v>
      </c>
      <c r="R682" t="s">
        <v>1262</v>
      </c>
      <c r="S682"/>
      <c r="T682"/>
      <c r="U682"/>
      <c r="V682"/>
      <c r="W682"/>
      <c r="X682"/>
      <c r="Y682"/>
      <c r="Z682"/>
      <c r="AA682"/>
      <c r="AB682"/>
      <c r="AC682"/>
      <c r="AD682"/>
      <c r="AE682"/>
      <c r="AF682"/>
      <c r="AG682"/>
      <c r="AH682"/>
      <c r="AI682"/>
      <c r="AJ682"/>
      <c r="AK682"/>
      <c r="AL682"/>
      <c r="AM682"/>
      <c r="AN682"/>
      <c r="AO682"/>
      <c r="AP682"/>
      <c r="AQ682" t="s">
        <v>1263</v>
      </c>
      <c r="AR682"/>
      <c r="AS682"/>
      <c r="AT682"/>
      <c r="AU682">
        <v>2017</v>
      </c>
      <c r="AV682"/>
      <c r="AW682"/>
      <c r="AX682"/>
      <c r="AY682"/>
      <c r="AZ682"/>
      <c r="BA682"/>
      <c r="BB682"/>
      <c r="BC682"/>
      <c r="BD682"/>
      <c r="BE682"/>
      <c r="BF682"/>
      <c r="BG682"/>
      <c r="BH682"/>
      <c r="BI682"/>
      <c r="BJ682"/>
      <c r="BK682"/>
      <c r="BL682"/>
      <c r="BM682"/>
      <c r="BN682"/>
      <c r="BO682"/>
      <c r="BP682"/>
      <c r="BQ682"/>
      <c r="BR682"/>
      <c r="BS682" t="s">
        <v>4462</v>
      </c>
      <c r="BT682" t="str">
        <f>HYPERLINK("https%3A%2F%2Fwww.webofscience.com%2Fwos%2Fwoscc%2Ffull-record%2FWOS:000414282400145","View Full Record in Web of Science")</f>
        <v>View Full Record in Web of Science</v>
      </c>
    </row>
    <row r="683" spans="1:75" customHeight="1" ht="12.75">
      <c r="A683" t="s">
        <v>147</v>
      </c>
      <c r="B683" t="s">
        <v>4463</v>
      </c>
      <c r="C683"/>
      <c r="D683"/>
      <c r="E683" t="s">
        <v>175</v>
      </c>
      <c r="F683" t="s">
        <v>4464</v>
      </c>
      <c r="G683"/>
      <c r="H683"/>
      <c r="I683" t="s">
        <v>4465</v>
      </c>
      <c r="J683" t="s">
        <v>4466</v>
      </c>
      <c r="K683" t="s">
        <v>179</v>
      </c>
      <c r="L683"/>
      <c r="M683"/>
      <c r="N683"/>
      <c r="O683" t="s">
        <v>4467</v>
      </c>
      <c r="P683" t="s">
        <v>4468</v>
      </c>
      <c r="Q683" t="s">
        <v>4469</v>
      </c>
      <c r="R683" t="s">
        <v>257</v>
      </c>
      <c r="S683" t="s">
        <v>4470</v>
      </c>
      <c r="T683"/>
      <c r="U683"/>
      <c r="V683"/>
      <c r="W683"/>
      <c r="X683"/>
      <c r="Y683"/>
      <c r="Z683"/>
      <c r="AA683" t="s">
        <v>2283</v>
      </c>
      <c r="AB683" t="s">
        <v>2284</v>
      </c>
      <c r="AC683"/>
      <c r="AD683"/>
      <c r="AE683"/>
      <c r="AF683"/>
      <c r="AG683"/>
      <c r="AH683"/>
      <c r="AI683"/>
      <c r="AJ683"/>
      <c r="AK683"/>
      <c r="AL683"/>
      <c r="AM683"/>
      <c r="AN683"/>
      <c r="AO683" t="s">
        <v>187</v>
      </c>
      <c r="AP683"/>
      <c r="AQ683"/>
      <c r="AR683"/>
      <c r="AS683"/>
      <c r="AT683"/>
      <c r="AU683">
        <v>2016</v>
      </c>
      <c r="AV683">
        <v>669</v>
      </c>
      <c r="AW683"/>
      <c r="AX683"/>
      <c r="AY683"/>
      <c r="AZ683"/>
      <c r="BA683"/>
      <c r="BB683"/>
      <c r="BC683"/>
      <c r="BD683">
        <v>12040</v>
      </c>
      <c r="BE683" t="s">
        <v>4471</v>
      </c>
      <c r="BF683" t="str">
        <f>HYPERLINK("http://dx.doi.org/10.1088/1742-6596/669/1/012040","http://dx.doi.org/10.1088/1742-6596/669/1/012040")</f>
        <v>http://dx.doi.org/10.1088/1742-6596/669/1/012040</v>
      </c>
      <c r="BG683"/>
      <c r="BH683"/>
      <c r="BI683"/>
      <c r="BJ683"/>
      <c r="BK683"/>
      <c r="BL683"/>
      <c r="BM683"/>
      <c r="BN683"/>
      <c r="BO683"/>
      <c r="BP683"/>
      <c r="BQ683"/>
      <c r="BR683"/>
      <c r="BS683" t="s">
        <v>4472</v>
      </c>
      <c r="BT683" t="str">
        <f>HYPERLINK("https%3A%2F%2Fwww.webofscience.com%2Fwos%2Fwoscc%2Ffull-record%2FWOS:000371617600040","View Full Record in Web of Science")</f>
        <v>View Full Record in Web of Science</v>
      </c>
    </row>
    <row r="684" spans="1:75" customHeight="1" ht="12.75">
      <c r="A684" t="s">
        <v>147</v>
      </c>
      <c r="B684" t="s">
        <v>4473</v>
      </c>
      <c r="C684"/>
      <c r="D684"/>
      <c r="E684" t="s">
        <v>280</v>
      </c>
      <c r="F684" t="s">
        <v>4474</v>
      </c>
      <c r="G684"/>
      <c r="H684"/>
      <c r="I684" t="s">
        <v>4475</v>
      </c>
      <c r="J684" t="s">
        <v>2574</v>
      </c>
      <c r="K684" t="s">
        <v>284</v>
      </c>
      <c r="L684"/>
      <c r="M684"/>
      <c r="N684"/>
      <c r="O684" t="s">
        <v>2575</v>
      </c>
      <c r="P684" t="s">
        <v>2576</v>
      </c>
      <c r="Q684" t="s">
        <v>287</v>
      </c>
      <c r="R684" t="s">
        <v>4476</v>
      </c>
      <c r="S684"/>
      <c r="T684"/>
      <c r="U684"/>
      <c r="V684"/>
      <c r="W684"/>
      <c r="X684"/>
      <c r="Y684"/>
      <c r="Z684"/>
      <c r="AA684"/>
      <c r="AB684"/>
      <c r="AC684"/>
      <c r="AD684"/>
      <c r="AE684"/>
      <c r="AF684"/>
      <c r="AG684"/>
      <c r="AH684"/>
      <c r="AI684"/>
      <c r="AJ684"/>
      <c r="AK684"/>
      <c r="AL684"/>
      <c r="AM684"/>
      <c r="AN684"/>
      <c r="AO684" t="s">
        <v>289</v>
      </c>
      <c r="AP684"/>
      <c r="AQ684" t="s">
        <v>2580</v>
      </c>
      <c r="AR684"/>
      <c r="AS684"/>
      <c r="AT684"/>
      <c r="AU684">
        <v>2016</v>
      </c>
      <c r="AV684"/>
      <c r="AW684"/>
      <c r="AX684"/>
      <c r="AY684"/>
      <c r="AZ684"/>
      <c r="BA684"/>
      <c r="BB684">
        <v>427</v>
      </c>
      <c r="BC684">
        <v>434</v>
      </c>
      <c r="BD684"/>
      <c r="BE684"/>
      <c r="BF684"/>
      <c r="BG684"/>
      <c r="BH684"/>
      <c r="BI684"/>
      <c r="BJ684"/>
      <c r="BK684"/>
      <c r="BL684"/>
      <c r="BM684"/>
      <c r="BN684"/>
      <c r="BO684"/>
      <c r="BP684"/>
      <c r="BQ684"/>
      <c r="BR684"/>
      <c r="BS684" t="s">
        <v>4477</v>
      </c>
      <c r="BT684" t="str">
        <f>HYPERLINK("https%3A%2F%2Fwww.webofscience.com%2Fwos%2Fwoscc%2Ffull-record%2FWOS:000395727700051","View Full Record in Web of Science")</f>
        <v>View Full Record in Web of Science</v>
      </c>
    </row>
    <row r="685" spans="1:75" customHeight="1" ht="12.75">
      <c r="A685" t="s">
        <v>72</v>
      </c>
      <c r="B685" t="s">
        <v>1074</v>
      </c>
      <c r="C685"/>
      <c r="D685"/>
      <c r="E685"/>
      <c r="F685" t="s">
        <v>1075</v>
      </c>
      <c r="G685"/>
      <c r="H685"/>
      <c r="I685" t="s">
        <v>4478</v>
      </c>
      <c r="J685" t="s">
        <v>4479</v>
      </c>
      <c r="K685"/>
      <c r="L685"/>
      <c r="M685"/>
      <c r="N685"/>
      <c r="O685"/>
      <c r="P685"/>
      <c r="Q685"/>
      <c r="R685"/>
      <c r="S685"/>
      <c r="T685"/>
      <c r="U685"/>
      <c r="V685"/>
      <c r="W685"/>
      <c r="X685"/>
      <c r="Y685"/>
      <c r="Z685"/>
      <c r="AA685" t="s">
        <v>1078</v>
      </c>
      <c r="AB685" t="s">
        <v>1079</v>
      </c>
      <c r="AC685"/>
      <c r="AD685"/>
      <c r="AE685"/>
      <c r="AF685"/>
      <c r="AG685"/>
      <c r="AH685"/>
      <c r="AI685"/>
      <c r="AJ685"/>
      <c r="AK685"/>
      <c r="AL685"/>
      <c r="AM685"/>
      <c r="AN685"/>
      <c r="AO685" t="s">
        <v>4480</v>
      </c>
      <c r="AP685" t="s">
        <v>4481</v>
      </c>
      <c r="AQ685"/>
      <c r="AR685"/>
      <c r="AS685"/>
      <c r="AT685"/>
      <c r="AU685">
        <v>2016</v>
      </c>
      <c r="AV685">
        <v>207</v>
      </c>
      <c r="AW685">
        <v>9</v>
      </c>
      <c r="AX685"/>
      <c r="AY685"/>
      <c r="AZ685"/>
      <c r="BA685"/>
      <c r="BB685">
        <v>1267</v>
      </c>
      <c r="BC685">
        <v>1286</v>
      </c>
      <c r="BD685"/>
      <c r="BE685" t="s">
        <v>4482</v>
      </c>
      <c r="BF685" t="str">
        <f>HYPERLINK("http://dx.doi.org/10.1070/SM8609","http://dx.doi.org/10.1070/SM8609")</f>
        <v>http://dx.doi.org/10.1070/SM8609</v>
      </c>
      <c r="BG685"/>
      <c r="BH685"/>
      <c r="BI685"/>
      <c r="BJ685"/>
      <c r="BK685"/>
      <c r="BL685"/>
      <c r="BM685"/>
      <c r="BN685"/>
      <c r="BO685"/>
      <c r="BP685"/>
      <c r="BQ685"/>
      <c r="BR685"/>
      <c r="BS685" t="s">
        <v>4483</v>
      </c>
      <c r="BT685" t="str">
        <f>HYPERLINK("https%3A%2F%2Fwww.webofscience.com%2Fwos%2Fwoscc%2Ffull-record%2FWOS:000391848300004","View Full Record in Web of Science")</f>
        <v>View Full Record in Web of Science</v>
      </c>
    </row>
    <row r="686" spans="1:75" customHeight="1" ht="12.75">
      <c r="A686" t="s">
        <v>72</v>
      </c>
      <c r="B686" t="s">
        <v>4484</v>
      </c>
      <c r="C686"/>
      <c r="D686"/>
      <c r="E686"/>
      <c r="F686" t="s">
        <v>4485</v>
      </c>
      <c r="G686"/>
      <c r="H686"/>
      <c r="I686" t="s">
        <v>4486</v>
      </c>
      <c r="J686" t="s">
        <v>409</v>
      </c>
      <c r="K686"/>
      <c r="L686"/>
      <c r="M686"/>
      <c r="N686"/>
      <c r="O686"/>
      <c r="P686"/>
      <c r="Q686"/>
      <c r="R686"/>
      <c r="S686"/>
      <c r="T686"/>
      <c r="U686"/>
      <c r="V686"/>
      <c r="W686"/>
      <c r="X686"/>
      <c r="Y686"/>
      <c r="Z686"/>
      <c r="AA686" t="s">
        <v>758</v>
      </c>
      <c r="AB686" t="s">
        <v>759</v>
      </c>
      <c r="AC686"/>
      <c r="AD686"/>
      <c r="AE686"/>
      <c r="AF686"/>
      <c r="AG686"/>
      <c r="AH686"/>
      <c r="AI686"/>
      <c r="AJ686"/>
      <c r="AK686"/>
      <c r="AL686"/>
      <c r="AM686"/>
      <c r="AN686"/>
      <c r="AO686" t="s">
        <v>412</v>
      </c>
      <c r="AP686" t="s">
        <v>413</v>
      </c>
      <c r="AQ686"/>
      <c r="AR686"/>
      <c r="AS686"/>
      <c r="AT686" t="s">
        <v>319</v>
      </c>
      <c r="AU686">
        <v>2015</v>
      </c>
      <c r="AV686">
        <v>88</v>
      </c>
      <c r="AW686">
        <v>11</v>
      </c>
      <c r="AX686"/>
      <c r="AY686"/>
      <c r="AZ686"/>
      <c r="BA686"/>
      <c r="BB686">
        <v>1800</v>
      </c>
      <c r="BC686">
        <v>1807</v>
      </c>
      <c r="BD686"/>
      <c r="BE686" t="s">
        <v>4487</v>
      </c>
      <c r="BF686" t="str">
        <f>HYPERLINK("http://dx.doi.org/10.1134/S10704272150110105","http://dx.doi.org/10.1134/S10704272150110105")</f>
        <v>http://dx.doi.org/10.1134/S10704272150110105</v>
      </c>
      <c r="BG686"/>
      <c r="BH686"/>
      <c r="BI686"/>
      <c r="BJ686"/>
      <c r="BK686"/>
      <c r="BL686"/>
      <c r="BM686"/>
      <c r="BN686"/>
      <c r="BO686"/>
      <c r="BP686"/>
      <c r="BQ686"/>
      <c r="BR686"/>
      <c r="BS686" t="s">
        <v>4488</v>
      </c>
      <c r="BT686" t="str">
        <f>HYPERLINK("https%3A%2F%2Fwww.webofscience.com%2Fwos%2Fwoscc%2Ffull-record%2FWOS:000370279700010","View Full Record in Web of Science")</f>
        <v>View Full Record in Web of Science</v>
      </c>
    </row>
    <row r="687" spans="1:75" customHeight="1" ht="12.75">
      <c r="A687" t="s">
        <v>72</v>
      </c>
      <c r="B687" t="s">
        <v>3748</v>
      </c>
      <c r="C687"/>
      <c r="D687"/>
      <c r="E687"/>
      <c r="F687" t="s">
        <v>4489</v>
      </c>
      <c r="G687"/>
      <c r="H687"/>
      <c r="I687" t="s">
        <v>4490</v>
      </c>
      <c r="J687" t="s">
        <v>1401</v>
      </c>
      <c r="K687"/>
      <c r="L687"/>
      <c r="M687"/>
      <c r="N687"/>
      <c r="O687"/>
      <c r="P687"/>
      <c r="Q687"/>
      <c r="R687"/>
      <c r="S687"/>
      <c r="T687"/>
      <c r="U687"/>
      <c r="V687"/>
      <c r="W687"/>
      <c r="X687"/>
      <c r="Y687"/>
      <c r="Z687"/>
      <c r="AA687" t="s">
        <v>3750</v>
      </c>
      <c r="AB687" t="s">
        <v>3213</v>
      </c>
      <c r="AC687"/>
      <c r="AD687"/>
      <c r="AE687"/>
      <c r="AF687"/>
      <c r="AG687"/>
      <c r="AH687"/>
      <c r="AI687"/>
      <c r="AJ687"/>
      <c r="AK687"/>
      <c r="AL687"/>
      <c r="AM687"/>
      <c r="AN687"/>
      <c r="AO687" t="s">
        <v>1404</v>
      </c>
      <c r="AP687" t="s">
        <v>1405</v>
      </c>
      <c r="AQ687"/>
      <c r="AR687"/>
      <c r="AS687"/>
      <c r="AT687" t="s">
        <v>830</v>
      </c>
      <c r="AU687">
        <v>2013</v>
      </c>
      <c r="AV687">
        <v>52</v>
      </c>
      <c r="AW687">
        <v>5</v>
      </c>
      <c r="AX687"/>
      <c r="AY687"/>
      <c r="AZ687"/>
      <c r="BA687"/>
      <c r="BB687">
        <v>759</v>
      </c>
      <c r="BC687">
        <v>763</v>
      </c>
      <c r="BD687"/>
      <c r="BE687" t="s">
        <v>4491</v>
      </c>
      <c r="BF687" t="str">
        <f>HYPERLINK("http://dx.doi.org/10.1134/S1064230713050122","http://dx.doi.org/10.1134/S1064230713050122")</f>
        <v>http://dx.doi.org/10.1134/S1064230713050122</v>
      </c>
      <c r="BG687"/>
      <c r="BH687"/>
      <c r="BI687"/>
      <c r="BJ687"/>
      <c r="BK687"/>
      <c r="BL687"/>
      <c r="BM687"/>
      <c r="BN687"/>
      <c r="BO687"/>
      <c r="BP687"/>
      <c r="BQ687"/>
      <c r="BR687"/>
      <c r="BS687" t="s">
        <v>4492</v>
      </c>
      <c r="BT687" t="str">
        <f>HYPERLINK("https%3A%2F%2Fwww.webofscience.com%2Fwos%2Fwoscc%2Ffull-record%2FWOS:000325636200009","View Full Record in Web of Science")</f>
        <v>View Full Record in Web of Science</v>
      </c>
    </row>
    <row r="688" spans="1:75" customHeight="1" ht="12.75">
      <c r="A688" t="s">
        <v>72</v>
      </c>
      <c r="B688" t="s">
        <v>1170</v>
      </c>
      <c r="C688"/>
      <c r="D688"/>
      <c r="E688"/>
      <c r="F688" t="s">
        <v>1171</v>
      </c>
      <c r="G688"/>
      <c r="H688"/>
      <c r="I688" t="s">
        <v>4493</v>
      </c>
      <c r="J688" t="s">
        <v>311</v>
      </c>
      <c r="K688"/>
      <c r="L688"/>
      <c r="M688"/>
      <c r="N688"/>
      <c r="O688"/>
      <c r="P688"/>
      <c r="Q688"/>
      <c r="R688"/>
      <c r="S688"/>
      <c r="T688"/>
      <c r="U688"/>
      <c r="V688"/>
      <c r="W688"/>
      <c r="X688"/>
      <c r="Y688"/>
      <c r="Z688"/>
      <c r="AA688"/>
      <c r="AB688"/>
      <c r="AC688"/>
      <c r="AD688"/>
      <c r="AE688"/>
      <c r="AF688"/>
      <c r="AG688"/>
      <c r="AH688"/>
      <c r="AI688"/>
      <c r="AJ688"/>
      <c r="AK688"/>
      <c r="AL688"/>
      <c r="AM688"/>
      <c r="AN688"/>
      <c r="AO688" t="s">
        <v>312</v>
      </c>
      <c r="AP688" t="s">
        <v>4494</v>
      </c>
      <c r="AQ688"/>
      <c r="AR688"/>
      <c r="AS688"/>
      <c r="AT688" t="s">
        <v>125</v>
      </c>
      <c r="AU688">
        <v>2013</v>
      </c>
      <c r="AV688">
        <v>47</v>
      </c>
      <c r="AW688">
        <v>4</v>
      </c>
      <c r="AX688"/>
      <c r="AY688"/>
      <c r="AZ688"/>
      <c r="BA688"/>
      <c r="BB688">
        <v>356</v>
      </c>
      <c r="BC688">
        <v>367</v>
      </c>
      <c r="BD688"/>
      <c r="BE688" t="s">
        <v>4495</v>
      </c>
      <c r="BF688" t="str">
        <f>HYPERLINK("http://dx.doi.org/10.1134/S0040579513020103","http://dx.doi.org/10.1134/S0040579513020103")</f>
        <v>http://dx.doi.org/10.1134/S0040579513020103</v>
      </c>
      <c r="BG688"/>
      <c r="BH688"/>
      <c r="BI688"/>
      <c r="BJ688"/>
      <c r="BK688"/>
      <c r="BL688"/>
      <c r="BM688"/>
      <c r="BN688"/>
      <c r="BO688"/>
      <c r="BP688"/>
      <c r="BQ688"/>
      <c r="BR688"/>
      <c r="BS688" t="s">
        <v>4496</v>
      </c>
      <c r="BT688" t="str">
        <f>HYPERLINK("https%3A%2F%2Fwww.webofscience.com%2Fwos%2Fwoscc%2Ffull-record%2FWOS:000323369900008","View Full Record in Web of Science")</f>
        <v>View Full Record in Web of Science</v>
      </c>
    </row>
    <row r="689" spans="1:75" customHeight="1" ht="12.75">
      <c r="A689" t="s">
        <v>72</v>
      </c>
      <c r="B689" t="s">
        <v>4497</v>
      </c>
      <c r="C689"/>
      <c r="D689"/>
      <c r="E689"/>
      <c r="F689" t="s">
        <v>4498</v>
      </c>
      <c r="G689"/>
      <c r="H689"/>
      <c r="I689" t="s">
        <v>4499</v>
      </c>
      <c r="J689" t="s">
        <v>409</v>
      </c>
      <c r="K689"/>
      <c r="L689"/>
      <c r="M689"/>
      <c r="N689"/>
      <c r="O689"/>
      <c r="P689"/>
      <c r="Q689"/>
      <c r="R689"/>
      <c r="S689"/>
      <c r="T689"/>
      <c r="U689"/>
      <c r="V689"/>
      <c r="W689"/>
      <c r="X689"/>
      <c r="Y689"/>
      <c r="Z689"/>
      <c r="AA689"/>
      <c r="AB689"/>
      <c r="AC689"/>
      <c r="AD689"/>
      <c r="AE689"/>
      <c r="AF689"/>
      <c r="AG689"/>
      <c r="AH689"/>
      <c r="AI689"/>
      <c r="AJ689"/>
      <c r="AK689"/>
      <c r="AL689"/>
      <c r="AM689"/>
      <c r="AN689"/>
      <c r="AO689" t="s">
        <v>412</v>
      </c>
      <c r="AP689"/>
      <c r="AQ689"/>
      <c r="AR689"/>
      <c r="AS689"/>
      <c r="AT689" t="s">
        <v>541</v>
      </c>
      <c r="AU689">
        <v>2007</v>
      </c>
      <c r="AV689">
        <v>80</v>
      </c>
      <c r="AW689">
        <v>1</v>
      </c>
      <c r="AX689"/>
      <c r="AY689"/>
      <c r="AZ689"/>
      <c r="BA689"/>
      <c r="BB689">
        <v>62</v>
      </c>
      <c r="BC689">
        <v>65</v>
      </c>
      <c r="BD689"/>
      <c r="BE689" t="s">
        <v>4500</v>
      </c>
      <c r="BF689" t="str">
        <f>HYPERLINK("http://dx.doi.org/10.1134/S1070427207010120","http://dx.doi.org/10.1134/S1070427207010120")</f>
        <v>http://dx.doi.org/10.1134/S1070427207010120</v>
      </c>
      <c r="BG689"/>
      <c r="BH689"/>
      <c r="BI689"/>
      <c r="BJ689"/>
      <c r="BK689"/>
      <c r="BL689"/>
      <c r="BM689"/>
      <c r="BN689"/>
      <c r="BO689"/>
      <c r="BP689"/>
      <c r="BQ689"/>
      <c r="BR689"/>
      <c r="BS689" t="s">
        <v>4501</v>
      </c>
      <c r="BT689" t="str">
        <f>HYPERLINK("https%3A%2F%2Fwww.webofscience.com%2Fwos%2Fwoscc%2Ffull-record%2FWOS:000244828900012","View Full Record in Web of Science")</f>
        <v>View Full Record in Web of Science</v>
      </c>
    </row>
    <row r="690" spans="1:75" customHeight="1" ht="12.75">
      <c r="A690" t="s">
        <v>72</v>
      </c>
      <c r="B690" t="s">
        <v>2437</v>
      </c>
      <c r="C690"/>
      <c r="D690"/>
      <c r="E690"/>
      <c r="F690" t="s">
        <v>2437</v>
      </c>
      <c r="G690"/>
      <c r="H690"/>
      <c r="I690" t="s">
        <v>4502</v>
      </c>
      <c r="J690" t="s">
        <v>708</v>
      </c>
      <c r="K690"/>
      <c r="L690"/>
      <c r="M690"/>
      <c r="N690"/>
      <c r="O690"/>
      <c r="P690"/>
      <c r="Q690"/>
      <c r="R690"/>
      <c r="S690"/>
      <c r="T690"/>
      <c r="U690"/>
      <c r="V690"/>
      <c r="W690"/>
      <c r="X690"/>
      <c r="Y690"/>
      <c r="Z690"/>
      <c r="AA690"/>
      <c r="AB690"/>
      <c r="AC690"/>
      <c r="AD690"/>
      <c r="AE690"/>
      <c r="AF690"/>
      <c r="AG690"/>
      <c r="AH690"/>
      <c r="AI690"/>
      <c r="AJ690"/>
      <c r="AK690"/>
      <c r="AL690"/>
      <c r="AM690"/>
      <c r="AN690"/>
      <c r="AO690" t="s">
        <v>709</v>
      </c>
      <c r="AP690"/>
      <c r="AQ690"/>
      <c r="AR690"/>
      <c r="AS690"/>
      <c r="AT690" t="s">
        <v>541</v>
      </c>
      <c r="AU690">
        <v>2004</v>
      </c>
      <c r="AV690">
        <v>97</v>
      </c>
      <c r="AW690">
        <v>1</v>
      </c>
      <c r="AX690"/>
      <c r="AY690"/>
      <c r="AZ690"/>
      <c r="BA690"/>
      <c r="BB690">
        <v>94</v>
      </c>
      <c r="BC690">
        <v>97</v>
      </c>
      <c r="BD690"/>
      <c r="BE690"/>
      <c r="BF690"/>
      <c r="BG690"/>
      <c r="BH690"/>
      <c r="BI690"/>
      <c r="BJ690"/>
      <c r="BK690"/>
      <c r="BL690"/>
      <c r="BM690"/>
      <c r="BN690"/>
      <c r="BO690"/>
      <c r="BP690"/>
      <c r="BQ690"/>
      <c r="BR690"/>
      <c r="BS690" t="s">
        <v>4503</v>
      </c>
      <c r="BT690" t="str">
        <f>HYPERLINK("https%3A%2F%2Fwww.webofscience.com%2Fwos%2Fwoscc%2Ffull-record%2FWOS:000189119800014","View Full Record in Web of Science")</f>
        <v>View Full Record in Web of Science</v>
      </c>
    </row>
    <row r="691" spans="1:75" customHeight="1" ht="12.75">
      <c r="A691" t="s">
        <v>72</v>
      </c>
      <c r="B691" t="s">
        <v>4504</v>
      </c>
      <c r="C691"/>
      <c r="D691"/>
      <c r="E691"/>
      <c r="F691" t="s">
        <v>4504</v>
      </c>
      <c r="G691"/>
      <c r="H691"/>
      <c r="I691" t="s">
        <v>4505</v>
      </c>
      <c r="J691" t="s">
        <v>4506</v>
      </c>
      <c r="K691"/>
      <c r="L691"/>
      <c r="M691"/>
      <c r="N691"/>
      <c r="O691"/>
      <c r="P691"/>
      <c r="Q691"/>
      <c r="R691"/>
      <c r="S691"/>
      <c r="T691"/>
      <c r="U691"/>
      <c r="V691"/>
      <c r="W691"/>
      <c r="X691"/>
      <c r="Y691"/>
      <c r="Z691"/>
      <c r="AA691"/>
      <c r="AB691"/>
      <c r="AC691"/>
      <c r="AD691"/>
      <c r="AE691"/>
      <c r="AF691"/>
      <c r="AG691"/>
      <c r="AH691"/>
      <c r="AI691"/>
      <c r="AJ691"/>
      <c r="AK691"/>
      <c r="AL691"/>
      <c r="AM691"/>
      <c r="AN691"/>
      <c r="AO691" t="s">
        <v>4507</v>
      </c>
      <c r="AP691"/>
      <c r="AQ691"/>
      <c r="AR691"/>
      <c r="AS691"/>
      <c r="AT691" t="s">
        <v>313</v>
      </c>
      <c r="AU691">
        <v>1997</v>
      </c>
      <c r="AV691">
        <v>33</v>
      </c>
      <c r="AW691">
        <v>4</v>
      </c>
      <c r="AX691"/>
      <c r="AY691"/>
      <c r="AZ691"/>
      <c r="BA691"/>
      <c r="BB691">
        <v>560</v>
      </c>
      <c r="BC691">
        <v>564</v>
      </c>
      <c r="BD691"/>
      <c r="BE691" t="s">
        <v>4508</v>
      </c>
      <c r="BF691" t="str">
        <f>HYPERLINK("http://dx.doi.org/10.1007/BF02537553","http://dx.doi.org/10.1007/BF02537553")</f>
        <v>http://dx.doi.org/10.1007/BF02537553</v>
      </c>
      <c r="BG691"/>
      <c r="BH691"/>
      <c r="BI691"/>
      <c r="BJ691"/>
      <c r="BK691"/>
      <c r="BL691"/>
      <c r="BM691"/>
      <c r="BN691"/>
      <c r="BO691"/>
      <c r="BP691"/>
      <c r="BQ691"/>
      <c r="BR691"/>
      <c r="BS691" t="s">
        <v>4509</v>
      </c>
      <c r="BT691" t="str">
        <f>HYPERLINK("https%3A%2F%2Fwww.webofscience.com%2Fwos%2Fwoscc%2Ffull-record%2FWOS:000075783700017","View Full Record in Web of Science")</f>
        <v>View Full Record in Web of Science</v>
      </c>
    </row>
    <row r="692" spans="1:75" customHeight="1" ht="12.75">
      <c r="A692" t="s">
        <v>72</v>
      </c>
      <c r="B692" t="s">
        <v>4510</v>
      </c>
      <c r="C692"/>
      <c r="D692"/>
      <c r="E692"/>
      <c r="F692" t="s">
        <v>4511</v>
      </c>
      <c r="G692"/>
      <c r="H692"/>
      <c r="I692" t="s">
        <v>4512</v>
      </c>
      <c r="J692" t="s">
        <v>1087</v>
      </c>
      <c r="K692"/>
      <c r="L692"/>
      <c r="M692"/>
      <c r="N692"/>
      <c r="O692"/>
      <c r="P692"/>
      <c r="Q692"/>
      <c r="R692"/>
      <c r="S692"/>
      <c r="T692"/>
      <c r="U692"/>
      <c r="V692"/>
      <c r="W692"/>
      <c r="X692"/>
      <c r="Y692"/>
      <c r="Z692"/>
      <c r="AA692"/>
      <c r="AB692"/>
      <c r="AC692"/>
      <c r="AD692"/>
      <c r="AE692"/>
      <c r="AF692"/>
      <c r="AG692"/>
      <c r="AH692"/>
      <c r="AI692"/>
      <c r="AJ692"/>
      <c r="AK692"/>
      <c r="AL692"/>
      <c r="AM692"/>
      <c r="AN692"/>
      <c r="AO692" t="s">
        <v>1093</v>
      </c>
      <c r="AP692" t="s">
        <v>1094</v>
      </c>
      <c r="AQ692"/>
      <c r="AR692"/>
      <c r="AS692"/>
      <c r="AT692" t="s">
        <v>171</v>
      </c>
      <c r="AU692">
        <v>2022</v>
      </c>
      <c r="AV692">
        <v>59</v>
      </c>
      <c r="AW692">
        <v>1</v>
      </c>
      <c r="AX692"/>
      <c r="AY692"/>
      <c r="AZ692"/>
      <c r="BA692"/>
      <c r="BB692">
        <v>8</v>
      </c>
      <c r="BC692">
        <v>17</v>
      </c>
      <c r="BD692"/>
      <c r="BE692" t="s">
        <v>4513</v>
      </c>
      <c r="BF692" t="str">
        <f>HYPERLINK("http://dx.doi.org/10.37358/MP.22.1.5555","http://dx.doi.org/10.37358/MP.22.1.5555")</f>
        <v>http://dx.doi.org/10.37358/MP.22.1.5555</v>
      </c>
      <c r="BG692"/>
      <c r="BH692"/>
      <c r="BI692"/>
      <c r="BJ692"/>
      <c r="BK692"/>
      <c r="BL692"/>
      <c r="BM692"/>
      <c r="BN692"/>
      <c r="BO692"/>
      <c r="BP692"/>
      <c r="BQ692"/>
      <c r="BR692"/>
      <c r="BS692" t="s">
        <v>4514</v>
      </c>
      <c r="BT692" t="str">
        <f>HYPERLINK("https%3A%2F%2Fwww.webofscience.com%2Fwos%2Fwoscc%2Ffull-record%2FWOS:000783749900001","View Full Record in Web of Science")</f>
        <v>View Full Record in Web of Science</v>
      </c>
    </row>
    <row r="693" spans="1:75" customHeight="1" ht="12.75">
      <c r="A693" t="s">
        <v>72</v>
      </c>
      <c r="B693" t="s">
        <v>4515</v>
      </c>
      <c r="C693"/>
      <c r="D693"/>
      <c r="E693"/>
      <c r="F693" t="s">
        <v>4516</v>
      </c>
      <c r="G693"/>
      <c r="H693"/>
      <c r="I693" t="s">
        <v>4517</v>
      </c>
      <c r="J693" t="s">
        <v>95</v>
      </c>
      <c r="K693"/>
      <c r="L693"/>
      <c r="M693"/>
      <c r="N693"/>
      <c r="O693"/>
      <c r="P693"/>
      <c r="Q693"/>
      <c r="R693"/>
      <c r="S693"/>
      <c r="T693"/>
      <c r="U693"/>
      <c r="V693"/>
      <c r="W693"/>
      <c r="X693"/>
      <c r="Y693"/>
      <c r="Z693"/>
      <c r="AA693" t="s">
        <v>4518</v>
      </c>
      <c r="AB693" t="s">
        <v>4519</v>
      </c>
      <c r="AC693"/>
      <c r="AD693"/>
      <c r="AE693"/>
      <c r="AF693"/>
      <c r="AG693"/>
      <c r="AH693"/>
      <c r="AI693"/>
      <c r="AJ693"/>
      <c r="AK693"/>
      <c r="AL693"/>
      <c r="AM693"/>
      <c r="AN693"/>
      <c r="AO693" t="s">
        <v>98</v>
      </c>
      <c r="AP693" t="s">
        <v>99</v>
      </c>
      <c r="AQ693"/>
      <c r="AR693"/>
      <c r="AS693"/>
      <c r="AT693"/>
      <c r="AU693">
        <v>2022</v>
      </c>
      <c r="AV693"/>
      <c r="AW693">
        <v>1</v>
      </c>
      <c r="AX693"/>
      <c r="AY693"/>
      <c r="AZ693"/>
      <c r="BA693"/>
      <c r="BB693">
        <v>191</v>
      </c>
      <c r="BC693">
        <v>197</v>
      </c>
      <c r="BD693"/>
      <c r="BE693" t="s">
        <v>4520</v>
      </c>
      <c r="BF693" t="str">
        <f>HYPERLINK("http://dx.doi.org/10.25750/1995-4301-2022-1-191-197","http://dx.doi.org/10.25750/1995-4301-2022-1-191-197")</f>
        <v>http://dx.doi.org/10.25750/1995-4301-2022-1-191-197</v>
      </c>
      <c r="BG693"/>
      <c r="BH693"/>
      <c r="BI693"/>
      <c r="BJ693"/>
      <c r="BK693"/>
      <c r="BL693"/>
      <c r="BM693"/>
      <c r="BN693"/>
      <c r="BO693"/>
      <c r="BP693"/>
      <c r="BQ693"/>
      <c r="BR693"/>
      <c r="BS693" t="s">
        <v>4521</v>
      </c>
      <c r="BT693" t="str">
        <f>HYPERLINK("https%3A%2F%2Fwww.webofscience.com%2Fwos%2Fwoscc%2Ffull-record%2FWOS:000819811100027","View Full Record in Web of Science")</f>
        <v>View Full Record in Web of Science</v>
      </c>
    </row>
    <row r="694" spans="1:75" customHeight="1" ht="12.75">
      <c r="A694" t="s">
        <v>72</v>
      </c>
      <c r="B694" t="s">
        <v>4522</v>
      </c>
      <c r="C694"/>
      <c r="D694"/>
      <c r="E694"/>
      <c r="F694" t="s">
        <v>4523</v>
      </c>
      <c r="G694"/>
      <c r="H694"/>
      <c r="I694" t="s">
        <v>4524</v>
      </c>
      <c r="J694" t="s">
        <v>95</v>
      </c>
      <c r="K694"/>
      <c r="L694"/>
      <c r="M694"/>
      <c r="N694"/>
      <c r="O694"/>
      <c r="P694"/>
      <c r="Q694"/>
      <c r="R694"/>
      <c r="S694"/>
      <c r="T694"/>
      <c r="U694"/>
      <c r="V694"/>
      <c r="W694"/>
      <c r="X694"/>
      <c r="Y694"/>
      <c r="Z694"/>
      <c r="AA694" t="s">
        <v>4525</v>
      </c>
      <c r="AB694" t="s">
        <v>4526</v>
      </c>
      <c r="AC694"/>
      <c r="AD694"/>
      <c r="AE694"/>
      <c r="AF694"/>
      <c r="AG694"/>
      <c r="AH694"/>
      <c r="AI694"/>
      <c r="AJ694"/>
      <c r="AK694"/>
      <c r="AL694"/>
      <c r="AM694"/>
      <c r="AN694"/>
      <c r="AO694" t="s">
        <v>98</v>
      </c>
      <c r="AP694" t="s">
        <v>99</v>
      </c>
      <c r="AQ694"/>
      <c r="AR694"/>
      <c r="AS694"/>
      <c r="AT694"/>
      <c r="AU694">
        <v>2021</v>
      </c>
      <c r="AV694"/>
      <c r="AW694">
        <v>4</v>
      </c>
      <c r="AX694"/>
      <c r="AY694"/>
      <c r="AZ694"/>
      <c r="BA694"/>
      <c r="BB694">
        <v>64</v>
      </c>
      <c r="BC694">
        <v>70</v>
      </c>
      <c r="BD694"/>
      <c r="BE694" t="s">
        <v>4527</v>
      </c>
      <c r="BF694" t="str">
        <f>HYPERLINK("http://dx.doi.org/10.25750/1995-4301-2021-4-064-070","http://dx.doi.org/10.25750/1995-4301-2021-4-064-070")</f>
        <v>http://dx.doi.org/10.25750/1995-4301-2021-4-064-070</v>
      </c>
      <c r="BG694"/>
      <c r="BH694"/>
      <c r="BI694"/>
      <c r="BJ694"/>
      <c r="BK694"/>
      <c r="BL694"/>
      <c r="BM694"/>
      <c r="BN694"/>
      <c r="BO694"/>
      <c r="BP694"/>
      <c r="BQ694"/>
      <c r="BR694"/>
      <c r="BS694" t="s">
        <v>4528</v>
      </c>
      <c r="BT694" t="str">
        <f>HYPERLINK("https%3A%2F%2Fwww.webofscience.com%2Fwos%2Fwoscc%2Ffull-record%2FWOS:000755154100009","View Full Record in Web of Science")</f>
        <v>View Full Record in Web of Science</v>
      </c>
    </row>
    <row r="695" spans="1:75" customHeight="1" ht="12.75">
      <c r="A695" t="s">
        <v>72</v>
      </c>
      <c r="B695" t="s">
        <v>378</v>
      </c>
      <c r="C695"/>
      <c r="D695"/>
      <c r="E695"/>
      <c r="F695" t="s">
        <v>2100</v>
      </c>
      <c r="G695"/>
      <c r="H695"/>
      <c r="I695" t="s">
        <v>4529</v>
      </c>
      <c r="J695" t="s">
        <v>1652</v>
      </c>
      <c r="K695"/>
      <c r="L695"/>
      <c r="M695"/>
      <c r="N695"/>
      <c r="O695"/>
      <c r="P695"/>
      <c r="Q695"/>
      <c r="R695"/>
      <c r="S695"/>
      <c r="T695"/>
      <c r="U695"/>
      <c r="V695"/>
      <c r="W695"/>
      <c r="X695"/>
      <c r="Y695"/>
      <c r="Z695"/>
      <c r="AA695" t="s">
        <v>553</v>
      </c>
      <c r="AB695" t="s">
        <v>554</v>
      </c>
      <c r="AC695"/>
      <c r="AD695"/>
      <c r="AE695"/>
      <c r="AF695"/>
      <c r="AG695"/>
      <c r="AH695"/>
      <c r="AI695"/>
      <c r="AJ695"/>
      <c r="AK695"/>
      <c r="AL695"/>
      <c r="AM695"/>
      <c r="AN695"/>
      <c r="AO695" t="s">
        <v>1653</v>
      </c>
      <c r="AP695"/>
      <c r="AQ695"/>
      <c r="AR695"/>
      <c r="AS695"/>
      <c r="AT695" t="s">
        <v>2368</v>
      </c>
      <c r="AU695">
        <v>2020</v>
      </c>
      <c r="AV695">
        <v>14</v>
      </c>
      <c r="AW695">
        <v>2</v>
      </c>
      <c r="AX695"/>
      <c r="AY695"/>
      <c r="AZ695"/>
      <c r="BA695"/>
      <c r="BB695">
        <v>1043</v>
      </c>
      <c r="BC695">
        <v>1045</v>
      </c>
      <c r="BD695"/>
      <c r="BE695"/>
      <c r="BF695"/>
      <c r="BG695"/>
      <c r="BH695"/>
      <c r="BI695"/>
      <c r="BJ695"/>
      <c r="BK695"/>
      <c r="BL695"/>
      <c r="BM695"/>
      <c r="BN695"/>
      <c r="BO695"/>
      <c r="BP695"/>
      <c r="BQ695"/>
      <c r="BR695"/>
      <c r="BS695" t="s">
        <v>4530</v>
      </c>
      <c r="BT695" t="str">
        <f>HYPERLINK("https%3A%2F%2Fwww.webofscience.com%2Fwos%2Fwoscc%2Ffull-record%2FWOS:000619393300195","View Full Record in Web of Science")</f>
        <v>View Full Record in Web of Science</v>
      </c>
    </row>
    <row r="696" spans="1:75" customHeight="1" ht="12.75">
      <c r="A696" t="s">
        <v>72</v>
      </c>
      <c r="B696" t="s">
        <v>378</v>
      </c>
      <c r="C696"/>
      <c r="D696"/>
      <c r="E696"/>
      <c r="F696" t="s">
        <v>1226</v>
      </c>
      <c r="G696"/>
      <c r="H696"/>
      <c r="I696" t="s">
        <v>4531</v>
      </c>
      <c r="J696" t="s">
        <v>1652</v>
      </c>
      <c r="K696"/>
      <c r="L696"/>
      <c r="M696"/>
      <c r="N696"/>
      <c r="O696"/>
      <c r="P696"/>
      <c r="Q696"/>
      <c r="R696"/>
      <c r="S696"/>
      <c r="T696"/>
      <c r="U696"/>
      <c r="V696"/>
      <c r="W696"/>
      <c r="X696"/>
      <c r="Y696"/>
      <c r="Z696"/>
      <c r="AA696" t="s">
        <v>553</v>
      </c>
      <c r="AB696" t="s">
        <v>554</v>
      </c>
      <c r="AC696"/>
      <c r="AD696"/>
      <c r="AE696"/>
      <c r="AF696"/>
      <c r="AG696"/>
      <c r="AH696"/>
      <c r="AI696"/>
      <c r="AJ696"/>
      <c r="AK696"/>
      <c r="AL696"/>
      <c r="AM696"/>
      <c r="AN696"/>
      <c r="AO696" t="s">
        <v>1653</v>
      </c>
      <c r="AP696"/>
      <c r="AQ696"/>
      <c r="AR696"/>
      <c r="AS696"/>
      <c r="AT696" t="s">
        <v>3420</v>
      </c>
      <c r="AU696">
        <v>2020</v>
      </c>
      <c r="AV696">
        <v>14</v>
      </c>
      <c r="AW696">
        <v>1</v>
      </c>
      <c r="AX696"/>
      <c r="AY696"/>
      <c r="AZ696"/>
      <c r="BA696"/>
      <c r="BB696">
        <v>544</v>
      </c>
      <c r="BC696">
        <v>546</v>
      </c>
      <c r="BD696"/>
      <c r="BE696"/>
      <c r="BF696"/>
      <c r="BG696"/>
      <c r="BH696"/>
      <c r="BI696"/>
      <c r="BJ696"/>
      <c r="BK696"/>
      <c r="BL696"/>
      <c r="BM696"/>
      <c r="BN696"/>
      <c r="BO696"/>
      <c r="BP696"/>
      <c r="BQ696"/>
      <c r="BR696"/>
      <c r="BS696" t="s">
        <v>4532</v>
      </c>
      <c r="BT696" t="str">
        <f>HYPERLINK("https%3A%2F%2Fwww.webofscience.com%2Fwos%2Fwoscc%2Ffull-record%2FWOS:000532483500140","View Full Record in Web of Science")</f>
        <v>View Full Record in Web of Science</v>
      </c>
    </row>
    <row r="697" spans="1:75" customHeight="1" ht="12.75">
      <c r="A697" t="s">
        <v>72</v>
      </c>
      <c r="B697" t="s">
        <v>378</v>
      </c>
      <c r="C697"/>
      <c r="D697"/>
      <c r="E697"/>
      <c r="F697" t="s">
        <v>1226</v>
      </c>
      <c r="G697"/>
      <c r="H697"/>
      <c r="I697" t="s">
        <v>4533</v>
      </c>
      <c r="J697" t="s">
        <v>381</v>
      </c>
      <c r="K697"/>
      <c r="L697"/>
      <c r="M697"/>
      <c r="N697"/>
      <c r="O697"/>
      <c r="P697"/>
      <c r="Q697"/>
      <c r="R697"/>
      <c r="S697"/>
      <c r="T697"/>
      <c r="U697"/>
      <c r="V697"/>
      <c r="W697"/>
      <c r="X697"/>
      <c r="Y697"/>
      <c r="Z697"/>
      <c r="AA697" t="s">
        <v>553</v>
      </c>
      <c r="AB697" t="s">
        <v>554</v>
      </c>
      <c r="AC697"/>
      <c r="AD697"/>
      <c r="AE697"/>
      <c r="AF697"/>
      <c r="AG697"/>
      <c r="AH697"/>
      <c r="AI697"/>
      <c r="AJ697"/>
      <c r="AK697"/>
      <c r="AL697"/>
      <c r="AM697"/>
      <c r="AN697"/>
      <c r="AO697" t="s">
        <v>382</v>
      </c>
      <c r="AP697"/>
      <c r="AQ697"/>
      <c r="AR697"/>
      <c r="AS697"/>
      <c r="AT697" t="s">
        <v>4534</v>
      </c>
      <c r="AU697">
        <v>2020</v>
      </c>
      <c r="AV697">
        <v>12</v>
      </c>
      <c r="AW697">
        <v>47</v>
      </c>
      <c r="AX697"/>
      <c r="AY697"/>
      <c r="AZ697"/>
      <c r="BA697"/>
      <c r="BB697">
        <v>75</v>
      </c>
      <c r="BC697">
        <v>79</v>
      </c>
      <c r="BD697"/>
      <c r="BE697"/>
      <c r="BF697"/>
      <c r="BG697"/>
      <c r="BH697"/>
      <c r="BI697"/>
      <c r="BJ697"/>
      <c r="BK697"/>
      <c r="BL697"/>
      <c r="BM697"/>
      <c r="BN697"/>
      <c r="BO697"/>
      <c r="BP697"/>
      <c r="BQ697"/>
      <c r="BR697"/>
      <c r="BS697" t="s">
        <v>4535</v>
      </c>
      <c r="BT697" t="str">
        <f>HYPERLINK("https%3A%2F%2Fwww.webofscience.com%2Fwos%2Fwoscc%2Ffull-record%2FWOS:000563081500010","View Full Record in Web of Science")</f>
        <v>View Full Record in Web of Science</v>
      </c>
    </row>
    <row r="698" spans="1:75" customHeight="1" ht="12.75">
      <c r="A698" t="s">
        <v>72</v>
      </c>
      <c r="B698" t="s">
        <v>110</v>
      </c>
      <c r="C698"/>
      <c r="D698"/>
      <c r="E698"/>
      <c r="F698" t="s">
        <v>4536</v>
      </c>
      <c r="G698"/>
      <c r="H698"/>
      <c r="I698" t="s">
        <v>4537</v>
      </c>
      <c r="J698" t="s">
        <v>2653</v>
      </c>
      <c r="K698"/>
      <c r="L698"/>
      <c r="M698"/>
      <c r="N698"/>
      <c r="O698"/>
      <c r="P698"/>
      <c r="Q698"/>
      <c r="R698"/>
      <c r="S698"/>
      <c r="T698"/>
      <c r="U698"/>
      <c r="V698"/>
      <c r="W698"/>
      <c r="X698"/>
      <c r="Y698"/>
      <c r="Z698"/>
      <c r="AA698" t="s">
        <v>677</v>
      </c>
      <c r="AB698" t="s">
        <v>678</v>
      </c>
      <c r="AC698"/>
      <c r="AD698"/>
      <c r="AE698"/>
      <c r="AF698"/>
      <c r="AG698"/>
      <c r="AH698"/>
      <c r="AI698"/>
      <c r="AJ698"/>
      <c r="AK698"/>
      <c r="AL698"/>
      <c r="AM698"/>
      <c r="AN698"/>
      <c r="AO698" t="s">
        <v>2656</v>
      </c>
      <c r="AP698" t="s">
        <v>2657</v>
      </c>
      <c r="AQ698"/>
      <c r="AR698"/>
      <c r="AS698"/>
      <c r="AT698"/>
      <c r="AU698">
        <v>2020</v>
      </c>
      <c r="AV698">
        <v>22</v>
      </c>
      <c r="AW698">
        <v>4</v>
      </c>
      <c r="AX698"/>
      <c r="AY698"/>
      <c r="AZ698"/>
      <c r="BA698"/>
      <c r="BB698">
        <v>208</v>
      </c>
      <c r="BC698">
        <v>223</v>
      </c>
      <c r="BD698"/>
      <c r="BE698" t="s">
        <v>4538</v>
      </c>
      <c r="BF698" t="str">
        <f>HYPERLINK("http://dx.doi.org/10.15826/izv2.2020.22.4.072","http://dx.doi.org/10.15826/izv2.2020.22.4.072")</f>
        <v>http://dx.doi.org/10.15826/izv2.2020.22.4.072</v>
      </c>
      <c r="BG698"/>
      <c r="BH698"/>
      <c r="BI698"/>
      <c r="BJ698"/>
      <c r="BK698"/>
      <c r="BL698"/>
      <c r="BM698"/>
      <c r="BN698"/>
      <c r="BO698"/>
      <c r="BP698"/>
      <c r="BQ698"/>
      <c r="BR698"/>
      <c r="BS698" t="s">
        <v>4539</v>
      </c>
      <c r="BT698" t="str">
        <f>HYPERLINK("https%3A%2F%2Fwww.webofscience.com%2Fwos%2Fwoscc%2Ffull-record%2FWOS:000604183000013","View Full Record in Web of Science")</f>
        <v>View Full Record in Web of Science</v>
      </c>
    </row>
    <row r="699" spans="1:75" customHeight="1" ht="12.75">
      <c r="A699" t="s">
        <v>72</v>
      </c>
      <c r="B699" t="s">
        <v>4540</v>
      </c>
      <c r="C699"/>
      <c r="D699"/>
      <c r="E699"/>
      <c r="F699" t="s">
        <v>4541</v>
      </c>
      <c r="G699"/>
      <c r="H699"/>
      <c r="I699" t="s">
        <v>4542</v>
      </c>
      <c r="J699" t="s">
        <v>4543</v>
      </c>
      <c r="K699"/>
      <c r="L699"/>
      <c r="M699"/>
      <c r="N699"/>
      <c r="O699"/>
      <c r="P699"/>
      <c r="Q699"/>
      <c r="R699"/>
      <c r="S699"/>
      <c r="T699"/>
      <c r="U699"/>
      <c r="V699"/>
      <c r="W699"/>
      <c r="X699"/>
      <c r="Y699"/>
      <c r="Z699"/>
      <c r="AA699"/>
      <c r="AB699"/>
      <c r="AC699"/>
      <c r="AD699"/>
      <c r="AE699"/>
      <c r="AF699"/>
      <c r="AG699"/>
      <c r="AH699"/>
      <c r="AI699"/>
      <c r="AJ699"/>
      <c r="AK699"/>
      <c r="AL699"/>
      <c r="AM699"/>
      <c r="AN699"/>
      <c r="AO699" t="s">
        <v>4544</v>
      </c>
      <c r="AP699"/>
      <c r="AQ699"/>
      <c r="AR699"/>
      <c r="AS699"/>
      <c r="AT699" t="s">
        <v>125</v>
      </c>
      <c r="AU699">
        <v>2019</v>
      </c>
      <c r="AV699"/>
      <c r="AW699">
        <v>4</v>
      </c>
      <c r="AX699"/>
      <c r="AY699"/>
      <c r="AZ699"/>
      <c r="BA699"/>
      <c r="BB699">
        <v>3</v>
      </c>
      <c r="BC699">
        <v>8</v>
      </c>
      <c r="BD699"/>
      <c r="BE699" t="s">
        <v>4545</v>
      </c>
      <c r="BF699" t="str">
        <f>HYPERLINK("http://dx.doi.org/10.20339/PhS.4-19.003","http://dx.doi.org/10.20339/PhS.4-19.003")</f>
        <v>http://dx.doi.org/10.20339/PhS.4-19.003</v>
      </c>
      <c r="BG699"/>
      <c r="BH699"/>
      <c r="BI699"/>
      <c r="BJ699"/>
      <c r="BK699"/>
      <c r="BL699"/>
      <c r="BM699"/>
      <c r="BN699"/>
      <c r="BO699"/>
      <c r="BP699"/>
      <c r="BQ699"/>
      <c r="BR699"/>
      <c r="BS699" t="s">
        <v>4546</v>
      </c>
      <c r="BT699" t="str">
        <f>HYPERLINK("https%3A%2F%2Fwww.webofscience.com%2Fwos%2Fwoscc%2Ffull-record%2FWOS:000476942200001","View Full Record in Web of Science")</f>
        <v>View Full Record in Web of Science</v>
      </c>
    </row>
    <row r="700" spans="1:75" customHeight="1" ht="12.75">
      <c r="A700" t="s">
        <v>72</v>
      </c>
      <c r="B700" t="s">
        <v>4547</v>
      </c>
      <c r="C700"/>
      <c r="D700"/>
      <c r="E700"/>
      <c r="F700" t="s">
        <v>4548</v>
      </c>
      <c r="G700"/>
      <c r="H700"/>
      <c r="I700" t="s">
        <v>4549</v>
      </c>
      <c r="J700" t="s">
        <v>4550</v>
      </c>
      <c r="K700"/>
      <c r="L700"/>
      <c r="M700"/>
      <c r="N700"/>
      <c r="O700"/>
      <c r="P700"/>
      <c r="Q700"/>
      <c r="R700"/>
      <c r="S700"/>
      <c r="T700"/>
      <c r="U700"/>
      <c r="V700"/>
      <c r="W700"/>
      <c r="X700"/>
      <c r="Y700"/>
      <c r="Z700"/>
      <c r="AA700" t="s">
        <v>4551</v>
      </c>
      <c r="AB700" t="s">
        <v>4552</v>
      </c>
      <c r="AC700"/>
      <c r="AD700"/>
      <c r="AE700"/>
      <c r="AF700"/>
      <c r="AG700"/>
      <c r="AH700"/>
      <c r="AI700"/>
      <c r="AJ700"/>
      <c r="AK700"/>
      <c r="AL700"/>
      <c r="AM700"/>
      <c r="AN700"/>
      <c r="AO700" t="s">
        <v>4553</v>
      </c>
      <c r="AP700"/>
      <c r="AQ700"/>
      <c r="AR700"/>
      <c r="AS700"/>
      <c r="AT700" t="s">
        <v>491</v>
      </c>
      <c r="AU700">
        <v>2019</v>
      </c>
      <c r="AV700">
        <v>6</v>
      </c>
      <c r="AW700"/>
      <c r="AX700"/>
      <c r="AY700"/>
      <c r="AZ700" t="s">
        <v>339</v>
      </c>
      <c r="BA700"/>
      <c r="BB700"/>
      <c r="BC700"/>
      <c r="BD700">
        <v>105</v>
      </c>
      <c r="BE700"/>
      <c r="BF700"/>
      <c r="BG700"/>
      <c r="BH700"/>
      <c r="BI700"/>
      <c r="BJ700"/>
      <c r="BK700"/>
      <c r="BL700"/>
      <c r="BM700"/>
      <c r="BN700"/>
      <c r="BO700"/>
      <c r="BP700"/>
      <c r="BQ700"/>
      <c r="BR700"/>
      <c r="BS700" t="s">
        <v>4554</v>
      </c>
      <c r="BT700" t="str">
        <f>HYPERLINK("https%3A%2F%2Fwww.webofscience.com%2Fwos%2Fwoscc%2Ffull-record%2FWOS:000470308600018","View Full Record in Web of Science")</f>
        <v>View Full Record in Web of Science</v>
      </c>
    </row>
    <row r="701" spans="1:75" customHeight="1" ht="12.75">
      <c r="A701" t="s">
        <v>147</v>
      </c>
      <c r="B701" t="s">
        <v>568</v>
      </c>
      <c r="C701"/>
      <c r="D701" t="s">
        <v>386</v>
      </c>
      <c r="E701"/>
      <c r="F701" t="s">
        <v>569</v>
      </c>
      <c r="G701"/>
      <c r="H701"/>
      <c r="I701" t="s">
        <v>4555</v>
      </c>
      <c r="J701" t="s">
        <v>389</v>
      </c>
      <c r="K701" t="s">
        <v>390</v>
      </c>
      <c r="L701"/>
      <c r="M701"/>
      <c r="N701"/>
      <c r="O701" t="s">
        <v>391</v>
      </c>
      <c r="P701" t="s">
        <v>392</v>
      </c>
      <c r="Q701" t="s">
        <v>393</v>
      </c>
      <c r="R701" t="s">
        <v>394</v>
      </c>
      <c r="S701"/>
      <c r="T701"/>
      <c r="U701"/>
      <c r="V701"/>
      <c r="W701"/>
      <c r="X701"/>
      <c r="Y701"/>
      <c r="Z701"/>
      <c r="AA701" t="s">
        <v>1056</v>
      </c>
      <c r="AB701" t="s">
        <v>1057</v>
      </c>
      <c r="AC701"/>
      <c r="AD701"/>
      <c r="AE701"/>
      <c r="AF701"/>
      <c r="AG701"/>
      <c r="AH701"/>
      <c r="AI701"/>
      <c r="AJ701"/>
      <c r="AK701"/>
      <c r="AL701"/>
      <c r="AM701"/>
      <c r="AN701"/>
      <c r="AO701" t="s">
        <v>395</v>
      </c>
      <c r="AP701"/>
      <c r="AQ701" t="s">
        <v>396</v>
      </c>
      <c r="AR701"/>
      <c r="AS701"/>
      <c r="AT701"/>
      <c r="AU701">
        <v>2019</v>
      </c>
      <c r="AV701"/>
      <c r="AW701"/>
      <c r="AX701"/>
      <c r="AY701"/>
      <c r="AZ701"/>
      <c r="BA701"/>
      <c r="BB701">
        <v>374</v>
      </c>
      <c r="BC701">
        <v>377</v>
      </c>
      <c r="BD701"/>
      <c r="BE701"/>
      <c r="BF701"/>
      <c r="BG701"/>
      <c r="BH701"/>
      <c r="BI701"/>
      <c r="BJ701"/>
      <c r="BK701"/>
      <c r="BL701"/>
      <c r="BM701"/>
      <c r="BN701"/>
      <c r="BO701"/>
      <c r="BP701"/>
      <c r="BQ701"/>
      <c r="BR701"/>
      <c r="BS701" t="s">
        <v>4556</v>
      </c>
      <c r="BT701" t="str">
        <f>HYPERLINK("https%3A%2F%2Fwww.webofscience.com%2Fwos%2Fwoscc%2Ffull-record%2FWOS:000492146100091","View Full Record in Web of Science")</f>
        <v>View Full Record in Web of Science</v>
      </c>
    </row>
    <row r="702" spans="1:75" customHeight="1" ht="12.75">
      <c r="A702" t="s">
        <v>147</v>
      </c>
      <c r="B702" t="s">
        <v>4557</v>
      </c>
      <c r="C702"/>
      <c r="D702" t="s">
        <v>249</v>
      </c>
      <c r="E702"/>
      <c r="F702" t="s">
        <v>4558</v>
      </c>
      <c r="G702"/>
      <c r="H702"/>
      <c r="I702" t="s">
        <v>4559</v>
      </c>
      <c r="J702" t="s">
        <v>1371</v>
      </c>
      <c r="K702"/>
      <c r="L702"/>
      <c r="M702"/>
      <c r="N702"/>
      <c r="O702" t="s">
        <v>1372</v>
      </c>
      <c r="P702" t="s">
        <v>1373</v>
      </c>
      <c r="Q702" t="s">
        <v>256</v>
      </c>
      <c r="R702"/>
      <c r="S702" t="s">
        <v>257</v>
      </c>
      <c r="T702"/>
      <c r="U702"/>
      <c r="V702"/>
      <c r="W702"/>
      <c r="X702"/>
      <c r="Y702"/>
      <c r="Z702"/>
      <c r="AA702" t="s">
        <v>4560</v>
      </c>
      <c r="AB702" t="s">
        <v>4561</v>
      </c>
      <c r="AC702"/>
      <c r="AD702"/>
      <c r="AE702"/>
      <c r="AF702"/>
      <c r="AG702"/>
      <c r="AH702"/>
      <c r="AI702"/>
      <c r="AJ702"/>
      <c r="AK702"/>
      <c r="AL702"/>
      <c r="AM702"/>
      <c r="AN702"/>
      <c r="AO702"/>
      <c r="AP702"/>
      <c r="AQ702" t="s">
        <v>1374</v>
      </c>
      <c r="AR702"/>
      <c r="AS702"/>
      <c r="AT702"/>
      <c r="AU702">
        <v>2019</v>
      </c>
      <c r="AV702"/>
      <c r="AW702"/>
      <c r="AX702"/>
      <c r="AY702"/>
      <c r="AZ702"/>
      <c r="BA702"/>
      <c r="BB702">
        <v>447</v>
      </c>
      <c r="BC702">
        <v>454</v>
      </c>
      <c r="BD702"/>
      <c r="BE702" t="s">
        <v>4562</v>
      </c>
      <c r="BF702" t="str">
        <f>HYPERLINK("http://dx.doi.org/10.3897/ap.1.e0422","http://dx.doi.org/10.3897/ap.1.e0422")</f>
        <v>http://dx.doi.org/10.3897/ap.1.e0422</v>
      </c>
      <c r="BG702"/>
      <c r="BH702"/>
      <c r="BI702"/>
      <c r="BJ702"/>
      <c r="BK702"/>
      <c r="BL702"/>
      <c r="BM702"/>
      <c r="BN702"/>
      <c r="BO702"/>
      <c r="BP702"/>
      <c r="BQ702"/>
      <c r="BR702"/>
      <c r="BS702" t="s">
        <v>4563</v>
      </c>
      <c r="BT702" t="str">
        <f>HYPERLINK("https%3A%2F%2Fwww.webofscience.com%2Fwos%2Fwoscc%2Ffull-record%2FWOS:000520005200045","View Full Record in Web of Science")</f>
        <v>View Full Record in Web of Science</v>
      </c>
    </row>
    <row r="703" spans="1:75" customHeight="1" ht="12.75">
      <c r="A703" t="s">
        <v>72</v>
      </c>
      <c r="B703" t="s">
        <v>1119</v>
      </c>
      <c r="C703"/>
      <c r="D703"/>
      <c r="E703"/>
      <c r="F703" t="s">
        <v>2469</v>
      </c>
      <c r="G703"/>
      <c r="H703"/>
      <c r="I703" t="s">
        <v>4564</v>
      </c>
      <c r="J703" t="s">
        <v>668</v>
      </c>
      <c r="K703"/>
      <c r="L703"/>
      <c r="M703"/>
      <c r="N703"/>
      <c r="O703"/>
      <c r="P703"/>
      <c r="Q703"/>
      <c r="R703"/>
      <c r="S703"/>
      <c r="T703"/>
      <c r="U703"/>
      <c r="V703"/>
      <c r="W703"/>
      <c r="X703"/>
      <c r="Y703"/>
      <c r="Z703"/>
      <c r="AA703" t="s">
        <v>1123</v>
      </c>
      <c r="AB703" t="s">
        <v>3523</v>
      </c>
      <c r="AC703"/>
      <c r="AD703"/>
      <c r="AE703"/>
      <c r="AF703"/>
      <c r="AG703"/>
      <c r="AH703"/>
      <c r="AI703"/>
      <c r="AJ703"/>
      <c r="AK703"/>
      <c r="AL703"/>
      <c r="AM703"/>
      <c r="AN703"/>
      <c r="AO703" t="s">
        <v>669</v>
      </c>
      <c r="AP703" t="s">
        <v>670</v>
      </c>
      <c r="AQ703"/>
      <c r="AR703"/>
      <c r="AS703"/>
      <c r="AT703"/>
      <c r="AU703">
        <v>2019</v>
      </c>
      <c r="AV703"/>
      <c r="AW703">
        <v>10</v>
      </c>
      <c r="AX703"/>
      <c r="AY703"/>
      <c r="AZ703"/>
      <c r="BA703"/>
      <c r="BB703">
        <v>434</v>
      </c>
      <c r="BC703">
        <v>451</v>
      </c>
      <c r="BD703"/>
      <c r="BE703" t="s">
        <v>4565</v>
      </c>
      <c r="BF703" t="str">
        <f>HYPERLINK("http://dx.doi.org/10.24224/2227-1295-2019-10-434-451","http://dx.doi.org/10.24224/2227-1295-2019-10-434-451")</f>
        <v>http://dx.doi.org/10.24224/2227-1295-2019-10-434-451</v>
      </c>
      <c r="BG703"/>
      <c r="BH703"/>
      <c r="BI703"/>
      <c r="BJ703"/>
      <c r="BK703"/>
      <c r="BL703"/>
      <c r="BM703"/>
      <c r="BN703"/>
      <c r="BO703"/>
      <c r="BP703"/>
      <c r="BQ703"/>
      <c r="BR703"/>
      <c r="BS703" t="s">
        <v>4566</v>
      </c>
      <c r="BT703" t="str">
        <f>HYPERLINK("https%3A%2F%2Fwww.webofscience.com%2Fwos%2Fwoscc%2Ffull-record%2FWOS:000493393100027","View Full Record in Web of Science")</f>
        <v>View Full Record in Web of Science</v>
      </c>
    </row>
    <row r="704" spans="1:75" customHeight="1" ht="12.75">
      <c r="A704" t="s">
        <v>72</v>
      </c>
      <c r="B704" t="s">
        <v>4567</v>
      </c>
      <c r="C704"/>
      <c r="D704"/>
      <c r="E704"/>
      <c r="F704" t="s">
        <v>4568</v>
      </c>
      <c r="G704"/>
      <c r="H704"/>
      <c r="I704" t="s">
        <v>4569</v>
      </c>
      <c r="J704" t="s">
        <v>4570</v>
      </c>
      <c r="K704"/>
      <c r="L704"/>
      <c r="M704"/>
      <c r="N704"/>
      <c r="O704"/>
      <c r="P704"/>
      <c r="Q704"/>
      <c r="R704"/>
      <c r="S704"/>
      <c r="T704"/>
      <c r="U704"/>
      <c r="V704"/>
      <c r="W704"/>
      <c r="X704"/>
      <c r="Y704"/>
      <c r="Z704"/>
      <c r="AA704" t="s">
        <v>4571</v>
      </c>
      <c r="AB704" t="s">
        <v>4572</v>
      </c>
      <c r="AC704"/>
      <c r="AD704"/>
      <c r="AE704"/>
      <c r="AF704"/>
      <c r="AG704"/>
      <c r="AH704"/>
      <c r="AI704"/>
      <c r="AJ704"/>
      <c r="AK704"/>
      <c r="AL704"/>
      <c r="AM704"/>
      <c r="AN704"/>
      <c r="AO704" t="s">
        <v>4573</v>
      </c>
      <c r="AP704"/>
      <c r="AQ704"/>
      <c r="AR704"/>
      <c r="AS704"/>
      <c r="AT704"/>
      <c r="AU704">
        <v>2019</v>
      </c>
      <c r="AV704">
        <v>62</v>
      </c>
      <c r="AW704">
        <v>204</v>
      </c>
      <c r="AX704"/>
      <c r="AY704"/>
      <c r="AZ704"/>
      <c r="BA704"/>
      <c r="BB704">
        <v>23</v>
      </c>
      <c r="BC704">
        <v>39</v>
      </c>
      <c r="BD704"/>
      <c r="BE704" t="s">
        <v>4574</v>
      </c>
      <c r="BF704" t="str">
        <f>HYPERLINK("http://dx.doi.org/10.12841/wood.1644-3985.268.06","http://dx.doi.org/10.12841/wood.1644-3985.268.06")</f>
        <v>http://dx.doi.org/10.12841/wood.1644-3985.268.06</v>
      </c>
      <c r="BG704"/>
      <c r="BH704"/>
      <c r="BI704"/>
      <c r="BJ704"/>
      <c r="BK704"/>
      <c r="BL704"/>
      <c r="BM704"/>
      <c r="BN704"/>
      <c r="BO704"/>
      <c r="BP704"/>
      <c r="BQ704"/>
      <c r="BR704"/>
      <c r="BS704" t="s">
        <v>4575</v>
      </c>
      <c r="BT704" t="str">
        <f>HYPERLINK("https%3A%2F%2Fwww.webofscience.com%2Fwos%2Fwoscc%2Ffull-record%2FWOS:000500693100002","View Full Record in Web of Science")</f>
        <v>View Full Record in Web of Science</v>
      </c>
    </row>
    <row r="705" spans="1:75" customHeight="1" ht="12.75">
      <c r="A705" t="s">
        <v>1342</v>
      </c>
      <c r="B705" t="s">
        <v>232</v>
      </c>
      <c r="C705"/>
      <c r="D705" t="s">
        <v>4576</v>
      </c>
      <c r="E705"/>
      <c r="F705" t="s">
        <v>234</v>
      </c>
      <c r="G705"/>
      <c r="H705"/>
      <c r="I705" t="s">
        <v>4577</v>
      </c>
      <c r="J705" t="s">
        <v>4578</v>
      </c>
      <c r="K705" t="s">
        <v>4579</v>
      </c>
      <c r="L705"/>
      <c r="M705"/>
      <c r="N705"/>
      <c r="O705"/>
      <c r="P705"/>
      <c r="Q705"/>
      <c r="R705"/>
      <c r="S705"/>
      <c r="T705"/>
      <c r="U705"/>
      <c r="V705"/>
      <c r="W705"/>
      <c r="X705"/>
      <c r="Y705"/>
      <c r="Z705"/>
      <c r="AA705" t="s">
        <v>238</v>
      </c>
      <c r="AB705" t="s">
        <v>239</v>
      </c>
      <c r="AC705"/>
      <c r="AD705"/>
      <c r="AE705"/>
      <c r="AF705"/>
      <c r="AG705"/>
      <c r="AH705"/>
      <c r="AI705"/>
      <c r="AJ705"/>
      <c r="AK705"/>
      <c r="AL705"/>
      <c r="AM705"/>
      <c r="AN705"/>
      <c r="AO705" t="s">
        <v>4580</v>
      </c>
      <c r="AP705" t="s">
        <v>4581</v>
      </c>
      <c r="AQ705" t="s">
        <v>4582</v>
      </c>
      <c r="AR705"/>
      <c r="AS705"/>
      <c r="AT705"/>
      <c r="AU705">
        <v>2019</v>
      </c>
      <c r="AV705">
        <v>169</v>
      </c>
      <c r="AW705"/>
      <c r="AX705"/>
      <c r="AY705"/>
      <c r="AZ705"/>
      <c r="BA705"/>
      <c r="BB705">
        <v>131</v>
      </c>
      <c r="BC705">
        <v>143</v>
      </c>
      <c r="BD705"/>
      <c r="BE705" t="s">
        <v>4583</v>
      </c>
      <c r="BF705" t="str">
        <f>HYPERLINK("http://dx.doi.org/10.1007/978-3-319-94310-7_13","http://dx.doi.org/10.1007/978-3-319-94310-7_13")</f>
        <v>http://dx.doi.org/10.1007/978-3-319-94310-7_13</v>
      </c>
      <c r="BG705" t="s">
        <v>4584</v>
      </c>
      <c r="BH705"/>
      <c r="BI705"/>
      <c r="BJ705"/>
      <c r="BK705"/>
      <c r="BL705"/>
      <c r="BM705"/>
      <c r="BN705"/>
      <c r="BO705"/>
      <c r="BP705"/>
      <c r="BQ705"/>
      <c r="BR705"/>
      <c r="BS705" t="s">
        <v>4585</v>
      </c>
      <c r="BT705" t="str">
        <f>HYPERLINK("https%3A%2F%2Fwww.webofscience.com%2Fwos%2Fwoscc%2Ffull-record%2FWOS:000555691800014","View Full Record in Web of Science")</f>
        <v>View Full Record in Web of Science</v>
      </c>
    </row>
    <row r="706" spans="1:75" customHeight="1" ht="12.75">
      <c r="A706" t="s">
        <v>72</v>
      </c>
      <c r="B706" t="s">
        <v>4586</v>
      </c>
      <c r="C706"/>
      <c r="D706"/>
      <c r="E706"/>
      <c r="F706" t="s">
        <v>4587</v>
      </c>
      <c r="G706"/>
      <c r="H706"/>
      <c r="I706" t="s">
        <v>4588</v>
      </c>
      <c r="J706" t="s">
        <v>95</v>
      </c>
      <c r="K706"/>
      <c r="L706"/>
      <c r="M706"/>
      <c r="N706"/>
      <c r="O706"/>
      <c r="P706"/>
      <c r="Q706"/>
      <c r="R706"/>
      <c r="S706"/>
      <c r="T706"/>
      <c r="U706"/>
      <c r="V706"/>
      <c r="W706"/>
      <c r="X706"/>
      <c r="Y706"/>
      <c r="Z706"/>
      <c r="AA706" t="s">
        <v>2283</v>
      </c>
      <c r="AB706"/>
      <c r="AC706"/>
      <c r="AD706"/>
      <c r="AE706"/>
      <c r="AF706"/>
      <c r="AG706"/>
      <c r="AH706"/>
      <c r="AI706"/>
      <c r="AJ706"/>
      <c r="AK706"/>
      <c r="AL706"/>
      <c r="AM706"/>
      <c r="AN706"/>
      <c r="AO706" t="s">
        <v>98</v>
      </c>
      <c r="AP706" t="s">
        <v>99</v>
      </c>
      <c r="AQ706"/>
      <c r="AR706"/>
      <c r="AS706"/>
      <c r="AT706"/>
      <c r="AU706">
        <v>2019</v>
      </c>
      <c r="AV706"/>
      <c r="AW706">
        <v>1</v>
      </c>
      <c r="AX706"/>
      <c r="AY706"/>
      <c r="AZ706"/>
      <c r="BA706"/>
      <c r="BB706">
        <v>88</v>
      </c>
      <c r="BC706">
        <v>93</v>
      </c>
      <c r="BD706"/>
      <c r="BE706" t="s">
        <v>4589</v>
      </c>
      <c r="BF706" t="str">
        <f>HYPERLINK("http://dx.doi.org/10.25750/1995-4301-2019-1-088-093","http://dx.doi.org/10.25750/1995-4301-2019-1-088-093")</f>
        <v>http://dx.doi.org/10.25750/1995-4301-2019-1-088-093</v>
      </c>
      <c r="BG706"/>
      <c r="BH706"/>
      <c r="BI706"/>
      <c r="BJ706"/>
      <c r="BK706"/>
      <c r="BL706"/>
      <c r="BM706"/>
      <c r="BN706"/>
      <c r="BO706"/>
      <c r="BP706"/>
      <c r="BQ706"/>
      <c r="BR706"/>
      <c r="BS706" t="s">
        <v>4590</v>
      </c>
      <c r="BT706" t="str">
        <f>HYPERLINK("https%3A%2F%2Fwww.webofscience.com%2Fwos%2Fwoscc%2Ffull-record%2FWOS:000468565900013","View Full Record in Web of Science")</f>
        <v>View Full Record in Web of Science</v>
      </c>
    </row>
    <row r="707" spans="1:75" customHeight="1" ht="12.75">
      <c r="A707" t="s">
        <v>72</v>
      </c>
      <c r="B707" t="s">
        <v>4591</v>
      </c>
      <c r="C707"/>
      <c r="D707"/>
      <c r="E707"/>
      <c r="F707" t="s">
        <v>4592</v>
      </c>
      <c r="G707"/>
      <c r="H707"/>
      <c r="I707" t="s">
        <v>4593</v>
      </c>
      <c r="J707" t="s">
        <v>166</v>
      </c>
      <c r="K707"/>
      <c r="L707"/>
      <c r="M707"/>
      <c r="N707"/>
      <c r="O707"/>
      <c r="P707"/>
      <c r="Q707"/>
      <c r="R707"/>
      <c r="S707"/>
      <c r="T707"/>
      <c r="U707"/>
      <c r="V707"/>
      <c r="W707"/>
      <c r="X707"/>
      <c r="Y707"/>
      <c r="Z707"/>
      <c r="AA707" t="s">
        <v>4594</v>
      </c>
      <c r="AB707"/>
      <c r="AC707"/>
      <c r="AD707"/>
      <c r="AE707"/>
      <c r="AF707"/>
      <c r="AG707"/>
      <c r="AH707"/>
      <c r="AI707"/>
      <c r="AJ707"/>
      <c r="AK707"/>
      <c r="AL707"/>
      <c r="AM707"/>
      <c r="AN707"/>
      <c r="AO707" t="s">
        <v>169</v>
      </c>
      <c r="AP707" t="s">
        <v>170</v>
      </c>
      <c r="AQ707"/>
      <c r="AR707"/>
      <c r="AS707"/>
      <c r="AT707" t="s">
        <v>403</v>
      </c>
      <c r="AU707">
        <v>2018</v>
      </c>
      <c r="AV707">
        <v>7</v>
      </c>
      <c r="AW707">
        <v>4</v>
      </c>
      <c r="AX707"/>
      <c r="AY707"/>
      <c r="AZ707"/>
      <c r="BA707"/>
      <c r="BB707">
        <v>845</v>
      </c>
      <c r="BC707">
        <v>857</v>
      </c>
      <c r="BD707"/>
      <c r="BE707" t="s">
        <v>4595</v>
      </c>
      <c r="BF707" t="str">
        <f>HYPERLINK("http://dx.doi.org/10.13187/ejced.2018.4.845","http://dx.doi.org/10.13187/ejced.2018.4.845")</f>
        <v>http://dx.doi.org/10.13187/ejced.2018.4.845</v>
      </c>
      <c r="BG707"/>
      <c r="BH707"/>
      <c r="BI707"/>
      <c r="BJ707"/>
      <c r="BK707"/>
      <c r="BL707"/>
      <c r="BM707"/>
      <c r="BN707"/>
      <c r="BO707"/>
      <c r="BP707"/>
      <c r="BQ707"/>
      <c r="BR707"/>
      <c r="BS707" t="s">
        <v>4596</v>
      </c>
      <c r="BT707" t="str">
        <f>HYPERLINK("https%3A%2F%2Fwww.webofscience.com%2Fwos%2Fwoscc%2Ffull-record%2FWOS:000453622300017","View Full Record in Web of Science")</f>
        <v>View Full Record in Web of Science</v>
      </c>
    </row>
    <row r="708" spans="1:75" customHeight="1" ht="12.75">
      <c r="A708" t="s">
        <v>72</v>
      </c>
      <c r="B708" t="s">
        <v>4597</v>
      </c>
      <c r="C708"/>
      <c r="D708"/>
      <c r="E708"/>
      <c r="F708" t="s">
        <v>4598</v>
      </c>
      <c r="G708"/>
      <c r="H708"/>
      <c r="I708" t="s">
        <v>4599</v>
      </c>
      <c r="J708" t="s">
        <v>3610</v>
      </c>
      <c r="K708"/>
      <c r="L708"/>
      <c r="M708"/>
      <c r="N708"/>
      <c r="O708"/>
      <c r="P708"/>
      <c r="Q708"/>
      <c r="R708"/>
      <c r="S708"/>
      <c r="T708"/>
      <c r="U708"/>
      <c r="V708"/>
      <c r="W708"/>
      <c r="X708"/>
      <c r="Y708"/>
      <c r="Z708"/>
      <c r="AA708" t="s">
        <v>4600</v>
      </c>
      <c r="AB708" t="s">
        <v>4601</v>
      </c>
      <c r="AC708"/>
      <c r="AD708"/>
      <c r="AE708"/>
      <c r="AF708"/>
      <c r="AG708"/>
      <c r="AH708"/>
      <c r="AI708"/>
      <c r="AJ708"/>
      <c r="AK708"/>
      <c r="AL708"/>
      <c r="AM708"/>
      <c r="AN708"/>
      <c r="AO708" t="s">
        <v>3613</v>
      </c>
      <c r="AP708" t="s">
        <v>4602</v>
      </c>
      <c r="AQ708"/>
      <c r="AR708"/>
      <c r="AS708"/>
      <c r="AT708" t="s">
        <v>125</v>
      </c>
      <c r="AU708">
        <v>2018</v>
      </c>
      <c r="AV708">
        <v>51</v>
      </c>
      <c r="AW708">
        <v>7</v>
      </c>
      <c r="AX708"/>
      <c r="AY708"/>
      <c r="AZ708"/>
      <c r="BA708"/>
      <c r="BB708">
        <v>758</v>
      </c>
      <c r="BC708">
        <v>771</v>
      </c>
      <c r="BD708"/>
      <c r="BE708" t="s">
        <v>4603</v>
      </c>
      <c r="BF708" t="str">
        <f>HYPERLINK("http://dx.doi.org/10.1134/S1064229318070074","http://dx.doi.org/10.1134/S1064229318070074")</f>
        <v>http://dx.doi.org/10.1134/S1064229318070074</v>
      </c>
      <c r="BG708"/>
      <c r="BH708"/>
      <c r="BI708"/>
      <c r="BJ708"/>
      <c r="BK708"/>
      <c r="BL708"/>
      <c r="BM708"/>
      <c r="BN708"/>
      <c r="BO708"/>
      <c r="BP708"/>
      <c r="BQ708"/>
      <c r="BR708"/>
      <c r="BS708" t="s">
        <v>4604</v>
      </c>
      <c r="BT708" t="str">
        <f>HYPERLINK("https%3A%2F%2Fwww.webofscience.com%2Fwos%2Fwoscc%2Ffull-record%2FWOS:000441009400003","View Full Record in Web of Science")</f>
        <v>View Full Record in Web of Science</v>
      </c>
    </row>
    <row r="709" spans="1:75" customHeight="1" ht="12.75">
      <c r="A709" t="s">
        <v>72</v>
      </c>
      <c r="B709" t="s">
        <v>4605</v>
      </c>
      <c r="C709"/>
      <c r="D709"/>
      <c r="E709"/>
      <c r="F709" t="s">
        <v>4606</v>
      </c>
      <c r="G709"/>
      <c r="H709"/>
      <c r="I709" t="s">
        <v>4607</v>
      </c>
      <c r="J709" t="s">
        <v>131</v>
      </c>
      <c r="K709"/>
      <c r="L709"/>
      <c r="M709"/>
      <c r="N709"/>
      <c r="O709"/>
      <c r="P709"/>
      <c r="Q709"/>
      <c r="R709"/>
      <c r="S709"/>
      <c r="T709"/>
      <c r="U709"/>
      <c r="V709"/>
      <c r="W709"/>
      <c r="X709"/>
      <c r="Y709"/>
      <c r="Z709"/>
      <c r="AA709" t="s">
        <v>2730</v>
      </c>
      <c r="AB709" t="s">
        <v>2731</v>
      </c>
      <c r="AC709"/>
      <c r="AD709"/>
      <c r="AE709"/>
      <c r="AF709"/>
      <c r="AG709"/>
      <c r="AH709"/>
      <c r="AI709"/>
      <c r="AJ709"/>
      <c r="AK709"/>
      <c r="AL709"/>
      <c r="AM709"/>
      <c r="AN709"/>
      <c r="AO709" t="s">
        <v>134</v>
      </c>
      <c r="AP709" t="s">
        <v>135</v>
      </c>
      <c r="AQ709"/>
      <c r="AR709"/>
      <c r="AS709"/>
      <c r="AT709"/>
      <c r="AU709">
        <v>2018</v>
      </c>
      <c r="AV709">
        <v>18</v>
      </c>
      <c r="AW709">
        <v>4</v>
      </c>
      <c r="AX709"/>
      <c r="AY709"/>
      <c r="AZ709"/>
      <c r="BA709"/>
      <c r="BB709">
        <v>103</v>
      </c>
      <c r="BC709">
        <v>109</v>
      </c>
      <c r="BD709"/>
      <c r="BE709" t="s">
        <v>4608</v>
      </c>
      <c r="BF709" t="str">
        <f>HYPERLINK("http://dx.doi.org/10.14529/hsm180415","http://dx.doi.org/10.14529/hsm180415")</f>
        <v>http://dx.doi.org/10.14529/hsm180415</v>
      </c>
      <c r="BG709"/>
      <c r="BH709"/>
      <c r="BI709"/>
      <c r="BJ709"/>
      <c r="BK709"/>
      <c r="BL709"/>
      <c r="BM709"/>
      <c r="BN709"/>
      <c r="BO709"/>
      <c r="BP709"/>
      <c r="BQ709"/>
      <c r="BR709"/>
      <c r="BS709" t="s">
        <v>4609</v>
      </c>
      <c r="BT709" t="str">
        <f>HYPERLINK("https%3A%2F%2Fwww.webofscience.com%2Fwos%2Fwoscc%2Ffull-record%2FWOS:000458656200002","View Full Record in Web of Science")</f>
        <v>View Full Record in Web of Science</v>
      </c>
    </row>
    <row r="710" spans="1:75" customHeight="1" ht="12.75">
      <c r="A710" t="s">
        <v>72</v>
      </c>
      <c r="B710" t="s">
        <v>102</v>
      </c>
      <c r="C710"/>
      <c r="D710"/>
      <c r="E710"/>
      <c r="F710" t="s">
        <v>1786</v>
      </c>
      <c r="G710"/>
      <c r="H710"/>
      <c r="I710" t="s">
        <v>4610</v>
      </c>
      <c r="J710" t="s">
        <v>105</v>
      </c>
      <c r="K710"/>
      <c r="L710"/>
      <c r="M710"/>
      <c r="N710"/>
      <c r="O710"/>
      <c r="P710"/>
      <c r="Q710"/>
      <c r="R710"/>
      <c r="S710"/>
      <c r="T710"/>
      <c r="U710"/>
      <c r="V710"/>
      <c r="W710"/>
      <c r="X710"/>
      <c r="Y710"/>
      <c r="Z710"/>
      <c r="AA710"/>
      <c r="AB710"/>
      <c r="AC710"/>
      <c r="AD710"/>
      <c r="AE710"/>
      <c r="AF710"/>
      <c r="AG710"/>
      <c r="AH710"/>
      <c r="AI710"/>
      <c r="AJ710"/>
      <c r="AK710"/>
      <c r="AL710"/>
      <c r="AM710"/>
      <c r="AN710"/>
      <c r="AO710" t="s">
        <v>106</v>
      </c>
      <c r="AP710"/>
      <c r="AQ710"/>
      <c r="AR710"/>
      <c r="AS710"/>
      <c r="AT710"/>
      <c r="AU710">
        <v>2018</v>
      </c>
      <c r="AV710"/>
      <c r="AW710">
        <v>2</v>
      </c>
      <c r="AX710"/>
      <c r="AY710"/>
      <c r="AZ710"/>
      <c r="BA710"/>
      <c r="BB710">
        <v>455</v>
      </c>
      <c r="BC710">
        <v>462</v>
      </c>
      <c r="BD710"/>
      <c r="BE710" t="s">
        <v>4611</v>
      </c>
      <c r="BF710" t="str">
        <f>HYPERLINK("http://dx.doi.org/10.28995/2073-0101-2018-2-455-462","http://dx.doi.org/10.28995/2073-0101-2018-2-455-462")</f>
        <v>http://dx.doi.org/10.28995/2073-0101-2018-2-455-462</v>
      </c>
      <c r="BG710"/>
      <c r="BH710"/>
      <c r="BI710"/>
      <c r="BJ710"/>
      <c r="BK710"/>
      <c r="BL710"/>
      <c r="BM710"/>
      <c r="BN710"/>
      <c r="BO710"/>
      <c r="BP710"/>
      <c r="BQ710"/>
      <c r="BR710"/>
      <c r="BS710" t="s">
        <v>4612</v>
      </c>
      <c r="BT710" t="str">
        <f>HYPERLINK("https%3A%2F%2Fwww.webofscience.com%2Fwos%2Fwoscc%2Ffull-record%2FWOS:000452895600011","View Full Record in Web of Science")</f>
        <v>View Full Record in Web of Science</v>
      </c>
    </row>
    <row r="711" spans="1:75" customHeight="1" ht="12.75">
      <c r="A711" t="s">
        <v>147</v>
      </c>
      <c r="B711" t="s">
        <v>2678</v>
      </c>
      <c r="C711"/>
      <c r="D711"/>
      <c r="E711" t="s">
        <v>210</v>
      </c>
      <c r="F711" t="s">
        <v>2679</v>
      </c>
      <c r="G711"/>
      <c r="H711"/>
      <c r="I711" t="s">
        <v>4613</v>
      </c>
      <c r="J711" t="s">
        <v>4614</v>
      </c>
      <c r="K711" t="s">
        <v>743</v>
      </c>
      <c r="L711"/>
      <c r="M711"/>
      <c r="N711"/>
      <c r="O711" t="s">
        <v>4615</v>
      </c>
      <c r="P711" t="s">
        <v>4616</v>
      </c>
      <c r="Q711" t="s">
        <v>4617</v>
      </c>
      <c r="R711" t="s">
        <v>4618</v>
      </c>
      <c r="S711"/>
      <c r="T711"/>
      <c r="U711"/>
      <c r="V711"/>
      <c r="W711"/>
      <c r="X711"/>
      <c r="Y711"/>
      <c r="Z711"/>
      <c r="AA711" t="s">
        <v>1694</v>
      </c>
      <c r="AB711" t="s">
        <v>1695</v>
      </c>
      <c r="AC711"/>
      <c r="AD711"/>
      <c r="AE711"/>
      <c r="AF711"/>
      <c r="AG711"/>
      <c r="AH711"/>
      <c r="AI711"/>
      <c r="AJ711"/>
      <c r="AK711"/>
      <c r="AL711"/>
      <c r="AM711"/>
      <c r="AN711"/>
      <c r="AO711" t="s">
        <v>748</v>
      </c>
      <c r="AP711"/>
      <c r="AQ711" t="s">
        <v>4619</v>
      </c>
      <c r="AR711"/>
      <c r="AS711"/>
      <c r="AT711"/>
      <c r="AU711">
        <v>2017</v>
      </c>
      <c r="AV711"/>
      <c r="AW711"/>
      <c r="AX711"/>
      <c r="AY711"/>
      <c r="AZ711"/>
      <c r="BA711"/>
      <c r="BB711"/>
      <c r="BC711"/>
      <c r="BD711"/>
      <c r="BE711"/>
      <c r="BF711"/>
      <c r="BG711"/>
      <c r="BH711"/>
      <c r="BI711"/>
      <c r="BJ711"/>
      <c r="BK711"/>
      <c r="BL711"/>
      <c r="BM711"/>
      <c r="BN711"/>
      <c r="BO711"/>
      <c r="BP711"/>
      <c r="BQ711"/>
      <c r="BR711"/>
      <c r="BS711" t="s">
        <v>4620</v>
      </c>
      <c r="BT711" t="str">
        <f>HYPERLINK("https%3A%2F%2Fwww.webofscience.com%2Fwos%2Fwoscc%2Ffull-record%2FWOS:000426785900169","View Full Record in Web of Science")</f>
        <v>View Full Record in Web of Science</v>
      </c>
    </row>
    <row r="712" spans="1:75" customHeight="1" ht="12.75">
      <c r="A712" t="s">
        <v>147</v>
      </c>
      <c r="B712" t="s">
        <v>4621</v>
      </c>
      <c r="C712"/>
      <c r="D712"/>
      <c r="E712" t="s">
        <v>175</v>
      </c>
      <c r="F712" t="s">
        <v>4622</v>
      </c>
      <c r="G712"/>
      <c r="H712"/>
      <c r="I712" t="s">
        <v>4623</v>
      </c>
      <c r="J712" t="s">
        <v>2405</v>
      </c>
      <c r="K712" t="s">
        <v>1469</v>
      </c>
      <c r="L712"/>
      <c r="M712"/>
      <c r="N712"/>
      <c r="O712" t="s">
        <v>1619</v>
      </c>
      <c r="P712" t="s">
        <v>2406</v>
      </c>
      <c r="Q712" t="s">
        <v>1542</v>
      </c>
      <c r="R712" t="s">
        <v>2407</v>
      </c>
      <c r="S712"/>
      <c r="T712"/>
      <c r="U712"/>
      <c r="V712"/>
      <c r="W712"/>
      <c r="X712"/>
      <c r="Y712"/>
      <c r="Z712"/>
      <c r="AA712"/>
      <c r="AB712"/>
      <c r="AC712"/>
      <c r="AD712"/>
      <c r="AE712"/>
      <c r="AF712"/>
      <c r="AG712"/>
      <c r="AH712"/>
      <c r="AI712"/>
      <c r="AJ712"/>
      <c r="AK712"/>
      <c r="AL712"/>
      <c r="AM712"/>
      <c r="AN712"/>
      <c r="AO712" t="s">
        <v>1472</v>
      </c>
      <c r="AP712"/>
      <c r="AQ712"/>
      <c r="AR712"/>
      <c r="AS712"/>
      <c r="AT712"/>
      <c r="AU712">
        <v>2017</v>
      </c>
      <c r="AV712">
        <v>262</v>
      </c>
      <c r="AW712"/>
      <c r="AX712"/>
      <c r="AY712"/>
      <c r="AZ712"/>
      <c r="BA712"/>
      <c r="BB712"/>
      <c r="BC712"/>
      <c r="BD712">
        <v>12052</v>
      </c>
      <c r="BE712" t="s">
        <v>4624</v>
      </c>
      <c r="BF712" t="str">
        <f>HYPERLINK("http://dx.doi.org/10.1088/1757-899X/262/1/012052","http://dx.doi.org/10.1088/1757-899X/262/1/012052")</f>
        <v>http://dx.doi.org/10.1088/1757-899X/262/1/012052</v>
      </c>
      <c r="BG712"/>
      <c r="BH712"/>
      <c r="BI712"/>
      <c r="BJ712"/>
      <c r="BK712"/>
      <c r="BL712"/>
      <c r="BM712"/>
      <c r="BN712"/>
      <c r="BO712"/>
      <c r="BP712"/>
      <c r="BQ712"/>
      <c r="BR712"/>
      <c r="BS712" t="s">
        <v>4625</v>
      </c>
      <c r="BT712" t="str">
        <f>HYPERLINK("https%3A%2F%2Fwww.webofscience.com%2Fwos%2Fwoscc%2Ffull-record%2FWOS:000423728200052","View Full Record in Web of Science")</f>
        <v>View Full Record in Web of Science</v>
      </c>
    </row>
    <row r="713" spans="1:75" customHeight="1" ht="12.75">
      <c r="A713" t="s">
        <v>72</v>
      </c>
      <c r="B713" t="s">
        <v>2218</v>
      </c>
      <c r="C713"/>
      <c r="D713"/>
      <c r="E713"/>
      <c r="F713" t="s">
        <v>4626</v>
      </c>
      <c r="G713"/>
      <c r="H713"/>
      <c r="I713" t="s">
        <v>4627</v>
      </c>
      <c r="J713" t="s">
        <v>244</v>
      </c>
      <c r="K713"/>
      <c r="L713"/>
      <c r="M713"/>
      <c r="N713"/>
      <c r="O713"/>
      <c r="P713"/>
      <c r="Q713"/>
      <c r="R713"/>
      <c r="S713"/>
      <c r="T713"/>
      <c r="U713"/>
      <c r="V713"/>
      <c r="W713"/>
      <c r="X713"/>
      <c r="Y713"/>
      <c r="Z713"/>
      <c r="AA713" t="s">
        <v>2317</v>
      </c>
      <c r="AB713" t="s">
        <v>4628</v>
      </c>
      <c r="AC713"/>
      <c r="AD713"/>
      <c r="AE713"/>
      <c r="AF713"/>
      <c r="AG713"/>
      <c r="AH713"/>
      <c r="AI713"/>
      <c r="AJ713"/>
      <c r="AK713"/>
      <c r="AL713"/>
      <c r="AM713"/>
      <c r="AN713"/>
      <c r="AO713" t="s">
        <v>245</v>
      </c>
      <c r="AP713" t="s">
        <v>246</v>
      </c>
      <c r="AQ713"/>
      <c r="AR713"/>
      <c r="AS713"/>
      <c r="AT713"/>
      <c r="AU713">
        <v>2017</v>
      </c>
      <c r="AV713"/>
      <c r="AW713">
        <v>11</v>
      </c>
      <c r="AX713"/>
      <c r="AY713"/>
      <c r="AZ713"/>
      <c r="BA713"/>
      <c r="BB713">
        <v>151</v>
      </c>
      <c r="BC713">
        <v>155</v>
      </c>
      <c r="BD713"/>
      <c r="BE713"/>
      <c r="BF713"/>
      <c r="BG713"/>
      <c r="BH713"/>
      <c r="BI713"/>
      <c r="BJ713"/>
      <c r="BK713"/>
      <c r="BL713"/>
      <c r="BM713"/>
      <c r="BN713"/>
      <c r="BO713"/>
      <c r="BP713"/>
      <c r="BQ713"/>
      <c r="BR713"/>
      <c r="BS713" t="s">
        <v>4629</v>
      </c>
      <c r="BT713" t="str">
        <f>HYPERLINK("https%3A%2F%2Fwww.webofscience.com%2Fwos%2Fwoscc%2Ffull-record%2FWOS:000430880200012","View Full Record in Web of Science")</f>
        <v>View Full Record in Web of Science</v>
      </c>
    </row>
    <row r="714" spans="1:75" customHeight="1" ht="12.75">
      <c r="A714" t="s">
        <v>72</v>
      </c>
      <c r="B714" t="s">
        <v>279</v>
      </c>
      <c r="C714"/>
      <c r="D714"/>
      <c r="E714"/>
      <c r="F714" t="s">
        <v>3843</v>
      </c>
      <c r="G714"/>
      <c r="H714"/>
      <c r="I714" t="s">
        <v>4630</v>
      </c>
      <c r="J714" t="s">
        <v>244</v>
      </c>
      <c r="K714"/>
      <c r="L714"/>
      <c r="M714"/>
      <c r="N714"/>
      <c r="O714"/>
      <c r="P714"/>
      <c r="Q714"/>
      <c r="R714"/>
      <c r="S714"/>
      <c r="T714"/>
      <c r="U714"/>
      <c r="V714"/>
      <c r="W714"/>
      <c r="X714"/>
      <c r="Y714"/>
      <c r="Z714"/>
      <c r="AA714"/>
      <c r="AB714"/>
      <c r="AC714"/>
      <c r="AD714"/>
      <c r="AE714"/>
      <c r="AF714"/>
      <c r="AG714"/>
      <c r="AH714"/>
      <c r="AI714"/>
      <c r="AJ714"/>
      <c r="AK714"/>
      <c r="AL714"/>
      <c r="AM714"/>
      <c r="AN714"/>
      <c r="AO714" t="s">
        <v>245</v>
      </c>
      <c r="AP714" t="s">
        <v>246</v>
      </c>
      <c r="AQ714"/>
      <c r="AR714"/>
      <c r="AS714"/>
      <c r="AT714"/>
      <c r="AU714">
        <v>2016</v>
      </c>
      <c r="AV714"/>
      <c r="AW714">
        <v>9</v>
      </c>
      <c r="AX714"/>
      <c r="AY714"/>
      <c r="AZ714"/>
      <c r="BA714"/>
      <c r="BB714">
        <v>46</v>
      </c>
      <c r="BC714">
        <v>59</v>
      </c>
      <c r="BD714"/>
      <c r="BE714"/>
      <c r="BF714"/>
      <c r="BG714"/>
      <c r="BH714"/>
      <c r="BI714"/>
      <c r="BJ714"/>
      <c r="BK714"/>
      <c r="BL714"/>
      <c r="BM714"/>
      <c r="BN714"/>
      <c r="BO714"/>
      <c r="BP714"/>
      <c r="BQ714"/>
      <c r="BR714"/>
      <c r="BS714" t="s">
        <v>4631</v>
      </c>
      <c r="BT714" t="str">
        <f>HYPERLINK("https%3A%2F%2Fwww.webofscience.com%2Fwos%2Fwoscc%2Ffull-record%2FWOS:000386421700003","View Full Record in Web of Science")</f>
        <v>View Full Record in Web of Science</v>
      </c>
    </row>
    <row r="715" spans="1:75" customHeight="1" ht="12.75">
      <c r="A715" t="s">
        <v>72</v>
      </c>
      <c r="B715" t="s">
        <v>4632</v>
      </c>
      <c r="C715"/>
      <c r="D715"/>
      <c r="E715"/>
      <c r="F715" t="s">
        <v>4633</v>
      </c>
      <c r="G715"/>
      <c r="H715"/>
      <c r="I715" t="s">
        <v>4634</v>
      </c>
      <c r="J715" t="s">
        <v>409</v>
      </c>
      <c r="K715"/>
      <c r="L715"/>
      <c r="M715"/>
      <c r="N715"/>
      <c r="O715"/>
      <c r="P715"/>
      <c r="Q715"/>
      <c r="R715"/>
      <c r="S715"/>
      <c r="T715"/>
      <c r="U715"/>
      <c r="V715"/>
      <c r="W715"/>
      <c r="X715"/>
      <c r="Y715"/>
      <c r="Z715"/>
      <c r="AA715" t="s">
        <v>480</v>
      </c>
      <c r="AB715" t="s">
        <v>481</v>
      </c>
      <c r="AC715"/>
      <c r="AD715"/>
      <c r="AE715"/>
      <c r="AF715"/>
      <c r="AG715"/>
      <c r="AH715"/>
      <c r="AI715"/>
      <c r="AJ715"/>
      <c r="AK715"/>
      <c r="AL715"/>
      <c r="AM715"/>
      <c r="AN715"/>
      <c r="AO715" t="s">
        <v>412</v>
      </c>
      <c r="AP715"/>
      <c r="AQ715"/>
      <c r="AR715"/>
      <c r="AS715"/>
      <c r="AT715" t="s">
        <v>198</v>
      </c>
      <c r="AU715">
        <v>2012</v>
      </c>
      <c r="AV715">
        <v>85</v>
      </c>
      <c r="AW715">
        <v>4</v>
      </c>
      <c r="AX715"/>
      <c r="AY715"/>
      <c r="AZ715"/>
      <c r="BA715"/>
      <c r="BB715">
        <v>616</v>
      </c>
      <c r="BC715">
        <v>620</v>
      </c>
      <c r="BD715"/>
      <c r="BE715" t="s">
        <v>4635</v>
      </c>
      <c r="BF715" t="str">
        <f>HYPERLINK("http://dx.doi.org/10.1134/S1070427212040143","http://dx.doi.org/10.1134/S1070427212040143")</f>
        <v>http://dx.doi.org/10.1134/S1070427212040143</v>
      </c>
      <c r="BG715"/>
      <c r="BH715"/>
      <c r="BI715"/>
      <c r="BJ715"/>
      <c r="BK715"/>
      <c r="BL715"/>
      <c r="BM715"/>
      <c r="BN715"/>
      <c r="BO715"/>
      <c r="BP715"/>
      <c r="BQ715"/>
      <c r="BR715"/>
      <c r="BS715" t="s">
        <v>4636</v>
      </c>
      <c r="BT715" t="str">
        <f>HYPERLINK("https%3A%2F%2Fwww.webofscience.com%2Fwos%2Fwoscc%2Ffull-record%2FWOS:000304155200014","View Full Record in Web of Science")</f>
        <v>View Full Record in Web of Science</v>
      </c>
    </row>
    <row r="716" spans="1:75" customHeight="1" ht="12.75">
      <c r="A716" t="s">
        <v>72</v>
      </c>
      <c r="B716" t="s">
        <v>4637</v>
      </c>
      <c r="C716"/>
      <c r="D716"/>
      <c r="E716"/>
      <c r="F716" t="s">
        <v>4638</v>
      </c>
      <c r="G716"/>
      <c r="H716"/>
      <c r="I716" t="s">
        <v>4639</v>
      </c>
      <c r="J716" t="s">
        <v>1905</v>
      </c>
      <c r="K716"/>
      <c r="L716"/>
      <c r="M716"/>
      <c r="N716"/>
      <c r="O716"/>
      <c r="P716"/>
      <c r="Q716"/>
      <c r="R716"/>
      <c r="S716"/>
      <c r="T716"/>
      <c r="U716"/>
      <c r="V716"/>
      <c r="W716"/>
      <c r="X716"/>
      <c r="Y716"/>
      <c r="Z716"/>
      <c r="AA716"/>
      <c r="AB716" t="s">
        <v>2399</v>
      </c>
      <c r="AC716"/>
      <c r="AD716"/>
      <c r="AE716"/>
      <c r="AF716"/>
      <c r="AG716"/>
      <c r="AH716"/>
      <c r="AI716"/>
      <c r="AJ716"/>
      <c r="AK716"/>
      <c r="AL716"/>
      <c r="AM716"/>
      <c r="AN716"/>
      <c r="AO716" t="s">
        <v>1906</v>
      </c>
      <c r="AP716" t="s">
        <v>1912</v>
      </c>
      <c r="AQ716"/>
      <c r="AR716"/>
      <c r="AS716"/>
      <c r="AT716" t="s">
        <v>491</v>
      </c>
      <c r="AU716">
        <v>2009</v>
      </c>
      <c r="AV716">
        <v>35</v>
      </c>
      <c r="AW716">
        <v>3</v>
      </c>
      <c r="AX716"/>
      <c r="AY716"/>
      <c r="AZ716"/>
      <c r="BA716"/>
      <c r="BB716">
        <v>346</v>
      </c>
      <c r="BC716">
        <v>354</v>
      </c>
      <c r="BD716"/>
      <c r="BE716" t="s">
        <v>4640</v>
      </c>
      <c r="BF716" t="str">
        <f>HYPERLINK("http://dx.doi.org/10.1134/S108765960903016X","http://dx.doi.org/10.1134/S108765960903016X")</f>
        <v>http://dx.doi.org/10.1134/S108765960903016X</v>
      </c>
      <c r="BG716"/>
      <c r="BH716"/>
      <c r="BI716"/>
      <c r="BJ716"/>
      <c r="BK716"/>
      <c r="BL716"/>
      <c r="BM716"/>
      <c r="BN716"/>
      <c r="BO716"/>
      <c r="BP716"/>
      <c r="BQ716"/>
      <c r="BR716"/>
      <c r="BS716" t="s">
        <v>4641</v>
      </c>
      <c r="BT716" t="str">
        <f>HYPERLINK("https%3A%2F%2Fwww.webofscience.com%2Fwos%2Fwoscc%2Ffull-record%2FWOS:000267486100016","View Full Record in Web of Science")</f>
        <v>View Full Record in Web of Science</v>
      </c>
    </row>
    <row r="717" spans="1:75" customHeight="1" ht="12.75">
      <c r="A717" t="s">
        <v>72</v>
      </c>
      <c r="B717" t="s">
        <v>4642</v>
      </c>
      <c r="C717"/>
      <c r="D717"/>
      <c r="E717"/>
      <c r="F717" t="s">
        <v>4643</v>
      </c>
      <c r="G717"/>
      <c r="H717"/>
      <c r="I717" t="s">
        <v>4644</v>
      </c>
      <c r="J717" t="s">
        <v>4382</v>
      </c>
      <c r="K717"/>
      <c r="L717"/>
      <c r="M717"/>
      <c r="N717"/>
      <c r="O717"/>
      <c r="P717"/>
      <c r="Q717"/>
      <c r="R717"/>
      <c r="S717"/>
      <c r="T717"/>
      <c r="U717"/>
      <c r="V717"/>
      <c r="W717"/>
      <c r="X717"/>
      <c r="Y717"/>
      <c r="Z717"/>
      <c r="AA717"/>
      <c r="AB717"/>
      <c r="AC717"/>
      <c r="AD717"/>
      <c r="AE717"/>
      <c r="AF717"/>
      <c r="AG717"/>
      <c r="AH717"/>
      <c r="AI717"/>
      <c r="AJ717"/>
      <c r="AK717"/>
      <c r="AL717"/>
      <c r="AM717"/>
      <c r="AN717"/>
      <c r="AO717" t="s">
        <v>4383</v>
      </c>
      <c r="AP717" t="s">
        <v>4384</v>
      </c>
      <c r="AQ717"/>
      <c r="AR717"/>
      <c r="AS717"/>
      <c r="AT717" t="s">
        <v>125</v>
      </c>
      <c r="AU717">
        <v>2008</v>
      </c>
      <c r="AV717">
        <v>1</v>
      </c>
      <c r="AW717">
        <v>3</v>
      </c>
      <c r="AX717"/>
      <c r="AY717"/>
      <c r="AZ717"/>
      <c r="BA717"/>
      <c r="BB717">
        <v>287</v>
      </c>
      <c r="BC717">
        <v>295</v>
      </c>
      <c r="BD717"/>
      <c r="BE717" t="s">
        <v>4645</v>
      </c>
      <c r="BF717" t="str">
        <f>HYPERLINK("http://dx.doi.org/10.1134/S1995082908030139","http://dx.doi.org/10.1134/S1995082908030139")</f>
        <v>http://dx.doi.org/10.1134/S1995082908030139</v>
      </c>
      <c r="BG717"/>
      <c r="BH717"/>
      <c r="BI717"/>
      <c r="BJ717"/>
      <c r="BK717"/>
      <c r="BL717"/>
      <c r="BM717"/>
      <c r="BN717"/>
      <c r="BO717"/>
      <c r="BP717"/>
      <c r="BQ717"/>
      <c r="BR717"/>
      <c r="BS717" t="s">
        <v>4646</v>
      </c>
      <c r="BT717" t="str">
        <f>HYPERLINK("https%3A%2F%2Fwww.webofscience.com%2Fwos%2Fwoscc%2Ffull-record%2FWOS:000259462900013","View Full Record in Web of Science")</f>
        <v>View Full Record in Web of Science</v>
      </c>
    </row>
    <row r="718" spans="1:75" customHeight="1" ht="12.75">
      <c r="A718" t="s">
        <v>72</v>
      </c>
      <c r="B718" t="s">
        <v>4647</v>
      </c>
      <c r="C718"/>
      <c r="D718"/>
      <c r="E718"/>
      <c r="F718" t="s">
        <v>4648</v>
      </c>
      <c r="G718"/>
      <c r="H718"/>
      <c r="I718" t="s">
        <v>4649</v>
      </c>
      <c r="J718" t="s">
        <v>304</v>
      </c>
      <c r="K718"/>
      <c r="L718"/>
      <c r="M718"/>
      <c r="N718"/>
      <c r="O718"/>
      <c r="P718"/>
      <c r="Q718"/>
      <c r="R718"/>
      <c r="S718"/>
      <c r="T718"/>
      <c r="U718"/>
      <c r="V718"/>
      <c r="W718"/>
      <c r="X718"/>
      <c r="Y718"/>
      <c r="Z718"/>
      <c r="AA718" t="s">
        <v>608</v>
      </c>
      <c r="AB718" t="s">
        <v>609</v>
      </c>
      <c r="AC718"/>
      <c r="AD718"/>
      <c r="AE718"/>
      <c r="AF718"/>
      <c r="AG718"/>
      <c r="AH718"/>
      <c r="AI718"/>
      <c r="AJ718"/>
      <c r="AK718"/>
      <c r="AL718"/>
      <c r="AM718"/>
      <c r="AN718"/>
      <c r="AO718" t="s">
        <v>77</v>
      </c>
      <c r="AP718"/>
      <c r="AQ718"/>
      <c r="AR718"/>
      <c r="AS718"/>
      <c r="AT718" t="s">
        <v>2803</v>
      </c>
      <c r="AU718">
        <v>2007</v>
      </c>
      <c r="AV718"/>
      <c r="AW718">
        <v>2</v>
      </c>
      <c r="AX718"/>
      <c r="AY718"/>
      <c r="AZ718"/>
      <c r="BA718"/>
      <c r="BB718">
        <v>196</v>
      </c>
      <c r="BC718">
        <v>197</v>
      </c>
      <c r="BD718"/>
      <c r="BE718"/>
      <c r="BF718"/>
      <c r="BG718"/>
      <c r="BH718"/>
      <c r="BI718"/>
      <c r="BJ718"/>
      <c r="BK718"/>
      <c r="BL718"/>
      <c r="BM718"/>
      <c r="BN718"/>
      <c r="BO718"/>
      <c r="BP718"/>
      <c r="BQ718"/>
      <c r="BR718"/>
      <c r="BS718" t="s">
        <v>4650</v>
      </c>
      <c r="BT718" t="str">
        <f>HYPERLINK("https%3A%2F%2Fwww.webofscience.com%2Fwos%2Fwoscc%2Ffull-record%2FWOS:000245904600016","View Full Record in Web of Science")</f>
        <v>View Full Record in Web of Science</v>
      </c>
    </row>
    <row r="719" spans="1:75" customHeight="1" ht="12.75">
      <c r="A719" t="s">
        <v>72</v>
      </c>
      <c r="B719" t="s">
        <v>4651</v>
      </c>
      <c r="C719"/>
      <c r="D719"/>
      <c r="E719"/>
      <c r="F719" t="s">
        <v>4652</v>
      </c>
      <c r="G719"/>
      <c r="H719"/>
      <c r="I719" t="s">
        <v>4653</v>
      </c>
      <c r="J719" t="s">
        <v>2004</v>
      </c>
      <c r="K719"/>
      <c r="L719"/>
      <c r="M719"/>
      <c r="N719"/>
      <c r="O719"/>
      <c r="P719"/>
      <c r="Q719"/>
      <c r="R719"/>
      <c r="S719"/>
      <c r="T719"/>
      <c r="U719"/>
      <c r="V719"/>
      <c r="W719"/>
      <c r="X719"/>
      <c r="Y719"/>
      <c r="Z719"/>
      <c r="AA719" t="s">
        <v>2005</v>
      </c>
      <c r="AB719" t="s">
        <v>2006</v>
      </c>
      <c r="AC719"/>
      <c r="AD719"/>
      <c r="AE719"/>
      <c r="AF719"/>
      <c r="AG719"/>
      <c r="AH719"/>
      <c r="AI719"/>
      <c r="AJ719"/>
      <c r="AK719"/>
      <c r="AL719"/>
      <c r="AM719"/>
      <c r="AN719"/>
      <c r="AO719" t="s">
        <v>2007</v>
      </c>
      <c r="AP719" t="s">
        <v>2008</v>
      </c>
      <c r="AQ719"/>
      <c r="AR719"/>
      <c r="AS719"/>
      <c r="AT719" t="s">
        <v>403</v>
      </c>
      <c r="AU719">
        <v>2014</v>
      </c>
      <c r="AV719">
        <v>54</v>
      </c>
      <c r="AW719">
        <v>8</v>
      </c>
      <c r="AX719"/>
      <c r="AY719"/>
      <c r="AZ719"/>
      <c r="BA719"/>
      <c r="BB719">
        <v>625</v>
      </c>
      <c r="BC719">
        <v>630</v>
      </c>
      <c r="BD719"/>
      <c r="BE719" t="s">
        <v>4654</v>
      </c>
      <c r="BF719" t="str">
        <f>HYPERLINK("http://dx.doi.org/10.1134/S0965544114080040","http://dx.doi.org/10.1134/S0965544114080040")</f>
        <v>http://dx.doi.org/10.1134/S0965544114080040</v>
      </c>
      <c r="BG719"/>
      <c r="BH719"/>
      <c r="BI719"/>
      <c r="BJ719"/>
      <c r="BK719"/>
      <c r="BL719"/>
      <c r="BM719"/>
      <c r="BN719"/>
      <c r="BO719"/>
      <c r="BP719"/>
      <c r="BQ719"/>
      <c r="BR719"/>
      <c r="BS719" t="s">
        <v>4655</v>
      </c>
      <c r="BT719" t="str">
        <f>HYPERLINK("https%3A%2F%2Fwww.webofscience.com%2Fwos%2Fwoscc%2Ffull-record%2FWOS:000347556300007","View Full Record in Web of Science")</f>
        <v>View Full Record in Web of Science</v>
      </c>
    </row>
    <row r="720" spans="1:75" customHeight="1" ht="12.75">
      <c r="A720" t="s">
        <v>72</v>
      </c>
      <c r="B720" t="s">
        <v>4656</v>
      </c>
      <c r="C720"/>
      <c r="D720"/>
      <c r="E720"/>
      <c r="F720" t="s">
        <v>4657</v>
      </c>
      <c r="G720"/>
      <c r="H720"/>
      <c r="I720" t="s">
        <v>4658</v>
      </c>
      <c r="J720" t="s">
        <v>716</v>
      </c>
      <c r="K720"/>
      <c r="L720"/>
      <c r="M720"/>
      <c r="N720"/>
      <c r="O720"/>
      <c r="P720"/>
      <c r="Q720"/>
      <c r="R720"/>
      <c r="S720"/>
      <c r="T720"/>
      <c r="U720"/>
      <c r="V720"/>
      <c r="W720"/>
      <c r="X720"/>
      <c r="Y720"/>
      <c r="Z720"/>
      <c r="AA720"/>
      <c r="AB720"/>
      <c r="AC720"/>
      <c r="AD720"/>
      <c r="AE720"/>
      <c r="AF720"/>
      <c r="AG720"/>
      <c r="AH720"/>
      <c r="AI720"/>
      <c r="AJ720"/>
      <c r="AK720"/>
      <c r="AL720"/>
      <c r="AM720"/>
      <c r="AN720"/>
      <c r="AO720" t="s">
        <v>719</v>
      </c>
      <c r="AP720" t="s">
        <v>720</v>
      </c>
      <c r="AQ720"/>
      <c r="AR720"/>
      <c r="AS720"/>
      <c r="AT720" t="s">
        <v>319</v>
      </c>
      <c r="AU720">
        <v>2022</v>
      </c>
      <c r="AV720"/>
      <c r="AW720">
        <v>484</v>
      </c>
      <c r="AX720"/>
      <c r="AY720"/>
      <c r="AZ720"/>
      <c r="BA720"/>
      <c r="BB720">
        <v>157</v>
      </c>
      <c r="BC720">
        <v>167</v>
      </c>
      <c r="BD720"/>
      <c r="BE720" t="s">
        <v>4659</v>
      </c>
      <c r="BF720" t="str">
        <f>HYPERLINK("http://dx.doi.org/10.17223/15617793/484/18","http://dx.doi.org/10.17223/15617793/484/18")</f>
        <v>http://dx.doi.org/10.17223/15617793/484/18</v>
      </c>
      <c r="BG720"/>
      <c r="BH720"/>
      <c r="BI720"/>
      <c r="BJ720"/>
      <c r="BK720"/>
      <c r="BL720"/>
      <c r="BM720"/>
      <c r="BN720"/>
      <c r="BO720"/>
      <c r="BP720"/>
      <c r="BQ720"/>
      <c r="BR720"/>
      <c r="BS720" t="s">
        <v>4660</v>
      </c>
      <c r="BT720" t="str">
        <f>HYPERLINK("https%3A%2F%2Fwww.webofscience.com%2Fwos%2Fwoscc%2Ffull-record%2FWOS:000952852900018","View Full Record in Web of Science")</f>
        <v>View Full Record in Web of Science</v>
      </c>
    </row>
    <row r="721" spans="1:75" customHeight="1" ht="12.75">
      <c r="A721" t="s">
        <v>72</v>
      </c>
      <c r="B721" t="s">
        <v>2877</v>
      </c>
      <c r="C721"/>
      <c r="D721"/>
      <c r="E721"/>
      <c r="F721" t="s">
        <v>2878</v>
      </c>
      <c r="G721"/>
      <c r="H721"/>
      <c r="I721" t="s">
        <v>4661</v>
      </c>
      <c r="J721" t="s">
        <v>2880</v>
      </c>
      <c r="K721"/>
      <c r="L721"/>
      <c r="M721"/>
      <c r="N721"/>
      <c r="O721"/>
      <c r="P721"/>
      <c r="Q721"/>
      <c r="R721"/>
      <c r="S721"/>
      <c r="T721"/>
      <c r="U721"/>
      <c r="V721"/>
      <c r="W721"/>
      <c r="X721"/>
      <c r="Y721"/>
      <c r="Z721"/>
      <c r="AA721"/>
      <c r="AB721"/>
      <c r="AC721"/>
      <c r="AD721"/>
      <c r="AE721"/>
      <c r="AF721"/>
      <c r="AG721"/>
      <c r="AH721"/>
      <c r="AI721"/>
      <c r="AJ721"/>
      <c r="AK721"/>
      <c r="AL721"/>
      <c r="AM721"/>
      <c r="AN721"/>
      <c r="AO721" t="s">
        <v>2881</v>
      </c>
      <c r="AP721" t="s">
        <v>2882</v>
      </c>
      <c r="AQ721"/>
      <c r="AR721"/>
      <c r="AS721"/>
      <c r="AT721" t="s">
        <v>171</v>
      </c>
      <c r="AU721">
        <v>2020</v>
      </c>
      <c r="AV721">
        <v>53</v>
      </c>
      <c r="AW721">
        <v>6</v>
      </c>
      <c r="AX721"/>
      <c r="AY721"/>
      <c r="AZ721"/>
      <c r="BA721"/>
      <c r="BB721">
        <v>380</v>
      </c>
      <c r="BC721">
        <v>382</v>
      </c>
      <c r="BD721"/>
      <c r="BE721" t="s">
        <v>4662</v>
      </c>
      <c r="BF721" t="str">
        <f>HYPERLINK("http://dx.doi.org/10.1007/s10527-020-09947-9","http://dx.doi.org/10.1007/s10527-020-09947-9")</f>
        <v>http://dx.doi.org/10.1007/s10527-020-09947-9</v>
      </c>
      <c r="BG721"/>
      <c r="BH721"/>
      <c r="BI721"/>
      <c r="BJ721"/>
      <c r="BK721"/>
      <c r="BL721"/>
      <c r="BM721"/>
      <c r="BN721"/>
      <c r="BO721"/>
      <c r="BP721"/>
      <c r="BQ721"/>
      <c r="BR721"/>
      <c r="BS721" t="s">
        <v>4663</v>
      </c>
      <c r="BT721" t="str">
        <f>HYPERLINK("https%3A%2F%2Fwww.webofscience.com%2Fwos%2Fwoscc%2Ffull-record%2FWOS:000748254500002","View Full Record in Web of Science")</f>
        <v>View Full Record in Web of Science</v>
      </c>
    </row>
    <row r="722" spans="1:75" customHeight="1" ht="12.75">
      <c r="A722" t="s">
        <v>72</v>
      </c>
      <c r="B722" t="s">
        <v>4664</v>
      </c>
      <c r="C722"/>
      <c r="D722"/>
      <c r="E722"/>
      <c r="F722" t="s">
        <v>4665</v>
      </c>
      <c r="G722"/>
      <c r="H722"/>
      <c r="I722" t="s">
        <v>4666</v>
      </c>
      <c r="J722" t="s">
        <v>131</v>
      </c>
      <c r="K722"/>
      <c r="L722"/>
      <c r="M722"/>
      <c r="N722"/>
      <c r="O722"/>
      <c r="P722"/>
      <c r="Q722"/>
      <c r="R722"/>
      <c r="S722"/>
      <c r="T722"/>
      <c r="U722"/>
      <c r="V722"/>
      <c r="W722"/>
      <c r="X722"/>
      <c r="Y722"/>
      <c r="Z722"/>
      <c r="AA722" t="s">
        <v>4667</v>
      </c>
      <c r="AB722" t="s">
        <v>4668</v>
      </c>
      <c r="AC722"/>
      <c r="AD722"/>
      <c r="AE722"/>
      <c r="AF722"/>
      <c r="AG722"/>
      <c r="AH722"/>
      <c r="AI722"/>
      <c r="AJ722"/>
      <c r="AK722"/>
      <c r="AL722"/>
      <c r="AM722"/>
      <c r="AN722"/>
      <c r="AO722" t="s">
        <v>134</v>
      </c>
      <c r="AP722" t="s">
        <v>135</v>
      </c>
      <c r="AQ722"/>
      <c r="AR722"/>
      <c r="AS722"/>
      <c r="AT722"/>
      <c r="AU722">
        <v>2018</v>
      </c>
      <c r="AV722">
        <v>18</v>
      </c>
      <c r="AW722">
        <v>3</v>
      </c>
      <c r="AX722"/>
      <c r="AY722"/>
      <c r="AZ722"/>
      <c r="BA722"/>
      <c r="BB722">
        <v>144</v>
      </c>
      <c r="BC722">
        <v>154</v>
      </c>
      <c r="BD722"/>
      <c r="BE722" t="s">
        <v>4669</v>
      </c>
      <c r="BF722" t="str">
        <f>HYPERLINK("http://dx.doi.org/10.14529/hsm180314","http://dx.doi.org/10.14529/hsm180314")</f>
        <v>http://dx.doi.org/10.14529/hsm180314</v>
      </c>
      <c r="BG722"/>
      <c r="BH722"/>
      <c r="BI722"/>
      <c r="BJ722"/>
      <c r="BK722"/>
      <c r="BL722"/>
      <c r="BM722"/>
      <c r="BN722"/>
      <c r="BO722"/>
      <c r="BP722"/>
      <c r="BQ722"/>
      <c r="BR722"/>
      <c r="BS722" t="s">
        <v>4670</v>
      </c>
      <c r="BT722" t="str">
        <f>HYPERLINK("https%3A%2F%2Fwww.webofscience.com%2Fwos%2Fwoscc%2Ffull-record%2FWOS:000454315400002","View Full Record in Web of Science")</f>
        <v>View Full Record in Web of Science</v>
      </c>
    </row>
    <row r="723" spans="1:75" customHeight="1" ht="12.75">
      <c r="A723" t="s">
        <v>72</v>
      </c>
      <c r="B723" t="s">
        <v>4671</v>
      </c>
      <c r="C723"/>
      <c r="D723"/>
      <c r="E723"/>
      <c r="F723" t="s">
        <v>4672</v>
      </c>
      <c r="G723"/>
      <c r="H723"/>
      <c r="I723" t="s">
        <v>4673</v>
      </c>
      <c r="J723" t="s">
        <v>244</v>
      </c>
      <c r="K723"/>
      <c r="L723"/>
      <c r="M723"/>
      <c r="N723"/>
      <c r="O723"/>
      <c r="P723"/>
      <c r="Q723"/>
      <c r="R723"/>
      <c r="S723"/>
      <c r="T723"/>
      <c r="U723"/>
      <c r="V723"/>
      <c r="W723"/>
      <c r="X723"/>
      <c r="Y723"/>
      <c r="Z723"/>
      <c r="AA723" t="s">
        <v>1460</v>
      </c>
      <c r="AB723" t="s">
        <v>1461</v>
      </c>
      <c r="AC723"/>
      <c r="AD723"/>
      <c r="AE723"/>
      <c r="AF723"/>
      <c r="AG723"/>
      <c r="AH723"/>
      <c r="AI723"/>
      <c r="AJ723"/>
      <c r="AK723"/>
      <c r="AL723"/>
      <c r="AM723"/>
      <c r="AN723"/>
      <c r="AO723" t="s">
        <v>245</v>
      </c>
      <c r="AP723" t="s">
        <v>246</v>
      </c>
      <c r="AQ723"/>
      <c r="AR723"/>
      <c r="AS723"/>
      <c r="AT723"/>
      <c r="AU723">
        <v>2021</v>
      </c>
      <c r="AV723">
        <v>8</v>
      </c>
      <c r="AW723">
        <v>1</v>
      </c>
      <c r="AX723"/>
      <c r="AY723"/>
      <c r="AZ723"/>
      <c r="BA723"/>
      <c r="BB723">
        <v>244</v>
      </c>
      <c r="BC723">
        <v>250</v>
      </c>
      <c r="BD723"/>
      <c r="BE723" t="s">
        <v>4674</v>
      </c>
      <c r="BF723" t="str">
        <f>HYPERLINK("http://dx.doi.org/10.31166/VoprosyIstorii202108Statyi20","http://dx.doi.org/10.31166/VoprosyIstorii202108Statyi20")</f>
        <v>http://dx.doi.org/10.31166/VoprosyIstorii202108Statyi20</v>
      </c>
      <c r="BG723"/>
      <c r="BH723"/>
      <c r="BI723"/>
      <c r="BJ723"/>
      <c r="BK723"/>
      <c r="BL723"/>
      <c r="BM723"/>
      <c r="BN723"/>
      <c r="BO723"/>
      <c r="BP723"/>
      <c r="BQ723"/>
      <c r="BR723"/>
      <c r="BS723" t="s">
        <v>4675</v>
      </c>
      <c r="BT723" t="str">
        <f>HYPERLINK("https%3A%2F%2Fwww.webofscience.com%2Fwos%2Fwoscc%2Ffull-record%2FWOS:000729816800022","View Full Record in Web of Science")</f>
        <v>View Full Record in Web of Science</v>
      </c>
    </row>
    <row r="724" spans="1:75" customHeight="1" ht="12.75">
      <c r="A724" t="s">
        <v>72</v>
      </c>
      <c r="B724" t="s">
        <v>4676</v>
      </c>
      <c r="C724"/>
      <c r="D724"/>
      <c r="E724"/>
      <c r="F724" t="s">
        <v>4676</v>
      </c>
      <c r="G724"/>
      <c r="H724"/>
      <c r="I724" t="s">
        <v>4677</v>
      </c>
      <c r="J724" t="s">
        <v>971</v>
      </c>
      <c r="K724"/>
      <c r="L724"/>
      <c r="M724"/>
      <c r="N724"/>
      <c r="O724"/>
      <c r="P724"/>
      <c r="Q724"/>
      <c r="R724"/>
      <c r="S724"/>
      <c r="T724"/>
      <c r="U724"/>
      <c r="V724"/>
      <c r="W724"/>
      <c r="X724"/>
      <c r="Y724"/>
      <c r="Z724"/>
      <c r="AA724"/>
      <c r="AB724"/>
      <c r="AC724"/>
      <c r="AD724"/>
      <c r="AE724"/>
      <c r="AF724"/>
      <c r="AG724"/>
      <c r="AH724"/>
      <c r="AI724"/>
      <c r="AJ724"/>
      <c r="AK724"/>
      <c r="AL724"/>
      <c r="AM724"/>
      <c r="AN724"/>
      <c r="AO724" t="s">
        <v>973</v>
      </c>
      <c r="AP724" t="s">
        <v>974</v>
      </c>
      <c r="AQ724"/>
      <c r="AR724"/>
      <c r="AS724"/>
      <c r="AT724" t="s">
        <v>78</v>
      </c>
      <c r="AU724">
        <v>2004</v>
      </c>
      <c r="AV724">
        <v>40</v>
      </c>
      <c r="AW724">
        <v>3</v>
      </c>
      <c r="AX724"/>
      <c r="AY724"/>
      <c r="AZ724"/>
      <c r="BA724"/>
      <c r="BB724">
        <v>266</v>
      </c>
      <c r="BC724">
        <v>271</v>
      </c>
      <c r="BD724"/>
      <c r="BE724" t="s">
        <v>4678</v>
      </c>
      <c r="BF724" t="str">
        <f>HYPERLINK("http://dx.doi.org/10.1023/B:ABIM.0000025950.07659.92","http://dx.doi.org/10.1023/B:ABIM.0000025950.07659.92")</f>
        <v>http://dx.doi.org/10.1023/B:ABIM.0000025950.07659.92</v>
      </c>
      <c r="BG724"/>
      <c r="BH724"/>
      <c r="BI724"/>
      <c r="BJ724"/>
      <c r="BK724"/>
      <c r="BL724"/>
      <c r="BM724"/>
      <c r="BN724"/>
      <c r="BO724"/>
      <c r="BP724"/>
      <c r="BQ724"/>
      <c r="BR724"/>
      <c r="BS724" t="s">
        <v>4679</v>
      </c>
      <c r="BT724" t="str">
        <f>HYPERLINK("https%3A%2F%2Fwww.webofscience.com%2Fwos%2Fwoscc%2Ffull-record%2FWOS:000221647800010","View Full Record in Web of Science")</f>
        <v>View Full Record in Web of Science</v>
      </c>
    </row>
    <row r="725" spans="1:75" customHeight="1" ht="12.75">
      <c r="A725" t="s">
        <v>72</v>
      </c>
      <c r="B725" t="s">
        <v>4680</v>
      </c>
      <c r="C725"/>
      <c r="D725"/>
      <c r="E725"/>
      <c r="F725" t="s">
        <v>4681</v>
      </c>
      <c r="G725"/>
      <c r="H725"/>
      <c r="I725" t="s">
        <v>4682</v>
      </c>
      <c r="J725" t="s">
        <v>3610</v>
      </c>
      <c r="K725"/>
      <c r="L725"/>
      <c r="M725"/>
      <c r="N725"/>
      <c r="O725"/>
      <c r="P725"/>
      <c r="Q725"/>
      <c r="R725"/>
      <c r="S725"/>
      <c r="T725"/>
      <c r="U725"/>
      <c r="V725"/>
      <c r="W725"/>
      <c r="X725"/>
      <c r="Y725"/>
      <c r="Z725"/>
      <c r="AA725"/>
      <c r="AB725"/>
      <c r="AC725"/>
      <c r="AD725"/>
      <c r="AE725"/>
      <c r="AF725"/>
      <c r="AG725"/>
      <c r="AH725"/>
      <c r="AI725"/>
      <c r="AJ725"/>
      <c r="AK725"/>
      <c r="AL725"/>
      <c r="AM725"/>
      <c r="AN725"/>
      <c r="AO725" t="s">
        <v>3613</v>
      </c>
      <c r="AP725" t="s">
        <v>4602</v>
      </c>
      <c r="AQ725"/>
      <c r="AR725"/>
      <c r="AS725"/>
      <c r="AT725" t="s">
        <v>88</v>
      </c>
      <c r="AU725">
        <v>2021</v>
      </c>
      <c r="AV725">
        <v>54</v>
      </c>
      <c r="AW725">
        <v>5</v>
      </c>
      <c r="AX725"/>
      <c r="AY725"/>
      <c r="AZ725"/>
      <c r="BA725"/>
      <c r="BB725">
        <v>816</v>
      </c>
      <c r="BC725">
        <v>826</v>
      </c>
      <c r="BD725"/>
      <c r="BE725" t="s">
        <v>4683</v>
      </c>
      <c r="BF725" t="str">
        <f>HYPERLINK("http://dx.doi.org/10.1134/S106422932105015X","http://dx.doi.org/10.1134/S106422932105015X")</f>
        <v>http://dx.doi.org/10.1134/S106422932105015X</v>
      </c>
      <c r="BG725"/>
      <c r="BH725"/>
      <c r="BI725"/>
      <c r="BJ725"/>
      <c r="BK725"/>
      <c r="BL725"/>
      <c r="BM725"/>
      <c r="BN725"/>
      <c r="BO725"/>
      <c r="BP725"/>
      <c r="BQ725"/>
      <c r="BR725"/>
      <c r="BS725" t="s">
        <v>4684</v>
      </c>
      <c r="BT725" t="str">
        <f>HYPERLINK("https%3A%2F%2Fwww.webofscience.com%2Fwos%2Fwoscc%2Ffull-record%2FWOS:000654172900015","View Full Record in Web of Science")</f>
        <v>View Full Record in Web of Science</v>
      </c>
    </row>
    <row r="726" spans="1:75" customHeight="1" ht="12.75">
      <c r="A726" t="s">
        <v>72</v>
      </c>
      <c r="B726" t="s">
        <v>4685</v>
      </c>
      <c r="C726"/>
      <c r="D726"/>
      <c r="E726"/>
      <c r="F726" t="s">
        <v>4686</v>
      </c>
      <c r="G726"/>
      <c r="H726"/>
      <c r="I726" t="s">
        <v>4687</v>
      </c>
      <c r="J726" t="s">
        <v>2233</v>
      </c>
      <c r="K726"/>
      <c r="L726"/>
      <c r="M726"/>
      <c r="N726"/>
      <c r="O726"/>
      <c r="P726"/>
      <c r="Q726"/>
      <c r="R726"/>
      <c r="S726"/>
      <c r="T726"/>
      <c r="U726"/>
      <c r="V726"/>
      <c r="W726"/>
      <c r="X726"/>
      <c r="Y726"/>
      <c r="Z726"/>
      <c r="AA726" t="s">
        <v>507</v>
      </c>
      <c r="AB726" t="s">
        <v>508</v>
      </c>
      <c r="AC726"/>
      <c r="AD726"/>
      <c r="AE726"/>
      <c r="AF726"/>
      <c r="AG726"/>
      <c r="AH726"/>
      <c r="AI726"/>
      <c r="AJ726"/>
      <c r="AK726"/>
      <c r="AL726"/>
      <c r="AM726"/>
      <c r="AN726"/>
      <c r="AO726" t="s">
        <v>2234</v>
      </c>
      <c r="AP726" t="s">
        <v>2235</v>
      </c>
      <c r="AQ726"/>
      <c r="AR726"/>
      <c r="AS726"/>
      <c r="AT726"/>
      <c r="AU726">
        <v>2021</v>
      </c>
      <c r="AV726">
        <v>15</v>
      </c>
      <c r="AW726">
        <v>2</v>
      </c>
      <c r="AX726"/>
      <c r="AY726"/>
      <c r="AZ726"/>
      <c r="BA726"/>
      <c r="BB726">
        <v>229</v>
      </c>
      <c r="BC726">
        <v>237</v>
      </c>
      <c r="BD726"/>
      <c r="BE726" t="s">
        <v>4688</v>
      </c>
      <c r="BF726" t="str">
        <f>HYPERLINK("http://dx.doi.org/10.17150/2500-4255.2021.15(2).229-237","http://dx.doi.org/10.17150/2500-4255.2021.15(2).229-237")</f>
        <v>http://dx.doi.org/10.17150/2500-4255.2021.15(2).229-237</v>
      </c>
      <c r="BG726"/>
      <c r="BH726"/>
      <c r="BI726"/>
      <c r="BJ726"/>
      <c r="BK726"/>
      <c r="BL726"/>
      <c r="BM726"/>
      <c r="BN726"/>
      <c r="BO726"/>
      <c r="BP726"/>
      <c r="BQ726"/>
      <c r="BR726"/>
      <c r="BS726" t="s">
        <v>4689</v>
      </c>
      <c r="BT726" t="str">
        <f>HYPERLINK("https%3A%2F%2Fwww.webofscience.com%2Fwos%2Fwoscc%2Ffull-record%2FWOS:000646592300008","View Full Record in Web of Science")</f>
        <v>View Full Record in Web of Science</v>
      </c>
    </row>
    <row r="727" spans="1:75" customHeight="1" ht="12.75">
      <c r="A727" t="s">
        <v>72</v>
      </c>
      <c r="B727" t="s">
        <v>4690</v>
      </c>
      <c r="C727"/>
      <c r="D727"/>
      <c r="E727"/>
      <c r="F727" t="s">
        <v>4691</v>
      </c>
      <c r="G727"/>
      <c r="H727"/>
      <c r="I727" t="s">
        <v>4692</v>
      </c>
      <c r="J727" t="s">
        <v>940</v>
      </c>
      <c r="K727"/>
      <c r="L727"/>
      <c r="M727"/>
      <c r="N727"/>
      <c r="O727"/>
      <c r="P727"/>
      <c r="Q727"/>
      <c r="R727"/>
      <c r="S727"/>
      <c r="T727"/>
      <c r="U727"/>
      <c r="V727"/>
      <c r="W727"/>
      <c r="X727"/>
      <c r="Y727"/>
      <c r="Z727"/>
      <c r="AA727" t="s">
        <v>4693</v>
      </c>
      <c r="AB727" t="s">
        <v>4694</v>
      </c>
      <c r="AC727"/>
      <c r="AD727"/>
      <c r="AE727"/>
      <c r="AF727"/>
      <c r="AG727"/>
      <c r="AH727"/>
      <c r="AI727"/>
      <c r="AJ727"/>
      <c r="AK727"/>
      <c r="AL727"/>
      <c r="AM727"/>
      <c r="AN727"/>
      <c r="AO727" t="s">
        <v>943</v>
      </c>
      <c r="AP727" t="s">
        <v>944</v>
      </c>
      <c r="AQ727"/>
      <c r="AR727"/>
      <c r="AS727"/>
      <c r="AT727" t="s">
        <v>125</v>
      </c>
      <c r="AU727">
        <v>2019</v>
      </c>
      <c r="AV727">
        <v>61</v>
      </c>
      <c r="AW727" t="s">
        <v>1639</v>
      </c>
      <c r="AX727"/>
      <c r="AY727"/>
      <c r="AZ727"/>
      <c r="BA727"/>
      <c r="BB727">
        <v>256</v>
      </c>
      <c r="BC727">
        <v>260</v>
      </c>
      <c r="BD727"/>
      <c r="BE727" t="s">
        <v>4695</v>
      </c>
      <c r="BF727" t="str">
        <f>HYPERLINK("http://dx.doi.org/10.1007/s11041-019-00410-5","http://dx.doi.org/10.1007/s11041-019-00410-5")</f>
        <v>http://dx.doi.org/10.1007/s11041-019-00410-5</v>
      </c>
      <c r="BG727"/>
      <c r="BH727" t="s">
        <v>4696</v>
      </c>
      <c r="BI727"/>
      <c r="BJ727"/>
      <c r="BK727"/>
      <c r="BL727"/>
      <c r="BM727"/>
      <c r="BN727"/>
      <c r="BO727"/>
      <c r="BP727"/>
      <c r="BQ727"/>
      <c r="BR727"/>
      <c r="BS727" t="s">
        <v>4697</v>
      </c>
      <c r="BT727" t="str">
        <f>HYPERLINK("https%3A%2F%2Fwww.webofscience.com%2Fwos%2Fwoscc%2Ffull-record%2FWOS:000492180000001","View Full Record in Web of Science")</f>
        <v>View Full Record in Web of Science</v>
      </c>
    </row>
    <row r="728" spans="1:75" customHeight="1" ht="12.75">
      <c r="A728" t="s">
        <v>147</v>
      </c>
      <c r="B728" t="s">
        <v>4698</v>
      </c>
      <c r="C728"/>
      <c r="D728" t="s">
        <v>1801</v>
      </c>
      <c r="E728"/>
      <c r="F728" t="s">
        <v>4699</v>
      </c>
      <c r="G728"/>
      <c r="H728"/>
      <c r="I728" t="s">
        <v>4700</v>
      </c>
      <c r="J728" t="s">
        <v>1804</v>
      </c>
      <c r="K728" t="s">
        <v>1805</v>
      </c>
      <c r="L728"/>
      <c r="M728"/>
      <c r="N728"/>
      <c r="O728" t="s">
        <v>1806</v>
      </c>
      <c r="P728" t="s">
        <v>1807</v>
      </c>
      <c r="Q728" t="s">
        <v>1808</v>
      </c>
      <c r="R728"/>
      <c r="S728" t="s">
        <v>257</v>
      </c>
      <c r="T728"/>
      <c r="U728"/>
      <c r="V728"/>
      <c r="W728"/>
      <c r="X728"/>
      <c r="Y728"/>
      <c r="Z728"/>
      <c r="AA728"/>
      <c r="AB728"/>
      <c r="AC728"/>
      <c r="AD728"/>
      <c r="AE728"/>
      <c r="AF728"/>
      <c r="AG728"/>
      <c r="AH728"/>
      <c r="AI728"/>
      <c r="AJ728"/>
      <c r="AK728"/>
      <c r="AL728"/>
      <c r="AM728"/>
      <c r="AN728"/>
      <c r="AO728" t="s">
        <v>1809</v>
      </c>
      <c r="AP728"/>
      <c r="AQ728" t="s">
        <v>1810</v>
      </c>
      <c r="AR728"/>
      <c r="AS728"/>
      <c r="AT728"/>
      <c r="AU728">
        <v>2020</v>
      </c>
      <c r="AV728"/>
      <c r="AW728"/>
      <c r="AX728"/>
      <c r="AY728"/>
      <c r="AZ728"/>
      <c r="BA728"/>
      <c r="BB728">
        <v>323</v>
      </c>
      <c r="BC728">
        <v>337</v>
      </c>
      <c r="BD728"/>
      <c r="BE728" t="s">
        <v>4701</v>
      </c>
      <c r="BF728" t="str">
        <f>HYPERLINK("http://dx.doi.org/10.3897/ap.2.e0323","http://dx.doi.org/10.3897/ap.2.e0323")</f>
        <v>http://dx.doi.org/10.3897/ap.2.e0323</v>
      </c>
      <c r="BG728"/>
      <c r="BH728"/>
      <c r="BI728"/>
      <c r="BJ728"/>
      <c r="BK728"/>
      <c r="BL728"/>
      <c r="BM728"/>
      <c r="BN728"/>
      <c r="BO728"/>
      <c r="BP728"/>
      <c r="BQ728"/>
      <c r="BR728"/>
      <c r="BS728" t="s">
        <v>4702</v>
      </c>
      <c r="BT728" t="str">
        <f>HYPERLINK("https%3A%2F%2Fwww.webofscience.com%2Fwos%2Fwoscc%2Ffull-record%2FWOS:000671896200024","View Full Record in Web of Science")</f>
        <v>View Full Record in Web of Science</v>
      </c>
    </row>
    <row r="729" spans="1:75" customHeight="1" ht="12.75">
      <c r="A729" t="s">
        <v>72</v>
      </c>
      <c r="B729" t="s">
        <v>4703</v>
      </c>
      <c r="C729"/>
      <c r="D729"/>
      <c r="E729"/>
      <c r="F729" t="s">
        <v>4704</v>
      </c>
      <c r="G729"/>
      <c r="H729"/>
      <c r="I729" t="s">
        <v>4705</v>
      </c>
      <c r="J729" t="s">
        <v>141</v>
      </c>
      <c r="K729"/>
      <c r="L729"/>
      <c r="M729"/>
      <c r="N729"/>
      <c r="O729"/>
      <c r="P729"/>
      <c r="Q729"/>
      <c r="R729"/>
      <c r="S729"/>
      <c r="T729"/>
      <c r="U729"/>
      <c r="V729"/>
      <c r="W729"/>
      <c r="X729"/>
      <c r="Y729"/>
      <c r="Z729"/>
      <c r="AA729"/>
      <c r="AB729"/>
      <c r="AC729"/>
      <c r="AD729"/>
      <c r="AE729"/>
      <c r="AF729"/>
      <c r="AG729"/>
      <c r="AH729"/>
      <c r="AI729"/>
      <c r="AJ729"/>
      <c r="AK729"/>
      <c r="AL729"/>
      <c r="AM729"/>
      <c r="AN729"/>
      <c r="AO729" t="s">
        <v>144</v>
      </c>
      <c r="AP729"/>
      <c r="AQ729"/>
      <c r="AR729"/>
      <c r="AS729"/>
      <c r="AT729"/>
      <c r="AU729">
        <v>2020</v>
      </c>
      <c r="AV729"/>
      <c r="AW729">
        <v>3</v>
      </c>
      <c r="AX729"/>
      <c r="AY729"/>
      <c r="AZ729"/>
      <c r="BA729"/>
      <c r="BB729">
        <v>40</v>
      </c>
      <c r="BC729">
        <v>55</v>
      </c>
      <c r="BD729"/>
      <c r="BE729" t="s">
        <v>4706</v>
      </c>
      <c r="BF729" t="str">
        <f>HYPERLINK("http://dx.doi.org/10.5281/zenodo.4018949","http://dx.doi.org/10.5281/zenodo.4018949")</f>
        <v>http://dx.doi.org/10.5281/zenodo.4018949</v>
      </c>
      <c r="BG729"/>
      <c r="BH729"/>
      <c r="BI729"/>
      <c r="BJ729"/>
      <c r="BK729"/>
      <c r="BL729"/>
      <c r="BM729"/>
      <c r="BN729"/>
      <c r="BO729"/>
      <c r="BP729"/>
      <c r="BQ729"/>
      <c r="BR729"/>
      <c r="BS729" t="s">
        <v>4707</v>
      </c>
      <c r="BT729" t="str">
        <f>HYPERLINK("https%3A%2F%2Fwww.webofscience.com%2Fwos%2Fwoscc%2Ffull-record%2FWOS:000573617200005","View Full Record in Web of Science")</f>
        <v>View Full Record in Web of Science</v>
      </c>
    </row>
    <row r="730" spans="1:75" customHeight="1" ht="12.75">
      <c r="A730" t="s">
        <v>147</v>
      </c>
      <c r="B730" t="s">
        <v>4708</v>
      </c>
      <c r="C730"/>
      <c r="D730" t="s">
        <v>249</v>
      </c>
      <c r="E730"/>
      <c r="F730" t="s">
        <v>4709</v>
      </c>
      <c r="G730"/>
      <c r="H730"/>
      <c r="I730" t="s">
        <v>4710</v>
      </c>
      <c r="J730" t="s">
        <v>1371</v>
      </c>
      <c r="K730"/>
      <c r="L730"/>
      <c r="M730"/>
      <c r="N730"/>
      <c r="O730" t="s">
        <v>1372</v>
      </c>
      <c r="P730" t="s">
        <v>1373</v>
      </c>
      <c r="Q730" t="s">
        <v>256</v>
      </c>
      <c r="R730"/>
      <c r="S730" t="s">
        <v>257</v>
      </c>
      <c r="T730"/>
      <c r="U730"/>
      <c r="V730"/>
      <c r="W730"/>
      <c r="X730"/>
      <c r="Y730"/>
      <c r="Z730"/>
      <c r="AA730" t="s">
        <v>4711</v>
      </c>
      <c r="AB730"/>
      <c r="AC730"/>
      <c r="AD730"/>
      <c r="AE730"/>
      <c r="AF730"/>
      <c r="AG730"/>
      <c r="AH730"/>
      <c r="AI730"/>
      <c r="AJ730"/>
      <c r="AK730"/>
      <c r="AL730"/>
      <c r="AM730"/>
      <c r="AN730"/>
      <c r="AO730"/>
      <c r="AP730"/>
      <c r="AQ730" t="s">
        <v>1374</v>
      </c>
      <c r="AR730"/>
      <c r="AS730"/>
      <c r="AT730"/>
      <c r="AU730">
        <v>2019</v>
      </c>
      <c r="AV730"/>
      <c r="AW730"/>
      <c r="AX730"/>
      <c r="AY730"/>
      <c r="AZ730"/>
      <c r="BA730"/>
      <c r="BB730">
        <v>555</v>
      </c>
      <c r="BC730">
        <v>564</v>
      </c>
      <c r="BD730"/>
      <c r="BE730" t="s">
        <v>4712</v>
      </c>
      <c r="BF730" t="str">
        <f>HYPERLINK("http://dx.doi.org/10.3897/ap.1.e0526","http://dx.doi.org/10.3897/ap.1.e0526")</f>
        <v>http://dx.doi.org/10.3897/ap.1.e0526</v>
      </c>
      <c r="BG730"/>
      <c r="BH730"/>
      <c r="BI730"/>
      <c r="BJ730"/>
      <c r="BK730"/>
      <c r="BL730"/>
      <c r="BM730"/>
      <c r="BN730"/>
      <c r="BO730"/>
      <c r="BP730"/>
      <c r="BQ730"/>
      <c r="BR730"/>
      <c r="BS730" t="s">
        <v>4713</v>
      </c>
      <c r="BT730" t="str">
        <f>HYPERLINK("https%3A%2F%2Fwww.webofscience.com%2Fwos%2Fwoscc%2Ffull-record%2FWOS:000520005200056","View Full Record in Web of Science")</f>
        <v>View Full Record in Web of Science</v>
      </c>
    </row>
    <row r="731" spans="1:75" customHeight="1" ht="12.75">
      <c r="A731" t="s">
        <v>72</v>
      </c>
      <c r="B731" t="s">
        <v>4714</v>
      </c>
      <c r="C731"/>
      <c r="D731"/>
      <c r="E731"/>
      <c r="F731" t="s">
        <v>4715</v>
      </c>
      <c r="G731"/>
      <c r="H731"/>
      <c r="I731" t="s">
        <v>4716</v>
      </c>
      <c r="J731" t="s">
        <v>1905</v>
      </c>
      <c r="K731"/>
      <c r="L731"/>
      <c r="M731"/>
      <c r="N731"/>
      <c r="O731" t="s">
        <v>3849</v>
      </c>
      <c r="P731" t="s">
        <v>3850</v>
      </c>
      <c r="Q731" t="s">
        <v>2563</v>
      </c>
      <c r="R731"/>
      <c r="S731"/>
      <c r="T731"/>
      <c r="U731"/>
      <c r="V731"/>
      <c r="W731"/>
      <c r="X731"/>
      <c r="Y731"/>
      <c r="Z731"/>
      <c r="AA731"/>
      <c r="AB731"/>
      <c r="AC731"/>
      <c r="AD731"/>
      <c r="AE731"/>
      <c r="AF731"/>
      <c r="AG731"/>
      <c r="AH731"/>
      <c r="AI731"/>
      <c r="AJ731"/>
      <c r="AK731"/>
      <c r="AL731"/>
      <c r="AM731"/>
      <c r="AN731"/>
      <c r="AO731" t="s">
        <v>1906</v>
      </c>
      <c r="AP731" t="s">
        <v>1912</v>
      </c>
      <c r="AQ731"/>
      <c r="AR731"/>
      <c r="AS731"/>
      <c r="AT731" t="s">
        <v>403</v>
      </c>
      <c r="AU731">
        <v>2008</v>
      </c>
      <c r="AV731">
        <v>34</v>
      </c>
      <c r="AW731">
        <v>6</v>
      </c>
      <c r="AX731"/>
      <c r="AY731"/>
      <c r="AZ731"/>
      <c r="BA731"/>
      <c r="BB731">
        <v>716</v>
      </c>
      <c r="BC731">
        <v>723</v>
      </c>
      <c r="BD731"/>
      <c r="BE731" t="s">
        <v>4717</v>
      </c>
      <c r="BF731" t="str">
        <f>HYPERLINK("http://dx.doi.org/10.1134/S1087659608060096","http://dx.doi.org/10.1134/S1087659608060096")</f>
        <v>http://dx.doi.org/10.1134/S1087659608060096</v>
      </c>
      <c r="BG731"/>
      <c r="BH731"/>
      <c r="BI731"/>
      <c r="BJ731"/>
      <c r="BK731"/>
      <c r="BL731"/>
      <c r="BM731"/>
      <c r="BN731"/>
      <c r="BO731"/>
      <c r="BP731"/>
      <c r="BQ731"/>
      <c r="BR731"/>
      <c r="BS731" t="s">
        <v>4718</v>
      </c>
      <c r="BT731" t="str">
        <f>HYPERLINK("https%3A%2F%2Fwww.webofscience.com%2Fwos%2Fwoscc%2Ffull-record%2FWOS:000261789200009","View Full Record in Web of Science")</f>
        <v>View Full Record in Web of Science</v>
      </c>
    </row>
    <row r="732" spans="1:75" customHeight="1" ht="12.75">
      <c r="A732" t="s">
        <v>72</v>
      </c>
      <c r="B732" t="s">
        <v>4719</v>
      </c>
      <c r="C732"/>
      <c r="D732"/>
      <c r="E732"/>
      <c r="F732" t="s">
        <v>4720</v>
      </c>
      <c r="G732"/>
      <c r="H732"/>
      <c r="I732" t="s">
        <v>4721</v>
      </c>
      <c r="J732" t="s">
        <v>561</v>
      </c>
      <c r="K732"/>
      <c r="L732"/>
      <c r="M732"/>
      <c r="N732"/>
      <c r="O732"/>
      <c r="P732"/>
      <c r="Q732"/>
      <c r="R732"/>
      <c r="S732"/>
      <c r="T732"/>
      <c r="U732"/>
      <c r="V732"/>
      <c r="W732"/>
      <c r="X732"/>
      <c r="Y732"/>
      <c r="Z732"/>
      <c r="AA732" t="s">
        <v>562</v>
      </c>
      <c r="AB732" t="s">
        <v>4722</v>
      </c>
      <c r="AC732"/>
      <c r="AD732"/>
      <c r="AE732"/>
      <c r="AF732"/>
      <c r="AG732"/>
      <c r="AH732"/>
      <c r="AI732"/>
      <c r="AJ732"/>
      <c r="AK732"/>
      <c r="AL732"/>
      <c r="AM732"/>
      <c r="AN732"/>
      <c r="AO732" t="s">
        <v>564</v>
      </c>
      <c r="AP732" t="s">
        <v>565</v>
      </c>
      <c r="AQ732"/>
      <c r="AR732"/>
      <c r="AS732"/>
      <c r="AT732" t="s">
        <v>171</v>
      </c>
      <c r="AU732">
        <v>2021</v>
      </c>
      <c r="AV732">
        <v>28</v>
      </c>
      <c r="AW732">
        <v>2</v>
      </c>
      <c r="AX732"/>
      <c r="AY732"/>
      <c r="AZ732"/>
      <c r="BA732"/>
      <c r="BB732">
        <v>281</v>
      </c>
      <c r="BC732">
        <v>290</v>
      </c>
      <c r="BD732"/>
      <c r="BE732" t="s">
        <v>4723</v>
      </c>
      <c r="BF732" t="str">
        <f>HYPERLINK("http://dx.doi.org/10.1134/S0869864321020116","http://dx.doi.org/10.1134/S0869864321020116")</f>
        <v>http://dx.doi.org/10.1134/S0869864321020116</v>
      </c>
      <c r="BG732"/>
      <c r="BH732"/>
      <c r="BI732"/>
      <c r="BJ732"/>
      <c r="BK732"/>
      <c r="BL732"/>
      <c r="BM732"/>
      <c r="BN732"/>
      <c r="BO732"/>
      <c r="BP732"/>
      <c r="BQ732"/>
      <c r="BR732"/>
      <c r="BS732" t="s">
        <v>4724</v>
      </c>
      <c r="BT732" t="str">
        <f>HYPERLINK("https%3A%2F%2Fwww.webofscience.com%2Fwos%2Fwoscc%2Ffull-record%2FWOS:000675572800011","View Full Record in Web of Science")</f>
        <v>View Full Record in Web of Science</v>
      </c>
    </row>
    <row r="733" spans="1:75" customHeight="1" ht="12.75">
      <c r="A733" t="s">
        <v>72</v>
      </c>
      <c r="B733" t="s">
        <v>4725</v>
      </c>
      <c r="C733"/>
      <c r="D733"/>
      <c r="E733"/>
      <c r="F733" t="s">
        <v>4726</v>
      </c>
      <c r="G733"/>
      <c r="H733"/>
      <c r="I733" t="s">
        <v>4727</v>
      </c>
      <c r="J733" t="s">
        <v>95</v>
      </c>
      <c r="K733"/>
      <c r="L733"/>
      <c r="M733"/>
      <c r="N733"/>
      <c r="O733"/>
      <c r="P733"/>
      <c r="Q733"/>
      <c r="R733"/>
      <c r="S733"/>
      <c r="T733"/>
      <c r="U733"/>
      <c r="V733"/>
      <c r="W733"/>
      <c r="X733"/>
      <c r="Y733"/>
      <c r="Z733"/>
      <c r="AA733"/>
      <c r="AB733" t="s">
        <v>4728</v>
      </c>
      <c r="AC733"/>
      <c r="AD733"/>
      <c r="AE733"/>
      <c r="AF733"/>
      <c r="AG733"/>
      <c r="AH733"/>
      <c r="AI733"/>
      <c r="AJ733"/>
      <c r="AK733"/>
      <c r="AL733"/>
      <c r="AM733"/>
      <c r="AN733"/>
      <c r="AO733" t="s">
        <v>98</v>
      </c>
      <c r="AP733" t="s">
        <v>99</v>
      </c>
      <c r="AQ733"/>
      <c r="AR733"/>
      <c r="AS733"/>
      <c r="AT733"/>
      <c r="AU733">
        <v>2021</v>
      </c>
      <c r="AV733"/>
      <c r="AW733">
        <v>1</v>
      </c>
      <c r="AX733"/>
      <c r="AY733"/>
      <c r="AZ733"/>
      <c r="BA733"/>
      <c r="BB733">
        <v>172</v>
      </c>
      <c r="BC733">
        <v>180</v>
      </c>
      <c r="BD733"/>
      <c r="BE733" t="s">
        <v>4729</v>
      </c>
      <c r="BF733" t="str">
        <f>HYPERLINK("http://dx.doi.org/10.25750/1995-4301-2021-1-172-180","http://dx.doi.org/10.25750/1995-4301-2021-1-172-180")</f>
        <v>http://dx.doi.org/10.25750/1995-4301-2021-1-172-180</v>
      </c>
      <c r="BG733"/>
      <c r="BH733"/>
      <c r="BI733"/>
      <c r="BJ733"/>
      <c r="BK733"/>
      <c r="BL733"/>
      <c r="BM733"/>
      <c r="BN733"/>
      <c r="BO733"/>
      <c r="BP733"/>
      <c r="BQ733"/>
      <c r="BR733"/>
      <c r="BS733" t="s">
        <v>4730</v>
      </c>
      <c r="BT733" t="str">
        <f>HYPERLINK("https%3A%2F%2Fwww.webofscience.com%2Fwos%2Fwoscc%2Ffull-record%2FWOS:000632219100033","View Full Record in Web of Science")</f>
        <v>View Full Record in Web of Science</v>
      </c>
    </row>
    <row r="734" spans="1:75" customHeight="1" ht="12.75">
      <c r="A734" t="s">
        <v>72</v>
      </c>
      <c r="B734" t="s">
        <v>4731</v>
      </c>
      <c r="C734"/>
      <c r="D734"/>
      <c r="E734"/>
      <c r="F734" t="s">
        <v>4732</v>
      </c>
      <c r="G734"/>
      <c r="H734"/>
      <c r="I734" t="s">
        <v>4733</v>
      </c>
      <c r="J734" t="s">
        <v>940</v>
      </c>
      <c r="K734"/>
      <c r="L734"/>
      <c r="M734"/>
      <c r="N734"/>
      <c r="O734"/>
      <c r="P734"/>
      <c r="Q734"/>
      <c r="R734"/>
      <c r="S734"/>
      <c r="T734"/>
      <c r="U734"/>
      <c r="V734"/>
      <c r="W734"/>
      <c r="X734"/>
      <c r="Y734"/>
      <c r="Z734"/>
      <c r="AA734"/>
      <c r="AB734"/>
      <c r="AC734"/>
      <c r="AD734"/>
      <c r="AE734"/>
      <c r="AF734"/>
      <c r="AG734"/>
      <c r="AH734"/>
      <c r="AI734"/>
      <c r="AJ734"/>
      <c r="AK734"/>
      <c r="AL734"/>
      <c r="AM734"/>
      <c r="AN734"/>
      <c r="AO734" t="s">
        <v>943</v>
      </c>
      <c r="AP734" t="s">
        <v>944</v>
      </c>
      <c r="AQ734"/>
      <c r="AR734"/>
      <c r="AS734"/>
      <c r="AT734" t="s">
        <v>319</v>
      </c>
      <c r="AU734">
        <v>2017</v>
      </c>
      <c r="AV734">
        <v>59</v>
      </c>
      <c r="AW734" t="s">
        <v>3862</v>
      </c>
      <c r="AX734"/>
      <c r="AY734"/>
      <c r="AZ734"/>
      <c r="BA734"/>
      <c r="BB734">
        <v>504</v>
      </c>
      <c r="BC734">
        <v>508</v>
      </c>
      <c r="BD734"/>
      <c r="BE734" t="s">
        <v>4734</v>
      </c>
      <c r="BF734" t="str">
        <f>HYPERLINK("http://dx.doi.org/10.1007/s11041-017-0179-9","http://dx.doi.org/10.1007/s11041-017-0179-9")</f>
        <v>http://dx.doi.org/10.1007/s11041-017-0179-9</v>
      </c>
      <c r="BG734"/>
      <c r="BH734"/>
      <c r="BI734"/>
      <c r="BJ734"/>
      <c r="BK734"/>
      <c r="BL734"/>
      <c r="BM734"/>
      <c r="BN734"/>
      <c r="BO734"/>
      <c r="BP734"/>
      <c r="BQ734"/>
      <c r="BR734"/>
      <c r="BS734" t="s">
        <v>4735</v>
      </c>
      <c r="BT734" t="str">
        <f>HYPERLINK("https%3A%2F%2Fwww.webofscience.com%2Fwos%2Fwoscc%2Ffull-record%2FWOS:000415952700018","View Full Record in Web of Science")</f>
        <v>View Full Record in Web of Science</v>
      </c>
    </row>
    <row r="735" spans="1:75" customHeight="1" ht="12.75">
      <c r="A735" t="s">
        <v>147</v>
      </c>
      <c r="B735" t="s">
        <v>4736</v>
      </c>
      <c r="C735"/>
      <c r="D735"/>
      <c r="E735" t="s">
        <v>210</v>
      </c>
      <c r="F735" t="s">
        <v>4737</v>
      </c>
      <c r="G735"/>
      <c r="H735"/>
      <c r="I735" t="s">
        <v>4738</v>
      </c>
      <c r="J735" t="s">
        <v>730</v>
      </c>
      <c r="K735"/>
      <c r="L735"/>
      <c r="M735"/>
      <c r="N735"/>
      <c r="O735" t="s">
        <v>421</v>
      </c>
      <c r="P735" t="s">
        <v>731</v>
      </c>
      <c r="Q735" t="s">
        <v>732</v>
      </c>
      <c r="R735" t="s">
        <v>733</v>
      </c>
      <c r="S735"/>
      <c r="T735"/>
      <c r="U735"/>
      <c r="V735"/>
      <c r="W735"/>
      <c r="X735"/>
      <c r="Y735"/>
      <c r="Z735"/>
      <c r="AA735" t="s">
        <v>4739</v>
      </c>
      <c r="AB735" t="s">
        <v>4740</v>
      </c>
      <c r="AC735"/>
      <c r="AD735"/>
      <c r="AE735"/>
      <c r="AF735"/>
      <c r="AG735"/>
      <c r="AH735"/>
      <c r="AI735"/>
      <c r="AJ735"/>
      <c r="AK735"/>
      <c r="AL735"/>
      <c r="AM735"/>
      <c r="AN735"/>
      <c r="AO735"/>
      <c r="AP735"/>
      <c r="AQ735" t="s">
        <v>736</v>
      </c>
      <c r="AR735"/>
      <c r="AS735"/>
      <c r="AT735"/>
      <c r="AU735">
        <v>2016</v>
      </c>
      <c r="AV735"/>
      <c r="AW735"/>
      <c r="AX735"/>
      <c r="AY735"/>
      <c r="AZ735"/>
      <c r="BA735"/>
      <c r="BB735"/>
      <c r="BC735"/>
      <c r="BD735"/>
      <c r="BE735"/>
      <c r="BF735"/>
      <c r="BG735"/>
      <c r="BH735"/>
      <c r="BI735"/>
      <c r="BJ735"/>
      <c r="BK735"/>
      <c r="BL735"/>
      <c r="BM735"/>
      <c r="BN735"/>
      <c r="BO735"/>
      <c r="BP735"/>
      <c r="BQ735"/>
      <c r="BR735"/>
      <c r="BS735" t="s">
        <v>4741</v>
      </c>
      <c r="BT735" t="str">
        <f>HYPERLINK("https%3A%2F%2Fwww.webofscience.com%2Fwos%2Fwoscc%2Ffull-record%2FWOS:000400700700060","View Full Record in Web of Science")</f>
        <v>View Full Record in Web of Science</v>
      </c>
    </row>
    <row r="736" spans="1:75" customHeight="1" ht="12.75">
      <c r="A736" t="s">
        <v>72</v>
      </c>
      <c r="B736" t="s">
        <v>4742</v>
      </c>
      <c r="C736"/>
      <c r="D736"/>
      <c r="E736"/>
      <c r="F736" t="s">
        <v>4743</v>
      </c>
      <c r="G736"/>
      <c r="H736"/>
      <c r="I736" t="s">
        <v>4744</v>
      </c>
      <c r="J736" t="s">
        <v>194</v>
      </c>
      <c r="K736"/>
      <c r="L736"/>
      <c r="M736"/>
      <c r="N736"/>
      <c r="O736"/>
      <c r="P736"/>
      <c r="Q736"/>
      <c r="R736"/>
      <c r="S736"/>
      <c r="T736"/>
      <c r="U736"/>
      <c r="V736"/>
      <c r="W736"/>
      <c r="X736"/>
      <c r="Y736"/>
      <c r="Z736"/>
      <c r="AA736"/>
      <c r="AB736"/>
      <c r="AC736"/>
      <c r="AD736"/>
      <c r="AE736"/>
      <c r="AF736"/>
      <c r="AG736"/>
      <c r="AH736"/>
      <c r="AI736"/>
      <c r="AJ736"/>
      <c r="AK736"/>
      <c r="AL736"/>
      <c r="AM736"/>
      <c r="AN736"/>
      <c r="AO736" t="s">
        <v>196</v>
      </c>
      <c r="AP736" t="s">
        <v>197</v>
      </c>
      <c r="AQ736"/>
      <c r="AR736"/>
      <c r="AS736"/>
      <c r="AT736" t="s">
        <v>403</v>
      </c>
      <c r="AU736">
        <v>2022</v>
      </c>
      <c r="AV736">
        <v>30</v>
      </c>
      <c r="AW736"/>
      <c r="AX736"/>
      <c r="AY736"/>
      <c r="AZ736"/>
      <c r="BA736"/>
      <c r="BB736">
        <v>95</v>
      </c>
      <c r="BC736">
        <v>112</v>
      </c>
      <c r="BD736"/>
      <c r="BE736" t="s">
        <v>4745</v>
      </c>
      <c r="BF736" t="str">
        <f>HYPERLINK("http://dx.doi.org/10.17223/23062061/30/6","http://dx.doi.org/10.17223/23062061/30/6")</f>
        <v>http://dx.doi.org/10.17223/23062061/30/6</v>
      </c>
      <c r="BG736"/>
      <c r="BH736"/>
      <c r="BI736"/>
      <c r="BJ736"/>
      <c r="BK736"/>
      <c r="BL736"/>
      <c r="BM736"/>
      <c r="BN736"/>
      <c r="BO736"/>
      <c r="BP736"/>
      <c r="BQ736"/>
      <c r="BR736"/>
      <c r="BS736" t="s">
        <v>4746</v>
      </c>
      <c r="BT736" t="str">
        <f>HYPERLINK("https%3A%2F%2Fwww.webofscience.com%2Fwos%2Fwoscc%2Ffull-record%2FWOS:000906501300006","View Full Record in Web of Science")</f>
        <v>View Full Record in Web of Science</v>
      </c>
    </row>
    <row r="737" spans="1:75" customHeight="1" ht="12.75">
      <c r="A737" t="s">
        <v>72</v>
      </c>
      <c r="B737" t="s">
        <v>4747</v>
      </c>
      <c r="C737"/>
      <c r="D737"/>
      <c r="E737"/>
      <c r="F737" t="s">
        <v>4748</v>
      </c>
      <c r="G737"/>
      <c r="H737"/>
      <c r="I737" t="s">
        <v>4749</v>
      </c>
      <c r="J737" t="s">
        <v>141</v>
      </c>
      <c r="K737"/>
      <c r="L737"/>
      <c r="M737"/>
      <c r="N737"/>
      <c r="O737"/>
      <c r="P737"/>
      <c r="Q737"/>
      <c r="R737"/>
      <c r="S737"/>
      <c r="T737"/>
      <c r="U737"/>
      <c r="V737"/>
      <c r="W737"/>
      <c r="X737"/>
      <c r="Y737"/>
      <c r="Z737"/>
      <c r="AA737" t="s">
        <v>4750</v>
      </c>
      <c r="AB737" t="s">
        <v>4751</v>
      </c>
      <c r="AC737"/>
      <c r="AD737"/>
      <c r="AE737"/>
      <c r="AF737"/>
      <c r="AG737"/>
      <c r="AH737"/>
      <c r="AI737"/>
      <c r="AJ737"/>
      <c r="AK737"/>
      <c r="AL737"/>
      <c r="AM737"/>
      <c r="AN737"/>
      <c r="AO737" t="s">
        <v>144</v>
      </c>
      <c r="AP737"/>
      <c r="AQ737"/>
      <c r="AR737"/>
      <c r="AS737"/>
      <c r="AT737"/>
      <c r="AU737">
        <v>2020</v>
      </c>
      <c r="AV737"/>
      <c r="AW737">
        <v>2</v>
      </c>
      <c r="AX737"/>
      <c r="AY737"/>
      <c r="AZ737"/>
      <c r="BA737"/>
      <c r="BB737">
        <v>108</v>
      </c>
      <c r="BC737">
        <v>122</v>
      </c>
      <c r="BD737"/>
      <c r="BE737" t="s">
        <v>4752</v>
      </c>
      <c r="BF737" t="str">
        <f>HYPERLINK("http://dx.doi.org/10.5281/zenodo.3898322","http://dx.doi.org/10.5281/zenodo.3898322")</f>
        <v>http://dx.doi.org/10.5281/zenodo.3898322</v>
      </c>
      <c r="BG737"/>
      <c r="BH737"/>
      <c r="BI737"/>
      <c r="BJ737"/>
      <c r="BK737"/>
      <c r="BL737"/>
      <c r="BM737"/>
      <c r="BN737"/>
      <c r="BO737"/>
      <c r="BP737"/>
      <c r="BQ737"/>
      <c r="BR737"/>
      <c r="BS737" t="s">
        <v>4753</v>
      </c>
      <c r="BT737" t="str">
        <f>HYPERLINK("https%3A%2F%2Fwww.webofscience.com%2Fwos%2Fwoscc%2Ffull-record%2FWOS:000543394200010","View Full Record in Web of Science")</f>
        <v>View Full Record in Web of Science</v>
      </c>
    </row>
    <row r="738" spans="1:75" customHeight="1" ht="12.75">
      <c r="A738" t="s">
        <v>147</v>
      </c>
      <c r="B738" t="s">
        <v>4754</v>
      </c>
      <c r="C738"/>
      <c r="D738" t="s">
        <v>2517</v>
      </c>
      <c r="E738"/>
      <c r="F738" t="s">
        <v>4755</v>
      </c>
      <c r="G738"/>
      <c r="H738"/>
      <c r="I738" t="s">
        <v>4756</v>
      </c>
      <c r="J738" t="s">
        <v>4757</v>
      </c>
      <c r="K738" t="s">
        <v>2521</v>
      </c>
      <c r="L738"/>
      <c r="M738"/>
      <c r="N738"/>
      <c r="O738" t="s">
        <v>4758</v>
      </c>
      <c r="P738" t="s">
        <v>4759</v>
      </c>
      <c r="Q738" t="s">
        <v>2524</v>
      </c>
      <c r="R738" t="s">
        <v>4760</v>
      </c>
      <c r="S738"/>
      <c r="T738"/>
      <c r="U738"/>
      <c r="V738"/>
      <c r="W738"/>
      <c r="X738"/>
      <c r="Y738"/>
      <c r="Z738"/>
      <c r="AA738" t="s">
        <v>4761</v>
      </c>
      <c r="AB738" t="s">
        <v>4762</v>
      </c>
      <c r="AC738"/>
      <c r="AD738"/>
      <c r="AE738"/>
      <c r="AF738"/>
      <c r="AG738"/>
      <c r="AH738"/>
      <c r="AI738"/>
      <c r="AJ738"/>
      <c r="AK738"/>
      <c r="AL738"/>
      <c r="AM738"/>
      <c r="AN738"/>
      <c r="AO738" t="s">
        <v>2527</v>
      </c>
      <c r="AP738" t="s">
        <v>2528</v>
      </c>
      <c r="AQ738"/>
      <c r="AR738"/>
      <c r="AS738"/>
      <c r="AT738"/>
      <c r="AU738">
        <v>2019</v>
      </c>
      <c r="AV738"/>
      <c r="AW738"/>
      <c r="AX738"/>
      <c r="AY738"/>
      <c r="AZ738"/>
      <c r="BA738"/>
      <c r="BB738">
        <v>66</v>
      </c>
      <c r="BC738">
        <v>71</v>
      </c>
      <c r="BD738"/>
      <c r="BE738" t="s">
        <v>4763</v>
      </c>
      <c r="BF738" t="str">
        <f>HYPERLINK("http://dx.doi.org/10.22616/ERDev2019.18.N053","http://dx.doi.org/10.22616/ERDev2019.18.N053")</f>
        <v>http://dx.doi.org/10.22616/ERDev2019.18.N053</v>
      </c>
      <c r="BG738"/>
      <c r="BH738"/>
      <c r="BI738"/>
      <c r="BJ738"/>
      <c r="BK738"/>
      <c r="BL738"/>
      <c r="BM738"/>
      <c r="BN738"/>
      <c r="BO738"/>
      <c r="BP738"/>
      <c r="BQ738"/>
      <c r="BR738"/>
      <c r="BS738" t="s">
        <v>4764</v>
      </c>
      <c r="BT738" t="str">
        <f>HYPERLINK("https%3A%2F%2Fwww.webofscience.com%2Fwos%2Fwoscc%2Ffull-record%2FWOS:000482103500009","View Full Record in Web of Science")</f>
        <v>View Full Record in Web of Science</v>
      </c>
    </row>
    <row r="739" spans="1:75" customHeight="1" ht="12.75">
      <c r="A739" t="s">
        <v>72</v>
      </c>
      <c r="B739" t="s">
        <v>4765</v>
      </c>
      <c r="C739"/>
      <c r="D739"/>
      <c r="E739"/>
      <c r="F739" t="s">
        <v>4766</v>
      </c>
      <c r="G739"/>
      <c r="H739"/>
      <c r="I739" t="s">
        <v>4767</v>
      </c>
      <c r="J739" t="s">
        <v>4382</v>
      </c>
      <c r="K739"/>
      <c r="L739"/>
      <c r="M739"/>
      <c r="N739"/>
      <c r="O739"/>
      <c r="P739"/>
      <c r="Q739"/>
      <c r="R739"/>
      <c r="S739"/>
      <c r="T739"/>
      <c r="U739"/>
      <c r="V739"/>
      <c r="W739"/>
      <c r="X739"/>
      <c r="Y739"/>
      <c r="Z739"/>
      <c r="AA739" t="s">
        <v>4768</v>
      </c>
      <c r="AB739" t="s">
        <v>4769</v>
      </c>
      <c r="AC739"/>
      <c r="AD739"/>
      <c r="AE739"/>
      <c r="AF739"/>
      <c r="AG739"/>
      <c r="AH739"/>
      <c r="AI739"/>
      <c r="AJ739"/>
      <c r="AK739"/>
      <c r="AL739"/>
      <c r="AM739"/>
      <c r="AN739"/>
      <c r="AO739" t="s">
        <v>4383</v>
      </c>
      <c r="AP739" t="s">
        <v>4384</v>
      </c>
      <c r="AQ739"/>
      <c r="AR739"/>
      <c r="AS739"/>
      <c r="AT739" t="s">
        <v>1167</v>
      </c>
      <c r="AU739">
        <v>2013</v>
      </c>
      <c r="AV739">
        <v>6</v>
      </c>
      <c r="AW739">
        <v>4</v>
      </c>
      <c r="AX739"/>
      <c r="AY739"/>
      <c r="AZ739"/>
      <c r="BA739"/>
      <c r="BB739">
        <v>322</v>
      </c>
      <c r="BC739">
        <v>330</v>
      </c>
      <c r="BD739"/>
      <c r="BE739" t="s">
        <v>4770</v>
      </c>
      <c r="BF739" t="str">
        <f>HYPERLINK("http://dx.doi.org/10.1134/S199508291304010X","http://dx.doi.org/10.1134/S199508291304010X")</f>
        <v>http://dx.doi.org/10.1134/S199508291304010X</v>
      </c>
      <c r="BG739"/>
      <c r="BH739"/>
      <c r="BI739"/>
      <c r="BJ739"/>
      <c r="BK739"/>
      <c r="BL739"/>
      <c r="BM739"/>
      <c r="BN739"/>
      <c r="BO739"/>
      <c r="BP739"/>
      <c r="BQ739"/>
      <c r="BR739"/>
      <c r="BS739" t="s">
        <v>4771</v>
      </c>
      <c r="BT739" t="str">
        <f>HYPERLINK("https%3A%2F%2Fwww.webofscience.com%2Fwos%2Fwoscc%2Ffull-record%2FWOS:000330971500009","View Full Record in Web of Science")</f>
        <v>View Full Record in Web of Science</v>
      </c>
    </row>
    <row r="740" spans="1:75" customHeight="1" ht="12.75">
      <c r="A740" t="s">
        <v>72</v>
      </c>
      <c r="B740" t="s">
        <v>4772</v>
      </c>
      <c r="C740"/>
      <c r="D740"/>
      <c r="E740"/>
      <c r="F740" t="s">
        <v>4773</v>
      </c>
      <c r="G740"/>
      <c r="H740"/>
      <c r="I740" t="s">
        <v>4774</v>
      </c>
      <c r="J740" t="s">
        <v>4775</v>
      </c>
      <c r="K740"/>
      <c r="L740"/>
      <c r="M740"/>
      <c r="N740"/>
      <c r="O740"/>
      <c r="P740"/>
      <c r="Q740"/>
      <c r="R740"/>
      <c r="S740"/>
      <c r="T740"/>
      <c r="U740"/>
      <c r="V740"/>
      <c r="W740"/>
      <c r="X740"/>
      <c r="Y740"/>
      <c r="Z740"/>
      <c r="AA740" t="s">
        <v>238</v>
      </c>
      <c r="AB740" t="s">
        <v>4776</v>
      </c>
      <c r="AC740"/>
      <c r="AD740"/>
      <c r="AE740"/>
      <c r="AF740"/>
      <c r="AG740"/>
      <c r="AH740"/>
      <c r="AI740"/>
      <c r="AJ740"/>
      <c r="AK740"/>
      <c r="AL740"/>
      <c r="AM740"/>
      <c r="AN740"/>
      <c r="AO740"/>
      <c r="AP740" t="s">
        <v>4777</v>
      </c>
      <c r="AQ740"/>
      <c r="AR740"/>
      <c r="AS740"/>
      <c r="AT740" t="s">
        <v>655</v>
      </c>
      <c r="AU740">
        <v>2023</v>
      </c>
      <c r="AV740">
        <v>11</v>
      </c>
      <c r="AW740">
        <v>2</v>
      </c>
      <c r="AX740"/>
      <c r="AY740"/>
      <c r="AZ740"/>
      <c r="BA740"/>
      <c r="BB740"/>
      <c r="BC740"/>
      <c r="BD740">
        <v>37</v>
      </c>
      <c r="BE740" t="s">
        <v>4778</v>
      </c>
      <c r="BF740" t="str">
        <f>HYPERLINK("http://dx.doi.org/10.3390/risks11020037","http://dx.doi.org/10.3390/risks11020037")</f>
        <v>http://dx.doi.org/10.3390/risks11020037</v>
      </c>
      <c r="BG740"/>
      <c r="BH740"/>
      <c r="BI740"/>
      <c r="BJ740"/>
      <c r="BK740"/>
      <c r="BL740"/>
      <c r="BM740"/>
      <c r="BN740"/>
      <c r="BO740"/>
      <c r="BP740"/>
      <c r="BQ740"/>
      <c r="BR740"/>
      <c r="BS740" t="s">
        <v>4779</v>
      </c>
      <c r="BT740" t="str">
        <f>HYPERLINK("https%3A%2F%2Fwww.webofscience.com%2Fwos%2Fwoscc%2Ffull-record%2FWOS:000940113100001","View Full Record in Web of Science")</f>
        <v>View Full Record in Web of Science</v>
      </c>
    </row>
    <row r="741" spans="1:75" customHeight="1" ht="12.75">
      <c r="A741" t="s">
        <v>72</v>
      </c>
      <c r="B741" t="s">
        <v>4780</v>
      </c>
      <c r="C741"/>
      <c r="D741"/>
      <c r="E741"/>
      <c r="F741" t="s">
        <v>4781</v>
      </c>
      <c r="G741"/>
      <c r="H741"/>
      <c r="I741" t="s">
        <v>4782</v>
      </c>
      <c r="J741" t="s">
        <v>409</v>
      </c>
      <c r="K741"/>
      <c r="L741"/>
      <c r="M741"/>
      <c r="N741"/>
      <c r="O741"/>
      <c r="P741"/>
      <c r="Q741"/>
      <c r="R741"/>
      <c r="S741"/>
      <c r="T741"/>
      <c r="U741"/>
      <c r="V741"/>
      <c r="W741"/>
      <c r="X741"/>
      <c r="Y741"/>
      <c r="Z741"/>
      <c r="AA741" t="s">
        <v>4783</v>
      </c>
      <c r="AB741"/>
      <c r="AC741"/>
      <c r="AD741"/>
      <c r="AE741"/>
      <c r="AF741"/>
      <c r="AG741"/>
      <c r="AH741"/>
      <c r="AI741"/>
      <c r="AJ741"/>
      <c r="AK741"/>
      <c r="AL741"/>
      <c r="AM741"/>
      <c r="AN741"/>
      <c r="AO741" t="s">
        <v>412</v>
      </c>
      <c r="AP741" t="s">
        <v>413</v>
      </c>
      <c r="AQ741"/>
      <c r="AR741"/>
      <c r="AS741"/>
      <c r="AT741" t="s">
        <v>403</v>
      </c>
      <c r="AU741">
        <v>2021</v>
      </c>
      <c r="AV741">
        <v>94</v>
      </c>
      <c r="AW741">
        <v>12</v>
      </c>
      <c r="AX741"/>
      <c r="AY741"/>
      <c r="AZ741"/>
      <c r="BA741"/>
      <c r="BB741">
        <v>1602</v>
      </c>
      <c r="BC741">
        <v>1607</v>
      </c>
      <c r="BD741"/>
      <c r="BE741" t="s">
        <v>4784</v>
      </c>
      <c r="BF741" t="str">
        <f>HYPERLINK("http://dx.doi.org/10.1134/S1070427221120053","http://dx.doi.org/10.1134/S1070427221120053")</f>
        <v>http://dx.doi.org/10.1134/S1070427221120053</v>
      </c>
      <c r="BG741"/>
      <c r="BH741"/>
      <c r="BI741"/>
      <c r="BJ741"/>
      <c r="BK741"/>
      <c r="BL741"/>
      <c r="BM741"/>
      <c r="BN741"/>
      <c r="BO741"/>
      <c r="BP741"/>
      <c r="BQ741"/>
      <c r="BR741"/>
      <c r="BS741" t="s">
        <v>4785</v>
      </c>
      <c r="BT741" t="str">
        <f>HYPERLINK("https%3A%2F%2Fwww.webofscience.com%2Fwos%2Fwoscc%2Ffull-record%2FWOS:000770333700005","View Full Record in Web of Science")</f>
        <v>View Full Record in Web of Science</v>
      </c>
    </row>
    <row r="742" spans="1:75" customHeight="1" ht="12.75">
      <c r="A742" t="s">
        <v>72</v>
      </c>
      <c r="B742" t="s">
        <v>4786</v>
      </c>
      <c r="C742"/>
      <c r="D742"/>
      <c r="E742"/>
      <c r="F742" t="s">
        <v>4787</v>
      </c>
      <c r="G742"/>
      <c r="H742"/>
      <c r="I742" t="s">
        <v>4788</v>
      </c>
      <c r="J742" t="s">
        <v>131</v>
      </c>
      <c r="K742"/>
      <c r="L742"/>
      <c r="M742"/>
      <c r="N742"/>
      <c r="O742"/>
      <c r="P742"/>
      <c r="Q742"/>
      <c r="R742"/>
      <c r="S742"/>
      <c r="T742"/>
      <c r="U742"/>
      <c r="V742"/>
      <c r="W742"/>
      <c r="X742"/>
      <c r="Y742"/>
      <c r="Z742"/>
      <c r="AA742" t="s">
        <v>4789</v>
      </c>
      <c r="AB742" t="s">
        <v>4790</v>
      </c>
      <c r="AC742"/>
      <c r="AD742"/>
      <c r="AE742"/>
      <c r="AF742"/>
      <c r="AG742"/>
      <c r="AH742"/>
      <c r="AI742"/>
      <c r="AJ742"/>
      <c r="AK742"/>
      <c r="AL742"/>
      <c r="AM742"/>
      <c r="AN742"/>
      <c r="AO742" t="s">
        <v>134</v>
      </c>
      <c r="AP742" t="s">
        <v>135</v>
      </c>
      <c r="AQ742"/>
      <c r="AR742"/>
      <c r="AS742"/>
      <c r="AT742"/>
      <c r="AU742">
        <v>2020</v>
      </c>
      <c r="AV742">
        <v>20</v>
      </c>
      <c r="AW742">
        <v>1</v>
      </c>
      <c r="AX742"/>
      <c r="AY742"/>
      <c r="AZ742"/>
      <c r="BA742"/>
      <c r="BB742">
        <v>13</v>
      </c>
      <c r="BC742">
        <v>20</v>
      </c>
      <c r="BD742"/>
      <c r="BE742" t="s">
        <v>4791</v>
      </c>
      <c r="BF742" t="str">
        <f>HYPERLINK("http://dx.doi.org/10.14529/hsm200102","http://dx.doi.org/10.14529/hsm200102")</f>
        <v>http://dx.doi.org/10.14529/hsm200102</v>
      </c>
      <c r="BG742"/>
      <c r="BH742"/>
      <c r="BI742"/>
      <c r="BJ742"/>
      <c r="BK742"/>
      <c r="BL742"/>
      <c r="BM742"/>
      <c r="BN742"/>
      <c r="BO742"/>
      <c r="BP742"/>
      <c r="BQ742"/>
      <c r="BR742"/>
      <c r="BS742" t="s">
        <v>4792</v>
      </c>
      <c r="BT742" t="str">
        <f>HYPERLINK("https%3A%2F%2Fwww.webofscience.com%2Fwos%2Fwoscc%2Ffull-record%2FWOS:000539044700002","View Full Record in Web of Science")</f>
        <v>View Full Record in Web of Science</v>
      </c>
    </row>
    <row r="743" spans="1:75" customHeight="1" ht="12.75">
      <c r="A743" t="s">
        <v>72</v>
      </c>
      <c r="B743" t="s">
        <v>4793</v>
      </c>
      <c r="C743"/>
      <c r="D743"/>
      <c r="E743"/>
      <c r="F743" t="s">
        <v>4794</v>
      </c>
      <c r="G743"/>
      <c r="H743"/>
      <c r="I743" t="s">
        <v>4795</v>
      </c>
      <c r="J743" t="s">
        <v>244</v>
      </c>
      <c r="K743"/>
      <c r="L743"/>
      <c r="M743"/>
      <c r="N743"/>
      <c r="O743"/>
      <c r="P743"/>
      <c r="Q743"/>
      <c r="R743"/>
      <c r="S743"/>
      <c r="T743"/>
      <c r="U743"/>
      <c r="V743"/>
      <c r="W743"/>
      <c r="X743"/>
      <c r="Y743"/>
      <c r="Z743"/>
      <c r="AA743"/>
      <c r="AB743" t="s">
        <v>4796</v>
      </c>
      <c r="AC743"/>
      <c r="AD743"/>
      <c r="AE743"/>
      <c r="AF743"/>
      <c r="AG743"/>
      <c r="AH743"/>
      <c r="AI743"/>
      <c r="AJ743"/>
      <c r="AK743"/>
      <c r="AL743"/>
      <c r="AM743"/>
      <c r="AN743"/>
      <c r="AO743" t="s">
        <v>245</v>
      </c>
      <c r="AP743" t="s">
        <v>246</v>
      </c>
      <c r="AQ743"/>
      <c r="AR743"/>
      <c r="AS743"/>
      <c r="AT743"/>
      <c r="AU743">
        <v>2018</v>
      </c>
      <c r="AV743"/>
      <c r="AW743">
        <v>6</v>
      </c>
      <c r="AX743"/>
      <c r="AY743"/>
      <c r="AZ743"/>
      <c r="BA743"/>
      <c r="BB743">
        <v>16</v>
      </c>
      <c r="BC743">
        <v>25</v>
      </c>
      <c r="BD743"/>
      <c r="BE743"/>
      <c r="BF743"/>
      <c r="BG743"/>
      <c r="BH743"/>
      <c r="BI743"/>
      <c r="BJ743"/>
      <c r="BK743"/>
      <c r="BL743"/>
      <c r="BM743"/>
      <c r="BN743"/>
      <c r="BO743"/>
      <c r="BP743"/>
      <c r="BQ743"/>
      <c r="BR743"/>
      <c r="BS743" t="s">
        <v>4797</v>
      </c>
      <c r="BT743" t="str">
        <f>HYPERLINK("https%3A%2F%2Fwww.webofscience.com%2Fwos%2Fwoscc%2Ffull-record%2FWOS:000438631600002","View Full Record in Web of Science")</f>
        <v>View Full Record in Web of Science</v>
      </c>
    </row>
    <row r="744" spans="1:75" customHeight="1" ht="12.75">
      <c r="A744" t="s">
        <v>72</v>
      </c>
      <c r="B744" t="s">
        <v>4798</v>
      </c>
      <c r="C744"/>
      <c r="D744"/>
      <c r="E744"/>
      <c r="F744" t="s">
        <v>4799</v>
      </c>
      <c r="G744"/>
      <c r="H744"/>
      <c r="I744" t="s">
        <v>4800</v>
      </c>
      <c r="J744" t="s">
        <v>668</v>
      </c>
      <c r="K744"/>
      <c r="L744"/>
      <c r="M744"/>
      <c r="N744"/>
      <c r="O744"/>
      <c r="P744"/>
      <c r="Q744"/>
      <c r="R744"/>
      <c r="S744"/>
      <c r="T744"/>
      <c r="U744"/>
      <c r="V744"/>
      <c r="W744"/>
      <c r="X744"/>
      <c r="Y744"/>
      <c r="Z744"/>
      <c r="AA744" t="s">
        <v>3442</v>
      </c>
      <c r="AB744" t="s">
        <v>3443</v>
      </c>
      <c r="AC744"/>
      <c r="AD744"/>
      <c r="AE744"/>
      <c r="AF744"/>
      <c r="AG744"/>
      <c r="AH744"/>
      <c r="AI744"/>
      <c r="AJ744"/>
      <c r="AK744"/>
      <c r="AL744"/>
      <c r="AM744"/>
      <c r="AN744"/>
      <c r="AO744" t="s">
        <v>669</v>
      </c>
      <c r="AP744" t="s">
        <v>670</v>
      </c>
      <c r="AQ744"/>
      <c r="AR744"/>
      <c r="AS744"/>
      <c r="AT744"/>
      <c r="AU744">
        <v>2021</v>
      </c>
      <c r="AV744"/>
      <c r="AW744">
        <v>11</v>
      </c>
      <c r="AX744"/>
      <c r="AY744"/>
      <c r="AZ744"/>
      <c r="BA744"/>
      <c r="BB744">
        <v>28</v>
      </c>
      <c r="BC744">
        <v>49</v>
      </c>
      <c r="BD744"/>
      <c r="BE744" t="s">
        <v>4801</v>
      </c>
      <c r="BF744" t="str">
        <f>HYPERLINK("http://dx.doi.org/10.24224/2227-1295-2021-11-28-49","http://dx.doi.org/10.24224/2227-1295-2021-11-28-49")</f>
        <v>http://dx.doi.org/10.24224/2227-1295-2021-11-28-49</v>
      </c>
      <c r="BG744"/>
      <c r="BH744"/>
      <c r="BI744"/>
      <c r="BJ744"/>
      <c r="BK744"/>
      <c r="BL744"/>
      <c r="BM744"/>
      <c r="BN744"/>
      <c r="BO744"/>
      <c r="BP744"/>
      <c r="BQ744"/>
      <c r="BR744"/>
      <c r="BS744" t="s">
        <v>4802</v>
      </c>
      <c r="BT744" t="str">
        <f>HYPERLINK("https%3A%2F%2Fwww.webofscience.com%2Fwos%2Fwoscc%2Ffull-record%2FWOS:000726493300002","View Full Record in Web of Science")</f>
        <v>View Full Record in Web of Science</v>
      </c>
    </row>
    <row r="745" spans="1:75" customHeight="1" ht="12.75">
      <c r="A745" t="s">
        <v>72</v>
      </c>
      <c r="B745" t="s">
        <v>4803</v>
      </c>
      <c r="C745"/>
      <c r="D745"/>
      <c r="E745"/>
      <c r="F745" t="s">
        <v>4804</v>
      </c>
      <c r="G745"/>
      <c r="H745"/>
      <c r="I745" t="s">
        <v>4805</v>
      </c>
      <c r="J745" t="s">
        <v>4806</v>
      </c>
      <c r="K745"/>
      <c r="L745"/>
      <c r="M745"/>
      <c r="N745"/>
      <c r="O745"/>
      <c r="P745"/>
      <c r="Q745"/>
      <c r="R745"/>
      <c r="S745"/>
      <c r="T745"/>
      <c r="U745"/>
      <c r="V745"/>
      <c r="W745"/>
      <c r="X745"/>
      <c r="Y745"/>
      <c r="Z745"/>
      <c r="AA745" t="s">
        <v>4807</v>
      </c>
      <c r="AB745" t="s">
        <v>4808</v>
      </c>
      <c r="AC745"/>
      <c r="AD745"/>
      <c r="AE745"/>
      <c r="AF745"/>
      <c r="AG745"/>
      <c r="AH745"/>
      <c r="AI745"/>
      <c r="AJ745"/>
      <c r="AK745"/>
      <c r="AL745"/>
      <c r="AM745"/>
      <c r="AN745"/>
      <c r="AO745" t="s">
        <v>4809</v>
      </c>
      <c r="AP745" t="s">
        <v>4810</v>
      </c>
      <c r="AQ745"/>
      <c r="AR745"/>
      <c r="AS745"/>
      <c r="AT745"/>
      <c r="AU745">
        <v>2021</v>
      </c>
      <c r="AV745">
        <v>13</v>
      </c>
      <c r="AW745">
        <v>1</v>
      </c>
      <c r="AX745"/>
      <c r="AY745"/>
      <c r="AZ745"/>
      <c r="BA745"/>
      <c r="BB745">
        <v>113</v>
      </c>
      <c r="BC745">
        <v>124</v>
      </c>
      <c r="BD745"/>
      <c r="BE745" t="s">
        <v>4811</v>
      </c>
      <c r="BF745" t="str">
        <f>HYPERLINK("http://dx.doi.org/10.37043/JURA.2021.13.1.7","http://dx.doi.org/10.37043/JURA.2021.13.1.7")</f>
        <v>http://dx.doi.org/10.37043/JURA.2021.13.1.7</v>
      </c>
      <c r="BG745"/>
      <c r="BH745"/>
      <c r="BI745"/>
      <c r="BJ745"/>
      <c r="BK745"/>
      <c r="BL745"/>
      <c r="BM745"/>
      <c r="BN745"/>
      <c r="BO745"/>
      <c r="BP745"/>
      <c r="BQ745"/>
      <c r="BR745"/>
      <c r="BS745" t="s">
        <v>4812</v>
      </c>
      <c r="BT745" t="str">
        <f>HYPERLINK("https%3A%2F%2Fwww.webofscience.com%2Fwos%2Fwoscc%2Ffull-record%2FWOS:000625366100007","View Full Record in Web of Science")</f>
        <v>View Full Record in Web of Science</v>
      </c>
    </row>
    <row r="746" spans="1:75" customHeight="1" ht="12.75">
      <c r="A746" t="s">
        <v>72</v>
      </c>
      <c r="B746" t="s">
        <v>4813</v>
      </c>
      <c r="C746"/>
      <c r="D746"/>
      <c r="E746"/>
      <c r="F746" t="s">
        <v>4814</v>
      </c>
      <c r="G746"/>
      <c r="H746"/>
      <c r="I746" t="s">
        <v>4815</v>
      </c>
      <c r="J746" t="s">
        <v>3412</v>
      </c>
      <c r="K746"/>
      <c r="L746"/>
      <c r="M746"/>
      <c r="N746"/>
      <c r="O746"/>
      <c r="P746"/>
      <c r="Q746"/>
      <c r="R746"/>
      <c r="S746"/>
      <c r="T746"/>
      <c r="U746"/>
      <c r="V746"/>
      <c r="W746"/>
      <c r="X746"/>
      <c r="Y746"/>
      <c r="Z746"/>
      <c r="AA746" t="s">
        <v>4816</v>
      </c>
      <c r="AB746" t="s">
        <v>4817</v>
      </c>
      <c r="AC746"/>
      <c r="AD746"/>
      <c r="AE746"/>
      <c r="AF746"/>
      <c r="AG746"/>
      <c r="AH746"/>
      <c r="AI746"/>
      <c r="AJ746"/>
      <c r="AK746"/>
      <c r="AL746"/>
      <c r="AM746"/>
      <c r="AN746"/>
      <c r="AO746" t="s">
        <v>3415</v>
      </c>
      <c r="AP746" t="s">
        <v>3416</v>
      </c>
      <c r="AQ746"/>
      <c r="AR746"/>
      <c r="AS746"/>
      <c r="AT746"/>
      <c r="AU746">
        <v>2018</v>
      </c>
      <c r="AV746">
        <v>28</v>
      </c>
      <c r="AW746">
        <v>3</v>
      </c>
      <c r="AX746"/>
      <c r="AY746"/>
      <c r="AZ746"/>
      <c r="BA746"/>
      <c r="BB746">
        <v>445</v>
      </c>
      <c r="BC746">
        <v>459</v>
      </c>
      <c r="BD746"/>
      <c r="BE746" t="s">
        <v>4818</v>
      </c>
      <c r="BF746" t="str">
        <f>HYPERLINK("http://dx.doi.org/10.15507/0236-2910.028.201803.445-459","http://dx.doi.org/10.15507/0236-2910.028.201803.445-459")</f>
        <v>http://dx.doi.org/10.15507/0236-2910.028.201803.445-459</v>
      </c>
      <c r="BG746"/>
      <c r="BH746"/>
      <c r="BI746"/>
      <c r="BJ746"/>
      <c r="BK746"/>
      <c r="BL746"/>
      <c r="BM746"/>
      <c r="BN746"/>
      <c r="BO746"/>
      <c r="BP746"/>
      <c r="BQ746"/>
      <c r="BR746"/>
      <c r="BS746" t="s">
        <v>4819</v>
      </c>
      <c r="BT746" t="str">
        <f>HYPERLINK("https%3A%2F%2Fwww.webofscience.com%2Fwos%2Fwoscc%2Ffull-record%2FWOS:000444121400012","View Full Record in Web of Science")</f>
        <v>View Full Record in Web of Science</v>
      </c>
    </row>
    <row r="747" spans="1:75" customHeight="1" ht="12.75">
      <c r="A747" t="s">
        <v>72</v>
      </c>
      <c r="B747" t="s">
        <v>4820</v>
      </c>
      <c r="C747"/>
      <c r="D747"/>
      <c r="E747"/>
      <c r="F747" t="s">
        <v>4821</v>
      </c>
      <c r="G747"/>
      <c r="H747"/>
      <c r="I747" t="s">
        <v>4822</v>
      </c>
      <c r="J747" t="s">
        <v>4823</v>
      </c>
      <c r="K747"/>
      <c r="L747"/>
      <c r="M747"/>
      <c r="N747"/>
      <c r="O747"/>
      <c r="P747"/>
      <c r="Q747"/>
      <c r="R747"/>
      <c r="S747"/>
      <c r="T747"/>
      <c r="U747"/>
      <c r="V747"/>
      <c r="W747"/>
      <c r="X747"/>
      <c r="Y747"/>
      <c r="Z747"/>
      <c r="AA747" t="s">
        <v>4824</v>
      </c>
      <c r="AB747" t="s">
        <v>4825</v>
      </c>
      <c r="AC747"/>
      <c r="AD747"/>
      <c r="AE747"/>
      <c r="AF747"/>
      <c r="AG747"/>
      <c r="AH747"/>
      <c r="AI747"/>
      <c r="AJ747"/>
      <c r="AK747"/>
      <c r="AL747"/>
      <c r="AM747"/>
      <c r="AN747"/>
      <c r="AO747" t="s">
        <v>4826</v>
      </c>
      <c r="AP747"/>
      <c r="AQ747"/>
      <c r="AR747"/>
      <c r="AS747"/>
      <c r="AT747" t="s">
        <v>3420</v>
      </c>
      <c r="AU747">
        <v>2018</v>
      </c>
      <c r="AV747">
        <v>18</v>
      </c>
      <c r="AW747">
        <v>1</v>
      </c>
      <c r="AX747"/>
      <c r="AY747"/>
      <c r="AZ747"/>
      <c r="BA747"/>
      <c r="BB747">
        <v>73</v>
      </c>
      <c r="BC747">
        <v>78</v>
      </c>
      <c r="BD747"/>
      <c r="BE747" t="s">
        <v>4827</v>
      </c>
      <c r="BF747" t="str">
        <f>HYPERLINK("http://dx.doi.org/10.18083/LCAppl.2018.1.73","http://dx.doi.org/10.18083/LCAppl.2018.1.73")</f>
        <v>http://dx.doi.org/10.18083/LCAppl.2018.1.73</v>
      </c>
      <c r="BG747"/>
      <c r="BH747"/>
      <c r="BI747"/>
      <c r="BJ747"/>
      <c r="BK747"/>
      <c r="BL747"/>
      <c r="BM747"/>
      <c r="BN747"/>
      <c r="BO747"/>
      <c r="BP747"/>
      <c r="BQ747"/>
      <c r="BR747"/>
      <c r="BS747" t="s">
        <v>4828</v>
      </c>
      <c r="BT747" t="str">
        <f>HYPERLINK("https%3A%2F%2Fwww.webofscience.com%2Fwos%2Fwoscc%2Ffull-record%2FWOS:000428106400009","View Full Record in Web of Science")</f>
        <v>View Full Record in Web of Science</v>
      </c>
    </row>
    <row r="748" spans="1:75" customHeight="1" ht="12.75">
      <c r="A748" t="s">
        <v>72</v>
      </c>
      <c r="B748" t="s">
        <v>4829</v>
      </c>
      <c r="C748"/>
      <c r="D748"/>
      <c r="E748"/>
      <c r="F748" t="s">
        <v>4830</v>
      </c>
      <c r="G748"/>
      <c r="H748"/>
      <c r="I748" t="s">
        <v>4831</v>
      </c>
      <c r="J748" t="s">
        <v>4832</v>
      </c>
      <c r="K748"/>
      <c r="L748"/>
      <c r="M748"/>
      <c r="N748"/>
      <c r="O748"/>
      <c r="P748"/>
      <c r="Q748"/>
      <c r="R748"/>
      <c r="S748"/>
      <c r="T748"/>
      <c r="U748"/>
      <c r="V748"/>
      <c r="W748"/>
      <c r="X748"/>
      <c r="Y748"/>
      <c r="Z748"/>
      <c r="AA748" t="s">
        <v>758</v>
      </c>
      <c r="AB748" t="s">
        <v>759</v>
      </c>
      <c r="AC748"/>
      <c r="AD748"/>
      <c r="AE748"/>
      <c r="AF748"/>
      <c r="AG748"/>
      <c r="AH748"/>
      <c r="AI748"/>
      <c r="AJ748"/>
      <c r="AK748"/>
      <c r="AL748"/>
      <c r="AM748"/>
      <c r="AN748"/>
      <c r="AO748" t="s">
        <v>4833</v>
      </c>
      <c r="AP748" t="s">
        <v>4834</v>
      </c>
      <c r="AQ748"/>
      <c r="AR748"/>
      <c r="AS748"/>
      <c r="AT748" t="s">
        <v>88</v>
      </c>
      <c r="AU748">
        <v>2012</v>
      </c>
      <c r="AV748">
        <v>82</v>
      </c>
      <c r="AW748">
        <v>5</v>
      </c>
      <c r="AX748"/>
      <c r="AY748"/>
      <c r="AZ748"/>
      <c r="BA748"/>
      <c r="BB748">
        <v>977</v>
      </c>
      <c r="BC748">
        <v>984</v>
      </c>
      <c r="BD748"/>
      <c r="BE748" t="s">
        <v>4835</v>
      </c>
      <c r="BF748" t="str">
        <f>HYPERLINK("http://dx.doi.org/10.1134/S1070363212050313","http://dx.doi.org/10.1134/S1070363212050313")</f>
        <v>http://dx.doi.org/10.1134/S1070363212050313</v>
      </c>
      <c r="BG748"/>
      <c r="BH748"/>
      <c r="BI748"/>
      <c r="BJ748"/>
      <c r="BK748"/>
      <c r="BL748"/>
      <c r="BM748"/>
      <c r="BN748"/>
      <c r="BO748"/>
      <c r="BP748"/>
      <c r="BQ748"/>
      <c r="BR748"/>
      <c r="BS748" t="s">
        <v>4836</v>
      </c>
      <c r="BT748" t="str">
        <f>HYPERLINK("https%3A%2F%2Fwww.webofscience.com%2Fwos%2Fwoscc%2Ffull-record%2FWOS:000305479400031","View Full Record in Web of Science")</f>
        <v>View Full Record in Web of Science</v>
      </c>
    </row>
    <row r="749" spans="1:75" customHeight="1" ht="12.75">
      <c r="A749" t="s">
        <v>72</v>
      </c>
      <c r="B749" t="s">
        <v>4837</v>
      </c>
      <c r="C749"/>
      <c r="D749"/>
      <c r="E749"/>
      <c r="F749" t="s">
        <v>4838</v>
      </c>
      <c r="G749"/>
      <c r="H749"/>
      <c r="I749" t="s">
        <v>4839</v>
      </c>
      <c r="J749" t="s">
        <v>4840</v>
      </c>
      <c r="K749"/>
      <c r="L749"/>
      <c r="M749"/>
      <c r="N749"/>
      <c r="O749"/>
      <c r="P749"/>
      <c r="Q749"/>
      <c r="R749"/>
      <c r="S749"/>
      <c r="T749"/>
      <c r="U749"/>
      <c r="V749"/>
      <c r="W749"/>
      <c r="X749"/>
      <c r="Y749"/>
      <c r="Z749"/>
      <c r="AA749"/>
      <c r="AB749" t="s">
        <v>4841</v>
      </c>
      <c r="AC749"/>
      <c r="AD749"/>
      <c r="AE749"/>
      <c r="AF749"/>
      <c r="AG749"/>
      <c r="AH749"/>
      <c r="AI749"/>
      <c r="AJ749"/>
      <c r="AK749"/>
      <c r="AL749"/>
      <c r="AM749"/>
      <c r="AN749"/>
      <c r="AO749" t="s">
        <v>4842</v>
      </c>
      <c r="AP749" t="s">
        <v>4843</v>
      </c>
      <c r="AQ749"/>
      <c r="AR749"/>
      <c r="AS749"/>
      <c r="AT749"/>
      <c r="AU749">
        <v>2023</v>
      </c>
      <c r="AV749">
        <v>22</v>
      </c>
      <c r="AW749">
        <v>1</v>
      </c>
      <c r="AX749"/>
      <c r="AY749"/>
      <c r="AZ749"/>
      <c r="BA749"/>
      <c r="BB749">
        <v>162</v>
      </c>
      <c r="BC749">
        <v>172</v>
      </c>
      <c r="BD749"/>
      <c r="BE749" t="s">
        <v>4844</v>
      </c>
      <c r="BF749" t="str">
        <f>HYPERLINK("http://dx.doi.org/10.15688/jvolsu2.2023.1.13","http://dx.doi.org/10.15688/jvolsu2.2023.1.13")</f>
        <v>http://dx.doi.org/10.15688/jvolsu2.2023.1.13</v>
      </c>
      <c r="BG749"/>
      <c r="BH749"/>
      <c r="BI749"/>
      <c r="BJ749"/>
      <c r="BK749"/>
      <c r="BL749"/>
      <c r="BM749"/>
      <c r="BN749"/>
      <c r="BO749"/>
      <c r="BP749"/>
      <c r="BQ749"/>
      <c r="BR749"/>
      <c r="BS749" t="s">
        <v>4845</v>
      </c>
      <c r="BT749" t="str">
        <f>HYPERLINK("https%3A%2F%2Fwww.webofscience.com%2Fwos%2Fwoscc%2Ffull-record%2FWOS:000961036800002","View Full Record in Web of Science")</f>
        <v>View Full Record in Web of Science</v>
      </c>
    </row>
    <row r="750" spans="1:75" customHeight="1" ht="12.75">
      <c r="A750" t="s">
        <v>72</v>
      </c>
      <c r="B750" t="s">
        <v>4846</v>
      </c>
      <c r="C750"/>
      <c r="D750"/>
      <c r="E750"/>
      <c r="F750" t="s">
        <v>4847</v>
      </c>
      <c r="G750"/>
      <c r="H750"/>
      <c r="I750" t="s">
        <v>4848</v>
      </c>
      <c r="J750" t="s">
        <v>4849</v>
      </c>
      <c r="K750"/>
      <c r="L750"/>
      <c r="M750"/>
      <c r="N750"/>
      <c r="O750"/>
      <c r="P750"/>
      <c r="Q750"/>
      <c r="R750"/>
      <c r="S750"/>
      <c r="T750"/>
      <c r="U750"/>
      <c r="V750"/>
      <c r="W750"/>
      <c r="X750"/>
      <c r="Y750"/>
      <c r="Z750"/>
      <c r="AA750" t="s">
        <v>4850</v>
      </c>
      <c r="AB750" t="s">
        <v>4851</v>
      </c>
      <c r="AC750"/>
      <c r="AD750"/>
      <c r="AE750"/>
      <c r="AF750"/>
      <c r="AG750"/>
      <c r="AH750"/>
      <c r="AI750"/>
      <c r="AJ750"/>
      <c r="AK750"/>
      <c r="AL750"/>
      <c r="AM750"/>
      <c r="AN750"/>
      <c r="AO750" t="s">
        <v>4852</v>
      </c>
      <c r="AP750" t="s">
        <v>4853</v>
      </c>
      <c r="AQ750"/>
      <c r="AR750"/>
      <c r="AS750"/>
      <c r="AT750" t="s">
        <v>830</v>
      </c>
      <c r="AU750">
        <v>2022</v>
      </c>
      <c r="AV750">
        <v>100</v>
      </c>
      <c r="AW750">
        <v>3</v>
      </c>
      <c r="AX750"/>
      <c r="AY750"/>
      <c r="AZ750"/>
      <c r="BA750"/>
      <c r="BB750">
        <v>297</v>
      </c>
      <c r="BC750">
        <v>298</v>
      </c>
      <c r="BD750"/>
      <c r="BE750" t="s">
        <v>4854</v>
      </c>
      <c r="BF750" t="str">
        <f>HYPERLINK("http://dx.doi.org/10.1111/tan.14644","http://dx.doi.org/10.1111/tan.14644")</f>
        <v>http://dx.doi.org/10.1111/tan.14644</v>
      </c>
      <c r="BG750"/>
      <c r="BH750" t="s">
        <v>4855</v>
      </c>
      <c r="BI750"/>
      <c r="BJ750"/>
      <c r="BK750"/>
      <c r="BL750"/>
      <c r="BM750"/>
      <c r="BN750">
        <v>35470968</v>
      </c>
      <c r="BO750"/>
      <c r="BP750"/>
      <c r="BQ750"/>
      <c r="BR750"/>
      <c r="BS750" t="s">
        <v>4856</v>
      </c>
      <c r="BT750" t="str">
        <f>HYPERLINK("https%3A%2F%2Fwww.webofscience.com%2Fwos%2Fwoscc%2Ffull-record%2FWOS:000791529900001","View Full Record in Web of Science")</f>
        <v>View Full Record in Web of Science</v>
      </c>
    </row>
    <row r="751" spans="1:75" customHeight="1" ht="12.75">
      <c r="A751" t="s">
        <v>72</v>
      </c>
      <c r="B751" t="s">
        <v>4857</v>
      </c>
      <c r="C751"/>
      <c r="D751"/>
      <c r="E751"/>
      <c r="F751" t="s">
        <v>4858</v>
      </c>
      <c r="G751"/>
      <c r="H751"/>
      <c r="I751" t="s">
        <v>4859</v>
      </c>
      <c r="J751" t="s">
        <v>4860</v>
      </c>
      <c r="K751"/>
      <c r="L751"/>
      <c r="M751"/>
      <c r="N751"/>
      <c r="O751"/>
      <c r="P751"/>
      <c r="Q751"/>
      <c r="R751"/>
      <c r="S751"/>
      <c r="T751"/>
      <c r="U751"/>
      <c r="V751"/>
      <c r="W751"/>
      <c r="X751"/>
      <c r="Y751"/>
      <c r="Z751"/>
      <c r="AA751" t="s">
        <v>4073</v>
      </c>
      <c r="AB751" t="s">
        <v>4074</v>
      </c>
      <c r="AC751"/>
      <c r="AD751"/>
      <c r="AE751"/>
      <c r="AF751"/>
      <c r="AG751"/>
      <c r="AH751"/>
      <c r="AI751"/>
      <c r="AJ751"/>
      <c r="AK751"/>
      <c r="AL751"/>
      <c r="AM751"/>
      <c r="AN751"/>
      <c r="AO751" t="s">
        <v>4861</v>
      </c>
      <c r="AP751"/>
      <c r="AQ751"/>
      <c r="AR751"/>
      <c r="AS751"/>
      <c r="AT751" t="s">
        <v>78</v>
      </c>
      <c r="AU751">
        <v>2021</v>
      </c>
      <c r="AV751"/>
      <c r="AW751">
        <v>3</v>
      </c>
      <c r="AX751"/>
      <c r="AY751"/>
      <c r="AZ751"/>
      <c r="BA751"/>
      <c r="BB751">
        <v>102</v>
      </c>
      <c r="BC751">
        <v>120</v>
      </c>
      <c r="BD751"/>
      <c r="BE751" t="s">
        <v>4862</v>
      </c>
      <c r="BF751" t="str">
        <f>HYPERLINK("http://dx.doi.org/10.30547/vestnik.journ.3.2021.102120","http://dx.doi.org/10.30547/vestnik.journ.3.2021.102120")</f>
        <v>http://dx.doi.org/10.30547/vestnik.journ.3.2021.102120</v>
      </c>
      <c r="BG751"/>
      <c r="BH751"/>
      <c r="BI751"/>
      <c r="BJ751"/>
      <c r="BK751"/>
      <c r="BL751"/>
      <c r="BM751"/>
      <c r="BN751"/>
      <c r="BO751"/>
      <c r="BP751"/>
      <c r="BQ751"/>
      <c r="BR751"/>
      <c r="BS751" t="s">
        <v>4863</v>
      </c>
      <c r="BT751" t="str">
        <f>HYPERLINK("https%3A%2F%2Fwww.webofscience.com%2Fwos%2Fwoscc%2Ffull-record%2FWOS:000670636000005","View Full Record in Web of Science")</f>
        <v>View Full Record in Web of Science</v>
      </c>
    </row>
    <row r="752" spans="1:75" customHeight="1" ht="12.75">
      <c r="A752" t="s">
        <v>72</v>
      </c>
      <c r="B752" t="s">
        <v>4703</v>
      </c>
      <c r="C752"/>
      <c r="D752"/>
      <c r="E752"/>
      <c r="F752" t="s">
        <v>4704</v>
      </c>
      <c r="G752"/>
      <c r="H752"/>
      <c r="I752" t="s">
        <v>4864</v>
      </c>
      <c r="J752" t="s">
        <v>2211</v>
      </c>
      <c r="K752"/>
      <c r="L752"/>
      <c r="M752"/>
      <c r="N752"/>
      <c r="O752"/>
      <c r="P752"/>
      <c r="Q752"/>
      <c r="R752"/>
      <c r="S752"/>
      <c r="T752"/>
      <c r="U752"/>
      <c r="V752"/>
      <c r="W752"/>
      <c r="X752"/>
      <c r="Y752"/>
      <c r="Z752"/>
      <c r="AA752"/>
      <c r="AB752"/>
      <c r="AC752"/>
      <c r="AD752"/>
      <c r="AE752"/>
      <c r="AF752"/>
      <c r="AG752"/>
      <c r="AH752"/>
      <c r="AI752"/>
      <c r="AJ752"/>
      <c r="AK752"/>
      <c r="AL752"/>
      <c r="AM752"/>
      <c r="AN752"/>
      <c r="AO752" t="s">
        <v>2214</v>
      </c>
      <c r="AP752" t="s">
        <v>2215</v>
      </c>
      <c r="AQ752"/>
      <c r="AR752"/>
      <c r="AS752"/>
      <c r="AT752" t="s">
        <v>198</v>
      </c>
      <c r="AU752">
        <v>2021</v>
      </c>
      <c r="AV752">
        <v>68</v>
      </c>
      <c r="AW752">
        <v>4</v>
      </c>
      <c r="AX752"/>
      <c r="AY752"/>
      <c r="AZ752"/>
      <c r="BA752"/>
      <c r="BB752">
        <v>310</v>
      </c>
      <c r="BC752">
        <v>323</v>
      </c>
      <c r="BD752"/>
      <c r="BE752" t="s">
        <v>4865</v>
      </c>
      <c r="BF752" t="str">
        <f>HYPERLINK("http://dx.doi.org/10.1134/S0040601521040066","http://dx.doi.org/10.1134/S0040601521040066")</f>
        <v>http://dx.doi.org/10.1134/S0040601521040066</v>
      </c>
      <c r="BG752"/>
      <c r="BH752"/>
      <c r="BI752"/>
      <c r="BJ752"/>
      <c r="BK752"/>
      <c r="BL752"/>
      <c r="BM752"/>
      <c r="BN752"/>
      <c r="BO752"/>
      <c r="BP752"/>
      <c r="BQ752"/>
      <c r="BR752"/>
      <c r="BS752" t="s">
        <v>4866</v>
      </c>
      <c r="BT752" t="str">
        <f>HYPERLINK("https%3A%2F%2Fwww.webofscience.com%2Fwos%2Fwoscc%2Ffull-record%2FWOS:000755789400007","View Full Record in Web of Science")</f>
        <v>View Full Record in Web of Science</v>
      </c>
    </row>
    <row r="753" spans="1:75" customHeight="1" ht="12.75">
      <c r="A753" t="s">
        <v>72</v>
      </c>
      <c r="B753" t="s">
        <v>4867</v>
      </c>
      <c r="C753"/>
      <c r="D753"/>
      <c r="E753"/>
      <c r="F753" t="s">
        <v>4868</v>
      </c>
      <c r="G753"/>
      <c r="H753"/>
      <c r="I753" t="s">
        <v>4869</v>
      </c>
      <c r="J753" t="s">
        <v>3310</v>
      </c>
      <c r="K753"/>
      <c r="L753"/>
      <c r="M753"/>
      <c r="N753"/>
      <c r="O753"/>
      <c r="P753"/>
      <c r="Q753"/>
      <c r="R753"/>
      <c r="S753"/>
      <c r="T753"/>
      <c r="U753"/>
      <c r="V753"/>
      <c r="W753"/>
      <c r="X753"/>
      <c r="Y753"/>
      <c r="Z753"/>
      <c r="AA753" t="s">
        <v>4870</v>
      </c>
      <c r="AB753" t="s">
        <v>4871</v>
      </c>
      <c r="AC753"/>
      <c r="AD753"/>
      <c r="AE753"/>
      <c r="AF753"/>
      <c r="AG753"/>
      <c r="AH753"/>
      <c r="AI753"/>
      <c r="AJ753"/>
      <c r="AK753"/>
      <c r="AL753"/>
      <c r="AM753"/>
      <c r="AN753"/>
      <c r="AO753" t="s">
        <v>3313</v>
      </c>
      <c r="AP753"/>
      <c r="AQ753"/>
      <c r="AR753"/>
      <c r="AS753"/>
      <c r="AT753" t="s">
        <v>307</v>
      </c>
      <c r="AU753">
        <v>2016</v>
      </c>
      <c r="AV753">
        <v>37</v>
      </c>
      <c r="AW753">
        <v>1</v>
      </c>
      <c r="AX753"/>
      <c r="AY753"/>
      <c r="AZ753"/>
      <c r="BA753"/>
      <c r="BB753">
        <v>142</v>
      </c>
      <c r="BC753">
        <v>144</v>
      </c>
      <c r="BD753"/>
      <c r="BE753"/>
      <c r="BF753"/>
      <c r="BG753"/>
      <c r="BH753"/>
      <c r="BI753"/>
      <c r="BJ753"/>
      <c r="BK753"/>
      <c r="BL753"/>
      <c r="BM753"/>
      <c r="BN753"/>
      <c r="BO753"/>
      <c r="BP753"/>
      <c r="BQ753"/>
      <c r="BR753"/>
      <c r="BS753" t="s">
        <v>4872</v>
      </c>
      <c r="BT753" t="str">
        <f>HYPERLINK("https%3A%2F%2Fwww.webofscience.com%2Fwos%2Fwoscc%2Ffull-record%2FWOS:000372373900016","View Full Record in Web of Science")</f>
        <v>View Full Record in Web of Science</v>
      </c>
    </row>
    <row r="754" spans="1:75" customHeight="1" ht="12.75">
      <c r="A754" t="s">
        <v>72</v>
      </c>
      <c r="B754" t="s">
        <v>4873</v>
      </c>
      <c r="C754"/>
      <c r="D754"/>
      <c r="E754"/>
      <c r="F754" t="s">
        <v>4874</v>
      </c>
      <c r="G754"/>
      <c r="H754"/>
      <c r="I754" t="s">
        <v>4875</v>
      </c>
      <c r="J754" t="s">
        <v>4849</v>
      </c>
      <c r="K754"/>
      <c r="L754"/>
      <c r="M754"/>
      <c r="N754"/>
      <c r="O754"/>
      <c r="P754"/>
      <c r="Q754"/>
      <c r="R754"/>
      <c r="S754"/>
      <c r="T754"/>
      <c r="U754"/>
      <c r="V754"/>
      <c r="W754"/>
      <c r="X754"/>
      <c r="Y754"/>
      <c r="Z754"/>
      <c r="AA754" t="s">
        <v>4850</v>
      </c>
      <c r="AB754" t="s">
        <v>4851</v>
      </c>
      <c r="AC754"/>
      <c r="AD754"/>
      <c r="AE754"/>
      <c r="AF754"/>
      <c r="AG754"/>
      <c r="AH754"/>
      <c r="AI754"/>
      <c r="AJ754"/>
      <c r="AK754"/>
      <c r="AL754"/>
      <c r="AM754"/>
      <c r="AN754"/>
      <c r="AO754" t="s">
        <v>4852</v>
      </c>
      <c r="AP754" t="s">
        <v>4853</v>
      </c>
      <c r="AQ754"/>
      <c r="AR754"/>
      <c r="AS754"/>
      <c r="AT754" t="s">
        <v>541</v>
      </c>
      <c r="AU754">
        <v>2023</v>
      </c>
      <c r="AV754">
        <v>101</v>
      </c>
      <c r="AW754">
        <v>1</v>
      </c>
      <c r="AX754"/>
      <c r="AY754"/>
      <c r="AZ754"/>
      <c r="BA754"/>
      <c r="BB754">
        <v>91</v>
      </c>
      <c r="BC754">
        <v>92</v>
      </c>
      <c r="BD754"/>
      <c r="BE754" t="s">
        <v>4876</v>
      </c>
      <c r="BF754" t="str">
        <f>HYPERLINK("http://dx.doi.org/10.1111/tan.14799","http://dx.doi.org/10.1111/tan.14799")</f>
        <v>http://dx.doi.org/10.1111/tan.14799</v>
      </c>
      <c r="BG754"/>
      <c r="BH754" t="s">
        <v>4877</v>
      </c>
      <c r="BI754"/>
      <c r="BJ754"/>
      <c r="BK754"/>
      <c r="BL754"/>
      <c r="BM754"/>
      <c r="BN754">
        <v>36056767</v>
      </c>
      <c r="BO754"/>
      <c r="BP754"/>
      <c r="BQ754"/>
      <c r="BR754"/>
      <c r="BS754" t="s">
        <v>4878</v>
      </c>
      <c r="BT754" t="str">
        <f>HYPERLINK("https%3A%2F%2Fwww.webofscience.com%2Fwos%2Fwoscc%2Ffull-record%2FWOS:000853294700001","View Full Record in Web of Science")</f>
        <v>View Full Record in Web of Science</v>
      </c>
    </row>
    <row r="755" spans="1:75" customHeight="1" ht="12.75">
      <c r="A755" t="s">
        <v>72</v>
      </c>
      <c r="B755" t="s">
        <v>4879</v>
      </c>
      <c r="C755"/>
      <c r="D755"/>
      <c r="E755"/>
      <c r="F755" t="s">
        <v>4880</v>
      </c>
      <c r="G755"/>
      <c r="H755"/>
      <c r="I755" t="s">
        <v>4881</v>
      </c>
      <c r="J755" t="s">
        <v>3618</v>
      </c>
      <c r="K755"/>
      <c r="L755"/>
      <c r="M755"/>
      <c r="N755"/>
      <c r="O755"/>
      <c r="P755"/>
      <c r="Q755"/>
      <c r="R755"/>
      <c r="S755"/>
      <c r="T755"/>
      <c r="U755"/>
      <c r="V755"/>
      <c r="W755"/>
      <c r="X755"/>
      <c r="Y755"/>
      <c r="Z755"/>
      <c r="AA755"/>
      <c r="AB755"/>
      <c r="AC755"/>
      <c r="AD755"/>
      <c r="AE755"/>
      <c r="AF755"/>
      <c r="AG755"/>
      <c r="AH755"/>
      <c r="AI755"/>
      <c r="AJ755"/>
      <c r="AK755"/>
      <c r="AL755"/>
      <c r="AM755"/>
      <c r="AN755"/>
      <c r="AO755" t="s">
        <v>3620</v>
      </c>
      <c r="AP755"/>
      <c r="AQ755"/>
      <c r="AR755"/>
      <c r="AS755"/>
      <c r="AT755" t="s">
        <v>655</v>
      </c>
      <c r="AU755">
        <v>2021</v>
      </c>
      <c r="AV755">
        <v>65</v>
      </c>
      <c r="AW755">
        <v>2</v>
      </c>
      <c r="AX755"/>
      <c r="AY755"/>
      <c r="AZ755"/>
      <c r="BA755"/>
      <c r="BB755">
        <v>37</v>
      </c>
      <c r="BC755">
        <v>44</v>
      </c>
      <c r="BD755"/>
      <c r="BE755" t="s">
        <v>4882</v>
      </c>
      <c r="BF755" t="str">
        <f>HYPERLINK("http://dx.doi.org/10.20542/0131-2227-2021-65-2-37-44","http://dx.doi.org/10.20542/0131-2227-2021-65-2-37-44")</f>
        <v>http://dx.doi.org/10.20542/0131-2227-2021-65-2-37-44</v>
      </c>
      <c r="BG755"/>
      <c r="BH755"/>
      <c r="BI755"/>
      <c r="BJ755"/>
      <c r="BK755"/>
      <c r="BL755"/>
      <c r="BM755"/>
      <c r="BN755"/>
      <c r="BO755"/>
      <c r="BP755"/>
      <c r="BQ755"/>
      <c r="BR755"/>
      <c r="BS755" t="s">
        <v>4883</v>
      </c>
      <c r="BT755" t="str">
        <f>HYPERLINK("https%3A%2F%2Fwww.webofscience.com%2Fwos%2Fwoscc%2Ffull-record%2FWOS:000628793100004","View Full Record in Web of Science")</f>
        <v>View Full Record in Web of Science</v>
      </c>
    </row>
    <row r="756" spans="1:75" customHeight="1" ht="12.75">
      <c r="A756" t="s">
        <v>72</v>
      </c>
      <c r="B756" t="s">
        <v>2877</v>
      </c>
      <c r="C756"/>
      <c r="D756"/>
      <c r="E756"/>
      <c r="F756" t="s">
        <v>2878</v>
      </c>
      <c r="G756"/>
      <c r="H756"/>
      <c r="I756" t="s">
        <v>4884</v>
      </c>
      <c r="J756" t="s">
        <v>2880</v>
      </c>
      <c r="K756"/>
      <c r="L756"/>
      <c r="M756"/>
      <c r="N756"/>
      <c r="O756"/>
      <c r="P756"/>
      <c r="Q756"/>
      <c r="R756"/>
      <c r="S756"/>
      <c r="T756"/>
      <c r="U756"/>
      <c r="V756"/>
      <c r="W756"/>
      <c r="X756"/>
      <c r="Y756"/>
      <c r="Z756"/>
      <c r="AA756"/>
      <c r="AB756"/>
      <c r="AC756"/>
      <c r="AD756"/>
      <c r="AE756"/>
      <c r="AF756"/>
      <c r="AG756"/>
      <c r="AH756"/>
      <c r="AI756"/>
      <c r="AJ756"/>
      <c r="AK756"/>
      <c r="AL756"/>
      <c r="AM756"/>
      <c r="AN756"/>
      <c r="AO756" t="s">
        <v>2881</v>
      </c>
      <c r="AP756" t="s">
        <v>2882</v>
      </c>
      <c r="AQ756"/>
      <c r="AR756"/>
      <c r="AS756"/>
      <c r="AT756" t="s">
        <v>541</v>
      </c>
      <c r="AU756">
        <v>2021</v>
      </c>
      <c r="AV756">
        <v>54</v>
      </c>
      <c r="AW756">
        <v>5</v>
      </c>
      <c r="AX756"/>
      <c r="AY756"/>
      <c r="AZ756"/>
      <c r="BA756"/>
      <c r="BB756">
        <v>308</v>
      </c>
      <c r="BC756">
        <v>311</v>
      </c>
      <c r="BD756"/>
      <c r="BE756" t="s">
        <v>4885</v>
      </c>
      <c r="BF756" t="str">
        <f>HYPERLINK("http://dx.doi.org/10.1007/s10527-021-10028-8","http://dx.doi.org/10.1007/s10527-021-10028-8")</f>
        <v>http://dx.doi.org/10.1007/s10527-021-10028-8</v>
      </c>
      <c r="BG756"/>
      <c r="BH756"/>
      <c r="BI756"/>
      <c r="BJ756"/>
      <c r="BK756"/>
      <c r="BL756"/>
      <c r="BM756"/>
      <c r="BN756"/>
      <c r="BO756"/>
      <c r="BP756"/>
      <c r="BQ756"/>
      <c r="BR756"/>
      <c r="BS756" t="s">
        <v>4886</v>
      </c>
      <c r="BT756" t="str">
        <f>HYPERLINK("https%3A%2F%2Fwww.webofscience.com%2Fwos%2Fwoscc%2Ffull-record%2FWOS:000748264500003","View Full Record in Web of Science")</f>
        <v>View Full Record in Web of Science</v>
      </c>
    </row>
    <row r="757" spans="1:75" customHeight="1" ht="12.75">
      <c r="A757" t="s">
        <v>72</v>
      </c>
      <c r="B757" t="s">
        <v>4887</v>
      </c>
      <c r="C757"/>
      <c r="D757"/>
      <c r="E757"/>
      <c r="F757" t="s">
        <v>4888</v>
      </c>
      <c r="G757"/>
      <c r="H757"/>
      <c r="I757" t="s">
        <v>4889</v>
      </c>
      <c r="J757" t="s">
        <v>95</v>
      </c>
      <c r="K757"/>
      <c r="L757"/>
      <c r="M757"/>
      <c r="N757"/>
      <c r="O757"/>
      <c r="P757"/>
      <c r="Q757"/>
      <c r="R757"/>
      <c r="S757"/>
      <c r="T757"/>
      <c r="U757"/>
      <c r="V757"/>
      <c r="W757"/>
      <c r="X757"/>
      <c r="Y757"/>
      <c r="Z757"/>
      <c r="AA757"/>
      <c r="AB757"/>
      <c r="AC757"/>
      <c r="AD757"/>
      <c r="AE757"/>
      <c r="AF757"/>
      <c r="AG757"/>
      <c r="AH757"/>
      <c r="AI757"/>
      <c r="AJ757"/>
      <c r="AK757"/>
      <c r="AL757"/>
      <c r="AM757"/>
      <c r="AN757"/>
      <c r="AO757" t="s">
        <v>98</v>
      </c>
      <c r="AP757" t="s">
        <v>99</v>
      </c>
      <c r="AQ757"/>
      <c r="AR757"/>
      <c r="AS757"/>
      <c r="AT757"/>
      <c r="AU757">
        <v>2020</v>
      </c>
      <c r="AV757"/>
      <c r="AW757">
        <v>4</v>
      </c>
      <c r="AX757"/>
      <c r="AY757"/>
      <c r="AZ757"/>
      <c r="BA757"/>
      <c r="BB757">
        <v>55</v>
      </c>
      <c r="BC757">
        <v>60</v>
      </c>
      <c r="BD757"/>
      <c r="BE757" t="s">
        <v>4890</v>
      </c>
      <c r="BF757" t="str">
        <f>HYPERLINK("http://dx.doi.org/10.25750/1995-4301-2020-4-055-060","http://dx.doi.org/10.25750/1995-4301-2020-4-055-060")</f>
        <v>http://dx.doi.org/10.25750/1995-4301-2020-4-055-060</v>
      </c>
      <c r="BG757"/>
      <c r="BH757"/>
      <c r="BI757"/>
      <c r="BJ757"/>
      <c r="BK757"/>
      <c r="BL757"/>
      <c r="BM757"/>
      <c r="BN757"/>
      <c r="BO757"/>
      <c r="BP757"/>
      <c r="BQ757"/>
      <c r="BR757"/>
      <c r="BS757" t="s">
        <v>4891</v>
      </c>
      <c r="BT757" t="str">
        <f>HYPERLINK("https%3A%2F%2Fwww.webofscience.com%2Fwos%2Fwoscc%2Ffull-record%2FWOS:000597810500008","View Full Record in Web of Science")</f>
        <v>View Full Record in Web of Science</v>
      </c>
    </row>
    <row r="758" spans="1:75" customHeight="1" ht="12.75">
      <c r="A758" t="s">
        <v>72</v>
      </c>
      <c r="B758" t="s">
        <v>4892</v>
      </c>
      <c r="C758"/>
      <c r="D758"/>
      <c r="E758"/>
      <c r="F758" t="s">
        <v>4893</v>
      </c>
      <c r="G758"/>
      <c r="H758"/>
      <c r="I758" t="s">
        <v>4894</v>
      </c>
      <c r="J758" t="s">
        <v>131</v>
      </c>
      <c r="K758"/>
      <c r="L758"/>
      <c r="M758"/>
      <c r="N758"/>
      <c r="O758"/>
      <c r="P758"/>
      <c r="Q758"/>
      <c r="R758"/>
      <c r="S758"/>
      <c r="T758"/>
      <c r="U758"/>
      <c r="V758"/>
      <c r="W758"/>
      <c r="X758"/>
      <c r="Y758"/>
      <c r="Z758"/>
      <c r="AA758"/>
      <c r="AB758"/>
      <c r="AC758"/>
      <c r="AD758"/>
      <c r="AE758"/>
      <c r="AF758"/>
      <c r="AG758"/>
      <c r="AH758"/>
      <c r="AI758"/>
      <c r="AJ758"/>
      <c r="AK758"/>
      <c r="AL758"/>
      <c r="AM758"/>
      <c r="AN758"/>
      <c r="AO758" t="s">
        <v>134</v>
      </c>
      <c r="AP758" t="s">
        <v>135</v>
      </c>
      <c r="AQ758"/>
      <c r="AR758"/>
      <c r="AS758"/>
      <c r="AT758"/>
      <c r="AU758">
        <v>2020</v>
      </c>
      <c r="AV758">
        <v>20</v>
      </c>
      <c r="AW758"/>
      <c r="AX758"/>
      <c r="AY758">
        <v>1</v>
      </c>
      <c r="AZ758"/>
      <c r="BA758"/>
      <c r="BB758">
        <v>46</v>
      </c>
      <c r="BC758">
        <v>54</v>
      </c>
      <c r="BD758"/>
      <c r="BE758" t="s">
        <v>4895</v>
      </c>
      <c r="BF758" t="str">
        <f>HYPERLINK("http://dx.doi.org/10.14529/hsm20s106","http://dx.doi.org/10.14529/hsm20s106")</f>
        <v>http://dx.doi.org/10.14529/hsm20s106</v>
      </c>
      <c r="BG758"/>
      <c r="BH758"/>
      <c r="BI758"/>
      <c r="BJ758"/>
      <c r="BK758"/>
      <c r="BL758"/>
      <c r="BM758"/>
      <c r="BN758"/>
      <c r="BO758"/>
      <c r="BP758"/>
      <c r="BQ758"/>
      <c r="BR758"/>
      <c r="BS758" t="s">
        <v>4896</v>
      </c>
      <c r="BT758" t="str">
        <f>HYPERLINK("https%3A%2F%2Fwww.webofscience.com%2Fwos%2Fwoscc%2Ffull-record%2FWOS:000581820600006","View Full Record in Web of Science")</f>
        <v>View Full Record in Web of Science</v>
      </c>
    </row>
    <row r="759" spans="1:75" customHeight="1" ht="12.75">
      <c r="A759" t="s">
        <v>72</v>
      </c>
      <c r="B759" t="s">
        <v>4897</v>
      </c>
      <c r="C759"/>
      <c r="D759"/>
      <c r="E759"/>
      <c r="F759" t="s">
        <v>4898</v>
      </c>
      <c r="G759"/>
      <c r="H759"/>
      <c r="I759" t="s">
        <v>4899</v>
      </c>
      <c r="J759" t="s">
        <v>95</v>
      </c>
      <c r="K759"/>
      <c r="L759"/>
      <c r="M759"/>
      <c r="N759"/>
      <c r="O759"/>
      <c r="P759"/>
      <c r="Q759"/>
      <c r="R759"/>
      <c r="S759"/>
      <c r="T759"/>
      <c r="U759"/>
      <c r="V759"/>
      <c r="W759"/>
      <c r="X759"/>
      <c r="Y759"/>
      <c r="Z759"/>
      <c r="AA759" t="s">
        <v>4900</v>
      </c>
      <c r="AB759" t="s">
        <v>4901</v>
      </c>
      <c r="AC759"/>
      <c r="AD759"/>
      <c r="AE759"/>
      <c r="AF759"/>
      <c r="AG759"/>
      <c r="AH759"/>
      <c r="AI759"/>
      <c r="AJ759"/>
      <c r="AK759"/>
      <c r="AL759"/>
      <c r="AM759"/>
      <c r="AN759"/>
      <c r="AO759" t="s">
        <v>98</v>
      </c>
      <c r="AP759" t="s">
        <v>99</v>
      </c>
      <c r="AQ759"/>
      <c r="AR759"/>
      <c r="AS759"/>
      <c r="AT759"/>
      <c r="AU759">
        <v>2018</v>
      </c>
      <c r="AV759"/>
      <c r="AW759">
        <v>4</v>
      </c>
      <c r="AX759"/>
      <c r="AY759"/>
      <c r="AZ759"/>
      <c r="BA759"/>
      <c r="BB759">
        <v>24</v>
      </c>
      <c r="BC759">
        <v>29</v>
      </c>
      <c r="BD759"/>
      <c r="BE759" t="s">
        <v>4902</v>
      </c>
      <c r="BF759" t="str">
        <f>HYPERLINK("http://dx.doi.org/10.25750/1995-4301-2018-4-024-030","http://dx.doi.org/10.25750/1995-4301-2018-4-024-030")</f>
        <v>http://dx.doi.org/10.25750/1995-4301-2018-4-024-030</v>
      </c>
      <c r="BG759"/>
      <c r="BH759"/>
      <c r="BI759"/>
      <c r="BJ759"/>
      <c r="BK759"/>
      <c r="BL759"/>
      <c r="BM759"/>
      <c r="BN759"/>
      <c r="BO759"/>
      <c r="BP759"/>
      <c r="BQ759"/>
      <c r="BR759"/>
      <c r="BS759" t="s">
        <v>4903</v>
      </c>
      <c r="BT759" t="str">
        <f>HYPERLINK("https%3A%2F%2Fwww.webofscience.com%2Fwos%2Fwoscc%2Ffull-record%2FWOS:000468565300003","View Full Record in Web of Science")</f>
        <v>View Full Record in Web of Science</v>
      </c>
    </row>
    <row r="760" spans="1:75" customHeight="1" ht="12.75">
      <c r="A760" t="s">
        <v>72</v>
      </c>
      <c r="B760" t="s">
        <v>4904</v>
      </c>
      <c r="C760"/>
      <c r="D760"/>
      <c r="E760"/>
      <c r="F760" t="s">
        <v>4905</v>
      </c>
      <c r="G760"/>
      <c r="H760"/>
      <c r="I760" t="s">
        <v>4906</v>
      </c>
      <c r="J760" t="s">
        <v>95</v>
      </c>
      <c r="K760"/>
      <c r="L760"/>
      <c r="M760"/>
      <c r="N760"/>
      <c r="O760"/>
      <c r="P760"/>
      <c r="Q760"/>
      <c r="R760"/>
      <c r="S760"/>
      <c r="T760"/>
      <c r="U760"/>
      <c r="V760"/>
      <c r="W760"/>
      <c r="X760"/>
      <c r="Y760"/>
      <c r="Z760"/>
      <c r="AA760" t="s">
        <v>4907</v>
      </c>
      <c r="AB760" t="s">
        <v>4908</v>
      </c>
      <c r="AC760"/>
      <c r="AD760"/>
      <c r="AE760"/>
      <c r="AF760"/>
      <c r="AG760"/>
      <c r="AH760"/>
      <c r="AI760"/>
      <c r="AJ760"/>
      <c r="AK760"/>
      <c r="AL760"/>
      <c r="AM760"/>
      <c r="AN760"/>
      <c r="AO760" t="s">
        <v>98</v>
      </c>
      <c r="AP760" t="s">
        <v>99</v>
      </c>
      <c r="AQ760"/>
      <c r="AR760"/>
      <c r="AS760"/>
      <c r="AT760"/>
      <c r="AU760">
        <v>2022</v>
      </c>
      <c r="AV760"/>
      <c r="AW760">
        <v>1</v>
      </c>
      <c r="AX760"/>
      <c r="AY760"/>
      <c r="AZ760"/>
      <c r="BA760"/>
      <c r="BB760">
        <v>167</v>
      </c>
      <c r="BC760">
        <v>174</v>
      </c>
      <c r="BD760"/>
      <c r="BE760" t="s">
        <v>4909</v>
      </c>
      <c r="BF760" t="str">
        <f>HYPERLINK("http://dx.doi.org/10.25750/1995-4301-2022-1-167-174","http://dx.doi.org/10.25750/1995-4301-2022-1-167-174")</f>
        <v>http://dx.doi.org/10.25750/1995-4301-2022-1-167-174</v>
      </c>
      <c r="BG760"/>
      <c r="BH760"/>
      <c r="BI760"/>
      <c r="BJ760"/>
      <c r="BK760"/>
      <c r="BL760"/>
      <c r="BM760"/>
      <c r="BN760"/>
      <c r="BO760"/>
      <c r="BP760"/>
      <c r="BQ760"/>
      <c r="BR760"/>
      <c r="BS760" t="s">
        <v>4910</v>
      </c>
      <c r="BT760" t="str">
        <f>HYPERLINK("https%3A%2F%2Fwww.webofscience.com%2Fwos%2Fwoscc%2Ffull-record%2FWOS:000819811100024","View Full Record in Web of Science")</f>
        <v>View Full Record in Web of Science</v>
      </c>
    </row>
    <row r="761" spans="1:75" customHeight="1" ht="12.75">
      <c r="A761" t="s">
        <v>147</v>
      </c>
      <c r="B761" t="s">
        <v>4911</v>
      </c>
      <c r="C761"/>
      <c r="D761"/>
      <c r="E761" t="s">
        <v>210</v>
      </c>
      <c r="F761" t="s">
        <v>4912</v>
      </c>
      <c r="G761"/>
      <c r="H761"/>
      <c r="I761" t="s">
        <v>4913</v>
      </c>
      <c r="J761" t="s">
        <v>2844</v>
      </c>
      <c r="K761"/>
      <c r="L761"/>
      <c r="M761"/>
      <c r="N761"/>
      <c r="O761" t="s">
        <v>421</v>
      </c>
      <c r="P761" t="s">
        <v>2845</v>
      </c>
      <c r="Q761" t="s">
        <v>2846</v>
      </c>
      <c r="R761" t="s">
        <v>2847</v>
      </c>
      <c r="S761"/>
      <c r="T761"/>
      <c r="U761"/>
      <c r="V761"/>
      <c r="W761"/>
      <c r="X761"/>
      <c r="Y761"/>
      <c r="Z761"/>
      <c r="AA761" t="s">
        <v>2017</v>
      </c>
      <c r="AB761" t="s">
        <v>2018</v>
      </c>
      <c r="AC761"/>
      <c r="AD761"/>
      <c r="AE761"/>
      <c r="AF761"/>
      <c r="AG761"/>
      <c r="AH761"/>
      <c r="AI761"/>
      <c r="AJ761"/>
      <c r="AK761"/>
      <c r="AL761"/>
      <c r="AM761"/>
      <c r="AN761"/>
      <c r="AO761"/>
      <c r="AP761"/>
      <c r="AQ761" t="s">
        <v>2850</v>
      </c>
      <c r="AR761"/>
      <c r="AS761"/>
      <c r="AT761"/>
      <c r="AU761">
        <v>2013</v>
      </c>
      <c r="AV761"/>
      <c r="AW761"/>
      <c r="AX761"/>
      <c r="AY761"/>
      <c r="AZ761"/>
      <c r="BA761"/>
      <c r="BB761"/>
      <c r="BC761"/>
      <c r="BD761"/>
      <c r="BE761"/>
      <c r="BF761"/>
      <c r="BG761"/>
      <c r="BH761"/>
      <c r="BI761"/>
      <c r="BJ761"/>
      <c r="BK761"/>
      <c r="BL761"/>
      <c r="BM761"/>
      <c r="BN761"/>
      <c r="BO761"/>
      <c r="BP761"/>
      <c r="BQ761"/>
      <c r="BR761"/>
      <c r="BS761" t="s">
        <v>4914</v>
      </c>
      <c r="BT761" t="str">
        <f>HYPERLINK("https%3A%2F%2Fwww.webofscience.com%2Fwos%2Fwoscc%2Ffull-record%2FWOS:000332042400121","View Full Record in Web of Science")</f>
        <v>View Full Record in Web of Science</v>
      </c>
    </row>
    <row r="762" spans="1:75" customHeight="1" ht="12.75">
      <c r="A762" t="s">
        <v>147</v>
      </c>
      <c r="B762" t="s">
        <v>4911</v>
      </c>
      <c r="C762"/>
      <c r="D762"/>
      <c r="E762" t="s">
        <v>210</v>
      </c>
      <c r="F762" t="s">
        <v>4912</v>
      </c>
      <c r="G762"/>
      <c r="H762"/>
      <c r="I762" t="s">
        <v>4915</v>
      </c>
      <c r="J762" t="s">
        <v>2844</v>
      </c>
      <c r="K762"/>
      <c r="L762"/>
      <c r="M762"/>
      <c r="N762"/>
      <c r="O762" t="s">
        <v>421</v>
      </c>
      <c r="P762" t="s">
        <v>2845</v>
      </c>
      <c r="Q762" t="s">
        <v>2846</v>
      </c>
      <c r="R762" t="s">
        <v>2847</v>
      </c>
      <c r="S762"/>
      <c r="T762"/>
      <c r="U762"/>
      <c r="V762"/>
      <c r="W762"/>
      <c r="X762"/>
      <c r="Y762"/>
      <c r="Z762"/>
      <c r="AA762" t="s">
        <v>2723</v>
      </c>
      <c r="AB762" t="s">
        <v>2724</v>
      </c>
      <c r="AC762"/>
      <c r="AD762"/>
      <c r="AE762"/>
      <c r="AF762"/>
      <c r="AG762"/>
      <c r="AH762"/>
      <c r="AI762"/>
      <c r="AJ762"/>
      <c r="AK762"/>
      <c r="AL762"/>
      <c r="AM762"/>
      <c r="AN762"/>
      <c r="AO762"/>
      <c r="AP762"/>
      <c r="AQ762" t="s">
        <v>2850</v>
      </c>
      <c r="AR762"/>
      <c r="AS762"/>
      <c r="AT762"/>
      <c r="AU762">
        <v>2013</v>
      </c>
      <c r="AV762"/>
      <c r="AW762"/>
      <c r="AX762"/>
      <c r="AY762"/>
      <c r="AZ762"/>
      <c r="BA762"/>
      <c r="BB762"/>
      <c r="BC762"/>
      <c r="BD762"/>
      <c r="BE762"/>
      <c r="BF762"/>
      <c r="BG762"/>
      <c r="BH762"/>
      <c r="BI762"/>
      <c r="BJ762"/>
      <c r="BK762"/>
      <c r="BL762"/>
      <c r="BM762"/>
      <c r="BN762"/>
      <c r="BO762"/>
      <c r="BP762"/>
      <c r="BQ762"/>
      <c r="BR762"/>
      <c r="BS762" t="s">
        <v>4916</v>
      </c>
      <c r="BT762" t="str">
        <f>HYPERLINK("https%3A%2F%2Fwww.webofscience.com%2Fwos%2Fwoscc%2Ffull-record%2FWOS:000332042400065","View Full Record in Web of Science")</f>
        <v>View Full Record in Web of Science</v>
      </c>
    </row>
    <row r="763" spans="1:75" customHeight="1" ht="12.75">
      <c r="A763" t="s">
        <v>72</v>
      </c>
      <c r="B763" t="s">
        <v>4917</v>
      </c>
      <c r="C763"/>
      <c r="D763"/>
      <c r="E763"/>
      <c r="F763" t="s">
        <v>4918</v>
      </c>
      <c r="G763"/>
      <c r="H763"/>
      <c r="I763" t="s">
        <v>4919</v>
      </c>
      <c r="J763" t="s">
        <v>325</v>
      </c>
      <c r="K763"/>
      <c r="L763"/>
      <c r="M763"/>
      <c r="N763"/>
      <c r="O763"/>
      <c r="P763"/>
      <c r="Q763"/>
      <c r="R763"/>
      <c r="S763"/>
      <c r="T763"/>
      <c r="U763"/>
      <c r="V763"/>
      <c r="W763"/>
      <c r="X763"/>
      <c r="Y763"/>
      <c r="Z763"/>
      <c r="AA763" t="s">
        <v>4920</v>
      </c>
      <c r="AB763" t="s">
        <v>239</v>
      </c>
      <c r="AC763"/>
      <c r="AD763"/>
      <c r="AE763"/>
      <c r="AF763"/>
      <c r="AG763"/>
      <c r="AH763"/>
      <c r="AI763"/>
      <c r="AJ763"/>
      <c r="AK763"/>
      <c r="AL763"/>
      <c r="AM763"/>
      <c r="AN763"/>
      <c r="AO763" t="s">
        <v>328</v>
      </c>
      <c r="AP763" t="s">
        <v>329</v>
      </c>
      <c r="AQ763"/>
      <c r="AR763"/>
      <c r="AS763"/>
      <c r="AT763"/>
      <c r="AU763">
        <v>2022</v>
      </c>
      <c r="AV763">
        <v>16</v>
      </c>
      <c r="AW763">
        <v>3</v>
      </c>
      <c r="AX763"/>
      <c r="AY763"/>
      <c r="AZ763"/>
      <c r="BA763"/>
      <c r="BB763">
        <v>877</v>
      </c>
      <c r="BC763">
        <v>890</v>
      </c>
      <c r="BD763"/>
      <c r="BE763" t="s">
        <v>4921</v>
      </c>
      <c r="BF763" t="str">
        <f>HYPERLINK("http://dx.doi.org/10.24874/IJQR16.03-15","http://dx.doi.org/10.24874/IJQR16.03-15")</f>
        <v>http://dx.doi.org/10.24874/IJQR16.03-15</v>
      </c>
      <c r="BG763"/>
      <c r="BH763"/>
      <c r="BI763"/>
      <c r="BJ763"/>
      <c r="BK763"/>
      <c r="BL763"/>
      <c r="BM763"/>
      <c r="BN763"/>
      <c r="BO763"/>
      <c r="BP763"/>
      <c r="BQ763"/>
      <c r="BR763"/>
      <c r="BS763" t="s">
        <v>4922</v>
      </c>
      <c r="BT763" t="str">
        <f>HYPERLINK("https%3A%2F%2Fwww.webofscience.com%2Fwos%2Fwoscc%2Ffull-record%2FWOS:000885425500001","View Full Record in Web of Science")</f>
        <v>View Full Record in Web of Science</v>
      </c>
    </row>
    <row r="764" spans="1:75" customHeight="1" ht="12.75">
      <c r="A764" t="s">
        <v>72</v>
      </c>
      <c r="B764" t="s">
        <v>4923</v>
      </c>
      <c r="C764"/>
      <c r="D764"/>
      <c r="E764"/>
      <c r="F764" t="s">
        <v>4924</v>
      </c>
      <c r="G764"/>
      <c r="H764"/>
      <c r="I764" t="s">
        <v>4925</v>
      </c>
      <c r="J764" t="s">
        <v>95</v>
      </c>
      <c r="K764"/>
      <c r="L764"/>
      <c r="M764"/>
      <c r="N764"/>
      <c r="O764"/>
      <c r="P764"/>
      <c r="Q764"/>
      <c r="R764"/>
      <c r="S764"/>
      <c r="T764"/>
      <c r="U764"/>
      <c r="V764"/>
      <c r="W764"/>
      <c r="X764"/>
      <c r="Y764"/>
      <c r="Z764"/>
      <c r="AA764" t="s">
        <v>4926</v>
      </c>
      <c r="AB764" t="s">
        <v>4927</v>
      </c>
      <c r="AC764"/>
      <c r="AD764"/>
      <c r="AE764"/>
      <c r="AF764"/>
      <c r="AG764"/>
      <c r="AH764"/>
      <c r="AI764"/>
      <c r="AJ764"/>
      <c r="AK764"/>
      <c r="AL764"/>
      <c r="AM764"/>
      <c r="AN764"/>
      <c r="AO764" t="s">
        <v>98</v>
      </c>
      <c r="AP764" t="s">
        <v>99</v>
      </c>
      <c r="AQ764"/>
      <c r="AR764"/>
      <c r="AS764"/>
      <c r="AT764"/>
      <c r="AU764">
        <v>2021</v>
      </c>
      <c r="AV764"/>
      <c r="AW764">
        <v>4</v>
      </c>
      <c r="AX764"/>
      <c r="AY764"/>
      <c r="AZ764"/>
      <c r="BA764"/>
      <c r="BB764">
        <v>50</v>
      </c>
      <c r="BC764">
        <v>57</v>
      </c>
      <c r="BD764"/>
      <c r="BE764" t="s">
        <v>4928</v>
      </c>
      <c r="BF764" t="str">
        <f>HYPERLINK("http://dx.doi.org/10.25750/1995-4301-2021-4-050-057","http://dx.doi.org/10.25750/1995-4301-2021-4-050-057")</f>
        <v>http://dx.doi.org/10.25750/1995-4301-2021-4-050-057</v>
      </c>
      <c r="BG764"/>
      <c r="BH764"/>
      <c r="BI764"/>
      <c r="BJ764"/>
      <c r="BK764"/>
      <c r="BL764"/>
      <c r="BM764"/>
      <c r="BN764"/>
      <c r="BO764"/>
      <c r="BP764"/>
      <c r="BQ764"/>
      <c r="BR764"/>
      <c r="BS764" t="s">
        <v>4929</v>
      </c>
      <c r="BT764" t="str">
        <f>HYPERLINK("https%3A%2F%2Fwww.webofscience.com%2Fwos%2Fwoscc%2Ffull-record%2FWOS:000755154100007","View Full Record in Web of Science")</f>
        <v>View Full Record in Web of Science</v>
      </c>
    </row>
    <row r="765" spans="1:75" customHeight="1" ht="12.75">
      <c r="A765" t="s">
        <v>72</v>
      </c>
      <c r="B765" t="s">
        <v>4930</v>
      </c>
      <c r="C765"/>
      <c r="D765"/>
      <c r="E765"/>
      <c r="F765" t="s">
        <v>4931</v>
      </c>
      <c r="G765"/>
      <c r="H765"/>
      <c r="I765" t="s">
        <v>4932</v>
      </c>
      <c r="J765" t="s">
        <v>594</v>
      </c>
      <c r="K765"/>
      <c r="L765"/>
      <c r="M765"/>
      <c r="N765"/>
      <c r="O765"/>
      <c r="P765"/>
      <c r="Q765"/>
      <c r="R765"/>
      <c r="S765"/>
      <c r="T765"/>
      <c r="U765"/>
      <c r="V765"/>
      <c r="W765"/>
      <c r="X765"/>
      <c r="Y765"/>
      <c r="Z765"/>
      <c r="AA765" t="s">
        <v>4933</v>
      </c>
      <c r="AB765" t="s">
        <v>4934</v>
      </c>
      <c r="AC765"/>
      <c r="AD765"/>
      <c r="AE765"/>
      <c r="AF765"/>
      <c r="AG765"/>
      <c r="AH765"/>
      <c r="AI765"/>
      <c r="AJ765"/>
      <c r="AK765"/>
      <c r="AL765"/>
      <c r="AM765"/>
      <c r="AN765"/>
      <c r="AO765" t="s">
        <v>597</v>
      </c>
      <c r="AP765"/>
      <c r="AQ765"/>
      <c r="AR765"/>
      <c r="AS765"/>
      <c r="AT765" t="s">
        <v>1167</v>
      </c>
      <c r="AU765">
        <v>2018</v>
      </c>
      <c r="AV765">
        <v>8</v>
      </c>
      <c r="AW765">
        <v>10</v>
      </c>
      <c r="AX765"/>
      <c r="AY765"/>
      <c r="AZ765"/>
      <c r="BA765"/>
      <c r="BB765">
        <v>56</v>
      </c>
      <c r="BC765">
        <v>63</v>
      </c>
      <c r="BD765"/>
      <c r="BE765"/>
      <c r="BF765"/>
      <c r="BG765"/>
      <c r="BH765"/>
      <c r="BI765"/>
      <c r="BJ765"/>
      <c r="BK765"/>
      <c r="BL765"/>
      <c r="BM765"/>
      <c r="BN765"/>
      <c r="BO765"/>
      <c r="BP765"/>
      <c r="BQ765"/>
      <c r="BR765"/>
      <c r="BS765" t="s">
        <v>4935</v>
      </c>
      <c r="BT765" t="str">
        <f>HYPERLINK("https%3A%2F%2Fwww.webofscience.com%2Fwos%2Fwoscc%2Ffull-record%2FWOS:000451687200005","View Full Record in Web of Science")</f>
        <v>View Full Record in Web of Science</v>
      </c>
    </row>
    <row r="766" spans="1:75" customHeight="1" ht="12.75">
      <c r="A766" t="s">
        <v>72</v>
      </c>
      <c r="B766" t="s">
        <v>4936</v>
      </c>
      <c r="C766"/>
      <c r="D766"/>
      <c r="E766"/>
      <c r="F766" t="s">
        <v>4937</v>
      </c>
      <c r="G766"/>
      <c r="H766"/>
      <c r="I766" t="s">
        <v>4938</v>
      </c>
      <c r="J766" t="s">
        <v>95</v>
      </c>
      <c r="K766"/>
      <c r="L766"/>
      <c r="M766"/>
      <c r="N766"/>
      <c r="O766"/>
      <c r="P766"/>
      <c r="Q766"/>
      <c r="R766"/>
      <c r="S766"/>
      <c r="T766"/>
      <c r="U766"/>
      <c r="V766"/>
      <c r="W766"/>
      <c r="X766"/>
      <c r="Y766"/>
      <c r="Z766"/>
      <c r="AA766"/>
      <c r="AB766" t="s">
        <v>4939</v>
      </c>
      <c r="AC766"/>
      <c r="AD766"/>
      <c r="AE766"/>
      <c r="AF766"/>
      <c r="AG766"/>
      <c r="AH766"/>
      <c r="AI766"/>
      <c r="AJ766"/>
      <c r="AK766"/>
      <c r="AL766"/>
      <c r="AM766"/>
      <c r="AN766"/>
      <c r="AO766" t="s">
        <v>98</v>
      </c>
      <c r="AP766" t="s">
        <v>99</v>
      </c>
      <c r="AQ766"/>
      <c r="AR766"/>
      <c r="AS766"/>
      <c r="AT766"/>
      <c r="AU766">
        <v>2022</v>
      </c>
      <c r="AV766"/>
      <c r="AW766">
        <v>2</v>
      </c>
      <c r="AX766"/>
      <c r="AY766"/>
      <c r="AZ766"/>
      <c r="BA766"/>
      <c r="BB766">
        <v>173</v>
      </c>
      <c r="BC766">
        <v>182</v>
      </c>
      <c r="BD766"/>
      <c r="BE766" t="s">
        <v>4940</v>
      </c>
      <c r="BF766" t="str">
        <f>HYPERLINK("http://dx.doi.org/10.25750/1995-4301-2022-2-173-182","http://dx.doi.org/10.25750/1995-4301-2022-2-173-182")</f>
        <v>http://dx.doi.org/10.25750/1995-4301-2022-2-173-182</v>
      </c>
      <c r="BG766"/>
      <c r="BH766"/>
      <c r="BI766"/>
      <c r="BJ766"/>
      <c r="BK766"/>
      <c r="BL766"/>
      <c r="BM766"/>
      <c r="BN766"/>
      <c r="BO766"/>
      <c r="BP766"/>
      <c r="BQ766"/>
      <c r="BR766"/>
      <c r="BS766" t="s">
        <v>4941</v>
      </c>
      <c r="BT766" t="str">
        <f>HYPERLINK("https%3A%2F%2Fwww.webofscience.com%2Fwos%2Fwoscc%2Ffull-record%2FWOS:000820802000022","View Full Record in Web of Science")</f>
        <v>View Full Record in Web of Science</v>
      </c>
    </row>
    <row r="767" spans="1:75" customHeight="1" ht="12.75">
      <c r="A767" t="s">
        <v>72</v>
      </c>
      <c r="B767" t="s">
        <v>4942</v>
      </c>
      <c r="C767"/>
      <c r="D767"/>
      <c r="E767"/>
      <c r="F767" t="s">
        <v>4943</v>
      </c>
      <c r="G767"/>
      <c r="H767"/>
      <c r="I767" t="s">
        <v>4944</v>
      </c>
      <c r="J767" t="s">
        <v>2640</v>
      </c>
      <c r="K767"/>
      <c r="L767"/>
      <c r="M767"/>
      <c r="N767"/>
      <c r="O767"/>
      <c r="P767"/>
      <c r="Q767"/>
      <c r="R767"/>
      <c r="S767"/>
      <c r="T767"/>
      <c r="U767"/>
      <c r="V767"/>
      <c r="W767"/>
      <c r="X767"/>
      <c r="Y767"/>
      <c r="Z767"/>
      <c r="AA767"/>
      <c r="AB767" t="s">
        <v>4945</v>
      </c>
      <c r="AC767"/>
      <c r="AD767"/>
      <c r="AE767"/>
      <c r="AF767"/>
      <c r="AG767"/>
      <c r="AH767"/>
      <c r="AI767"/>
      <c r="AJ767"/>
      <c r="AK767"/>
      <c r="AL767"/>
      <c r="AM767"/>
      <c r="AN767"/>
      <c r="AO767" t="s">
        <v>2643</v>
      </c>
      <c r="AP767"/>
      <c r="AQ767"/>
      <c r="AR767"/>
      <c r="AS767"/>
      <c r="AT767"/>
      <c r="AU767">
        <v>2022</v>
      </c>
      <c r="AV767">
        <v>27</v>
      </c>
      <c r="AW767">
        <v>3</v>
      </c>
      <c r="AX767"/>
      <c r="AY767"/>
      <c r="AZ767"/>
      <c r="BA767"/>
      <c r="BB767">
        <v>135</v>
      </c>
      <c r="BC767">
        <v>144</v>
      </c>
      <c r="BD767"/>
      <c r="BE767" t="s">
        <v>4946</v>
      </c>
      <c r="BF767" t="str">
        <f>HYPERLINK("http://dx.doi.org/10.51762/1FK-2022-27-03-12","http://dx.doi.org/10.51762/1FK-2022-27-03-12")</f>
        <v>http://dx.doi.org/10.51762/1FK-2022-27-03-12</v>
      </c>
      <c r="BG767"/>
      <c r="BH767"/>
      <c r="BI767"/>
      <c r="BJ767"/>
      <c r="BK767"/>
      <c r="BL767"/>
      <c r="BM767"/>
      <c r="BN767"/>
      <c r="BO767"/>
      <c r="BP767"/>
      <c r="BQ767"/>
      <c r="BR767"/>
      <c r="BS767" t="s">
        <v>4947</v>
      </c>
      <c r="BT767" t="str">
        <f>HYPERLINK("https%3A%2F%2Fwww.webofscience.com%2Fwos%2Fwoscc%2Ffull-record%2FWOS:000899445600012","View Full Record in Web of Science")</f>
        <v>View Full Record in Web of Science</v>
      </c>
    </row>
    <row r="768" spans="1:75" customHeight="1" ht="12.75">
      <c r="A768" t="s">
        <v>72</v>
      </c>
      <c r="B768" t="s">
        <v>4948</v>
      </c>
      <c r="C768"/>
      <c r="D768"/>
      <c r="E768"/>
      <c r="F768" t="s">
        <v>4949</v>
      </c>
      <c r="G768"/>
      <c r="H768"/>
      <c r="I768" t="s">
        <v>4950</v>
      </c>
      <c r="J768" t="s">
        <v>95</v>
      </c>
      <c r="K768"/>
      <c r="L768"/>
      <c r="M768"/>
      <c r="N768"/>
      <c r="O768"/>
      <c r="P768"/>
      <c r="Q768"/>
      <c r="R768"/>
      <c r="S768"/>
      <c r="T768"/>
      <c r="U768"/>
      <c r="V768"/>
      <c r="W768"/>
      <c r="X768"/>
      <c r="Y768"/>
      <c r="Z768"/>
      <c r="AA768" t="s">
        <v>4951</v>
      </c>
      <c r="AB768" t="s">
        <v>4952</v>
      </c>
      <c r="AC768"/>
      <c r="AD768"/>
      <c r="AE768"/>
      <c r="AF768"/>
      <c r="AG768"/>
      <c r="AH768"/>
      <c r="AI768"/>
      <c r="AJ768"/>
      <c r="AK768"/>
      <c r="AL768"/>
      <c r="AM768"/>
      <c r="AN768"/>
      <c r="AO768" t="s">
        <v>98</v>
      </c>
      <c r="AP768" t="s">
        <v>99</v>
      </c>
      <c r="AQ768"/>
      <c r="AR768"/>
      <c r="AS768"/>
      <c r="AT768"/>
      <c r="AU768">
        <v>2021</v>
      </c>
      <c r="AV768"/>
      <c r="AW768">
        <v>1</v>
      </c>
      <c r="AX768"/>
      <c r="AY768"/>
      <c r="AZ768"/>
      <c r="BA768"/>
      <c r="BB768">
        <v>40</v>
      </c>
      <c r="BC768">
        <v>52</v>
      </c>
      <c r="BD768"/>
      <c r="BE768" t="s">
        <v>4953</v>
      </c>
      <c r="BF768" t="str">
        <f>HYPERLINK("http://dx.doi.org/10.25750/1995-4301-2021-1-040-052","http://dx.doi.org/10.25750/1995-4301-2021-1-040-052")</f>
        <v>http://dx.doi.org/10.25750/1995-4301-2021-1-040-052</v>
      </c>
      <c r="BG768"/>
      <c r="BH768"/>
      <c r="BI768"/>
      <c r="BJ768"/>
      <c r="BK768"/>
      <c r="BL768"/>
      <c r="BM768"/>
      <c r="BN768"/>
      <c r="BO768"/>
      <c r="BP768"/>
      <c r="BQ768"/>
      <c r="BR768"/>
      <c r="BS768" t="s">
        <v>4954</v>
      </c>
      <c r="BT768" t="str">
        <f>HYPERLINK("https%3A%2F%2Fwww.webofscience.com%2Fwos%2Fwoscc%2Ffull-record%2FWOS:000632219100005","View Full Record in Web of Science")</f>
        <v>View Full Record in Web of Science</v>
      </c>
    </row>
    <row r="769" spans="1:75" customHeight="1" ht="12.75">
      <c r="A769" t="s">
        <v>147</v>
      </c>
      <c r="B769" t="s">
        <v>4955</v>
      </c>
      <c r="C769"/>
      <c r="D769" t="s">
        <v>1801</v>
      </c>
      <c r="E769"/>
      <c r="F769" t="s">
        <v>4956</v>
      </c>
      <c r="G769"/>
      <c r="H769"/>
      <c r="I769" t="s">
        <v>4957</v>
      </c>
      <c r="J769" t="s">
        <v>1804</v>
      </c>
      <c r="K769" t="s">
        <v>1805</v>
      </c>
      <c r="L769"/>
      <c r="M769"/>
      <c r="N769"/>
      <c r="O769" t="s">
        <v>1806</v>
      </c>
      <c r="P769" t="s">
        <v>1807</v>
      </c>
      <c r="Q769" t="s">
        <v>1808</v>
      </c>
      <c r="R769"/>
      <c r="S769" t="s">
        <v>257</v>
      </c>
      <c r="T769"/>
      <c r="U769"/>
      <c r="V769"/>
      <c r="W769"/>
      <c r="X769"/>
      <c r="Y769"/>
      <c r="Z769"/>
      <c r="AA769" t="s">
        <v>269</v>
      </c>
      <c r="AB769" t="s">
        <v>270</v>
      </c>
      <c r="AC769"/>
      <c r="AD769"/>
      <c r="AE769"/>
      <c r="AF769"/>
      <c r="AG769"/>
      <c r="AH769"/>
      <c r="AI769"/>
      <c r="AJ769"/>
      <c r="AK769"/>
      <c r="AL769"/>
      <c r="AM769"/>
      <c r="AN769"/>
      <c r="AO769" t="s">
        <v>1809</v>
      </c>
      <c r="AP769"/>
      <c r="AQ769" t="s">
        <v>1810</v>
      </c>
      <c r="AR769"/>
      <c r="AS769"/>
      <c r="AT769"/>
      <c r="AU769">
        <v>2020</v>
      </c>
      <c r="AV769"/>
      <c r="AW769"/>
      <c r="AX769"/>
      <c r="AY769"/>
      <c r="AZ769"/>
      <c r="BA769"/>
      <c r="BB769">
        <v>661</v>
      </c>
      <c r="BC769">
        <v>668</v>
      </c>
      <c r="BD769"/>
      <c r="BE769" t="s">
        <v>4958</v>
      </c>
      <c r="BF769" t="str">
        <f>HYPERLINK("http://dx.doi.org/10.3897/ap.2.e0661","http://dx.doi.org/10.3897/ap.2.e0661")</f>
        <v>http://dx.doi.org/10.3897/ap.2.e0661</v>
      </c>
      <c r="BG769"/>
      <c r="BH769"/>
      <c r="BI769"/>
      <c r="BJ769"/>
      <c r="BK769"/>
      <c r="BL769"/>
      <c r="BM769"/>
      <c r="BN769"/>
      <c r="BO769"/>
      <c r="BP769"/>
      <c r="BQ769"/>
      <c r="BR769"/>
      <c r="BS769" t="s">
        <v>4959</v>
      </c>
      <c r="BT769" t="str">
        <f>HYPERLINK("https%3A%2F%2Fwww.webofscience.com%2Fwos%2Fwoscc%2Ffull-record%2FWOS:000671896200051","View Full Record in Web of Science")</f>
        <v>View Full Record in Web of Science</v>
      </c>
    </row>
    <row r="770" spans="1:75" customHeight="1" ht="12.75">
      <c r="A770" t="s">
        <v>72</v>
      </c>
      <c r="B770" t="s">
        <v>4960</v>
      </c>
      <c r="C770"/>
      <c r="D770"/>
      <c r="E770"/>
      <c r="F770" t="s">
        <v>4961</v>
      </c>
      <c r="G770"/>
      <c r="H770"/>
      <c r="I770" t="s">
        <v>4962</v>
      </c>
      <c r="J770" t="s">
        <v>141</v>
      </c>
      <c r="K770"/>
      <c r="L770"/>
      <c r="M770"/>
      <c r="N770"/>
      <c r="O770"/>
      <c r="P770"/>
      <c r="Q770"/>
      <c r="R770"/>
      <c r="S770"/>
      <c r="T770"/>
      <c r="U770"/>
      <c r="V770"/>
      <c r="W770"/>
      <c r="X770"/>
      <c r="Y770"/>
      <c r="Z770"/>
      <c r="AA770" t="s">
        <v>4750</v>
      </c>
      <c r="AB770" t="s">
        <v>4751</v>
      </c>
      <c r="AC770"/>
      <c r="AD770"/>
      <c r="AE770"/>
      <c r="AF770"/>
      <c r="AG770"/>
      <c r="AH770"/>
      <c r="AI770"/>
      <c r="AJ770"/>
      <c r="AK770"/>
      <c r="AL770"/>
      <c r="AM770"/>
      <c r="AN770"/>
      <c r="AO770" t="s">
        <v>144</v>
      </c>
      <c r="AP770"/>
      <c r="AQ770"/>
      <c r="AR770"/>
      <c r="AS770"/>
      <c r="AT770"/>
      <c r="AU770">
        <v>2020</v>
      </c>
      <c r="AV770"/>
      <c r="AW770">
        <v>1</v>
      </c>
      <c r="AX770"/>
      <c r="AY770"/>
      <c r="AZ770"/>
      <c r="BA770"/>
      <c r="BB770">
        <v>81</v>
      </c>
      <c r="BC770">
        <v>93</v>
      </c>
      <c r="BD770"/>
      <c r="BE770" t="s">
        <v>4963</v>
      </c>
      <c r="BF770" t="str">
        <f>HYPERLINK("http://dx.doi.org/10.5281/zenodo.3713430","http://dx.doi.org/10.5281/zenodo.3713430")</f>
        <v>http://dx.doi.org/10.5281/zenodo.3713430</v>
      </c>
      <c r="BG770"/>
      <c r="BH770"/>
      <c r="BI770"/>
      <c r="BJ770"/>
      <c r="BK770"/>
      <c r="BL770"/>
      <c r="BM770"/>
      <c r="BN770"/>
      <c r="BO770"/>
      <c r="BP770"/>
      <c r="BQ770"/>
      <c r="BR770"/>
      <c r="BS770" t="s">
        <v>4964</v>
      </c>
      <c r="BT770" t="str">
        <f>HYPERLINK("https%3A%2F%2Fwww.webofscience.com%2Fwos%2Fwoscc%2Ffull-record%2FWOS:000521937900008","View Full Record in Web of Science")</f>
        <v>View Full Record in Web of Science</v>
      </c>
    </row>
    <row r="771" spans="1:75" customHeight="1" ht="12.75">
      <c r="A771" t="s">
        <v>147</v>
      </c>
      <c r="B771" t="s">
        <v>4965</v>
      </c>
      <c r="C771"/>
      <c r="D771" t="s">
        <v>249</v>
      </c>
      <c r="E771"/>
      <c r="F771" t="s">
        <v>4966</v>
      </c>
      <c r="G771"/>
      <c r="H771"/>
      <c r="I771" t="s">
        <v>4967</v>
      </c>
      <c r="J771" t="s">
        <v>1371</v>
      </c>
      <c r="K771"/>
      <c r="L771"/>
      <c r="M771"/>
      <c r="N771"/>
      <c r="O771" t="s">
        <v>1372</v>
      </c>
      <c r="P771" t="s">
        <v>1373</v>
      </c>
      <c r="Q771" t="s">
        <v>256</v>
      </c>
      <c r="R771"/>
      <c r="S771" t="s">
        <v>257</v>
      </c>
      <c r="T771"/>
      <c r="U771"/>
      <c r="V771"/>
      <c r="W771"/>
      <c r="X771"/>
      <c r="Y771"/>
      <c r="Z771"/>
      <c r="AA771"/>
      <c r="AB771"/>
      <c r="AC771"/>
      <c r="AD771"/>
      <c r="AE771"/>
      <c r="AF771"/>
      <c r="AG771"/>
      <c r="AH771"/>
      <c r="AI771"/>
      <c r="AJ771"/>
      <c r="AK771"/>
      <c r="AL771"/>
      <c r="AM771"/>
      <c r="AN771"/>
      <c r="AO771"/>
      <c r="AP771"/>
      <c r="AQ771" t="s">
        <v>1374</v>
      </c>
      <c r="AR771"/>
      <c r="AS771"/>
      <c r="AT771"/>
      <c r="AU771">
        <v>2019</v>
      </c>
      <c r="AV771"/>
      <c r="AW771"/>
      <c r="AX771"/>
      <c r="AY771"/>
      <c r="AZ771"/>
      <c r="BA771"/>
      <c r="BB771">
        <v>45</v>
      </c>
      <c r="BC771">
        <v>55</v>
      </c>
      <c r="BD771"/>
      <c r="BE771" t="s">
        <v>4968</v>
      </c>
      <c r="BF771" t="str">
        <f>HYPERLINK("http://dx.doi.org/10.3897/ap.1.e0040","http://dx.doi.org/10.3897/ap.1.e0040")</f>
        <v>http://dx.doi.org/10.3897/ap.1.e0040</v>
      </c>
      <c r="BG771"/>
      <c r="BH771"/>
      <c r="BI771"/>
      <c r="BJ771"/>
      <c r="BK771"/>
      <c r="BL771"/>
      <c r="BM771"/>
      <c r="BN771"/>
      <c r="BO771"/>
      <c r="BP771"/>
      <c r="BQ771"/>
      <c r="BR771"/>
      <c r="BS771" t="s">
        <v>4969</v>
      </c>
      <c r="BT771" t="str">
        <f>HYPERLINK("https%3A%2F%2Fwww.webofscience.com%2Fwos%2Fwoscc%2Ffull-record%2FWOS:000520005200005","View Full Record in Web of Science")</f>
        <v>View Full Record in Web of Science</v>
      </c>
    </row>
    <row r="772" spans="1:75" customHeight="1" ht="12.75">
      <c r="A772" t="s">
        <v>72</v>
      </c>
      <c r="B772" t="s">
        <v>4970</v>
      </c>
      <c r="C772"/>
      <c r="D772"/>
      <c r="E772"/>
      <c r="F772" t="s">
        <v>4971</v>
      </c>
      <c r="G772"/>
      <c r="H772"/>
      <c r="I772" t="s">
        <v>4972</v>
      </c>
      <c r="J772" t="s">
        <v>940</v>
      </c>
      <c r="K772"/>
      <c r="L772"/>
      <c r="M772"/>
      <c r="N772"/>
      <c r="O772"/>
      <c r="P772"/>
      <c r="Q772"/>
      <c r="R772"/>
      <c r="S772"/>
      <c r="T772"/>
      <c r="U772"/>
      <c r="V772"/>
      <c r="W772"/>
      <c r="X772"/>
      <c r="Y772"/>
      <c r="Z772"/>
      <c r="AA772" t="s">
        <v>2449</v>
      </c>
      <c r="AB772" t="s">
        <v>3628</v>
      </c>
      <c r="AC772"/>
      <c r="AD772"/>
      <c r="AE772"/>
      <c r="AF772"/>
      <c r="AG772"/>
      <c r="AH772"/>
      <c r="AI772"/>
      <c r="AJ772"/>
      <c r="AK772"/>
      <c r="AL772"/>
      <c r="AM772"/>
      <c r="AN772"/>
      <c r="AO772" t="s">
        <v>943</v>
      </c>
      <c r="AP772"/>
      <c r="AQ772"/>
      <c r="AR772"/>
      <c r="AS772"/>
      <c r="AT772" t="s">
        <v>1173</v>
      </c>
      <c r="AU772">
        <v>2011</v>
      </c>
      <c r="AV772">
        <v>53</v>
      </c>
      <c r="AW772" t="s">
        <v>994</v>
      </c>
      <c r="AX772"/>
      <c r="AY772"/>
      <c r="AZ772"/>
      <c r="BA772"/>
      <c r="BB772">
        <v>285</v>
      </c>
      <c r="BC772">
        <v>292</v>
      </c>
      <c r="BD772"/>
      <c r="BE772" t="s">
        <v>4973</v>
      </c>
      <c r="BF772" t="str">
        <f>HYPERLINK("http://dx.doi.org/10.1007/s11041-011-9384-0","http://dx.doi.org/10.1007/s11041-011-9384-0")</f>
        <v>http://dx.doi.org/10.1007/s11041-011-9384-0</v>
      </c>
      <c r="BG772"/>
      <c r="BH772"/>
      <c r="BI772"/>
      <c r="BJ772"/>
      <c r="BK772"/>
      <c r="BL772"/>
      <c r="BM772"/>
      <c r="BN772"/>
      <c r="BO772"/>
      <c r="BP772"/>
      <c r="BQ772"/>
      <c r="BR772"/>
      <c r="BS772" t="s">
        <v>4974</v>
      </c>
      <c r="BT772" t="str">
        <f>HYPERLINK("https%3A%2F%2Fwww.webofscience.com%2Fwos%2Fwoscc%2Ffull-record%2FWOS:000296795300017","View Full Record in Web of Science")</f>
        <v>View Full Record in Web of Science</v>
      </c>
    </row>
    <row r="773" spans="1:75" customHeight="1" ht="12.75">
      <c r="A773" t="s">
        <v>72</v>
      </c>
      <c r="B773" t="s">
        <v>4975</v>
      </c>
      <c r="C773"/>
      <c r="D773"/>
      <c r="E773"/>
      <c r="F773" t="s">
        <v>4976</v>
      </c>
      <c r="G773"/>
      <c r="H773"/>
      <c r="I773" t="s">
        <v>4977</v>
      </c>
      <c r="J773" t="s">
        <v>4978</v>
      </c>
      <c r="K773"/>
      <c r="L773"/>
      <c r="M773"/>
      <c r="N773"/>
      <c r="O773"/>
      <c r="P773"/>
      <c r="Q773"/>
      <c r="R773"/>
      <c r="S773"/>
      <c r="T773"/>
      <c r="U773"/>
      <c r="V773"/>
      <c r="W773"/>
      <c r="X773"/>
      <c r="Y773"/>
      <c r="Z773"/>
      <c r="AA773" t="s">
        <v>4979</v>
      </c>
      <c r="AB773" t="s">
        <v>4980</v>
      </c>
      <c r="AC773"/>
      <c r="AD773"/>
      <c r="AE773"/>
      <c r="AF773"/>
      <c r="AG773"/>
      <c r="AH773"/>
      <c r="AI773"/>
      <c r="AJ773"/>
      <c r="AK773"/>
      <c r="AL773"/>
      <c r="AM773"/>
      <c r="AN773"/>
      <c r="AO773" t="s">
        <v>4981</v>
      </c>
      <c r="AP773"/>
      <c r="AQ773"/>
      <c r="AR773"/>
      <c r="AS773"/>
      <c r="AT773"/>
      <c r="AU773">
        <v>2008</v>
      </c>
      <c r="AV773">
        <v>7</v>
      </c>
      <c r="AW773">
        <v>2</v>
      </c>
      <c r="AX773"/>
      <c r="AY773"/>
      <c r="AZ773"/>
      <c r="BA773"/>
      <c r="BB773">
        <v>16</v>
      </c>
      <c r="BC773">
        <v>22</v>
      </c>
      <c r="BD773"/>
      <c r="BE773"/>
      <c r="BF773"/>
      <c r="BG773"/>
      <c r="BH773"/>
      <c r="BI773"/>
      <c r="BJ773"/>
      <c r="BK773"/>
      <c r="BL773"/>
      <c r="BM773"/>
      <c r="BN773"/>
      <c r="BO773"/>
      <c r="BP773"/>
      <c r="BQ773"/>
      <c r="BR773"/>
      <c r="BS773" t="s">
        <v>4982</v>
      </c>
      <c r="BT773" t="str">
        <f>HYPERLINK("https%3A%2F%2Fwww.webofscience.com%2Fwos%2Fwoscc%2Ffull-record%2FWOS:000254501900003","View Full Record in Web of Science")</f>
        <v>View Full Record in Web of Science</v>
      </c>
    </row>
    <row r="774" spans="1:75" customHeight="1" ht="12.75">
      <c r="A774" t="s">
        <v>72</v>
      </c>
      <c r="B774" t="s">
        <v>4983</v>
      </c>
      <c r="C774"/>
      <c r="D774"/>
      <c r="E774"/>
      <c r="F774" t="s">
        <v>4984</v>
      </c>
      <c r="G774"/>
      <c r="H774"/>
      <c r="I774" t="s">
        <v>4985</v>
      </c>
      <c r="J774" t="s">
        <v>1114</v>
      </c>
      <c r="K774"/>
      <c r="L774"/>
      <c r="M774"/>
      <c r="N774"/>
      <c r="O774"/>
      <c r="P774"/>
      <c r="Q774"/>
      <c r="R774"/>
      <c r="S774"/>
      <c r="T774"/>
      <c r="U774"/>
      <c r="V774"/>
      <c r="W774"/>
      <c r="X774"/>
      <c r="Y774"/>
      <c r="Z774"/>
      <c r="AA774" t="s">
        <v>4986</v>
      </c>
      <c r="AB774" t="s">
        <v>1533</v>
      </c>
      <c r="AC774"/>
      <c r="AD774"/>
      <c r="AE774"/>
      <c r="AF774"/>
      <c r="AG774"/>
      <c r="AH774"/>
      <c r="AI774"/>
      <c r="AJ774"/>
      <c r="AK774"/>
      <c r="AL774"/>
      <c r="AM774"/>
      <c r="AN774"/>
      <c r="AO774"/>
      <c r="AP774" t="s">
        <v>1117</v>
      </c>
      <c r="AQ774"/>
      <c r="AR774"/>
      <c r="AS774"/>
      <c r="AT774" t="s">
        <v>171</v>
      </c>
      <c r="AU774">
        <v>2020</v>
      </c>
      <c r="AV774">
        <v>9</v>
      </c>
      <c r="AW774">
        <v>27</v>
      </c>
      <c r="AX774"/>
      <c r="AY774"/>
      <c r="AZ774"/>
      <c r="BA774"/>
      <c r="BB774">
        <v>268</v>
      </c>
      <c r="BC774">
        <v>275</v>
      </c>
      <c r="BD774"/>
      <c r="BE774" t="s">
        <v>4987</v>
      </c>
      <c r="BF774" t="str">
        <f>HYPERLINK("http://dx.doi.org/10.34069/AI/2020.27.03.29","http://dx.doi.org/10.34069/AI/2020.27.03.29")</f>
        <v>http://dx.doi.org/10.34069/AI/2020.27.03.29</v>
      </c>
      <c r="BG774"/>
      <c r="BH774"/>
      <c r="BI774"/>
      <c r="BJ774"/>
      <c r="BK774"/>
      <c r="BL774"/>
      <c r="BM774"/>
      <c r="BN774"/>
      <c r="BO774"/>
      <c r="BP774"/>
      <c r="BQ774"/>
      <c r="BR774"/>
      <c r="BS774" t="s">
        <v>4988</v>
      </c>
      <c r="BT774" t="str">
        <f>HYPERLINK("https%3A%2F%2Fwww.webofscience.com%2Fwos%2Fwoscc%2Ffull-record%2FWOS:000521637500030","View Full Record in Web of Science")</f>
        <v>View Full Record in Web of Science</v>
      </c>
    </row>
    <row r="775" spans="1:75" customHeight="1" ht="12.75">
      <c r="A775" t="s">
        <v>72</v>
      </c>
      <c r="B775" t="s">
        <v>4989</v>
      </c>
      <c r="C775"/>
      <c r="D775"/>
      <c r="E775"/>
      <c r="F775" t="s">
        <v>4989</v>
      </c>
      <c r="G775"/>
      <c r="H775"/>
      <c r="I775" t="s">
        <v>4990</v>
      </c>
      <c r="J775" t="s">
        <v>409</v>
      </c>
      <c r="K775"/>
      <c r="L775"/>
      <c r="M775"/>
      <c r="N775"/>
      <c r="O775"/>
      <c r="P775"/>
      <c r="Q775"/>
      <c r="R775"/>
      <c r="S775"/>
      <c r="T775"/>
      <c r="U775"/>
      <c r="V775"/>
      <c r="W775"/>
      <c r="X775"/>
      <c r="Y775"/>
      <c r="Z775"/>
      <c r="AA775"/>
      <c r="AB775"/>
      <c r="AC775"/>
      <c r="AD775"/>
      <c r="AE775"/>
      <c r="AF775"/>
      <c r="AG775"/>
      <c r="AH775"/>
      <c r="AI775"/>
      <c r="AJ775"/>
      <c r="AK775"/>
      <c r="AL775"/>
      <c r="AM775"/>
      <c r="AN775"/>
      <c r="AO775" t="s">
        <v>412</v>
      </c>
      <c r="AP775"/>
      <c r="AQ775"/>
      <c r="AR775"/>
      <c r="AS775"/>
      <c r="AT775" t="s">
        <v>198</v>
      </c>
      <c r="AU775">
        <v>2002</v>
      </c>
      <c r="AV775">
        <v>75</v>
      </c>
      <c r="AW775">
        <v>4</v>
      </c>
      <c r="AX775"/>
      <c r="AY775"/>
      <c r="AZ775"/>
      <c r="BA775"/>
      <c r="BB775">
        <v>579</v>
      </c>
      <c r="BC775">
        <v>581</v>
      </c>
      <c r="BD775"/>
      <c r="BE775" t="s">
        <v>4991</v>
      </c>
      <c r="BF775" t="str">
        <f>HYPERLINK("http://dx.doi.org/10.1023/A:1019513029761","http://dx.doi.org/10.1023/A:1019513029761")</f>
        <v>http://dx.doi.org/10.1023/A:1019513029761</v>
      </c>
      <c r="BG775"/>
      <c r="BH775"/>
      <c r="BI775"/>
      <c r="BJ775"/>
      <c r="BK775"/>
      <c r="BL775"/>
      <c r="BM775"/>
      <c r="BN775"/>
      <c r="BO775"/>
      <c r="BP775"/>
      <c r="BQ775"/>
      <c r="BR775"/>
      <c r="BS775" t="s">
        <v>4992</v>
      </c>
      <c r="BT775" t="str">
        <f>HYPERLINK("https%3A%2F%2Fwww.webofscience.com%2Fwos%2Fwoscc%2Ffull-record%2FWOS:000177753100015","View Full Record in Web of Science")</f>
        <v>View Full Record in Web of Science</v>
      </c>
    </row>
    <row r="776" spans="1:75" customHeight="1" ht="12.75">
      <c r="A776" t="s">
        <v>72</v>
      </c>
      <c r="B776" t="s">
        <v>4993</v>
      </c>
      <c r="C776"/>
      <c r="D776"/>
      <c r="E776"/>
      <c r="F776" t="s">
        <v>4994</v>
      </c>
      <c r="G776"/>
      <c r="H776"/>
      <c r="I776" t="s">
        <v>4995</v>
      </c>
      <c r="J776" t="s">
        <v>4996</v>
      </c>
      <c r="K776"/>
      <c r="L776"/>
      <c r="M776"/>
      <c r="N776"/>
      <c r="O776"/>
      <c r="P776"/>
      <c r="Q776"/>
      <c r="R776"/>
      <c r="S776"/>
      <c r="T776"/>
      <c r="U776"/>
      <c r="V776"/>
      <c r="W776"/>
      <c r="X776"/>
      <c r="Y776"/>
      <c r="Z776"/>
      <c r="AA776" t="s">
        <v>4997</v>
      </c>
      <c r="AB776" t="s">
        <v>4998</v>
      </c>
      <c r="AC776"/>
      <c r="AD776"/>
      <c r="AE776"/>
      <c r="AF776"/>
      <c r="AG776"/>
      <c r="AH776"/>
      <c r="AI776"/>
      <c r="AJ776"/>
      <c r="AK776"/>
      <c r="AL776"/>
      <c r="AM776"/>
      <c r="AN776"/>
      <c r="AO776" t="s">
        <v>4999</v>
      </c>
      <c r="AP776" t="s">
        <v>5000</v>
      </c>
      <c r="AQ776"/>
      <c r="AR776"/>
      <c r="AS776"/>
      <c r="AT776"/>
      <c r="AU776">
        <v>2022</v>
      </c>
      <c r="AV776">
        <v>50</v>
      </c>
      <c r="AW776">
        <v>2</v>
      </c>
      <c r="AX776"/>
      <c r="AY776"/>
      <c r="AZ776"/>
      <c r="BA776"/>
      <c r="BB776">
        <v>355</v>
      </c>
      <c r="BC776">
        <v>363</v>
      </c>
      <c r="BD776"/>
      <c r="BE776" t="s">
        <v>5001</v>
      </c>
      <c r="BF776" t="str">
        <f>HYPERLINK("http://dx.doi.org/10.18149/MPM.5022022_14","http://dx.doi.org/10.18149/MPM.5022022_14")</f>
        <v>http://dx.doi.org/10.18149/MPM.5022022_14</v>
      </c>
      <c r="BG776"/>
      <c r="BH776"/>
      <c r="BI776"/>
      <c r="BJ776"/>
      <c r="BK776"/>
      <c r="BL776"/>
      <c r="BM776"/>
      <c r="BN776"/>
      <c r="BO776"/>
      <c r="BP776"/>
      <c r="BQ776"/>
      <c r="BR776"/>
      <c r="BS776" t="s">
        <v>5002</v>
      </c>
      <c r="BT776" t="str">
        <f>HYPERLINK("https%3A%2F%2Fwww.webofscience.com%2Fwos%2Fwoscc%2Ffull-record%2FWOS:000915249500014","View Full Record in Web of Science")</f>
        <v>View Full Record in Web of Science</v>
      </c>
    </row>
    <row r="777" spans="1:75" customHeight="1" ht="12.75">
      <c r="A777" t="s">
        <v>72</v>
      </c>
      <c r="B777" t="s">
        <v>5003</v>
      </c>
      <c r="C777"/>
      <c r="D777"/>
      <c r="E777"/>
      <c r="F777" t="s">
        <v>5004</v>
      </c>
      <c r="G777"/>
      <c r="H777"/>
      <c r="I777" t="s">
        <v>5005</v>
      </c>
      <c r="J777" t="s">
        <v>5006</v>
      </c>
      <c r="K777"/>
      <c r="L777"/>
      <c r="M777"/>
      <c r="N777"/>
      <c r="O777"/>
      <c r="P777"/>
      <c r="Q777"/>
      <c r="R777"/>
      <c r="S777"/>
      <c r="T777"/>
      <c r="U777"/>
      <c r="V777"/>
      <c r="W777"/>
      <c r="X777"/>
      <c r="Y777"/>
      <c r="Z777"/>
      <c r="AA777" t="s">
        <v>5007</v>
      </c>
      <c r="AB777" t="s">
        <v>5008</v>
      </c>
      <c r="AC777"/>
      <c r="AD777"/>
      <c r="AE777"/>
      <c r="AF777"/>
      <c r="AG777"/>
      <c r="AH777"/>
      <c r="AI777"/>
      <c r="AJ777"/>
      <c r="AK777"/>
      <c r="AL777"/>
      <c r="AM777"/>
      <c r="AN777"/>
      <c r="AO777" t="s">
        <v>5009</v>
      </c>
      <c r="AP777" t="s">
        <v>5010</v>
      </c>
      <c r="AQ777"/>
      <c r="AR777"/>
      <c r="AS777"/>
      <c r="AT777"/>
      <c r="AU777">
        <v>2022</v>
      </c>
      <c r="AV777">
        <v>31</v>
      </c>
      <c r="AW777">
        <v>1</v>
      </c>
      <c r="AX777"/>
      <c r="AY777"/>
      <c r="AZ777"/>
      <c r="BA777"/>
      <c r="BB777">
        <v>985</v>
      </c>
      <c r="BC777">
        <v>988</v>
      </c>
      <c r="BD777"/>
      <c r="BE777" t="s">
        <v>5011</v>
      </c>
      <c r="BF777" t="str">
        <f>HYPERLINK("http://dx.doi.org/10.15244/pjoes/139375","http://dx.doi.org/10.15244/pjoes/139375")</f>
        <v>http://dx.doi.org/10.15244/pjoes/139375</v>
      </c>
      <c r="BG777"/>
      <c r="BH777"/>
      <c r="BI777"/>
      <c r="BJ777"/>
      <c r="BK777"/>
      <c r="BL777"/>
      <c r="BM777"/>
      <c r="BN777"/>
      <c r="BO777"/>
      <c r="BP777"/>
      <c r="BQ777"/>
      <c r="BR777"/>
      <c r="BS777" t="s">
        <v>5012</v>
      </c>
      <c r="BT777" t="str">
        <f>HYPERLINK("https%3A%2F%2Fwww.webofscience.com%2Fwos%2Fwoscc%2Ffull-record%2FWOS:000799779000042","View Full Record in Web of Science")</f>
        <v>View Full Record in Web of Science</v>
      </c>
    </row>
    <row r="778" spans="1:75" customHeight="1" ht="12.75">
      <c r="A778" t="s">
        <v>72</v>
      </c>
      <c r="B778" t="s">
        <v>5013</v>
      </c>
      <c r="C778"/>
      <c r="D778"/>
      <c r="E778"/>
      <c r="F778" t="s">
        <v>5014</v>
      </c>
      <c r="G778"/>
      <c r="H778"/>
      <c r="I778" t="s">
        <v>5015</v>
      </c>
      <c r="J778" t="s">
        <v>95</v>
      </c>
      <c r="K778"/>
      <c r="L778"/>
      <c r="M778"/>
      <c r="N778"/>
      <c r="O778"/>
      <c r="P778"/>
      <c r="Q778"/>
      <c r="R778"/>
      <c r="S778"/>
      <c r="T778"/>
      <c r="U778"/>
      <c r="V778"/>
      <c r="W778"/>
      <c r="X778"/>
      <c r="Y778"/>
      <c r="Z778"/>
      <c r="AA778" t="s">
        <v>5016</v>
      </c>
      <c r="AB778" t="s">
        <v>5017</v>
      </c>
      <c r="AC778"/>
      <c r="AD778"/>
      <c r="AE778"/>
      <c r="AF778"/>
      <c r="AG778"/>
      <c r="AH778"/>
      <c r="AI778"/>
      <c r="AJ778"/>
      <c r="AK778"/>
      <c r="AL778"/>
      <c r="AM778"/>
      <c r="AN778"/>
      <c r="AO778" t="s">
        <v>98</v>
      </c>
      <c r="AP778" t="s">
        <v>99</v>
      </c>
      <c r="AQ778"/>
      <c r="AR778"/>
      <c r="AS778"/>
      <c r="AT778"/>
      <c r="AU778">
        <v>2020</v>
      </c>
      <c r="AV778"/>
      <c r="AW778">
        <v>2</v>
      </c>
      <c r="AX778"/>
      <c r="AY778"/>
      <c r="AZ778"/>
      <c r="BA778"/>
      <c r="BB778">
        <v>111</v>
      </c>
      <c r="BC778">
        <v>116</v>
      </c>
      <c r="BD778"/>
      <c r="BE778" t="s">
        <v>5018</v>
      </c>
      <c r="BF778" t="str">
        <f>HYPERLINK("http://dx.doi.org/10.25750/1995-4301-2020-2-111-116","http://dx.doi.org/10.25750/1995-4301-2020-2-111-116")</f>
        <v>http://dx.doi.org/10.25750/1995-4301-2020-2-111-116</v>
      </c>
      <c r="BG778"/>
      <c r="BH778"/>
      <c r="BI778"/>
      <c r="BJ778"/>
      <c r="BK778"/>
      <c r="BL778"/>
      <c r="BM778"/>
      <c r="BN778"/>
      <c r="BO778"/>
      <c r="BP778"/>
      <c r="BQ778"/>
      <c r="BR778"/>
      <c r="BS778" t="s">
        <v>5019</v>
      </c>
      <c r="BT778" t="str">
        <f>HYPERLINK("https%3A%2F%2Fwww.webofscience.com%2Fwos%2Fwoscc%2Ffull-record%2FWOS:000545295600015","View Full Record in Web of Science")</f>
        <v>View Full Record in Web of Science</v>
      </c>
    </row>
    <row r="779" spans="1:75" customHeight="1" ht="12.75">
      <c r="A779" t="s">
        <v>72</v>
      </c>
      <c r="B779" t="s">
        <v>5020</v>
      </c>
      <c r="C779"/>
      <c r="D779"/>
      <c r="E779"/>
      <c r="F779" t="s">
        <v>5021</v>
      </c>
      <c r="G779"/>
      <c r="H779"/>
      <c r="I779" t="s">
        <v>5022</v>
      </c>
      <c r="J779" t="s">
        <v>409</v>
      </c>
      <c r="K779"/>
      <c r="L779"/>
      <c r="M779"/>
      <c r="N779"/>
      <c r="O779"/>
      <c r="P779"/>
      <c r="Q779"/>
      <c r="R779"/>
      <c r="S779"/>
      <c r="T779"/>
      <c r="U779"/>
      <c r="V779"/>
      <c r="W779"/>
      <c r="X779"/>
      <c r="Y779"/>
      <c r="Z779"/>
      <c r="AA779" t="s">
        <v>480</v>
      </c>
      <c r="AB779" t="s">
        <v>481</v>
      </c>
      <c r="AC779"/>
      <c r="AD779"/>
      <c r="AE779"/>
      <c r="AF779"/>
      <c r="AG779"/>
      <c r="AH779"/>
      <c r="AI779"/>
      <c r="AJ779"/>
      <c r="AK779"/>
      <c r="AL779"/>
      <c r="AM779"/>
      <c r="AN779"/>
      <c r="AO779" t="s">
        <v>412</v>
      </c>
      <c r="AP779"/>
      <c r="AQ779"/>
      <c r="AR779"/>
      <c r="AS779"/>
      <c r="AT779" t="s">
        <v>541</v>
      </c>
      <c r="AU779">
        <v>2011</v>
      </c>
      <c r="AV779">
        <v>84</v>
      </c>
      <c r="AW779">
        <v>1</v>
      </c>
      <c r="AX779"/>
      <c r="AY779"/>
      <c r="AZ779"/>
      <c r="BA779"/>
      <c r="BB779">
        <v>147</v>
      </c>
      <c r="BC779">
        <v>150</v>
      </c>
      <c r="BD779"/>
      <c r="BE779" t="s">
        <v>5023</v>
      </c>
      <c r="BF779" t="str">
        <f>HYPERLINK("http://dx.doi.org/10.1134/S1070427211010265","http://dx.doi.org/10.1134/S1070427211010265")</f>
        <v>http://dx.doi.org/10.1134/S1070427211010265</v>
      </c>
      <c r="BG779"/>
      <c r="BH779"/>
      <c r="BI779"/>
      <c r="BJ779"/>
      <c r="BK779"/>
      <c r="BL779"/>
      <c r="BM779"/>
      <c r="BN779"/>
      <c r="BO779"/>
      <c r="BP779"/>
      <c r="BQ779"/>
      <c r="BR779"/>
      <c r="BS779" t="s">
        <v>5024</v>
      </c>
      <c r="BT779" t="str">
        <f>HYPERLINK("https%3A%2F%2Fwww.webofscience.com%2Fwos%2Fwoscc%2Ffull-record%2FWOS:000287500700026","View Full Record in Web of Science")</f>
        <v>View Full Record in Web of Science</v>
      </c>
    </row>
    <row r="780" spans="1:75" customHeight="1" ht="12.75">
      <c r="A780" t="s">
        <v>147</v>
      </c>
      <c r="B780" t="s">
        <v>5025</v>
      </c>
      <c r="C780"/>
      <c r="D780" t="s">
        <v>2517</v>
      </c>
      <c r="E780"/>
      <c r="F780" t="s">
        <v>5026</v>
      </c>
      <c r="G780"/>
      <c r="H780"/>
      <c r="I780" t="s">
        <v>5027</v>
      </c>
      <c r="J780" t="s">
        <v>5028</v>
      </c>
      <c r="K780" t="s">
        <v>2521</v>
      </c>
      <c r="L780"/>
      <c r="M780"/>
      <c r="N780"/>
      <c r="O780" t="s">
        <v>5029</v>
      </c>
      <c r="P780" t="s">
        <v>5030</v>
      </c>
      <c r="Q780" t="s">
        <v>2524</v>
      </c>
      <c r="R780" t="s">
        <v>2525</v>
      </c>
      <c r="S780"/>
      <c r="T780"/>
      <c r="U780"/>
      <c r="V780"/>
      <c r="W780"/>
      <c r="X780"/>
      <c r="Y780"/>
      <c r="Z780"/>
      <c r="AA780" t="s">
        <v>4761</v>
      </c>
      <c r="AB780" t="s">
        <v>4762</v>
      </c>
      <c r="AC780"/>
      <c r="AD780"/>
      <c r="AE780"/>
      <c r="AF780"/>
      <c r="AG780"/>
      <c r="AH780"/>
      <c r="AI780"/>
      <c r="AJ780"/>
      <c r="AK780"/>
      <c r="AL780"/>
      <c r="AM780"/>
      <c r="AN780"/>
      <c r="AO780" t="s">
        <v>2527</v>
      </c>
      <c r="AP780" t="s">
        <v>2528</v>
      </c>
      <c r="AQ780"/>
      <c r="AR780"/>
      <c r="AS780"/>
      <c r="AT780"/>
      <c r="AU780">
        <v>2020</v>
      </c>
      <c r="AV780"/>
      <c r="AW780"/>
      <c r="AX780"/>
      <c r="AY780"/>
      <c r="AZ780"/>
      <c r="BA780"/>
      <c r="BB780">
        <v>692</v>
      </c>
      <c r="BC780">
        <v>696</v>
      </c>
      <c r="BD780"/>
      <c r="BE780" t="s">
        <v>5031</v>
      </c>
      <c r="BF780" t="str">
        <f>HYPERLINK("http://dx.doi.org/10.22616/ERDev.2020.19.TF157","http://dx.doi.org/10.22616/ERDev.2020.19.TF157")</f>
        <v>http://dx.doi.org/10.22616/ERDev.2020.19.TF157</v>
      </c>
      <c r="BG780"/>
      <c r="BH780"/>
      <c r="BI780"/>
      <c r="BJ780"/>
      <c r="BK780"/>
      <c r="BL780"/>
      <c r="BM780"/>
      <c r="BN780"/>
      <c r="BO780"/>
      <c r="BP780"/>
      <c r="BQ780"/>
      <c r="BR780"/>
      <c r="BS780" t="s">
        <v>5032</v>
      </c>
      <c r="BT780" t="str">
        <f>HYPERLINK("https%3A%2F%2Fwww.webofscience.com%2Fwos%2Fwoscc%2Ffull-record%2FWOS:000815085500095","View Full Record in Web of Science")</f>
        <v>View Full Record in Web of Science</v>
      </c>
    </row>
    <row r="781" spans="1:75" customHeight="1" ht="12.75">
      <c r="A781" t="s">
        <v>72</v>
      </c>
      <c r="B781" t="s">
        <v>5033</v>
      </c>
      <c r="C781"/>
      <c r="D781"/>
      <c r="E781"/>
      <c r="F781" t="s">
        <v>5034</v>
      </c>
      <c r="G781"/>
      <c r="H781"/>
      <c r="I781" t="s">
        <v>5035</v>
      </c>
      <c r="J781" t="s">
        <v>2211</v>
      </c>
      <c r="K781"/>
      <c r="L781"/>
      <c r="M781"/>
      <c r="N781"/>
      <c r="O781"/>
      <c r="P781"/>
      <c r="Q781"/>
      <c r="R781"/>
      <c r="S781"/>
      <c r="T781"/>
      <c r="U781"/>
      <c r="V781"/>
      <c r="W781"/>
      <c r="X781"/>
      <c r="Y781"/>
      <c r="Z781"/>
      <c r="AA781" t="s">
        <v>5036</v>
      </c>
      <c r="AB781" t="s">
        <v>5037</v>
      </c>
      <c r="AC781"/>
      <c r="AD781"/>
      <c r="AE781"/>
      <c r="AF781"/>
      <c r="AG781"/>
      <c r="AH781"/>
      <c r="AI781"/>
      <c r="AJ781"/>
      <c r="AK781"/>
      <c r="AL781"/>
      <c r="AM781"/>
      <c r="AN781"/>
      <c r="AO781" t="s">
        <v>2214</v>
      </c>
      <c r="AP781" t="s">
        <v>2215</v>
      </c>
      <c r="AQ781"/>
      <c r="AR781"/>
      <c r="AS781"/>
      <c r="AT781" t="s">
        <v>655</v>
      </c>
      <c r="AU781">
        <v>2019</v>
      </c>
      <c r="AV781">
        <v>66</v>
      </c>
      <c r="AW781">
        <v>2</v>
      </c>
      <c r="AX781"/>
      <c r="AY781"/>
      <c r="AZ781"/>
      <c r="BA781"/>
      <c r="BB781">
        <v>108</v>
      </c>
      <c r="BC781">
        <v>115</v>
      </c>
      <c r="BD781"/>
      <c r="BE781" t="s">
        <v>5038</v>
      </c>
      <c r="BF781" t="str">
        <f>HYPERLINK("http://dx.doi.org/10.1134/S0040601519020071","http://dx.doi.org/10.1134/S0040601519020071")</f>
        <v>http://dx.doi.org/10.1134/S0040601519020071</v>
      </c>
      <c r="BG781"/>
      <c r="BH781"/>
      <c r="BI781"/>
      <c r="BJ781"/>
      <c r="BK781"/>
      <c r="BL781"/>
      <c r="BM781"/>
      <c r="BN781"/>
      <c r="BO781"/>
      <c r="BP781"/>
      <c r="BQ781"/>
      <c r="BR781"/>
      <c r="BS781" t="s">
        <v>5039</v>
      </c>
      <c r="BT781" t="str">
        <f>HYPERLINK("https%3A%2F%2Fwww.webofscience.com%2Fwos%2Fwoscc%2Ffull-record%2FWOS:000755490600005","View Full Record in Web of Science")</f>
        <v>View Full Record in Web of Science</v>
      </c>
    </row>
    <row r="782" spans="1:75" customHeight="1" ht="12.75">
      <c r="A782" t="s">
        <v>72</v>
      </c>
      <c r="B782" t="s">
        <v>5040</v>
      </c>
      <c r="C782"/>
      <c r="D782"/>
      <c r="E782"/>
      <c r="F782" t="s">
        <v>5041</v>
      </c>
      <c r="G782"/>
      <c r="H782"/>
      <c r="I782" t="s">
        <v>5042</v>
      </c>
      <c r="J782" t="s">
        <v>95</v>
      </c>
      <c r="K782"/>
      <c r="L782"/>
      <c r="M782"/>
      <c r="N782"/>
      <c r="O782"/>
      <c r="P782"/>
      <c r="Q782"/>
      <c r="R782"/>
      <c r="S782"/>
      <c r="T782"/>
      <c r="U782"/>
      <c r="V782"/>
      <c r="W782"/>
      <c r="X782"/>
      <c r="Y782"/>
      <c r="Z782"/>
      <c r="AA782" t="s">
        <v>2408</v>
      </c>
      <c r="AB782" t="s">
        <v>2409</v>
      </c>
      <c r="AC782"/>
      <c r="AD782"/>
      <c r="AE782"/>
      <c r="AF782"/>
      <c r="AG782"/>
      <c r="AH782"/>
      <c r="AI782"/>
      <c r="AJ782"/>
      <c r="AK782"/>
      <c r="AL782"/>
      <c r="AM782"/>
      <c r="AN782"/>
      <c r="AO782" t="s">
        <v>98</v>
      </c>
      <c r="AP782" t="s">
        <v>99</v>
      </c>
      <c r="AQ782"/>
      <c r="AR782"/>
      <c r="AS782"/>
      <c r="AT782"/>
      <c r="AU782">
        <v>2021</v>
      </c>
      <c r="AV782"/>
      <c r="AW782">
        <v>4</v>
      </c>
      <c r="AX782"/>
      <c r="AY782"/>
      <c r="AZ782"/>
      <c r="BA782"/>
      <c r="BB782">
        <v>133</v>
      </c>
      <c r="BC782">
        <v>139</v>
      </c>
      <c r="BD782"/>
      <c r="BE782" t="s">
        <v>5043</v>
      </c>
      <c r="BF782" t="str">
        <f>HYPERLINK("http://dx.doi.org/10.25750/1995-4301-2021-4-133-139","http://dx.doi.org/10.25750/1995-4301-2021-4-133-139")</f>
        <v>http://dx.doi.org/10.25750/1995-4301-2021-4-133-139</v>
      </c>
      <c r="BG782"/>
      <c r="BH782"/>
      <c r="BI782"/>
      <c r="BJ782"/>
      <c r="BK782"/>
      <c r="BL782"/>
      <c r="BM782"/>
      <c r="BN782"/>
      <c r="BO782"/>
      <c r="BP782"/>
      <c r="BQ782"/>
      <c r="BR782"/>
      <c r="BS782" t="s">
        <v>5044</v>
      </c>
      <c r="BT782" t="str">
        <f>HYPERLINK("https%3A%2F%2Fwww.webofscience.com%2Fwos%2Fwoscc%2Ffull-record%2FWOS:000755154100019","View Full Record in Web of Science")</f>
        <v>View Full Record in Web of Science</v>
      </c>
    </row>
    <row r="783" spans="1:75" customHeight="1" ht="12.75">
      <c r="A783" t="s">
        <v>72</v>
      </c>
      <c r="B783" t="s">
        <v>5045</v>
      </c>
      <c r="C783"/>
      <c r="D783"/>
      <c r="E783"/>
      <c r="F783" t="s">
        <v>5046</v>
      </c>
      <c r="G783"/>
      <c r="H783"/>
      <c r="I783" t="s">
        <v>5047</v>
      </c>
      <c r="J783" t="s">
        <v>940</v>
      </c>
      <c r="K783"/>
      <c r="L783"/>
      <c r="M783"/>
      <c r="N783"/>
      <c r="O783"/>
      <c r="P783"/>
      <c r="Q783"/>
      <c r="R783"/>
      <c r="S783"/>
      <c r="T783"/>
      <c r="U783"/>
      <c r="V783"/>
      <c r="W783"/>
      <c r="X783"/>
      <c r="Y783"/>
      <c r="Z783"/>
      <c r="AA783" t="s">
        <v>2449</v>
      </c>
      <c r="AB783" t="s">
        <v>3628</v>
      </c>
      <c r="AC783"/>
      <c r="AD783"/>
      <c r="AE783"/>
      <c r="AF783"/>
      <c r="AG783"/>
      <c r="AH783"/>
      <c r="AI783"/>
      <c r="AJ783"/>
      <c r="AK783"/>
      <c r="AL783"/>
      <c r="AM783"/>
      <c r="AN783"/>
      <c r="AO783" t="s">
        <v>943</v>
      </c>
      <c r="AP783" t="s">
        <v>944</v>
      </c>
      <c r="AQ783"/>
      <c r="AR783"/>
      <c r="AS783"/>
      <c r="AT783" t="s">
        <v>125</v>
      </c>
      <c r="AU783">
        <v>2012</v>
      </c>
      <c r="AV783">
        <v>54</v>
      </c>
      <c r="AW783" t="s">
        <v>1639</v>
      </c>
      <c r="AX783"/>
      <c r="AY783"/>
      <c r="AZ783"/>
      <c r="BA783"/>
      <c r="BB783">
        <v>178</v>
      </c>
      <c r="BC783">
        <v>183</v>
      </c>
      <c r="BD783"/>
      <c r="BE783" t="s">
        <v>5048</v>
      </c>
      <c r="BF783" t="str">
        <f>HYPERLINK("http://dx.doi.org/10.1007/s11041-012-9478-3","http://dx.doi.org/10.1007/s11041-012-9478-3")</f>
        <v>http://dx.doi.org/10.1007/s11041-012-9478-3</v>
      </c>
      <c r="BG783"/>
      <c r="BH783"/>
      <c r="BI783"/>
      <c r="BJ783"/>
      <c r="BK783"/>
      <c r="BL783"/>
      <c r="BM783"/>
      <c r="BN783"/>
      <c r="BO783"/>
      <c r="BP783"/>
      <c r="BQ783"/>
      <c r="BR783"/>
      <c r="BS783" t="s">
        <v>5049</v>
      </c>
      <c r="BT783" t="str">
        <f>HYPERLINK("https%3A%2F%2Fwww.webofscience.com%2Fwos%2Fwoscc%2Ffull-record%2FWOS:000312342200016","View Full Record in Web of Science")</f>
        <v>View Full Record in Web of Science</v>
      </c>
    </row>
    <row r="784" spans="1:75" customHeight="1" ht="12.75">
      <c r="A784" t="s">
        <v>72</v>
      </c>
      <c r="B784" t="s">
        <v>5050</v>
      </c>
      <c r="C784"/>
      <c r="D784"/>
      <c r="E784"/>
      <c r="F784" t="s">
        <v>5051</v>
      </c>
      <c r="G784"/>
      <c r="H784"/>
      <c r="I784" t="s">
        <v>5052</v>
      </c>
      <c r="J784" t="s">
        <v>325</v>
      </c>
      <c r="K784"/>
      <c r="L784"/>
      <c r="M784"/>
      <c r="N784"/>
      <c r="O784"/>
      <c r="P784"/>
      <c r="Q784"/>
      <c r="R784"/>
      <c r="S784"/>
      <c r="T784"/>
      <c r="U784"/>
      <c r="V784"/>
      <c r="W784"/>
      <c r="X784"/>
      <c r="Y784"/>
      <c r="Z784"/>
      <c r="AA784" t="s">
        <v>1885</v>
      </c>
      <c r="AB784" t="s">
        <v>3257</v>
      </c>
      <c r="AC784"/>
      <c r="AD784"/>
      <c r="AE784"/>
      <c r="AF784"/>
      <c r="AG784"/>
      <c r="AH784"/>
      <c r="AI784"/>
      <c r="AJ784"/>
      <c r="AK784"/>
      <c r="AL784"/>
      <c r="AM784"/>
      <c r="AN784"/>
      <c r="AO784" t="s">
        <v>328</v>
      </c>
      <c r="AP784" t="s">
        <v>329</v>
      </c>
      <c r="AQ784"/>
      <c r="AR784"/>
      <c r="AS784"/>
      <c r="AT784"/>
      <c r="AU784">
        <v>2021</v>
      </c>
      <c r="AV784">
        <v>15</v>
      </c>
      <c r="AW784">
        <v>3</v>
      </c>
      <c r="AX784"/>
      <c r="AY784"/>
      <c r="AZ784"/>
      <c r="BA784"/>
      <c r="BB784">
        <v>941</v>
      </c>
      <c r="BC784">
        <v>959</v>
      </c>
      <c r="BD784"/>
      <c r="BE784" t="s">
        <v>5053</v>
      </c>
      <c r="BF784" t="str">
        <f>HYPERLINK("http://dx.doi.org/10.24874/IJQR15.03-16","http://dx.doi.org/10.24874/IJQR15.03-16")</f>
        <v>http://dx.doi.org/10.24874/IJQR15.03-16</v>
      </c>
      <c r="BG784"/>
      <c r="BH784"/>
      <c r="BI784"/>
      <c r="BJ784"/>
      <c r="BK784"/>
      <c r="BL784"/>
      <c r="BM784"/>
      <c r="BN784"/>
      <c r="BO784"/>
      <c r="BP784"/>
      <c r="BQ784"/>
      <c r="BR784"/>
      <c r="BS784" t="s">
        <v>5054</v>
      </c>
      <c r="BT784" t="str">
        <f>HYPERLINK("https%3A%2F%2Fwww.webofscience.com%2Fwos%2Fwoscc%2Ffull-record%2FWOS:000686366800016","View Full Record in Web of Science")</f>
        <v>View Full Record in Web of Science</v>
      </c>
    </row>
    <row r="785" spans="1:75" customHeight="1" ht="12.75">
      <c r="A785" t="s">
        <v>72</v>
      </c>
      <c r="B785" t="s">
        <v>5055</v>
      </c>
      <c r="C785"/>
      <c r="D785"/>
      <c r="E785"/>
      <c r="F785" t="s">
        <v>5056</v>
      </c>
      <c r="G785"/>
      <c r="H785"/>
      <c r="I785" t="s">
        <v>5057</v>
      </c>
      <c r="J785" t="s">
        <v>95</v>
      </c>
      <c r="K785"/>
      <c r="L785"/>
      <c r="M785"/>
      <c r="N785"/>
      <c r="O785"/>
      <c r="P785"/>
      <c r="Q785"/>
      <c r="R785"/>
      <c r="S785"/>
      <c r="T785"/>
      <c r="U785"/>
      <c r="V785"/>
      <c r="W785"/>
      <c r="X785"/>
      <c r="Y785"/>
      <c r="Z785"/>
      <c r="AA785"/>
      <c r="AB785"/>
      <c r="AC785"/>
      <c r="AD785"/>
      <c r="AE785"/>
      <c r="AF785"/>
      <c r="AG785"/>
      <c r="AH785"/>
      <c r="AI785"/>
      <c r="AJ785"/>
      <c r="AK785"/>
      <c r="AL785"/>
      <c r="AM785"/>
      <c r="AN785"/>
      <c r="AO785" t="s">
        <v>98</v>
      </c>
      <c r="AP785" t="s">
        <v>99</v>
      </c>
      <c r="AQ785"/>
      <c r="AR785"/>
      <c r="AS785"/>
      <c r="AT785"/>
      <c r="AU785">
        <v>2020</v>
      </c>
      <c r="AV785"/>
      <c r="AW785">
        <v>3</v>
      </c>
      <c r="AX785"/>
      <c r="AY785"/>
      <c r="AZ785"/>
      <c r="BA785"/>
      <c r="BB785">
        <v>46</v>
      </c>
      <c r="BC785">
        <v>51</v>
      </c>
      <c r="BD785"/>
      <c r="BE785" t="s">
        <v>5058</v>
      </c>
      <c r="BF785" t="str">
        <f>HYPERLINK("http://dx.doi.org/10.25750/1995-4301-2020-3-046-051","http://dx.doi.org/10.25750/1995-4301-2020-3-046-051")</f>
        <v>http://dx.doi.org/10.25750/1995-4301-2020-3-046-051</v>
      </c>
      <c r="BG785"/>
      <c r="BH785"/>
      <c r="BI785"/>
      <c r="BJ785"/>
      <c r="BK785"/>
      <c r="BL785"/>
      <c r="BM785"/>
      <c r="BN785"/>
      <c r="BO785"/>
      <c r="BP785"/>
      <c r="BQ785"/>
      <c r="BR785"/>
      <c r="BS785" t="s">
        <v>5059</v>
      </c>
      <c r="BT785" t="str">
        <f>HYPERLINK("https%3A%2F%2Fwww.webofscience.com%2Fwos%2Fwoscc%2Ffull-record%2FWOS:000580337700007","View Full Record in Web of Science")</f>
        <v>View Full Record in Web of Science</v>
      </c>
    </row>
    <row r="786" spans="1:75" customHeight="1" ht="12.75">
      <c r="A786" t="s">
        <v>72</v>
      </c>
      <c r="B786" t="s">
        <v>4873</v>
      </c>
      <c r="C786"/>
      <c r="D786"/>
      <c r="E786"/>
      <c r="F786" t="s">
        <v>4874</v>
      </c>
      <c r="G786"/>
      <c r="H786"/>
      <c r="I786" t="s">
        <v>5060</v>
      </c>
      <c r="J786" t="s">
        <v>4849</v>
      </c>
      <c r="K786"/>
      <c r="L786"/>
      <c r="M786"/>
      <c r="N786"/>
      <c r="O786"/>
      <c r="P786"/>
      <c r="Q786"/>
      <c r="R786"/>
      <c r="S786"/>
      <c r="T786"/>
      <c r="U786"/>
      <c r="V786"/>
      <c r="W786"/>
      <c r="X786"/>
      <c r="Y786"/>
      <c r="Z786"/>
      <c r="AA786" t="s">
        <v>4850</v>
      </c>
      <c r="AB786" t="s">
        <v>4851</v>
      </c>
      <c r="AC786"/>
      <c r="AD786"/>
      <c r="AE786"/>
      <c r="AF786"/>
      <c r="AG786"/>
      <c r="AH786"/>
      <c r="AI786"/>
      <c r="AJ786"/>
      <c r="AK786"/>
      <c r="AL786"/>
      <c r="AM786"/>
      <c r="AN786"/>
      <c r="AO786" t="s">
        <v>4852</v>
      </c>
      <c r="AP786" t="s">
        <v>4853</v>
      </c>
      <c r="AQ786"/>
      <c r="AR786"/>
      <c r="AS786"/>
      <c r="AT786" t="s">
        <v>655</v>
      </c>
      <c r="AU786">
        <v>2023</v>
      </c>
      <c r="AV786">
        <v>101</v>
      </c>
      <c r="AW786">
        <v>2</v>
      </c>
      <c r="AX786"/>
      <c r="AY786"/>
      <c r="AZ786"/>
      <c r="BA786"/>
      <c r="BB786">
        <v>181</v>
      </c>
      <c r="BC786">
        <v>182</v>
      </c>
      <c r="BD786"/>
      <c r="BE786" t="s">
        <v>5061</v>
      </c>
      <c r="BF786" t="str">
        <f>HYPERLINK("http://dx.doi.org/10.1111/tan.14848","http://dx.doi.org/10.1111/tan.14848")</f>
        <v>http://dx.doi.org/10.1111/tan.14848</v>
      </c>
      <c r="BG786"/>
      <c r="BH786" t="s">
        <v>5062</v>
      </c>
      <c r="BI786"/>
      <c r="BJ786"/>
      <c r="BK786"/>
      <c r="BL786"/>
      <c r="BM786"/>
      <c r="BN786">
        <v>36222333</v>
      </c>
      <c r="BO786"/>
      <c r="BP786"/>
      <c r="BQ786"/>
      <c r="BR786"/>
      <c r="BS786" t="s">
        <v>5063</v>
      </c>
      <c r="BT786" t="str">
        <f>HYPERLINK("https%3A%2F%2Fwww.webofscience.com%2Fwos%2Fwoscc%2Ffull-record%2FWOS:000869708600001","View Full Record in Web of Science")</f>
        <v>View Full Record in Web of Science</v>
      </c>
    </row>
    <row r="787" spans="1:75" customHeight="1" ht="12.75">
      <c r="A787" t="s">
        <v>72</v>
      </c>
      <c r="B787" t="s">
        <v>5064</v>
      </c>
      <c r="C787"/>
      <c r="D787"/>
      <c r="E787"/>
      <c r="F787" t="s">
        <v>5064</v>
      </c>
      <c r="G787"/>
      <c r="H787"/>
      <c r="I787" t="s">
        <v>5065</v>
      </c>
      <c r="J787" t="s">
        <v>3996</v>
      </c>
      <c r="K787"/>
      <c r="L787"/>
      <c r="M787"/>
      <c r="N787"/>
      <c r="O787"/>
      <c r="P787"/>
      <c r="Q787"/>
      <c r="R787"/>
      <c r="S787"/>
      <c r="T787"/>
      <c r="U787"/>
      <c r="V787"/>
      <c r="W787"/>
      <c r="X787"/>
      <c r="Y787"/>
      <c r="Z787"/>
      <c r="AA787" t="s">
        <v>5066</v>
      </c>
      <c r="AB787" t="s">
        <v>5067</v>
      </c>
      <c r="AC787"/>
      <c r="AD787"/>
      <c r="AE787"/>
      <c r="AF787"/>
      <c r="AG787"/>
      <c r="AH787"/>
      <c r="AI787"/>
      <c r="AJ787"/>
      <c r="AK787"/>
      <c r="AL787"/>
      <c r="AM787"/>
      <c r="AN787"/>
      <c r="AO787" t="s">
        <v>3999</v>
      </c>
      <c r="AP787" t="s">
        <v>4000</v>
      </c>
      <c r="AQ787"/>
      <c r="AR787"/>
      <c r="AS787"/>
      <c r="AT787" t="s">
        <v>125</v>
      </c>
      <c r="AU787">
        <v>2003</v>
      </c>
      <c r="AV787">
        <v>136</v>
      </c>
      <c r="AW787">
        <v>1</v>
      </c>
      <c r="AX787"/>
      <c r="AY787"/>
      <c r="AZ787"/>
      <c r="BA787"/>
      <c r="BB787">
        <v>14</v>
      </c>
      <c r="BC787">
        <v>18</v>
      </c>
      <c r="BD787"/>
      <c r="BE787" t="s">
        <v>5068</v>
      </c>
      <c r="BF787" t="str">
        <f>HYPERLINK("http://dx.doi.org/10.1023/A:1026068208764","http://dx.doi.org/10.1023/A:1026068208764")</f>
        <v>http://dx.doi.org/10.1023/A:1026068208764</v>
      </c>
      <c r="BG787"/>
      <c r="BH787"/>
      <c r="BI787"/>
      <c r="BJ787"/>
      <c r="BK787"/>
      <c r="BL787"/>
      <c r="BM787"/>
      <c r="BN787">
        <v>14534600</v>
      </c>
      <c r="BO787"/>
      <c r="BP787"/>
      <c r="BQ787"/>
      <c r="BR787"/>
      <c r="BS787" t="s">
        <v>5069</v>
      </c>
      <c r="BT787" t="str">
        <f>HYPERLINK("https%3A%2F%2Fwww.webofscience.com%2Fwos%2Fwoscc%2Ffull-record%2FWOS:000187861200004","View Full Record in Web of Science")</f>
        <v>View Full Record in Web of Science</v>
      </c>
    </row>
    <row r="788" spans="1:75" customHeight="1" ht="12.75">
      <c r="A788" t="s">
        <v>72</v>
      </c>
      <c r="B788" t="s">
        <v>5070</v>
      </c>
      <c r="C788"/>
      <c r="D788"/>
      <c r="E788"/>
      <c r="F788" t="s">
        <v>5071</v>
      </c>
      <c r="G788"/>
      <c r="H788"/>
      <c r="I788" t="s">
        <v>5072</v>
      </c>
      <c r="J788" t="s">
        <v>3996</v>
      </c>
      <c r="K788"/>
      <c r="L788"/>
      <c r="M788"/>
      <c r="N788"/>
      <c r="O788"/>
      <c r="P788"/>
      <c r="Q788"/>
      <c r="R788"/>
      <c r="S788"/>
      <c r="T788"/>
      <c r="U788"/>
      <c r="V788"/>
      <c r="W788"/>
      <c r="X788"/>
      <c r="Y788"/>
      <c r="Z788"/>
      <c r="AA788" t="s">
        <v>3997</v>
      </c>
      <c r="AB788" t="s">
        <v>3998</v>
      </c>
      <c r="AC788"/>
      <c r="AD788"/>
      <c r="AE788"/>
      <c r="AF788"/>
      <c r="AG788"/>
      <c r="AH788"/>
      <c r="AI788"/>
      <c r="AJ788"/>
      <c r="AK788"/>
      <c r="AL788"/>
      <c r="AM788"/>
      <c r="AN788"/>
      <c r="AO788" t="s">
        <v>3999</v>
      </c>
      <c r="AP788" t="s">
        <v>4000</v>
      </c>
      <c r="AQ788"/>
      <c r="AR788"/>
      <c r="AS788"/>
      <c r="AT788" t="s">
        <v>403</v>
      </c>
      <c r="AU788">
        <v>2012</v>
      </c>
      <c r="AV788">
        <v>154</v>
      </c>
      <c r="AW788">
        <v>2</v>
      </c>
      <c r="AX788"/>
      <c r="AY788"/>
      <c r="AZ788"/>
      <c r="BA788"/>
      <c r="BB788">
        <v>180</v>
      </c>
      <c r="BC788">
        <v>183</v>
      </c>
      <c r="BD788"/>
      <c r="BE788" t="s">
        <v>5073</v>
      </c>
      <c r="BF788" t="str">
        <f>HYPERLINK("http://dx.doi.org/10.1007/s10517-012-1905-3","http://dx.doi.org/10.1007/s10517-012-1905-3")</f>
        <v>http://dx.doi.org/10.1007/s10517-012-1905-3</v>
      </c>
      <c r="BG788"/>
      <c r="BH788"/>
      <c r="BI788"/>
      <c r="BJ788"/>
      <c r="BK788"/>
      <c r="BL788"/>
      <c r="BM788"/>
      <c r="BN788">
        <v>23330118</v>
      </c>
      <c r="BO788"/>
      <c r="BP788"/>
      <c r="BQ788"/>
      <c r="BR788"/>
      <c r="BS788" t="s">
        <v>5074</v>
      </c>
      <c r="BT788" t="str">
        <f>HYPERLINK("https%3A%2F%2Fwww.webofscience.com%2Fwos%2Fwoscc%2Ffull-record%2FWOS:000312334000002","View Full Record in Web of Science")</f>
        <v>View Full Record in Web of Science</v>
      </c>
    </row>
    <row r="789" spans="1:75" customHeight="1" ht="12.75">
      <c r="A789" t="s">
        <v>72</v>
      </c>
      <c r="B789" t="s">
        <v>5075</v>
      </c>
      <c r="C789"/>
      <c r="D789"/>
      <c r="E789"/>
      <c r="F789" t="s">
        <v>5076</v>
      </c>
      <c r="G789"/>
      <c r="H789"/>
      <c r="I789" t="s">
        <v>5077</v>
      </c>
      <c r="J789" t="s">
        <v>940</v>
      </c>
      <c r="K789"/>
      <c r="L789"/>
      <c r="M789"/>
      <c r="N789"/>
      <c r="O789"/>
      <c r="P789"/>
      <c r="Q789"/>
      <c r="R789"/>
      <c r="S789"/>
      <c r="T789"/>
      <c r="U789"/>
      <c r="V789"/>
      <c r="W789"/>
      <c r="X789"/>
      <c r="Y789"/>
      <c r="Z789"/>
      <c r="AA789" t="s">
        <v>5078</v>
      </c>
      <c r="AB789" t="s">
        <v>5079</v>
      </c>
      <c r="AC789"/>
      <c r="AD789"/>
      <c r="AE789"/>
      <c r="AF789"/>
      <c r="AG789"/>
      <c r="AH789"/>
      <c r="AI789"/>
      <c r="AJ789"/>
      <c r="AK789"/>
      <c r="AL789"/>
      <c r="AM789"/>
      <c r="AN789"/>
      <c r="AO789" t="s">
        <v>943</v>
      </c>
      <c r="AP789"/>
      <c r="AQ789"/>
      <c r="AR789"/>
      <c r="AS789"/>
      <c r="AT789" t="s">
        <v>88</v>
      </c>
      <c r="AU789">
        <v>2007</v>
      </c>
      <c r="AV789">
        <v>49</v>
      </c>
      <c r="AW789" t="s">
        <v>994</v>
      </c>
      <c r="AX789"/>
      <c r="AY789"/>
      <c r="AZ789"/>
      <c r="BA789"/>
      <c r="BB789">
        <v>232</v>
      </c>
      <c r="BC789">
        <v>235</v>
      </c>
      <c r="BD789"/>
      <c r="BE789" t="s">
        <v>5080</v>
      </c>
      <c r="BF789" t="str">
        <f>HYPERLINK("http://dx.doi.org/10.1007/s11041-007-0041-6","http://dx.doi.org/10.1007/s11041-007-0041-6")</f>
        <v>http://dx.doi.org/10.1007/s11041-007-0041-6</v>
      </c>
      <c r="BG789"/>
      <c r="BH789"/>
      <c r="BI789"/>
      <c r="BJ789"/>
      <c r="BK789"/>
      <c r="BL789"/>
      <c r="BM789"/>
      <c r="BN789"/>
      <c r="BO789"/>
      <c r="BP789"/>
      <c r="BQ789"/>
      <c r="BR789"/>
      <c r="BS789" t="s">
        <v>5081</v>
      </c>
      <c r="BT789" t="str">
        <f>HYPERLINK("https%3A%2F%2Fwww.webofscience.com%2Fwos%2Fwoscc%2Ffull-record%2FWOS:000251500300004","View Full Record in Web of Science")</f>
        <v>View Full Record in Web of Science</v>
      </c>
    </row>
    <row r="790" spans="1:75" customHeight="1" ht="12.75">
      <c r="A790" t="s">
        <v>72</v>
      </c>
      <c r="B790" t="s">
        <v>2877</v>
      </c>
      <c r="C790"/>
      <c r="D790"/>
      <c r="E790"/>
      <c r="F790" t="s">
        <v>2878</v>
      </c>
      <c r="G790"/>
      <c r="H790"/>
      <c r="I790" t="s">
        <v>5082</v>
      </c>
      <c r="J790" t="s">
        <v>2880</v>
      </c>
      <c r="K790"/>
      <c r="L790"/>
      <c r="M790"/>
      <c r="N790"/>
      <c r="O790"/>
      <c r="P790"/>
      <c r="Q790"/>
      <c r="R790"/>
      <c r="S790"/>
      <c r="T790"/>
      <c r="U790"/>
      <c r="V790"/>
      <c r="W790"/>
      <c r="X790"/>
      <c r="Y790"/>
      <c r="Z790"/>
      <c r="AA790"/>
      <c r="AB790"/>
      <c r="AC790"/>
      <c r="AD790"/>
      <c r="AE790"/>
      <c r="AF790"/>
      <c r="AG790"/>
      <c r="AH790"/>
      <c r="AI790"/>
      <c r="AJ790"/>
      <c r="AK790"/>
      <c r="AL790"/>
      <c r="AM790"/>
      <c r="AN790"/>
      <c r="AO790" t="s">
        <v>2881</v>
      </c>
      <c r="AP790" t="s">
        <v>2882</v>
      </c>
      <c r="AQ790"/>
      <c r="AR790"/>
      <c r="AS790"/>
      <c r="AT790" t="s">
        <v>541</v>
      </c>
      <c r="AU790">
        <v>2019</v>
      </c>
      <c r="AV790">
        <v>52</v>
      </c>
      <c r="AW790">
        <v>5</v>
      </c>
      <c r="AX790"/>
      <c r="AY790"/>
      <c r="AZ790"/>
      <c r="BA790"/>
      <c r="BB790">
        <v>361</v>
      </c>
      <c r="BC790">
        <v>364</v>
      </c>
      <c r="BD790"/>
      <c r="BE790" t="s">
        <v>5083</v>
      </c>
      <c r="BF790" t="str">
        <f>HYPERLINK("http://dx.doi.org/10.1007/s10527-019-09848-6","http://dx.doi.org/10.1007/s10527-019-09848-6")</f>
        <v>http://dx.doi.org/10.1007/s10527-019-09848-6</v>
      </c>
      <c r="BG790"/>
      <c r="BH790"/>
      <c r="BI790"/>
      <c r="BJ790"/>
      <c r="BK790"/>
      <c r="BL790"/>
      <c r="BM790"/>
      <c r="BN790"/>
      <c r="BO790"/>
      <c r="BP790"/>
      <c r="BQ790"/>
      <c r="BR790"/>
      <c r="BS790" t="s">
        <v>5084</v>
      </c>
      <c r="BT790" t="str">
        <f>HYPERLINK("https%3A%2F%2Fwww.webofscience.com%2Fwos%2Fwoscc%2Ffull-record%2FWOS:000748252900016","View Full Record in Web of Science")</f>
        <v>View Full Record in Web of Science</v>
      </c>
    </row>
    <row r="791" spans="1:75" customHeight="1" ht="12.75">
      <c r="A791" t="s">
        <v>72</v>
      </c>
      <c r="B791" t="s">
        <v>378</v>
      </c>
      <c r="C791"/>
      <c r="D791"/>
      <c r="E791"/>
      <c r="F791" t="s">
        <v>2100</v>
      </c>
      <c r="G791"/>
      <c r="H791"/>
      <c r="I791" t="s">
        <v>5085</v>
      </c>
      <c r="J791" t="s">
        <v>5086</v>
      </c>
      <c r="K791"/>
      <c r="L791"/>
      <c r="M791"/>
      <c r="N791"/>
      <c r="O791"/>
      <c r="P791"/>
      <c r="Q791"/>
      <c r="R791"/>
      <c r="S791"/>
      <c r="T791"/>
      <c r="U791"/>
      <c r="V791"/>
      <c r="W791"/>
      <c r="X791"/>
      <c r="Y791"/>
      <c r="Z791"/>
      <c r="AA791" t="s">
        <v>553</v>
      </c>
      <c r="AB791" t="s">
        <v>554</v>
      </c>
      <c r="AC791"/>
      <c r="AD791"/>
      <c r="AE791"/>
      <c r="AF791"/>
      <c r="AG791"/>
      <c r="AH791"/>
      <c r="AI791"/>
      <c r="AJ791"/>
      <c r="AK791"/>
      <c r="AL791"/>
      <c r="AM791"/>
      <c r="AN791"/>
      <c r="AO791" t="s">
        <v>5087</v>
      </c>
      <c r="AP791" t="s">
        <v>5088</v>
      </c>
      <c r="AQ791"/>
      <c r="AR791"/>
      <c r="AS791"/>
      <c r="AT791" t="s">
        <v>88</v>
      </c>
      <c r="AU791">
        <v>2021</v>
      </c>
      <c r="AV791">
        <v>9</v>
      </c>
      <c r="AW791">
        <v>5</v>
      </c>
      <c r="AX791"/>
      <c r="AY791"/>
      <c r="AZ791"/>
      <c r="BA791"/>
      <c r="BB791">
        <v>13533</v>
      </c>
      <c r="BC791">
        <v>13538</v>
      </c>
      <c r="BD791"/>
      <c r="BE791" t="s">
        <v>5089</v>
      </c>
      <c r="BF791" t="str">
        <f>HYPERLINK("http://dx.doi.org/10.22038/ijp.2021.57107.4477","http://dx.doi.org/10.22038/ijp.2021.57107.4477")</f>
        <v>http://dx.doi.org/10.22038/ijp.2021.57107.4477</v>
      </c>
      <c r="BG791"/>
      <c r="BH791"/>
      <c r="BI791"/>
      <c r="BJ791"/>
      <c r="BK791"/>
      <c r="BL791"/>
      <c r="BM791"/>
      <c r="BN791"/>
      <c r="BO791"/>
      <c r="BP791"/>
      <c r="BQ791"/>
      <c r="BR791"/>
      <c r="BS791" t="s">
        <v>5090</v>
      </c>
      <c r="BT791" t="str">
        <f>HYPERLINK("https%3A%2F%2Fwww.webofscience.com%2Fwos%2Fwoscc%2Ffull-record%2FWOS:000643937900010","View Full Record in Web of Science")</f>
        <v>View Full Record in Web of Science</v>
      </c>
    </row>
    <row r="792" spans="1:75" customHeight="1" ht="12.75">
      <c r="A792" t="s">
        <v>72</v>
      </c>
      <c r="B792" t="s">
        <v>4719</v>
      </c>
      <c r="C792"/>
      <c r="D792"/>
      <c r="E792"/>
      <c r="F792" t="s">
        <v>4720</v>
      </c>
      <c r="G792"/>
      <c r="H792"/>
      <c r="I792" t="s">
        <v>5091</v>
      </c>
      <c r="J792" t="s">
        <v>95</v>
      </c>
      <c r="K792"/>
      <c r="L792"/>
      <c r="M792"/>
      <c r="N792"/>
      <c r="O792"/>
      <c r="P792"/>
      <c r="Q792"/>
      <c r="R792"/>
      <c r="S792"/>
      <c r="T792"/>
      <c r="U792"/>
      <c r="V792"/>
      <c r="W792"/>
      <c r="X792"/>
      <c r="Y792"/>
      <c r="Z792"/>
      <c r="AA792" t="s">
        <v>562</v>
      </c>
      <c r="AB792" t="s">
        <v>4722</v>
      </c>
      <c r="AC792"/>
      <c r="AD792"/>
      <c r="AE792"/>
      <c r="AF792"/>
      <c r="AG792"/>
      <c r="AH792"/>
      <c r="AI792"/>
      <c r="AJ792"/>
      <c r="AK792"/>
      <c r="AL792"/>
      <c r="AM792"/>
      <c r="AN792"/>
      <c r="AO792" t="s">
        <v>98</v>
      </c>
      <c r="AP792" t="s">
        <v>99</v>
      </c>
      <c r="AQ792"/>
      <c r="AR792"/>
      <c r="AS792"/>
      <c r="AT792"/>
      <c r="AU792">
        <v>2021</v>
      </c>
      <c r="AV792"/>
      <c r="AW792">
        <v>3</v>
      </c>
      <c r="AX792"/>
      <c r="AY792"/>
      <c r="AZ792"/>
      <c r="BA792"/>
      <c r="BB792">
        <v>126</v>
      </c>
      <c r="BC792">
        <v>132</v>
      </c>
      <c r="BD792"/>
      <c r="BE792" t="s">
        <v>5092</v>
      </c>
      <c r="BF792" t="str">
        <f>HYPERLINK("http://dx.doi.org/10.25750/1995-4301-2021-3-126-132","http://dx.doi.org/10.25750/1995-4301-2021-3-126-132")</f>
        <v>http://dx.doi.org/10.25750/1995-4301-2021-3-126-132</v>
      </c>
      <c r="BG792"/>
      <c r="BH792"/>
      <c r="BI792"/>
      <c r="BJ792"/>
      <c r="BK792"/>
      <c r="BL792"/>
      <c r="BM792"/>
      <c r="BN792"/>
      <c r="BO792"/>
      <c r="BP792"/>
      <c r="BQ792"/>
      <c r="BR792"/>
      <c r="BS792" t="s">
        <v>5093</v>
      </c>
      <c r="BT792" t="str">
        <f>HYPERLINK("https%3A%2F%2Fwww.webofscience.com%2Fwos%2Fwoscc%2Ffull-record%2FWOS:000700413300017","View Full Record in Web of Science")</f>
        <v>View Full Record in Web of Science</v>
      </c>
    </row>
    <row r="793" spans="1:75" customHeight="1" ht="12.75">
      <c r="A793" t="s">
        <v>72</v>
      </c>
      <c r="B793" t="s">
        <v>4970</v>
      </c>
      <c r="C793"/>
      <c r="D793"/>
      <c r="E793"/>
      <c r="F793" t="s">
        <v>4971</v>
      </c>
      <c r="G793"/>
      <c r="H793"/>
      <c r="I793" t="s">
        <v>5094</v>
      </c>
      <c r="J793" t="s">
        <v>940</v>
      </c>
      <c r="K793"/>
      <c r="L793"/>
      <c r="M793"/>
      <c r="N793"/>
      <c r="O793"/>
      <c r="P793"/>
      <c r="Q793"/>
      <c r="R793"/>
      <c r="S793"/>
      <c r="T793"/>
      <c r="U793"/>
      <c r="V793"/>
      <c r="W793"/>
      <c r="X793"/>
      <c r="Y793"/>
      <c r="Z793"/>
      <c r="AA793" t="s">
        <v>2449</v>
      </c>
      <c r="AB793" t="s">
        <v>3628</v>
      </c>
      <c r="AC793"/>
      <c r="AD793"/>
      <c r="AE793"/>
      <c r="AF793"/>
      <c r="AG793"/>
      <c r="AH793"/>
      <c r="AI793"/>
      <c r="AJ793"/>
      <c r="AK793"/>
      <c r="AL793"/>
      <c r="AM793"/>
      <c r="AN793"/>
      <c r="AO793" t="s">
        <v>943</v>
      </c>
      <c r="AP793" t="s">
        <v>944</v>
      </c>
      <c r="AQ793"/>
      <c r="AR793"/>
      <c r="AS793"/>
      <c r="AT793" t="s">
        <v>319</v>
      </c>
      <c r="AU793">
        <v>2020</v>
      </c>
      <c r="AV793">
        <v>62</v>
      </c>
      <c r="AW793" t="s">
        <v>3862</v>
      </c>
      <c r="AX793"/>
      <c r="AY793"/>
      <c r="AZ793"/>
      <c r="BA793"/>
      <c r="BB793">
        <v>534</v>
      </c>
      <c r="BC793">
        <v>539</v>
      </c>
      <c r="BD793"/>
      <c r="BE793" t="s">
        <v>5095</v>
      </c>
      <c r="BF793" t="str">
        <f>HYPERLINK("http://dx.doi.org/10.1007/s11041-020-00598-x","http://dx.doi.org/10.1007/s11041-020-00598-x")</f>
        <v>http://dx.doi.org/10.1007/s11041-020-00598-x</v>
      </c>
      <c r="BG793"/>
      <c r="BH793" t="s">
        <v>5096</v>
      </c>
      <c r="BI793"/>
      <c r="BJ793"/>
      <c r="BK793"/>
      <c r="BL793"/>
      <c r="BM793"/>
      <c r="BN793"/>
      <c r="BO793"/>
      <c r="BP793"/>
      <c r="BQ793"/>
      <c r="BR793"/>
      <c r="BS793" t="s">
        <v>5097</v>
      </c>
      <c r="BT793" t="str">
        <f>HYPERLINK("https%3A%2F%2Fwww.webofscience.com%2Fwos%2Fwoscc%2Ffull-record%2FWOS:000591585000003","View Full Record in Web of Science")</f>
        <v>View Full Record in Web of Science</v>
      </c>
    </row>
    <row r="794" spans="1:75" customHeight="1" ht="12.75">
      <c r="A794" t="s">
        <v>72</v>
      </c>
      <c r="B794" t="s">
        <v>5098</v>
      </c>
      <c r="C794"/>
      <c r="D794"/>
      <c r="E794"/>
      <c r="F794" t="s">
        <v>5099</v>
      </c>
      <c r="G794"/>
      <c r="H794"/>
      <c r="I794" t="s">
        <v>5100</v>
      </c>
      <c r="J794" t="s">
        <v>1608</v>
      </c>
      <c r="K794"/>
      <c r="L794"/>
      <c r="M794"/>
      <c r="N794"/>
      <c r="O794"/>
      <c r="P794"/>
      <c r="Q794"/>
      <c r="R794"/>
      <c r="S794"/>
      <c r="T794"/>
      <c r="U794"/>
      <c r="V794"/>
      <c r="W794"/>
      <c r="X794"/>
      <c r="Y794"/>
      <c r="Z794"/>
      <c r="AA794" t="s">
        <v>1609</v>
      </c>
      <c r="AB794" t="s">
        <v>1610</v>
      </c>
      <c r="AC794"/>
      <c r="AD794"/>
      <c r="AE794"/>
      <c r="AF794"/>
      <c r="AG794"/>
      <c r="AH794"/>
      <c r="AI794"/>
      <c r="AJ794"/>
      <c r="AK794"/>
      <c r="AL794"/>
      <c r="AM794"/>
      <c r="AN794"/>
      <c r="AO794" t="s">
        <v>1611</v>
      </c>
      <c r="AP794" t="s">
        <v>1612</v>
      </c>
      <c r="AQ794"/>
      <c r="AR794"/>
      <c r="AS794"/>
      <c r="AT794"/>
      <c r="AU794">
        <v>2023</v>
      </c>
      <c r="AV794">
        <v>33</v>
      </c>
      <c r="AW794">
        <v>1</v>
      </c>
      <c r="AX794"/>
      <c r="AY794"/>
      <c r="AZ794"/>
      <c r="BA794"/>
      <c r="BB794"/>
      <c r="BC794"/>
      <c r="BD794"/>
      <c r="BE794" t="s">
        <v>5101</v>
      </c>
      <c r="BF794" t="str">
        <f>HYPERLINK("http://dx.doi.org/10.15507/2658-4123.033.202301.100-113","http://dx.doi.org/10.15507/2658-4123.033.202301.100-113")</f>
        <v>http://dx.doi.org/10.15507/2658-4123.033.202301.100-113</v>
      </c>
      <c r="BG794"/>
      <c r="BH794"/>
      <c r="BI794"/>
      <c r="BJ794"/>
      <c r="BK794"/>
      <c r="BL794"/>
      <c r="BM794"/>
      <c r="BN794"/>
      <c r="BO794"/>
      <c r="BP794"/>
      <c r="BQ794"/>
      <c r="BR794"/>
      <c r="BS794" t="s">
        <v>5102</v>
      </c>
      <c r="BT794" t="str">
        <f>HYPERLINK("https%3A%2F%2Fwww.webofscience.com%2Fwos%2Fwoscc%2Ffull-record%2FWOS:000994427200005","View Full Record in Web of Science")</f>
        <v>View Full Record in Web of Science</v>
      </c>
    </row>
    <row r="795" spans="1:75" customHeight="1" ht="12.75">
      <c r="A795" t="s">
        <v>72</v>
      </c>
      <c r="B795" t="s">
        <v>5103</v>
      </c>
      <c r="C795"/>
      <c r="D795"/>
      <c r="E795"/>
      <c r="F795" t="s">
        <v>5104</v>
      </c>
      <c r="G795"/>
      <c r="H795"/>
      <c r="I795" t="s">
        <v>5105</v>
      </c>
      <c r="J795" t="s">
        <v>5106</v>
      </c>
      <c r="K795"/>
      <c r="L795"/>
      <c r="M795"/>
      <c r="N795"/>
      <c r="O795"/>
      <c r="P795"/>
      <c r="Q795"/>
      <c r="R795"/>
      <c r="S795"/>
      <c r="T795"/>
      <c r="U795"/>
      <c r="V795"/>
      <c r="W795"/>
      <c r="X795"/>
      <c r="Y795"/>
      <c r="Z795"/>
      <c r="AA795" t="s">
        <v>5107</v>
      </c>
      <c r="AB795" t="s">
        <v>5108</v>
      </c>
      <c r="AC795"/>
      <c r="AD795"/>
      <c r="AE795"/>
      <c r="AF795"/>
      <c r="AG795"/>
      <c r="AH795"/>
      <c r="AI795"/>
      <c r="AJ795"/>
      <c r="AK795"/>
      <c r="AL795"/>
      <c r="AM795"/>
      <c r="AN795"/>
      <c r="AO795" t="s">
        <v>5109</v>
      </c>
      <c r="AP795" t="s">
        <v>5110</v>
      </c>
      <c r="AQ795"/>
      <c r="AR795"/>
      <c r="AS795"/>
      <c r="AT795" t="s">
        <v>171</v>
      </c>
      <c r="AU795">
        <v>2023</v>
      </c>
      <c r="AV795">
        <v>52</v>
      </c>
      <c r="AW795">
        <v>3</v>
      </c>
      <c r="AX795"/>
      <c r="AY795"/>
      <c r="AZ795"/>
      <c r="BA795"/>
      <c r="BB795">
        <v>727</v>
      </c>
      <c r="BC795">
        <v>749</v>
      </c>
      <c r="BD795"/>
      <c r="BE795" t="s">
        <v>5111</v>
      </c>
      <c r="BF795" t="str">
        <f>HYPERLINK("http://dx.doi.org/10.1002/eqe.3785","http://dx.doi.org/10.1002/eqe.3785")</f>
        <v>http://dx.doi.org/10.1002/eqe.3785</v>
      </c>
      <c r="BG795"/>
      <c r="BH795" t="s">
        <v>4345</v>
      </c>
      <c r="BI795"/>
      <c r="BJ795"/>
      <c r="BK795"/>
      <c r="BL795"/>
      <c r="BM795"/>
      <c r="BN795"/>
      <c r="BO795"/>
      <c r="BP795"/>
      <c r="BQ795"/>
      <c r="BR795"/>
      <c r="BS795" t="s">
        <v>5112</v>
      </c>
      <c r="BT795" t="str">
        <f>HYPERLINK("https%3A%2F%2Fwww.webofscience.com%2Fwos%2Fwoscc%2Ffull-record%2FWOS:000892774100001","View Full Record in Web of Science")</f>
        <v>View Full Record in Web of Science</v>
      </c>
    </row>
    <row r="796" spans="1:75" customHeight="1" ht="12.75">
      <c r="A796" t="s">
        <v>72</v>
      </c>
      <c r="B796" t="s">
        <v>5113</v>
      </c>
      <c r="C796"/>
      <c r="D796"/>
      <c r="E796"/>
      <c r="F796" t="s">
        <v>5114</v>
      </c>
      <c r="G796"/>
      <c r="H796"/>
      <c r="I796" t="s">
        <v>5115</v>
      </c>
      <c r="J796" t="s">
        <v>1114</v>
      </c>
      <c r="K796"/>
      <c r="L796"/>
      <c r="M796"/>
      <c r="N796"/>
      <c r="O796"/>
      <c r="P796"/>
      <c r="Q796"/>
      <c r="R796"/>
      <c r="S796"/>
      <c r="T796"/>
      <c r="U796"/>
      <c r="V796"/>
      <c r="W796"/>
      <c r="X796"/>
      <c r="Y796"/>
      <c r="Z796"/>
      <c r="AA796" t="s">
        <v>5116</v>
      </c>
      <c r="AB796" t="s">
        <v>4268</v>
      </c>
      <c r="AC796"/>
      <c r="AD796"/>
      <c r="AE796"/>
      <c r="AF796"/>
      <c r="AG796"/>
      <c r="AH796"/>
      <c r="AI796"/>
      <c r="AJ796"/>
      <c r="AK796"/>
      <c r="AL796"/>
      <c r="AM796"/>
      <c r="AN796"/>
      <c r="AO796" t="s">
        <v>1117</v>
      </c>
      <c r="AP796"/>
      <c r="AQ796"/>
      <c r="AR796"/>
      <c r="AS796"/>
      <c r="AT796" t="s">
        <v>3477</v>
      </c>
      <c r="AU796">
        <v>2019</v>
      </c>
      <c r="AV796">
        <v>8</v>
      </c>
      <c r="AW796">
        <v>23</v>
      </c>
      <c r="AX796"/>
      <c r="AY796"/>
      <c r="AZ796"/>
      <c r="BA796"/>
      <c r="BB796">
        <v>299</v>
      </c>
      <c r="BC796">
        <v>307</v>
      </c>
      <c r="BD796"/>
      <c r="BE796"/>
      <c r="BF796"/>
      <c r="BG796"/>
      <c r="BH796"/>
      <c r="BI796"/>
      <c r="BJ796"/>
      <c r="BK796"/>
      <c r="BL796"/>
      <c r="BM796"/>
      <c r="BN796"/>
      <c r="BO796"/>
      <c r="BP796"/>
      <c r="BQ796"/>
      <c r="BR796"/>
      <c r="BS796" t="s">
        <v>5117</v>
      </c>
      <c r="BT796" t="str">
        <f>HYPERLINK("https%3A%2F%2Fwww.webofscience.com%2Fwos%2Fwoscc%2Ffull-record%2FWOS:000493331800025","View Full Record in Web of Science")</f>
        <v>View Full Record in Web of Science</v>
      </c>
    </row>
    <row r="797" spans="1:75" customHeight="1" ht="12.75">
      <c r="A797" t="s">
        <v>72</v>
      </c>
      <c r="B797" t="s">
        <v>5118</v>
      </c>
      <c r="C797"/>
      <c r="D797"/>
      <c r="E797"/>
      <c r="F797" t="s">
        <v>5119</v>
      </c>
      <c r="G797"/>
      <c r="H797"/>
      <c r="I797" t="s">
        <v>5120</v>
      </c>
      <c r="J797" t="s">
        <v>131</v>
      </c>
      <c r="K797"/>
      <c r="L797"/>
      <c r="M797"/>
      <c r="N797"/>
      <c r="O797"/>
      <c r="P797"/>
      <c r="Q797"/>
      <c r="R797"/>
      <c r="S797"/>
      <c r="T797"/>
      <c r="U797"/>
      <c r="V797"/>
      <c r="W797"/>
      <c r="X797"/>
      <c r="Y797"/>
      <c r="Z797"/>
      <c r="AA797" t="s">
        <v>5121</v>
      </c>
      <c r="AB797" t="s">
        <v>5122</v>
      </c>
      <c r="AC797"/>
      <c r="AD797"/>
      <c r="AE797"/>
      <c r="AF797"/>
      <c r="AG797"/>
      <c r="AH797"/>
      <c r="AI797"/>
      <c r="AJ797"/>
      <c r="AK797"/>
      <c r="AL797"/>
      <c r="AM797"/>
      <c r="AN797"/>
      <c r="AO797" t="s">
        <v>134</v>
      </c>
      <c r="AP797" t="s">
        <v>135</v>
      </c>
      <c r="AQ797"/>
      <c r="AR797"/>
      <c r="AS797"/>
      <c r="AT797"/>
      <c r="AU797">
        <v>2019</v>
      </c>
      <c r="AV797">
        <v>19</v>
      </c>
      <c r="AW797">
        <v>2</v>
      </c>
      <c r="AX797"/>
      <c r="AY797"/>
      <c r="AZ797"/>
      <c r="BA797"/>
      <c r="BB797">
        <v>55</v>
      </c>
      <c r="BC797">
        <v>62</v>
      </c>
      <c r="BD797"/>
      <c r="BE797" t="s">
        <v>5123</v>
      </c>
      <c r="BF797" t="str">
        <f>HYPERLINK("http://dx.doi.org/10.14529/hsm190207","http://dx.doi.org/10.14529/hsm190207")</f>
        <v>http://dx.doi.org/10.14529/hsm190207</v>
      </c>
      <c r="BG797"/>
      <c r="BH797"/>
      <c r="BI797"/>
      <c r="BJ797"/>
      <c r="BK797"/>
      <c r="BL797"/>
      <c r="BM797"/>
      <c r="BN797"/>
      <c r="BO797"/>
      <c r="BP797"/>
      <c r="BQ797"/>
      <c r="BR797"/>
      <c r="BS797" t="s">
        <v>5124</v>
      </c>
      <c r="BT797" t="str">
        <f>HYPERLINK("https%3A%2F%2Fwww.webofscience.com%2Fwos%2Fwoscc%2Ffull-record%2FWOS:000475456800007","View Full Record in Web of Science")</f>
        <v>View Full Record in Web of Science</v>
      </c>
    </row>
    <row r="798" spans="1:75" customHeight="1" ht="12.75">
      <c r="A798" t="s">
        <v>147</v>
      </c>
      <c r="B798" t="s">
        <v>5125</v>
      </c>
      <c r="C798"/>
      <c r="D798" t="s">
        <v>5126</v>
      </c>
      <c r="E798"/>
      <c r="F798" t="s">
        <v>5127</v>
      </c>
      <c r="G798"/>
      <c r="H798"/>
      <c r="I798" t="s">
        <v>5128</v>
      </c>
      <c r="J798" t="s">
        <v>5129</v>
      </c>
      <c r="K798" t="s">
        <v>2504</v>
      </c>
      <c r="L798"/>
      <c r="M798"/>
      <c r="N798"/>
      <c r="O798" t="s">
        <v>5130</v>
      </c>
      <c r="P798" t="s">
        <v>5131</v>
      </c>
      <c r="Q798" t="s">
        <v>5132</v>
      </c>
      <c r="R798"/>
      <c r="S798" t="s">
        <v>5133</v>
      </c>
      <c r="T798"/>
      <c r="U798"/>
      <c r="V798"/>
      <c r="W798"/>
      <c r="X798"/>
      <c r="Y798"/>
      <c r="Z798"/>
      <c r="AA798"/>
      <c r="AB798"/>
      <c r="AC798"/>
      <c r="AD798"/>
      <c r="AE798"/>
      <c r="AF798"/>
      <c r="AG798"/>
      <c r="AH798"/>
      <c r="AI798"/>
      <c r="AJ798"/>
      <c r="AK798"/>
      <c r="AL798"/>
      <c r="AM798"/>
      <c r="AN798"/>
      <c r="AO798" t="s">
        <v>2509</v>
      </c>
      <c r="AP798"/>
      <c r="AQ798" t="s">
        <v>5134</v>
      </c>
      <c r="AR798"/>
      <c r="AS798"/>
      <c r="AT798"/>
      <c r="AU798">
        <v>2018</v>
      </c>
      <c r="AV798">
        <v>39</v>
      </c>
      <c r="AW798"/>
      <c r="AX798"/>
      <c r="AY798"/>
      <c r="AZ798"/>
      <c r="BA798"/>
      <c r="BB798">
        <v>385</v>
      </c>
      <c r="BC798">
        <v>389</v>
      </c>
      <c r="BD798"/>
      <c r="BE798"/>
      <c r="BF798"/>
      <c r="BG798"/>
      <c r="BH798"/>
      <c r="BI798"/>
      <c r="BJ798"/>
      <c r="BK798"/>
      <c r="BL798"/>
      <c r="BM798"/>
      <c r="BN798"/>
      <c r="BO798"/>
      <c r="BP798"/>
      <c r="BQ798"/>
      <c r="BR798"/>
      <c r="BS798" t="s">
        <v>5135</v>
      </c>
      <c r="BT798" t="str">
        <f>HYPERLINK("https%3A%2F%2Fwww.webofscience.com%2Fwos%2Fwoscc%2Ffull-record%2FWOS:000515721900080","View Full Record in Web of Science")</f>
        <v>View Full Record in Web of Science</v>
      </c>
    </row>
    <row r="799" spans="1:75" customHeight="1" ht="12.75">
      <c r="A799" t="s">
        <v>72</v>
      </c>
      <c r="B799" t="s">
        <v>5136</v>
      </c>
      <c r="C799"/>
      <c r="D799"/>
      <c r="E799"/>
      <c r="F799" t="s">
        <v>5137</v>
      </c>
      <c r="G799"/>
      <c r="H799"/>
      <c r="I799" t="s">
        <v>5138</v>
      </c>
      <c r="J799" t="s">
        <v>5139</v>
      </c>
      <c r="K799"/>
      <c r="L799"/>
      <c r="M799"/>
      <c r="N799"/>
      <c r="O799"/>
      <c r="P799"/>
      <c r="Q799"/>
      <c r="R799"/>
      <c r="S799"/>
      <c r="T799"/>
      <c r="U799"/>
      <c r="V799"/>
      <c r="W799"/>
      <c r="X799"/>
      <c r="Y799"/>
      <c r="Z799"/>
      <c r="AA799" t="s">
        <v>5140</v>
      </c>
      <c r="AB799" t="s">
        <v>5141</v>
      </c>
      <c r="AC799"/>
      <c r="AD799"/>
      <c r="AE799"/>
      <c r="AF799"/>
      <c r="AG799"/>
      <c r="AH799"/>
      <c r="AI799"/>
      <c r="AJ799"/>
      <c r="AK799"/>
      <c r="AL799"/>
      <c r="AM799"/>
      <c r="AN799"/>
      <c r="AO799" t="s">
        <v>5142</v>
      </c>
      <c r="AP799" t="s">
        <v>5143</v>
      </c>
      <c r="AQ799"/>
      <c r="AR799"/>
      <c r="AS799"/>
      <c r="AT799" t="s">
        <v>1173</v>
      </c>
      <c r="AU799">
        <v>2017</v>
      </c>
      <c r="AV799">
        <v>13</v>
      </c>
      <c r="AW799">
        <v>8</v>
      </c>
      <c r="AX799"/>
      <c r="AY799"/>
      <c r="AZ799"/>
      <c r="BA799"/>
      <c r="BB799">
        <v>4725</v>
      </c>
      <c r="BC799">
        <v>4738</v>
      </c>
      <c r="BD799"/>
      <c r="BE799" t="s">
        <v>5144</v>
      </c>
      <c r="BF799" t="str">
        <f>HYPERLINK("http://dx.doi.org/10.12973/eurasia.2017.00960a","http://dx.doi.org/10.12973/eurasia.2017.00960a")</f>
        <v>http://dx.doi.org/10.12973/eurasia.2017.00960a</v>
      </c>
      <c r="BG799"/>
      <c r="BH799"/>
      <c r="BI799"/>
      <c r="BJ799"/>
      <c r="BK799"/>
      <c r="BL799"/>
      <c r="BM799"/>
      <c r="BN799"/>
      <c r="BO799"/>
      <c r="BP799"/>
      <c r="BQ799"/>
      <c r="BR799"/>
      <c r="BS799" t="s">
        <v>5145</v>
      </c>
      <c r="BT799" t="str">
        <f>HYPERLINK("https%3A%2F%2Fwww.webofscience.com%2Fwos%2Fwoscc%2Ffull-record%2FWOS:000409067500025","View Full Record in Web of Science")</f>
        <v>View Full Record in Web of Science</v>
      </c>
    </row>
    <row r="800" spans="1:75" customHeight="1" ht="12.75">
      <c r="A800" t="s">
        <v>72</v>
      </c>
      <c r="B800" t="s">
        <v>698</v>
      </c>
      <c r="C800"/>
      <c r="D800"/>
      <c r="E800"/>
      <c r="F800" t="s">
        <v>699</v>
      </c>
      <c r="G800"/>
      <c r="H800"/>
      <c r="I800" t="s">
        <v>5146</v>
      </c>
      <c r="J800" t="s">
        <v>5147</v>
      </c>
      <c r="K800"/>
      <c r="L800"/>
      <c r="M800"/>
      <c r="N800"/>
      <c r="O800"/>
      <c r="P800"/>
      <c r="Q800"/>
      <c r="R800"/>
      <c r="S800"/>
      <c r="T800"/>
      <c r="U800"/>
      <c r="V800"/>
      <c r="W800"/>
      <c r="X800"/>
      <c r="Y800"/>
      <c r="Z800"/>
      <c r="AA800" t="s">
        <v>5148</v>
      </c>
      <c r="AB800"/>
      <c r="AC800"/>
      <c r="AD800"/>
      <c r="AE800"/>
      <c r="AF800"/>
      <c r="AG800"/>
      <c r="AH800"/>
      <c r="AI800"/>
      <c r="AJ800"/>
      <c r="AK800"/>
      <c r="AL800"/>
      <c r="AM800"/>
      <c r="AN800"/>
      <c r="AO800" t="s">
        <v>5149</v>
      </c>
      <c r="AP800" t="s">
        <v>5150</v>
      </c>
      <c r="AQ800"/>
      <c r="AR800"/>
      <c r="AS800"/>
      <c r="AT800" t="s">
        <v>198</v>
      </c>
      <c r="AU800">
        <v>2023</v>
      </c>
      <c r="AV800">
        <v>27</v>
      </c>
      <c r="AW800">
        <v>134</v>
      </c>
      <c r="AX800"/>
      <c r="AY800"/>
      <c r="AZ800"/>
      <c r="BA800"/>
      <c r="BB800"/>
      <c r="BC800"/>
      <c r="BD800"/>
      <c r="BE800" t="s">
        <v>5151</v>
      </c>
      <c r="BF800" t="str">
        <f>HYPERLINK("http://dx.doi.org/10.54905/disssi/v27i134/e200ms3017","http://dx.doi.org/10.54905/disssi/v27i134/e200ms3017")</f>
        <v>http://dx.doi.org/10.54905/disssi/v27i134/e200ms3017</v>
      </c>
      <c r="BG800"/>
      <c r="BH800"/>
      <c r="BI800"/>
      <c r="BJ800"/>
      <c r="BK800"/>
      <c r="BL800"/>
      <c r="BM800"/>
      <c r="BN800"/>
      <c r="BO800"/>
      <c r="BP800"/>
      <c r="BQ800"/>
      <c r="BR800"/>
      <c r="BS800" t="s">
        <v>5152</v>
      </c>
      <c r="BT800" t="str">
        <f>HYPERLINK("https%3A%2F%2Fwww.webofscience.com%2Fwos%2Fwoscc%2Ffull-record%2FWOS:000994185800011","View Full Record in Web of Science")</f>
        <v>View Full Record in Web of Science</v>
      </c>
    </row>
    <row r="801" spans="1:75" customHeight="1" ht="12.75">
      <c r="A801" t="s">
        <v>147</v>
      </c>
      <c r="B801" t="s">
        <v>5153</v>
      </c>
      <c r="C801"/>
      <c r="D801" t="s">
        <v>4271</v>
      </c>
      <c r="E801"/>
      <c r="F801" t="s">
        <v>5154</v>
      </c>
      <c r="G801"/>
      <c r="H801"/>
      <c r="I801" t="s">
        <v>5155</v>
      </c>
      <c r="J801" t="s">
        <v>4273</v>
      </c>
      <c r="K801" t="s">
        <v>1276</v>
      </c>
      <c r="L801"/>
      <c r="M801"/>
      <c r="N801"/>
      <c r="O801" t="s">
        <v>1237</v>
      </c>
      <c r="P801" t="s">
        <v>4274</v>
      </c>
      <c r="Q801" t="s">
        <v>4275</v>
      </c>
      <c r="R801"/>
      <c r="S801" t="s">
        <v>4276</v>
      </c>
      <c r="T801"/>
      <c r="U801"/>
      <c r="V801"/>
      <c r="W801"/>
      <c r="X801"/>
      <c r="Y801"/>
      <c r="Z801"/>
      <c r="AA801" t="s">
        <v>5156</v>
      </c>
      <c r="AB801" t="s">
        <v>5157</v>
      </c>
      <c r="AC801"/>
      <c r="AD801"/>
      <c r="AE801"/>
      <c r="AF801"/>
      <c r="AG801"/>
      <c r="AH801"/>
      <c r="AI801"/>
      <c r="AJ801"/>
      <c r="AK801"/>
      <c r="AL801"/>
      <c r="AM801"/>
      <c r="AN801"/>
      <c r="AO801" t="s">
        <v>1282</v>
      </c>
      <c r="AP801"/>
      <c r="AQ801"/>
      <c r="AR801"/>
      <c r="AS801"/>
      <c r="AT801"/>
      <c r="AU801">
        <v>2018</v>
      </c>
      <c r="AV801">
        <v>170</v>
      </c>
      <c r="AW801"/>
      <c r="AX801"/>
      <c r="AY801"/>
      <c r="AZ801"/>
      <c r="BA801"/>
      <c r="BB801"/>
      <c r="BC801"/>
      <c r="BD801">
        <v>1044</v>
      </c>
      <c r="BE801" t="s">
        <v>5158</v>
      </c>
      <c r="BF801" t="str">
        <f>HYPERLINK("http://dx.doi.org/10.1051/matecconf/201817001044","http://dx.doi.org/10.1051/matecconf/201817001044")</f>
        <v>http://dx.doi.org/10.1051/matecconf/201817001044</v>
      </c>
      <c r="BG801"/>
      <c r="BH801"/>
      <c r="BI801"/>
      <c r="BJ801"/>
      <c r="BK801"/>
      <c r="BL801"/>
      <c r="BM801"/>
      <c r="BN801"/>
      <c r="BO801"/>
      <c r="BP801"/>
      <c r="BQ801"/>
      <c r="BR801"/>
      <c r="BS801" t="s">
        <v>5159</v>
      </c>
      <c r="BT801" t="str">
        <f>HYPERLINK("https%3A%2F%2Fwww.webofscience.com%2Fwos%2Fwoscc%2Ffull-record%2FWOS:000449660800044","View Full Record in Web of Science")</f>
        <v>View Full Record in Web of Science</v>
      </c>
    </row>
    <row r="802" spans="1:75" customHeight="1" ht="12.75">
      <c r="A802" t="s">
        <v>147</v>
      </c>
      <c r="B802" t="s">
        <v>5160</v>
      </c>
      <c r="C802"/>
      <c r="D802" t="s">
        <v>1876</v>
      </c>
      <c r="E802"/>
      <c r="F802" t="s">
        <v>5161</v>
      </c>
      <c r="G802"/>
      <c r="H802"/>
      <c r="I802" t="s">
        <v>5162</v>
      </c>
      <c r="J802" t="s">
        <v>1879</v>
      </c>
      <c r="K802" t="s">
        <v>1276</v>
      </c>
      <c r="L802"/>
      <c r="M802"/>
      <c r="N802"/>
      <c r="O802" t="s">
        <v>1880</v>
      </c>
      <c r="P802" t="s">
        <v>1881</v>
      </c>
      <c r="Q802" t="s">
        <v>1882</v>
      </c>
      <c r="R802" t="s">
        <v>1883</v>
      </c>
      <c r="S802" t="s">
        <v>1884</v>
      </c>
      <c r="T802"/>
      <c r="U802"/>
      <c r="V802"/>
      <c r="W802"/>
      <c r="X802"/>
      <c r="Y802"/>
      <c r="Z802"/>
      <c r="AA802" t="s">
        <v>1823</v>
      </c>
      <c r="AB802" t="s">
        <v>1824</v>
      </c>
      <c r="AC802"/>
      <c r="AD802"/>
      <c r="AE802"/>
      <c r="AF802"/>
      <c r="AG802"/>
      <c r="AH802"/>
      <c r="AI802"/>
      <c r="AJ802"/>
      <c r="AK802"/>
      <c r="AL802"/>
      <c r="AM802"/>
      <c r="AN802"/>
      <c r="AO802" t="s">
        <v>1282</v>
      </c>
      <c r="AP802"/>
      <c r="AQ802"/>
      <c r="AR802"/>
      <c r="AS802"/>
      <c r="AT802"/>
      <c r="AU802">
        <v>2017</v>
      </c>
      <c r="AV802">
        <v>106</v>
      </c>
      <c r="AW802"/>
      <c r="AX802"/>
      <c r="AY802"/>
      <c r="AZ802"/>
      <c r="BA802"/>
      <c r="BB802"/>
      <c r="BC802"/>
      <c r="BD802">
        <v>8084</v>
      </c>
      <c r="BE802" t="s">
        <v>5163</v>
      </c>
      <c r="BF802" t="str">
        <f>HYPERLINK("http://dx.doi.org/10.1051/matecconf/201710608084","http://dx.doi.org/10.1051/matecconf/201710608084")</f>
        <v>http://dx.doi.org/10.1051/matecconf/201710608084</v>
      </c>
      <c r="BG802"/>
      <c r="BH802"/>
      <c r="BI802"/>
      <c r="BJ802"/>
      <c r="BK802"/>
      <c r="BL802"/>
      <c r="BM802"/>
      <c r="BN802"/>
      <c r="BO802"/>
      <c r="BP802"/>
      <c r="BQ802"/>
      <c r="BR802"/>
      <c r="BS802" t="s">
        <v>5164</v>
      </c>
      <c r="BT802" t="str">
        <f>HYPERLINK("https%3A%2F%2Fwww.webofscience.com%2Fwos%2Fwoscc%2Ffull-record%2FWOS:000426426600269","View Full Record in Web of Science")</f>
        <v>View Full Record in Web of Science</v>
      </c>
    </row>
    <row r="803" spans="1:75" customHeight="1" ht="12.75">
      <c r="A803" t="s">
        <v>72</v>
      </c>
      <c r="B803" t="s">
        <v>5165</v>
      </c>
      <c r="C803"/>
      <c r="D803"/>
      <c r="E803"/>
      <c r="F803" t="s">
        <v>5166</v>
      </c>
      <c r="G803"/>
      <c r="H803"/>
      <c r="I803" t="s">
        <v>5167</v>
      </c>
      <c r="J803" t="s">
        <v>244</v>
      </c>
      <c r="K803"/>
      <c r="L803"/>
      <c r="M803"/>
      <c r="N803"/>
      <c r="O803"/>
      <c r="P803"/>
      <c r="Q803"/>
      <c r="R803"/>
      <c r="S803"/>
      <c r="T803"/>
      <c r="U803"/>
      <c r="V803"/>
      <c r="W803"/>
      <c r="X803"/>
      <c r="Y803"/>
      <c r="Z803"/>
      <c r="AA803"/>
      <c r="AB803"/>
      <c r="AC803"/>
      <c r="AD803"/>
      <c r="AE803"/>
      <c r="AF803"/>
      <c r="AG803"/>
      <c r="AH803"/>
      <c r="AI803"/>
      <c r="AJ803"/>
      <c r="AK803"/>
      <c r="AL803"/>
      <c r="AM803"/>
      <c r="AN803"/>
      <c r="AO803" t="s">
        <v>245</v>
      </c>
      <c r="AP803" t="s">
        <v>246</v>
      </c>
      <c r="AQ803"/>
      <c r="AR803"/>
      <c r="AS803"/>
      <c r="AT803"/>
      <c r="AU803">
        <v>2020</v>
      </c>
      <c r="AV803"/>
      <c r="AW803">
        <v>12</v>
      </c>
      <c r="AX803">
        <v>3</v>
      </c>
      <c r="AY803"/>
      <c r="AZ803"/>
      <c r="BA803"/>
      <c r="BB803">
        <v>242</v>
      </c>
      <c r="BC803">
        <v>249</v>
      </c>
      <c r="BD803"/>
      <c r="BE803" t="s">
        <v>5168</v>
      </c>
      <c r="BF803" t="str">
        <f>HYPERLINK("http://dx.doi.org/10.31166/VoprosyIstorii202012Statyi70","http://dx.doi.org/10.31166/VoprosyIstorii202012Statyi70")</f>
        <v>http://dx.doi.org/10.31166/VoprosyIstorii202012Statyi70</v>
      </c>
      <c r="BG803"/>
      <c r="BH803"/>
      <c r="BI803"/>
      <c r="BJ803"/>
      <c r="BK803"/>
      <c r="BL803"/>
      <c r="BM803"/>
      <c r="BN803"/>
      <c r="BO803"/>
      <c r="BP803"/>
      <c r="BQ803"/>
      <c r="BR803"/>
      <c r="BS803" t="s">
        <v>5169</v>
      </c>
      <c r="BT803" t="str">
        <f>HYPERLINK("https%3A%2F%2Fwww.webofscience.com%2Fwos%2Fwoscc%2Ffull-record%2FWOS:000611219500022","View Full Record in Web of Science")</f>
        <v>View Full Record in Web of Science</v>
      </c>
    </row>
    <row r="804" spans="1:75" customHeight="1" ht="12.75">
      <c r="A804" t="s">
        <v>72</v>
      </c>
      <c r="B804" t="s">
        <v>5170</v>
      </c>
      <c r="C804"/>
      <c r="D804"/>
      <c r="E804"/>
      <c r="F804" t="s">
        <v>5171</v>
      </c>
      <c r="G804"/>
      <c r="H804"/>
      <c r="I804" t="s">
        <v>5172</v>
      </c>
      <c r="J804" t="s">
        <v>4823</v>
      </c>
      <c r="K804"/>
      <c r="L804"/>
      <c r="M804"/>
      <c r="N804"/>
      <c r="O804"/>
      <c r="P804"/>
      <c r="Q804"/>
      <c r="R804"/>
      <c r="S804"/>
      <c r="T804"/>
      <c r="U804"/>
      <c r="V804"/>
      <c r="W804"/>
      <c r="X804"/>
      <c r="Y804"/>
      <c r="Z804"/>
      <c r="AA804" t="s">
        <v>5173</v>
      </c>
      <c r="AB804" t="s">
        <v>5174</v>
      </c>
      <c r="AC804"/>
      <c r="AD804"/>
      <c r="AE804"/>
      <c r="AF804"/>
      <c r="AG804"/>
      <c r="AH804"/>
      <c r="AI804"/>
      <c r="AJ804"/>
      <c r="AK804"/>
      <c r="AL804"/>
      <c r="AM804"/>
      <c r="AN804"/>
      <c r="AO804" t="s">
        <v>4826</v>
      </c>
      <c r="AP804"/>
      <c r="AQ804"/>
      <c r="AR804"/>
      <c r="AS804"/>
      <c r="AT804" t="s">
        <v>2368</v>
      </c>
      <c r="AU804">
        <v>2019</v>
      </c>
      <c r="AV804">
        <v>19</v>
      </c>
      <c r="AW804">
        <v>2</v>
      </c>
      <c r="AX804"/>
      <c r="AY804"/>
      <c r="AZ804"/>
      <c r="BA804"/>
      <c r="BB804">
        <v>85</v>
      </c>
      <c r="BC804">
        <v>90</v>
      </c>
      <c r="BD804"/>
      <c r="BE804" t="s">
        <v>5175</v>
      </c>
      <c r="BF804" t="str">
        <f>HYPERLINK("http://dx.doi.org/10.18083/LCAppl.2019.2.85","http://dx.doi.org/10.18083/LCAppl.2019.2.85")</f>
        <v>http://dx.doi.org/10.18083/LCAppl.2019.2.85</v>
      </c>
      <c r="BG804"/>
      <c r="BH804"/>
      <c r="BI804"/>
      <c r="BJ804"/>
      <c r="BK804"/>
      <c r="BL804"/>
      <c r="BM804"/>
      <c r="BN804"/>
      <c r="BO804"/>
      <c r="BP804"/>
      <c r="BQ804"/>
      <c r="BR804"/>
      <c r="BS804" t="s">
        <v>5176</v>
      </c>
      <c r="BT804" t="str">
        <f>HYPERLINK("https%3A%2F%2Fwww.webofscience.com%2Fwos%2Fwoscc%2Ffull-record%2FWOS:000472958800010","View Full Record in Web of Science")</f>
        <v>View Full Record in Web of Science</v>
      </c>
    </row>
    <row r="805" spans="1:75" customHeight="1" ht="12.75">
      <c r="A805" t="s">
        <v>72</v>
      </c>
      <c r="B805" t="s">
        <v>5177</v>
      </c>
      <c r="C805"/>
      <c r="D805"/>
      <c r="E805"/>
      <c r="F805" t="s">
        <v>5178</v>
      </c>
      <c r="G805"/>
      <c r="H805"/>
      <c r="I805" t="s">
        <v>5179</v>
      </c>
      <c r="J805" t="s">
        <v>95</v>
      </c>
      <c r="K805"/>
      <c r="L805"/>
      <c r="M805"/>
      <c r="N805"/>
      <c r="O805"/>
      <c r="P805"/>
      <c r="Q805"/>
      <c r="R805"/>
      <c r="S805"/>
      <c r="T805"/>
      <c r="U805"/>
      <c r="V805"/>
      <c r="W805"/>
      <c r="X805"/>
      <c r="Y805"/>
      <c r="Z805"/>
      <c r="AA805"/>
      <c r="AB805" t="s">
        <v>5180</v>
      </c>
      <c r="AC805"/>
      <c r="AD805"/>
      <c r="AE805"/>
      <c r="AF805"/>
      <c r="AG805"/>
      <c r="AH805"/>
      <c r="AI805"/>
      <c r="AJ805"/>
      <c r="AK805"/>
      <c r="AL805"/>
      <c r="AM805"/>
      <c r="AN805"/>
      <c r="AO805" t="s">
        <v>98</v>
      </c>
      <c r="AP805" t="s">
        <v>99</v>
      </c>
      <c r="AQ805"/>
      <c r="AR805"/>
      <c r="AS805"/>
      <c r="AT805"/>
      <c r="AU805">
        <v>2019</v>
      </c>
      <c r="AV805"/>
      <c r="AW805">
        <v>1</v>
      </c>
      <c r="AX805"/>
      <c r="AY805"/>
      <c r="AZ805"/>
      <c r="BA805"/>
      <c r="BB805">
        <v>122</v>
      </c>
      <c r="BC805">
        <v>128</v>
      </c>
      <c r="BD805"/>
      <c r="BE805" t="s">
        <v>5181</v>
      </c>
      <c r="BF805" t="str">
        <f>HYPERLINK("http://dx.doi.org/10.25750/1995-4301-2019-1-122-128","http://dx.doi.org/10.25750/1995-4301-2019-1-122-128")</f>
        <v>http://dx.doi.org/10.25750/1995-4301-2019-1-122-128</v>
      </c>
      <c r="BG805"/>
      <c r="BH805"/>
      <c r="BI805"/>
      <c r="BJ805"/>
      <c r="BK805"/>
      <c r="BL805"/>
      <c r="BM805"/>
      <c r="BN805"/>
      <c r="BO805"/>
      <c r="BP805"/>
      <c r="BQ805"/>
      <c r="BR805"/>
      <c r="BS805" t="s">
        <v>5182</v>
      </c>
      <c r="BT805" t="str">
        <f>HYPERLINK("https%3A%2F%2Fwww.webofscience.com%2Fwos%2Fwoscc%2Ffull-record%2FWOS:000468565900018","View Full Record in Web of Science")</f>
        <v>View Full Record in Web of Science</v>
      </c>
    </row>
    <row r="806" spans="1:75" customHeight="1" ht="12.75">
      <c r="A806" t="s">
        <v>72</v>
      </c>
      <c r="B806" t="s">
        <v>5183</v>
      </c>
      <c r="C806"/>
      <c r="D806"/>
      <c r="E806"/>
      <c r="F806" t="s">
        <v>5184</v>
      </c>
      <c r="G806"/>
      <c r="H806"/>
      <c r="I806" t="s">
        <v>5185</v>
      </c>
      <c r="J806" t="s">
        <v>1608</v>
      </c>
      <c r="K806"/>
      <c r="L806"/>
      <c r="M806"/>
      <c r="N806"/>
      <c r="O806"/>
      <c r="P806"/>
      <c r="Q806"/>
      <c r="R806"/>
      <c r="S806"/>
      <c r="T806"/>
      <c r="U806"/>
      <c r="V806"/>
      <c r="W806"/>
      <c r="X806"/>
      <c r="Y806"/>
      <c r="Z806"/>
      <c r="AA806" t="s">
        <v>5186</v>
      </c>
      <c r="AB806" t="s">
        <v>5187</v>
      </c>
      <c r="AC806"/>
      <c r="AD806"/>
      <c r="AE806"/>
      <c r="AF806"/>
      <c r="AG806"/>
      <c r="AH806"/>
      <c r="AI806"/>
      <c r="AJ806"/>
      <c r="AK806"/>
      <c r="AL806"/>
      <c r="AM806"/>
      <c r="AN806"/>
      <c r="AO806" t="s">
        <v>1611</v>
      </c>
      <c r="AP806" t="s">
        <v>1612</v>
      </c>
      <c r="AQ806"/>
      <c r="AR806"/>
      <c r="AS806"/>
      <c r="AT806"/>
      <c r="AU806">
        <v>2019</v>
      </c>
      <c r="AV806">
        <v>29</v>
      </c>
      <c r="AW806">
        <v>2</v>
      </c>
      <c r="AX806"/>
      <c r="AY806"/>
      <c r="AZ806"/>
      <c r="BA806"/>
      <c r="BB806">
        <v>187</v>
      </c>
      <c r="BC806">
        <v>204</v>
      </c>
      <c r="BD806"/>
      <c r="BE806" t="s">
        <v>5188</v>
      </c>
      <c r="BF806" t="str">
        <f>HYPERLINK("http://dx.doi.org/10.15507/2658-4123.029.201902.187-204","http://dx.doi.org/10.15507/2658-4123.029.201902.187-204")</f>
        <v>http://dx.doi.org/10.15507/2658-4123.029.201902.187-204</v>
      </c>
      <c r="BG806"/>
      <c r="BH806"/>
      <c r="BI806"/>
      <c r="BJ806"/>
      <c r="BK806"/>
      <c r="BL806"/>
      <c r="BM806"/>
      <c r="BN806"/>
      <c r="BO806"/>
      <c r="BP806"/>
      <c r="BQ806"/>
      <c r="BR806"/>
      <c r="BS806" t="s">
        <v>5189</v>
      </c>
      <c r="BT806" t="str">
        <f>HYPERLINK("https%3A%2F%2Fwww.webofscience.com%2Fwos%2Fwoscc%2Ffull-record%2FWOS:000487855200003","View Full Record in Web of Science")</f>
        <v>View Full Record in Web of Science</v>
      </c>
    </row>
    <row r="807" spans="1:75" customHeight="1" ht="12.75">
      <c r="A807" t="s">
        <v>147</v>
      </c>
      <c r="B807" t="s">
        <v>5190</v>
      </c>
      <c r="C807" t="s">
        <v>1232</v>
      </c>
      <c r="D807"/>
      <c r="E807"/>
      <c r="F807" t="s">
        <v>5191</v>
      </c>
      <c r="G807" t="s">
        <v>1232</v>
      </c>
      <c r="H807"/>
      <c r="I807" t="s">
        <v>5192</v>
      </c>
      <c r="J807" t="s">
        <v>1235</v>
      </c>
      <c r="K807" t="s">
        <v>1236</v>
      </c>
      <c r="L807"/>
      <c r="M807"/>
      <c r="N807"/>
      <c r="O807" t="s">
        <v>1237</v>
      </c>
      <c r="P807" t="s">
        <v>1238</v>
      </c>
      <c r="Q807" t="s">
        <v>910</v>
      </c>
      <c r="R807" t="s">
        <v>1239</v>
      </c>
      <c r="S807"/>
      <c r="T807"/>
      <c r="U807"/>
      <c r="V807"/>
      <c r="W807"/>
      <c r="X807"/>
      <c r="Y807"/>
      <c r="Z807"/>
      <c r="AA807" t="s">
        <v>5193</v>
      </c>
      <c r="AB807"/>
      <c r="AC807"/>
      <c r="AD807"/>
      <c r="AE807"/>
      <c r="AF807"/>
      <c r="AG807"/>
      <c r="AH807"/>
      <c r="AI807"/>
      <c r="AJ807"/>
      <c r="AK807"/>
      <c r="AL807"/>
      <c r="AM807"/>
      <c r="AN807"/>
      <c r="AO807" t="s">
        <v>1240</v>
      </c>
      <c r="AP807"/>
      <c r="AQ807"/>
      <c r="AR807"/>
      <c r="AS807"/>
      <c r="AT807"/>
      <c r="AU807">
        <v>2019</v>
      </c>
      <c r="AV807">
        <v>110</v>
      </c>
      <c r="AW807"/>
      <c r="AX807"/>
      <c r="AY807"/>
      <c r="AZ807"/>
      <c r="BA807"/>
      <c r="BB807"/>
      <c r="BC807"/>
      <c r="BD807">
        <v>2151</v>
      </c>
      <c r="BE807" t="s">
        <v>5194</v>
      </c>
      <c r="BF807" t="str">
        <f>HYPERLINK("http://dx.doi.org/10.1051/e3sconf/201911002151","http://dx.doi.org/10.1051/e3sconf/201911002151")</f>
        <v>http://dx.doi.org/10.1051/e3sconf/201911002151</v>
      </c>
      <c r="BG807"/>
      <c r="BH807"/>
      <c r="BI807"/>
      <c r="BJ807"/>
      <c r="BK807"/>
      <c r="BL807"/>
      <c r="BM807"/>
      <c r="BN807"/>
      <c r="BO807"/>
      <c r="BP807"/>
      <c r="BQ807"/>
      <c r="BR807"/>
      <c r="BS807" t="s">
        <v>5195</v>
      </c>
      <c r="BT807" t="str">
        <f>HYPERLINK("https%3A%2F%2Fwww.webofscience.com%2Fwos%2Fwoscc%2Ffull-record%2FWOS:000569050000240","View Full Record in Web of Science")</f>
        <v>View Full Record in Web of Science</v>
      </c>
    </row>
    <row r="808" spans="1:75" customHeight="1" ht="12.75">
      <c r="A808" t="s">
        <v>147</v>
      </c>
      <c r="B808" t="s">
        <v>5196</v>
      </c>
      <c r="C808"/>
      <c r="D808"/>
      <c r="E808"/>
      <c r="F808" t="s">
        <v>5197</v>
      </c>
      <c r="G808"/>
      <c r="H808"/>
      <c r="I808" t="s">
        <v>5198</v>
      </c>
      <c r="J808" t="s">
        <v>769</v>
      </c>
      <c r="K808"/>
      <c r="L808"/>
      <c r="M808"/>
      <c r="N808"/>
      <c r="O808" t="s">
        <v>1277</v>
      </c>
      <c r="P808" t="s">
        <v>5199</v>
      </c>
      <c r="Q808" t="s">
        <v>772</v>
      </c>
      <c r="R808" t="s">
        <v>773</v>
      </c>
      <c r="S808"/>
      <c r="T808"/>
      <c r="U808"/>
      <c r="V808"/>
      <c r="W808"/>
      <c r="X808"/>
      <c r="Y808"/>
      <c r="Z808"/>
      <c r="AA808"/>
      <c r="AB808" t="s">
        <v>5200</v>
      </c>
      <c r="AC808"/>
      <c r="AD808"/>
      <c r="AE808"/>
      <c r="AF808"/>
      <c r="AG808"/>
      <c r="AH808"/>
      <c r="AI808"/>
      <c r="AJ808"/>
      <c r="AK808"/>
      <c r="AL808"/>
      <c r="AM808"/>
      <c r="AN808"/>
      <c r="AO808" t="s">
        <v>775</v>
      </c>
      <c r="AP808"/>
      <c r="AQ808"/>
      <c r="AR808"/>
      <c r="AS808"/>
      <c r="AT808"/>
      <c r="AU808">
        <v>2019</v>
      </c>
      <c r="AV808">
        <v>19</v>
      </c>
      <c r="AW808"/>
      <c r="AX808">
        <v>5</v>
      </c>
      <c r="AY808"/>
      <c r="AZ808"/>
      <c r="BA808"/>
      <c r="BB808">
        <v>2034</v>
      </c>
      <c r="BC808">
        <v>2036</v>
      </c>
      <c r="BD808"/>
      <c r="BE808" t="s">
        <v>5201</v>
      </c>
      <c r="BF808" t="str">
        <f>HYPERLINK("http://dx.doi.org/10.1016/j.matpr.2019.07.068","http://dx.doi.org/10.1016/j.matpr.2019.07.068")</f>
        <v>http://dx.doi.org/10.1016/j.matpr.2019.07.068</v>
      </c>
      <c r="BG808"/>
      <c r="BH808"/>
      <c r="BI808"/>
      <c r="BJ808"/>
      <c r="BK808"/>
      <c r="BL808"/>
      <c r="BM808"/>
      <c r="BN808"/>
      <c r="BO808"/>
      <c r="BP808"/>
      <c r="BQ808"/>
      <c r="BR808"/>
      <c r="BS808" t="s">
        <v>5202</v>
      </c>
      <c r="BT808" t="str">
        <f>HYPERLINK("https%3A%2F%2Fwww.webofscience.com%2Fwos%2Fwoscc%2Ffull-record%2FWOS:000507473500050","View Full Record in Web of Science")</f>
        <v>View Full Record in Web of Science</v>
      </c>
    </row>
    <row r="809" spans="1:75" customHeight="1" ht="12.75">
      <c r="A809" t="s">
        <v>72</v>
      </c>
      <c r="B809" t="s">
        <v>5203</v>
      </c>
      <c r="C809"/>
      <c r="D809"/>
      <c r="E809"/>
      <c r="F809" t="s">
        <v>5203</v>
      </c>
      <c r="G809"/>
      <c r="H809"/>
      <c r="I809" t="s">
        <v>5204</v>
      </c>
      <c r="J809" t="s">
        <v>614</v>
      </c>
      <c r="K809"/>
      <c r="L809"/>
      <c r="M809"/>
      <c r="N809"/>
      <c r="O809"/>
      <c r="P809"/>
      <c r="Q809"/>
      <c r="R809"/>
      <c r="S809"/>
      <c r="T809"/>
      <c r="U809"/>
      <c r="V809"/>
      <c r="W809"/>
      <c r="X809"/>
      <c r="Y809"/>
      <c r="Z809"/>
      <c r="AA809"/>
      <c r="AB809"/>
      <c r="AC809"/>
      <c r="AD809"/>
      <c r="AE809"/>
      <c r="AF809"/>
      <c r="AG809"/>
      <c r="AH809"/>
      <c r="AI809"/>
      <c r="AJ809"/>
      <c r="AK809"/>
      <c r="AL809"/>
      <c r="AM809"/>
      <c r="AN809"/>
      <c r="AO809" t="s">
        <v>617</v>
      </c>
      <c r="AP809" t="s">
        <v>1720</v>
      </c>
      <c r="AQ809"/>
      <c r="AR809"/>
      <c r="AS809"/>
      <c r="AT809" t="s">
        <v>491</v>
      </c>
      <c r="AU809">
        <v>2005</v>
      </c>
      <c r="AV809">
        <v>41</v>
      </c>
      <c r="AW809">
        <v>6</v>
      </c>
      <c r="AX809"/>
      <c r="AY809"/>
      <c r="AZ809"/>
      <c r="BA809"/>
      <c r="BB809">
        <v>646</v>
      </c>
      <c r="BC809">
        <v>652</v>
      </c>
      <c r="BD809"/>
      <c r="BE809" t="s">
        <v>5205</v>
      </c>
      <c r="BF809" t="str">
        <f>HYPERLINK("http://dx.doi.org/10.1007/s11175-005-0118-8","http://dx.doi.org/10.1007/s11175-005-0118-8")</f>
        <v>http://dx.doi.org/10.1007/s11175-005-0118-8</v>
      </c>
      <c r="BG809"/>
      <c r="BH809"/>
      <c r="BI809"/>
      <c r="BJ809"/>
      <c r="BK809"/>
      <c r="BL809"/>
      <c r="BM809"/>
      <c r="BN809"/>
      <c r="BO809"/>
      <c r="BP809"/>
      <c r="BQ809"/>
      <c r="BR809"/>
      <c r="BS809" t="s">
        <v>5206</v>
      </c>
      <c r="BT809" t="str">
        <f>HYPERLINK("https%3A%2F%2Fwww.webofscience.com%2Fwos%2Fwoscc%2Ffull-record%2FWOS:000230551900008","View Full Record in Web of Science")</f>
        <v>View Full Record in Web of Science</v>
      </c>
    </row>
    <row r="810" spans="1:75" customHeight="1" ht="12.75">
      <c r="A810" t="s">
        <v>72</v>
      </c>
      <c r="B810" t="s">
        <v>5207</v>
      </c>
      <c r="C810"/>
      <c r="D810"/>
      <c r="E810"/>
      <c r="F810" t="s">
        <v>5208</v>
      </c>
      <c r="G810"/>
      <c r="H810"/>
      <c r="I810" t="s">
        <v>5209</v>
      </c>
      <c r="J810" t="s">
        <v>4849</v>
      </c>
      <c r="K810"/>
      <c r="L810"/>
      <c r="M810"/>
      <c r="N810"/>
      <c r="O810"/>
      <c r="P810"/>
      <c r="Q810"/>
      <c r="R810"/>
      <c r="S810"/>
      <c r="T810"/>
      <c r="U810"/>
      <c r="V810"/>
      <c r="W810"/>
      <c r="X810"/>
      <c r="Y810"/>
      <c r="Z810"/>
      <c r="AA810" t="s">
        <v>4850</v>
      </c>
      <c r="AB810" t="s">
        <v>4851</v>
      </c>
      <c r="AC810"/>
      <c r="AD810"/>
      <c r="AE810"/>
      <c r="AF810"/>
      <c r="AG810"/>
      <c r="AH810"/>
      <c r="AI810"/>
      <c r="AJ810"/>
      <c r="AK810"/>
      <c r="AL810"/>
      <c r="AM810"/>
      <c r="AN810"/>
      <c r="AO810" t="s">
        <v>4852</v>
      </c>
      <c r="AP810" t="s">
        <v>4853</v>
      </c>
      <c r="AQ810"/>
      <c r="AR810"/>
      <c r="AS810"/>
      <c r="AT810" t="s">
        <v>1173</v>
      </c>
      <c r="AU810">
        <v>2022</v>
      </c>
      <c r="AV810">
        <v>100</v>
      </c>
      <c r="AW810">
        <v>2</v>
      </c>
      <c r="AX810"/>
      <c r="AY810"/>
      <c r="AZ810"/>
      <c r="BA810"/>
      <c r="BB810">
        <v>160</v>
      </c>
      <c r="BC810">
        <v>161</v>
      </c>
      <c r="BD810">
        <v>14615</v>
      </c>
      <c r="BE810" t="s">
        <v>5210</v>
      </c>
      <c r="BF810" t="str">
        <f>HYPERLINK("http://dx.doi.org/10.1111/tan.14615","http://dx.doi.org/10.1111/tan.14615")</f>
        <v>http://dx.doi.org/10.1111/tan.14615</v>
      </c>
      <c r="BG810"/>
      <c r="BH810" t="s">
        <v>2052</v>
      </c>
      <c r="BI810"/>
      <c r="BJ810"/>
      <c r="BK810"/>
      <c r="BL810"/>
      <c r="BM810"/>
      <c r="BN810">
        <v>35343103</v>
      </c>
      <c r="BO810"/>
      <c r="BP810"/>
      <c r="BQ810"/>
      <c r="BR810"/>
      <c r="BS810" t="s">
        <v>5211</v>
      </c>
      <c r="BT810" t="str">
        <f>HYPERLINK("https%3A%2F%2Fwww.webofscience.com%2Fwos%2Fwoscc%2Ffull-record%2FWOS:000776605400001","View Full Record in Web of Science")</f>
        <v>View Full Record in Web of Science</v>
      </c>
    </row>
    <row r="811" spans="1:75" customHeight="1" ht="12.75">
      <c r="A811" t="s">
        <v>72</v>
      </c>
      <c r="B811" t="s">
        <v>5212</v>
      </c>
      <c r="C811"/>
      <c r="D811"/>
      <c r="E811"/>
      <c r="F811" t="s">
        <v>5213</v>
      </c>
      <c r="G811"/>
      <c r="H811"/>
      <c r="I811" t="s">
        <v>5214</v>
      </c>
      <c r="J811" t="s">
        <v>4849</v>
      </c>
      <c r="K811"/>
      <c r="L811"/>
      <c r="M811"/>
      <c r="N811"/>
      <c r="O811"/>
      <c r="P811"/>
      <c r="Q811"/>
      <c r="R811"/>
      <c r="S811"/>
      <c r="T811"/>
      <c r="U811"/>
      <c r="V811"/>
      <c r="W811"/>
      <c r="X811"/>
      <c r="Y811"/>
      <c r="Z811"/>
      <c r="AA811" t="s">
        <v>4850</v>
      </c>
      <c r="AB811" t="s">
        <v>5215</v>
      </c>
      <c r="AC811"/>
      <c r="AD811"/>
      <c r="AE811"/>
      <c r="AF811"/>
      <c r="AG811"/>
      <c r="AH811"/>
      <c r="AI811"/>
      <c r="AJ811"/>
      <c r="AK811"/>
      <c r="AL811"/>
      <c r="AM811"/>
      <c r="AN811"/>
      <c r="AO811" t="s">
        <v>4852</v>
      </c>
      <c r="AP811" t="s">
        <v>4853</v>
      </c>
      <c r="AQ811"/>
      <c r="AR811"/>
      <c r="AS811"/>
      <c r="AT811" t="s">
        <v>125</v>
      </c>
      <c r="AU811">
        <v>2022</v>
      </c>
      <c r="AV811">
        <v>100</v>
      </c>
      <c r="AW811">
        <v>1</v>
      </c>
      <c r="AX811"/>
      <c r="AY811"/>
      <c r="AZ811"/>
      <c r="BA811"/>
      <c r="BB811">
        <v>96</v>
      </c>
      <c r="BC811">
        <v>97</v>
      </c>
      <c r="BD811"/>
      <c r="BE811" t="s">
        <v>5216</v>
      </c>
      <c r="BF811" t="str">
        <f>HYPERLINK("http://dx.doi.org/10.1111/tan.14610","http://dx.doi.org/10.1111/tan.14610")</f>
        <v>http://dx.doi.org/10.1111/tan.14610</v>
      </c>
      <c r="BG811"/>
      <c r="BH811" t="s">
        <v>90</v>
      </c>
      <c r="BI811"/>
      <c r="BJ811"/>
      <c r="BK811"/>
      <c r="BL811"/>
      <c r="BM811"/>
      <c r="BN811">
        <v>35318831</v>
      </c>
      <c r="BO811"/>
      <c r="BP811"/>
      <c r="BQ811"/>
      <c r="BR811"/>
      <c r="BS811" t="s">
        <v>5217</v>
      </c>
      <c r="BT811" t="str">
        <f>HYPERLINK("https%3A%2F%2Fwww.webofscience.com%2Fwos%2Fwoscc%2Ffull-record%2FWOS:000780680000001","View Full Record in Web of Science")</f>
        <v>View Full Record in Web of Science</v>
      </c>
    </row>
    <row r="812" spans="1:75" customHeight="1" ht="12.75">
      <c r="A812" t="s">
        <v>72</v>
      </c>
      <c r="B812" t="s">
        <v>5218</v>
      </c>
      <c r="C812"/>
      <c r="D812"/>
      <c r="E812"/>
      <c r="F812" t="s">
        <v>5219</v>
      </c>
      <c r="G812"/>
      <c r="H812"/>
      <c r="I812" t="s">
        <v>5220</v>
      </c>
      <c r="J812" t="s">
        <v>5221</v>
      </c>
      <c r="K812"/>
      <c r="L812"/>
      <c r="M812"/>
      <c r="N812"/>
      <c r="O812"/>
      <c r="P812"/>
      <c r="Q812"/>
      <c r="R812"/>
      <c r="S812"/>
      <c r="T812"/>
      <c r="U812"/>
      <c r="V812"/>
      <c r="W812"/>
      <c r="X812"/>
      <c r="Y812"/>
      <c r="Z812"/>
      <c r="AA812"/>
      <c r="AB812"/>
      <c r="AC812"/>
      <c r="AD812"/>
      <c r="AE812"/>
      <c r="AF812"/>
      <c r="AG812"/>
      <c r="AH812"/>
      <c r="AI812"/>
      <c r="AJ812"/>
      <c r="AK812"/>
      <c r="AL812"/>
      <c r="AM812"/>
      <c r="AN812"/>
      <c r="AO812" t="s">
        <v>5222</v>
      </c>
      <c r="AP812" t="s">
        <v>5223</v>
      </c>
      <c r="AQ812"/>
      <c r="AR812"/>
      <c r="AS812"/>
      <c r="AT812" t="s">
        <v>5224</v>
      </c>
      <c r="AU812">
        <v>2021</v>
      </c>
      <c r="AV812">
        <v>872</v>
      </c>
      <c r="AW812"/>
      <c r="AX812"/>
      <c r="AY812"/>
      <c r="AZ812"/>
      <c r="BA812"/>
      <c r="BB812"/>
      <c r="BC812"/>
      <c r="BD812">
        <v>159692</v>
      </c>
      <c r="BE812" t="s">
        <v>5225</v>
      </c>
      <c r="BF812" t="str">
        <f>HYPERLINK("http://dx.doi.org/10.1016/j.jallcom.2021.159692","http://dx.doi.org/10.1016/j.jallcom.2021.159692")</f>
        <v>http://dx.doi.org/10.1016/j.jallcom.2021.159692</v>
      </c>
      <c r="BG812"/>
      <c r="BH812" t="s">
        <v>5226</v>
      </c>
      <c r="BI812"/>
      <c r="BJ812"/>
      <c r="BK812"/>
      <c r="BL812"/>
      <c r="BM812"/>
      <c r="BN812"/>
      <c r="BO812"/>
      <c r="BP812"/>
      <c r="BQ812"/>
      <c r="BR812"/>
      <c r="BS812" t="s">
        <v>5227</v>
      </c>
      <c r="BT812" t="str">
        <f>HYPERLINK("https%3A%2F%2Fwww.webofscience.com%2Fwos%2Fwoscc%2Ffull-record%2FWOS:000647674900002","View Full Record in Web of Science")</f>
        <v>View Full Record in Web of Science</v>
      </c>
    </row>
    <row r="813" spans="1:75" customHeight="1" ht="12.75">
      <c r="A813" t="s">
        <v>147</v>
      </c>
      <c r="B813" t="s">
        <v>5228</v>
      </c>
      <c r="C813" t="s">
        <v>1232</v>
      </c>
      <c r="D813"/>
      <c r="E813"/>
      <c r="F813" t="s">
        <v>5229</v>
      </c>
      <c r="G813" t="s">
        <v>1232</v>
      </c>
      <c r="H813"/>
      <c r="I813" t="s">
        <v>5230</v>
      </c>
      <c r="J813" t="s">
        <v>1235</v>
      </c>
      <c r="K813" t="s">
        <v>1236</v>
      </c>
      <c r="L813"/>
      <c r="M813"/>
      <c r="N813"/>
      <c r="O813" t="s">
        <v>1237</v>
      </c>
      <c r="P813" t="s">
        <v>1238</v>
      </c>
      <c r="Q813" t="s">
        <v>910</v>
      </c>
      <c r="R813" t="s">
        <v>1239</v>
      </c>
      <c r="S813"/>
      <c r="T813"/>
      <c r="U813"/>
      <c r="V813"/>
      <c r="W813"/>
      <c r="X813"/>
      <c r="Y813"/>
      <c r="Z813"/>
      <c r="AA813" t="s">
        <v>5231</v>
      </c>
      <c r="AB813" t="s">
        <v>5232</v>
      </c>
      <c r="AC813"/>
      <c r="AD813"/>
      <c r="AE813"/>
      <c r="AF813"/>
      <c r="AG813"/>
      <c r="AH813"/>
      <c r="AI813"/>
      <c r="AJ813"/>
      <c r="AK813"/>
      <c r="AL813"/>
      <c r="AM813"/>
      <c r="AN813"/>
      <c r="AO813" t="s">
        <v>1240</v>
      </c>
      <c r="AP813"/>
      <c r="AQ813"/>
      <c r="AR813"/>
      <c r="AS813"/>
      <c r="AT813"/>
      <c r="AU813">
        <v>2019</v>
      </c>
      <c r="AV813">
        <v>110</v>
      </c>
      <c r="AW813"/>
      <c r="AX813"/>
      <c r="AY813"/>
      <c r="AZ813"/>
      <c r="BA813"/>
      <c r="BB813"/>
      <c r="BC813"/>
      <c r="BD813">
        <v>2155</v>
      </c>
      <c r="BE813" t="s">
        <v>5233</v>
      </c>
      <c r="BF813" t="str">
        <f>HYPERLINK("http://dx.doi.org/10.1051/e3sconf/201911002155","http://dx.doi.org/10.1051/e3sconf/201911002155")</f>
        <v>http://dx.doi.org/10.1051/e3sconf/201911002155</v>
      </c>
      <c r="BG813"/>
      <c r="BH813"/>
      <c r="BI813"/>
      <c r="BJ813"/>
      <c r="BK813"/>
      <c r="BL813"/>
      <c r="BM813"/>
      <c r="BN813"/>
      <c r="BO813"/>
      <c r="BP813"/>
      <c r="BQ813"/>
      <c r="BR813"/>
      <c r="BS813" t="s">
        <v>5234</v>
      </c>
      <c r="BT813" t="str">
        <f>HYPERLINK("https%3A%2F%2Fwww.webofscience.com%2Fwos%2Fwoscc%2Ffull-record%2FWOS:000569050000244","View Full Record in Web of Science")</f>
        <v>View Full Record in Web of Science</v>
      </c>
    </row>
    <row r="814" spans="1:75" customHeight="1" ht="12.75">
      <c r="A814" t="s">
        <v>72</v>
      </c>
      <c r="B814" t="s">
        <v>5235</v>
      </c>
      <c r="C814"/>
      <c r="D814"/>
      <c r="E814"/>
      <c r="F814" t="s">
        <v>5236</v>
      </c>
      <c r="G814"/>
      <c r="H814"/>
      <c r="I814" t="s">
        <v>5237</v>
      </c>
      <c r="J814" t="s">
        <v>2640</v>
      </c>
      <c r="K814"/>
      <c r="L814"/>
      <c r="M814"/>
      <c r="N814"/>
      <c r="O814"/>
      <c r="P814"/>
      <c r="Q814"/>
      <c r="R814"/>
      <c r="S814"/>
      <c r="T814"/>
      <c r="U814"/>
      <c r="V814"/>
      <c r="W814"/>
      <c r="X814"/>
      <c r="Y814"/>
      <c r="Z814"/>
      <c r="AA814" t="s">
        <v>4073</v>
      </c>
      <c r="AB814" t="s">
        <v>4074</v>
      </c>
      <c r="AC814"/>
      <c r="AD814"/>
      <c r="AE814"/>
      <c r="AF814"/>
      <c r="AG814"/>
      <c r="AH814"/>
      <c r="AI814"/>
      <c r="AJ814"/>
      <c r="AK814"/>
      <c r="AL814"/>
      <c r="AM814"/>
      <c r="AN814"/>
      <c r="AO814" t="s">
        <v>2643</v>
      </c>
      <c r="AP814"/>
      <c r="AQ814"/>
      <c r="AR814"/>
      <c r="AS814"/>
      <c r="AT814"/>
      <c r="AU814">
        <v>2019</v>
      </c>
      <c r="AV814">
        <v>56</v>
      </c>
      <c r="AW814">
        <v>2</v>
      </c>
      <c r="AX814"/>
      <c r="AY814"/>
      <c r="AZ814"/>
      <c r="BA814"/>
      <c r="BB814">
        <v>116</v>
      </c>
      <c r="BC814">
        <v>125</v>
      </c>
      <c r="BD814"/>
      <c r="BE814" t="s">
        <v>5238</v>
      </c>
      <c r="BF814" t="str">
        <f>HYPERLINK("http://dx.doi.org/10.26170/FK19-02-15","http://dx.doi.org/10.26170/FK19-02-15")</f>
        <v>http://dx.doi.org/10.26170/FK19-02-15</v>
      </c>
      <c r="BG814"/>
      <c r="BH814"/>
      <c r="BI814"/>
      <c r="BJ814"/>
      <c r="BK814"/>
      <c r="BL814"/>
      <c r="BM814"/>
      <c r="BN814"/>
      <c r="BO814"/>
      <c r="BP814"/>
      <c r="BQ814"/>
      <c r="BR814"/>
      <c r="BS814" t="s">
        <v>5239</v>
      </c>
      <c r="BT814" t="str">
        <f>HYPERLINK("https%3A%2F%2Fwww.webofscience.com%2Fwos%2Fwoscc%2Ffull-record%2FWOS:000489097600015","View Full Record in Web of Science")</f>
        <v>View Full Record in Web of Science</v>
      </c>
    </row>
    <row r="815" spans="1:75" customHeight="1" ht="12.75">
      <c r="A815" t="s">
        <v>72</v>
      </c>
      <c r="B815" t="s">
        <v>5240</v>
      </c>
      <c r="C815"/>
      <c r="D815"/>
      <c r="E815"/>
      <c r="F815" t="s">
        <v>5241</v>
      </c>
      <c r="G815"/>
      <c r="H815"/>
      <c r="I815" t="s">
        <v>5242</v>
      </c>
      <c r="J815" t="s">
        <v>1206</v>
      </c>
      <c r="K815"/>
      <c r="L815"/>
      <c r="M815"/>
      <c r="N815"/>
      <c r="O815" t="s">
        <v>3165</v>
      </c>
      <c r="P815" t="s">
        <v>3166</v>
      </c>
      <c r="Q815" t="s">
        <v>746</v>
      </c>
      <c r="R815" t="s">
        <v>3167</v>
      </c>
      <c r="S815"/>
      <c r="T815"/>
      <c r="U815"/>
      <c r="V815"/>
      <c r="W815"/>
      <c r="X815"/>
      <c r="Y815"/>
      <c r="Z815"/>
      <c r="AA815"/>
      <c r="AB815"/>
      <c r="AC815"/>
      <c r="AD815"/>
      <c r="AE815"/>
      <c r="AF815"/>
      <c r="AG815"/>
      <c r="AH815"/>
      <c r="AI815"/>
      <c r="AJ815"/>
      <c r="AK815"/>
      <c r="AL815"/>
      <c r="AM815"/>
      <c r="AN815"/>
      <c r="AO815" t="s">
        <v>624</v>
      </c>
      <c r="AP815"/>
      <c r="AQ815"/>
      <c r="AR815"/>
      <c r="AS815"/>
      <c r="AT815" t="s">
        <v>319</v>
      </c>
      <c r="AU815">
        <v>2006</v>
      </c>
      <c r="AV815">
        <v>80</v>
      </c>
      <c r="AW815">
        <v>11</v>
      </c>
      <c r="AX815"/>
      <c r="AY815"/>
      <c r="AZ815"/>
      <c r="BA815"/>
      <c r="BB815">
        <v>1837</v>
      </c>
      <c r="BC815">
        <v>1841</v>
      </c>
      <c r="BD815"/>
      <c r="BE815" t="s">
        <v>5243</v>
      </c>
      <c r="BF815" t="str">
        <f>HYPERLINK("http://dx.doi.org/10.1134/S0036024406110288","http://dx.doi.org/10.1134/S0036024406110288")</f>
        <v>http://dx.doi.org/10.1134/S0036024406110288</v>
      </c>
      <c r="BG815"/>
      <c r="BH815"/>
      <c r="BI815"/>
      <c r="BJ815"/>
      <c r="BK815"/>
      <c r="BL815"/>
      <c r="BM815"/>
      <c r="BN815"/>
      <c r="BO815"/>
      <c r="BP815"/>
      <c r="BQ815"/>
      <c r="BR815"/>
      <c r="BS815" t="s">
        <v>5244</v>
      </c>
      <c r="BT815" t="str">
        <f>HYPERLINK("https%3A%2F%2Fwww.webofscience.com%2Fwos%2Fwoscc%2Ffull-record%2FWOS:000245667100028","View Full Record in Web of Science")</f>
        <v>View Full Record in Web of Science</v>
      </c>
    </row>
    <row r="816" spans="1:75" customHeight="1" ht="12.75">
      <c r="A816" t="s">
        <v>147</v>
      </c>
      <c r="B816" t="s">
        <v>5245</v>
      </c>
      <c r="C816"/>
      <c r="D816"/>
      <c r="E816"/>
      <c r="F816" t="s">
        <v>5246</v>
      </c>
      <c r="G816"/>
      <c r="H816"/>
      <c r="I816" t="s">
        <v>5247</v>
      </c>
      <c r="J816" t="s">
        <v>769</v>
      </c>
      <c r="K816"/>
      <c r="L816"/>
      <c r="M816"/>
      <c r="N816"/>
      <c r="O816" t="s">
        <v>5248</v>
      </c>
      <c r="P816" t="s">
        <v>5249</v>
      </c>
      <c r="Q816" t="s">
        <v>772</v>
      </c>
      <c r="R816"/>
      <c r="S816"/>
      <c r="T816"/>
      <c r="U816"/>
      <c r="V816"/>
      <c r="W816"/>
      <c r="X816"/>
      <c r="Y816"/>
      <c r="Z816"/>
      <c r="AA816"/>
      <c r="AB816" t="s">
        <v>5250</v>
      </c>
      <c r="AC816"/>
      <c r="AD816"/>
      <c r="AE816"/>
      <c r="AF816"/>
      <c r="AG816"/>
      <c r="AH816"/>
      <c r="AI816"/>
      <c r="AJ816"/>
      <c r="AK816"/>
      <c r="AL816"/>
      <c r="AM816"/>
      <c r="AN816"/>
      <c r="AO816" t="s">
        <v>775</v>
      </c>
      <c r="AP816"/>
      <c r="AQ816"/>
      <c r="AR816"/>
      <c r="AS816"/>
      <c r="AT816"/>
      <c r="AU816">
        <v>2019</v>
      </c>
      <c r="AV816">
        <v>11</v>
      </c>
      <c r="AW816"/>
      <c r="AX816">
        <v>1</v>
      </c>
      <c r="AY816"/>
      <c r="AZ816"/>
      <c r="BA816"/>
      <c r="BB816">
        <v>336</v>
      </c>
      <c r="BC816">
        <v>341</v>
      </c>
      <c r="BD816"/>
      <c r="BE816" t="s">
        <v>5251</v>
      </c>
      <c r="BF816" t="str">
        <f>HYPERLINK("http://dx.doi.org/10.1016/j.matpr.2018.12.154","http://dx.doi.org/10.1016/j.matpr.2018.12.154")</f>
        <v>http://dx.doi.org/10.1016/j.matpr.2018.12.154</v>
      </c>
      <c r="BG816"/>
      <c r="BH816"/>
      <c r="BI816"/>
      <c r="BJ816"/>
      <c r="BK816"/>
      <c r="BL816"/>
      <c r="BM816"/>
      <c r="BN816"/>
      <c r="BO816"/>
      <c r="BP816"/>
      <c r="BQ816"/>
      <c r="BR816"/>
      <c r="BS816" t="s">
        <v>5252</v>
      </c>
      <c r="BT816" t="str">
        <f>HYPERLINK("https%3A%2F%2Fwww.webofscience.com%2Fwos%2Fwoscc%2Ffull-record%2FWOS:000463193400058","View Full Record in Web of Science")</f>
        <v>View Full Record in Web of Science</v>
      </c>
    </row>
    <row r="817" spans="1:75" customHeight="1" ht="12.75">
      <c r="A817" t="s">
        <v>147</v>
      </c>
      <c r="B817" t="s">
        <v>5253</v>
      </c>
      <c r="C817" t="s">
        <v>1232</v>
      </c>
      <c r="D817"/>
      <c r="E817"/>
      <c r="F817" t="s">
        <v>5254</v>
      </c>
      <c r="G817" t="s">
        <v>1232</v>
      </c>
      <c r="H817"/>
      <c r="I817" t="s">
        <v>5255</v>
      </c>
      <c r="J817" t="s">
        <v>1235</v>
      </c>
      <c r="K817" t="s">
        <v>1236</v>
      </c>
      <c r="L817"/>
      <c r="M817"/>
      <c r="N817"/>
      <c r="O817" t="s">
        <v>1237</v>
      </c>
      <c r="P817" t="s">
        <v>1238</v>
      </c>
      <c r="Q817" t="s">
        <v>910</v>
      </c>
      <c r="R817" t="s">
        <v>1239</v>
      </c>
      <c r="S817"/>
      <c r="T817"/>
      <c r="U817"/>
      <c r="V817"/>
      <c r="W817"/>
      <c r="X817"/>
      <c r="Y817"/>
      <c r="Z817"/>
      <c r="AA817"/>
      <c r="AB817" t="s">
        <v>5256</v>
      </c>
      <c r="AC817"/>
      <c r="AD817"/>
      <c r="AE817"/>
      <c r="AF817"/>
      <c r="AG817"/>
      <c r="AH817"/>
      <c r="AI817"/>
      <c r="AJ817"/>
      <c r="AK817"/>
      <c r="AL817"/>
      <c r="AM817"/>
      <c r="AN817"/>
      <c r="AO817" t="s">
        <v>1240</v>
      </c>
      <c r="AP817"/>
      <c r="AQ817"/>
      <c r="AR817"/>
      <c r="AS817"/>
      <c r="AT817"/>
      <c r="AU817">
        <v>2019</v>
      </c>
      <c r="AV817">
        <v>110</v>
      </c>
      <c r="AW817"/>
      <c r="AX817"/>
      <c r="AY817"/>
      <c r="AZ817"/>
      <c r="BA817"/>
      <c r="BB817"/>
      <c r="BC817"/>
      <c r="BD817">
        <v>2150</v>
      </c>
      <c r="BE817" t="s">
        <v>5257</v>
      </c>
      <c r="BF817" t="str">
        <f>HYPERLINK("http://dx.doi.org/10.1051/e3sconf/201911002150","http://dx.doi.org/10.1051/e3sconf/201911002150")</f>
        <v>http://dx.doi.org/10.1051/e3sconf/201911002150</v>
      </c>
      <c r="BG817"/>
      <c r="BH817"/>
      <c r="BI817"/>
      <c r="BJ817"/>
      <c r="BK817"/>
      <c r="BL817"/>
      <c r="BM817"/>
      <c r="BN817"/>
      <c r="BO817"/>
      <c r="BP817"/>
      <c r="BQ817"/>
      <c r="BR817"/>
      <c r="BS817" t="s">
        <v>5258</v>
      </c>
      <c r="BT817" t="str">
        <f>HYPERLINK("https%3A%2F%2Fwww.webofscience.com%2Fwos%2Fwoscc%2Ffull-record%2FWOS:000569050000239","View Full Record in Web of Science")</f>
        <v>View Full Record in Web of Science</v>
      </c>
    </row>
    <row r="818" spans="1:75" customHeight="1" ht="12.75">
      <c r="A818" t="s">
        <v>72</v>
      </c>
      <c r="B818" t="s">
        <v>5259</v>
      </c>
      <c r="C818"/>
      <c r="D818"/>
      <c r="E818"/>
      <c r="F818" t="s">
        <v>5259</v>
      </c>
      <c r="G818"/>
      <c r="H818"/>
      <c r="I818" t="s">
        <v>5260</v>
      </c>
      <c r="J818" t="s">
        <v>614</v>
      </c>
      <c r="K818"/>
      <c r="L818"/>
      <c r="M818"/>
      <c r="N818"/>
      <c r="O818" t="s">
        <v>5261</v>
      </c>
      <c r="P818" t="s">
        <v>5262</v>
      </c>
      <c r="Q818" t="s">
        <v>5263</v>
      </c>
      <c r="R818"/>
      <c r="S818" t="s">
        <v>2862</v>
      </c>
      <c r="T818"/>
      <c r="U818"/>
      <c r="V818"/>
      <c r="W818"/>
      <c r="X818"/>
      <c r="Y818"/>
      <c r="Z818"/>
      <c r="AA818"/>
      <c r="AB818" t="s">
        <v>2399</v>
      </c>
      <c r="AC818"/>
      <c r="AD818"/>
      <c r="AE818"/>
      <c r="AF818"/>
      <c r="AG818"/>
      <c r="AH818"/>
      <c r="AI818"/>
      <c r="AJ818"/>
      <c r="AK818"/>
      <c r="AL818"/>
      <c r="AM818"/>
      <c r="AN818"/>
      <c r="AO818" t="s">
        <v>617</v>
      </c>
      <c r="AP818" t="s">
        <v>1720</v>
      </c>
      <c r="AQ818"/>
      <c r="AR818"/>
      <c r="AS818"/>
      <c r="AT818" t="s">
        <v>88</v>
      </c>
      <c r="AU818">
        <v>2005</v>
      </c>
      <c r="AV818">
        <v>41</v>
      </c>
      <c r="AW818">
        <v>5</v>
      </c>
      <c r="AX818"/>
      <c r="AY818"/>
      <c r="AZ818"/>
      <c r="BA818"/>
      <c r="BB818">
        <v>555</v>
      </c>
      <c r="BC818">
        <v>561</v>
      </c>
      <c r="BD818"/>
      <c r="BE818" t="s">
        <v>5264</v>
      </c>
      <c r="BF818" t="str">
        <f>HYPERLINK("http://dx.doi.org/10.1007/s11175-005-0105-0","http://dx.doi.org/10.1007/s11175-005-0105-0")</f>
        <v>http://dx.doi.org/10.1007/s11175-005-0105-0</v>
      </c>
      <c r="BG818"/>
      <c r="BH818"/>
      <c r="BI818"/>
      <c r="BJ818"/>
      <c r="BK818"/>
      <c r="BL818"/>
      <c r="BM818"/>
      <c r="BN818"/>
      <c r="BO818"/>
      <c r="BP818"/>
      <c r="BQ818"/>
      <c r="BR818"/>
      <c r="BS818" t="s">
        <v>5265</v>
      </c>
      <c r="BT818" t="str">
        <f>HYPERLINK("https%3A%2F%2Fwww.webofscience.com%2Fwos%2Fwoscc%2Ffull-record%2FWOS:000229725000018","View Full Record in Web of Science")</f>
        <v>View Full Record in Web of Science</v>
      </c>
    </row>
    <row r="819" spans="1:75" customHeight="1" ht="12.75">
      <c r="A819" t="s">
        <v>72</v>
      </c>
      <c r="B819" t="s">
        <v>4873</v>
      </c>
      <c r="C819"/>
      <c r="D819"/>
      <c r="E819"/>
      <c r="F819" t="s">
        <v>4874</v>
      </c>
      <c r="G819"/>
      <c r="H819"/>
      <c r="I819" t="s">
        <v>5266</v>
      </c>
      <c r="J819" t="s">
        <v>4849</v>
      </c>
      <c r="K819"/>
      <c r="L819"/>
      <c r="M819"/>
      <c r="N819"/>
      <c r="O819"/>
      <c r="P819"/>
      <c r="Q819"/>
      <c r="R819"/>
      <c r="S819"/>
      <c r="T819"/>
      <c r="U819"/>
      <c r="V819"/>
      <c r="W819"/>
      <c r="X819"/>
      <c r="Y819"/>
      <c r="Z819"/>
      <c r="AA819" t="s">
        <v>4850</v>
      </c>
      <c r="AB819" t="s">
        <v>4851</v>
      </c>
      <c r="AC819"/>
      <c r="AD819"/>
      <c r="AE819"/>
      <c r="AF819"/>
      <c r="AG819"/>
      <c r="AH819"/>
      <c r="AI819"/>
      <c r="AJ819"/>
      <c r="AK819"/>
      <c r="AL819"/>
      <c r="AM819"/>
      <c r="AN819"/>
      <c r="AO819" t="s">
        <v>4852</v>
      </c>
      <c r="AP819" t="s">
        <v>4853</v>
      </c>
      <c r="AQ819"/>
      <c r="AR819"/>
      <c r="AS819"/>
      <c r="AT819" t="s">
        <v>491</v>
      </c>
      <c r="AU819">
        <v>2023</v>
      </c>
      <c r="AV819">
        <v>101</v>
      </c>
      <c r="AW819">
        <v>6</v>
      </c>
      <c r="AX819"/>
      <c r="AY819"/>
      <c r="AZ819"/>
      <c r="BA819"/>
      <c r="BB819">
        <v>689</v>
      </c>
      <c r="BC819">
        <v>690</v>
      </c>
      <c r="BD819"/>
      <c r="BE819" t="s">
        <v>5267</v>
      </c>
      <c r="BF819" t="str">
        <f>HYPERLINK("http://dx.doi.org/10.1111/tan.14952","http://dx.doi.org/10.1111/tan.14952")</f>
        <v>http://dx.doi.org/10.1111/tan.14952</v>
      </c>
      <c r="BG819"/>
      <c r="BH819" t="s">
        <v>4345</v>
      </c>
      <c r="BI819"/>
      <c r="BJ819"/>
      <c r="BK819"/>
      <c r="BL819"/>
      <c r="BM819"/>
      <c r="BN819">
        <v>36565033</v>
      </c>
      <c r="BO819"/>
      <c r="BP819"/>
      <c r="BQ819"/>
      <c r="BR819"/>
      <c r="BS819" t="s">
        <v>5268</v>
      </c>
      <c r="BT819" t="str">
        <f>HYPERLINK("https%3A%2F%2Fwww.webofscience.com%2Fwos%2Fwoscc%2Ffull-record%2FWOS:000905834100001","View Full Record in Web of Science")</f>
        <v>View Full Record in Web of Science</v>
      </c>
    </row>
    <row r="820" spans="1:75" customHeight="1" ht="12.75">
      <c r="A820" t="s">
        <v>72</v>
      </c>
      <c r="B820" t="s">
        <v>925</v>
      </c>
      <c r="C820"/>
      <c r="D820"/>
      <c r="E820"/>
      <c r="F820" t="s">
        <v>926</v>
      </c>
      <c r="G820"/>
      <c r="H820"/>
      <c r="I820" t="s">
        <v>5269</v>
      </c>
      <c r="J820" t="s">
        <v>5270</v>
      </c>
      <c r="K820"/>
      <c r="L820"/>
      <c r="M820"/>
      <c r="N820"/>
      <c r="O820"/>
      <c r="P820"/>
      <c r="Q820"/>
      <c r="R820"/>
      <c r="S820"/>
      <c r="T820"/>
      <c r="U820"/>
      <c r="V820"/>
      <c r="W820"/>
      <c r="X820"/>
      <c r="Y820"/>
      <c r="Z820"/>
      <c r="AA820" t="s">
        <v>84</v>
      </c>
      <c r="AB820" t="s">
        <v>85</v>
      </c>
      <c r="AC820"/>
      <c r="AD820"/>
      <c r="AE820"/>
      <c r="AF820"/>
      <c r="AG820"/>
      <c r="AH820"/>
      <c r="AI820"/>
      <c r="AJ820"/>
      <c r="AK820"/>
      <c r="AL820"/>
      <c r="AM820"/>
      <c r="AN820"/>
      <c r="AO820" t="s">
        <v>5271</v>
      </c>
      <c r="AP820" t="s">
        <v>5272</v>
      </c>
      <c r="AQ820"/>
      <c r="AR820"/>
      <c r="AS820"/>
      <c r="AT820" t="s">
        <v>830</v>
      </c>
      <c r="AU820">
        <v>2020</v>
      </c>
      <c r="AV820">
        <v>11</v>
      </c>
      <c r="AW820">
        <v>9</v>
      </c>
      <c r="AX820"/>
      <c r="AY820"/>
      <c r="AZ820"/>
      <c r="BA820"/>
      <c r="BB820">
        <v>1</v>
      </c>
      <c r="BC820">
        <v>8</v>
      </c>
      <c r="BD820"/>
      <c r="BE820"/>
      <c r="BF820"/>
      <c r="BG820"/>
      <c r="BH820"/>
      <c r="BI820"/>
      <c r="BJ820"/>
      <c r="BK820"/>
      <c r="BL820"/>
      <c r="BM820"/>
      <c r="BN820"/>
      <c r="BO820"/>
      <c r="BP820"/>
      <c r="BQ820"/>
      <c r="BR820"/>
      <c r="BS820" t="s">
        <v>5273</v>
      </c>
      <c r="BT820" t="str">
        <f>HYPERLINK("https%3A%2F%2Fwww.webofscience.com%2Fwos%2Fwoscc%2Ffull-record%2FWOS:000592987700002","View Full Record in Web of Science")</f>
        <v>View Full Record in Web of Science</v>
      </c>
    </row>
    <row r="821" spans="1:75" customHeight="1" ht="12.75">
      <c r="A821" t="s">
        <v>147</v>
      </c>
      <c r="B821" t="s">
        <v>5274</v>
      </c>
      <c r="C821"/>
      <c r="D821" t="s">
        <v>5275</v>
      </c>
      <c r="E821"/>
      <c r="F821" t="s">
        <v>5276</v>
      </c>
      <c r="G821"/>
      <c r="H821"/>
      <c r="I821" t="s">
        <v>5277</v>
      </c>
      <c r="J821" t="s">
        <v>5278</v>
      </c>
      <c r="K821" t="s">
        <v>5279</v>
      </c>
      <c r="L821"/>
      <c r="M821"/>
      <c r="N821"/>
      <c r="O821" t="s">
        <v>5280</v>
      </c>
      <c r="P821" t="s">
        <v>5281</v>
      </c>
      <c r="Q821" t="s">
        <v>5132</v>
      </c>
      <c r="R821"/>
      <c r="S821" t="s">
        <v>5133</v>
      </c>
      <c r="T821"/>
      <c r="U821"/>
      <c r="V821"/>
      <c r="W821"/>
      <c r="X821"/>
      <c r="Y821"/>
      <c r="Z821"/>
      <c r="AA821"/>
      <c r="AB821"/>
      <c r="AC821"/>
      <c r="AD821"/>
      <c r="AE821"/>
      <c r="AF821"/>
      <c r="AG821"/>
      <c r="AH821"/>
      <c r="AI821"/>
      <c r="AJ821"/>
      <c r="AK821"/>
      <c r="AL821"/>
      <c r="AM821"/>
      <c r="AN821"/>
      <c r="AO821" t="s">
        <v>5282</v>
      </c>
      <c r="AP821"/>
      <c r="AQ821"/>
      <c r="AR821"/>
      <c r="AS821"/>
      <c r="AT821"/>
      <c r="AU821">
        <v>2019</v>
      </c>
      <c r="AV821">
        <v>69</v>
      </c>
      <c r="AW821"/>
      <c r="AX821"/>
      <c r="AY821"/>
      <c r="AZ821"/>
      <c r="BA821"/>
      <c r="BB821"/>
      <c r="BC821"/>
      <c r="BD821">
        <v>17</v>
      </c>
      <c r="BE821" t="s">
        <v>5283</v>
      </c>
      <c r="BF821" t="str">
        <f>HYPERLINK("http://dx.doi.org/10.1051/shsconf/20196900017","http://dx.doi.org/10.1051/shsconf/20196900017")</f>
        <v>http://dx.doi.org/10.1051/shsconf/20196900017</v>
      </c>
      <c r="BG821"/>
      <c r="BH821"/>
      <c r="BI821"/>
      <c r="BJ821"/>
      <c r="BK821"/>
      <c r="BL821"/>
      <c r="BM821"/>
      <c r="BN821"/>
      <c r="BO821"/>
      <c r="BP821"/>
      <c r="BQ821"/>
      <c r="BR821"/>
      <c r="BS821" t="s">
        <v>5284</v>
      </c>
      <c r="BT821" t="str">
        <f>HYPERLINK("https%3A%2F%2Fwww.webofscience.com%2Fwos%2Fwoscc%2Ffull-record%2FWOS:000543686000016","View Full Record in Web of Science")</f>
        <v>View Full Record in Web of Science</v>
      </c>
    </row>
    <row r="822" spans="1:75" customHeight="1" ht="12.75">
      <c r="A822" t="s">
        <v>147</v>
      </c>
      <c r="B822" t="s">
        <v>5285</v>
      </c>
      <c r="C822"/>
      <c r="D822" t="s">
        <v>1490</v>
      </c>
      <c r="E822"/>
      <c r="F822" t="s">
        <v>5286</v>
      </c>
      <c r="G822"/>
      <c r="H822"/>
      <c r="I822" t="s">
        <v>5287</v>
      </c>
      <c r="J822" t="s">
        <v>1493</v>
      </c>
      <c r="K822" t="s">
        <v>1494</v>
      </c>
      <c r="L822"/>
      <c r="M822"/>
      <c r="N822"/>
      <c r="O822" t="s">
        <v>1495</v>
      </c>
      <c r="P822" t="s">
        <v>1496</v>
      </c>
      <c r="Q822" t="s">
        <v>256</v>
      </c>
      <c r="R822" t="s">
        <v>1497</v>
      </c>
      <c r="S822" t="s">
        <v>257</v>
      </c>
      <c r="T822"/>
      <c r="U822"/>
      <c r="V822"/>
      <c r="W822"/>
      <c r="X822"/>
      <c r="Y822"/>
      <c r="Z822"/>
      <c r="AA822" t="s">
        <v>2486</v>
      </c>
      <c r="AB822" t="s">
        <v>5288</v>
      </c>
      <c r="AC822"/>
      <c r="AD822"/>
      <c r="AE822"/>
      <c r="AF822"/>
      <c r="AG822"/>
      <c r="AH822"/>
      <c r="AI822"/>
      <c r="AJ822"/>
      <c r="AK822"/>
      <c r="AL822"/>
      <c r="AM822"/>
      <c r="AN822"/>
      <c r="AO822" t="s">
        <v>1500</v>
      </c>
      <c r="AP822" t="s">
        <v>1304</v>
      </c>
      <c r="AQ822" t="s">
        <v>1501</v>
      </c>
      <c r="AR822"/>
      <c r="AS822"/>
      <c r="AT822"/>
      <c r="AU822">
        <v>2019</v>
      </c>
      <c r="AV822">
        <v>11832</v>
      </c>
      <c r="AW822"/>
      <c r="AX822"/>
      <c r="AY822"/>
      <c r="AZ822"/>
      <c r="BA822"/>
      <c r="BB822">
        <v>242</v>
      </c>
      <c r="BC822">
        <v>253</v>
      </c>
      <c r="BD822"/>
      <c r="BE822" t="s">
        <v>5289</v>
      </c>
      <c r="BF822" t="str">
        <f>HYPERLINK("http://dx.doi.org/10.1007/978-3-030-37334-4_22","http://dx.doi.org/10.1007/978-3-030-37334-4_22")</f>
        <v>http://dx.doi.org/10.1007/978-3-030-37334-4_22</v>
      </c>
      <c r="BG822"/>
      <c r="BH822"/>
      <c r="BI822"/>
      <c r="BJ822"/>
      <c r="BK822"/>
      <c r="BL822"/>
      <c r="BM822"/>
      <c r="BN822"/>
      <c r="BO822"/>
      <c r="BP822"/>
      <c r="BQ822"/>
      <c r="BR822"/>
      <c r="BS822" t="s">
        <v>5290</v>
      </c>
      <c r="BT822" t="str">
        <f>HYPERLINK("https%3A%2F%2Fwww.webofscience.com%2Fwos%2Fwoscc%2Ffull-record%2FWOS:000611787800022","View Full Record in Web of Science")</f>
        <v>View Full Record in Web of Science</v>
      </c>
    </row>
    <row r="823" spans="1:75" customHeight="1" ht="12.75">
      <c r="A823" t="s">
        <v>147</v>
      </c>
      <c r="B823" t="s">
        <v>5291</v>
      </c>
      <c r="C823"/>
      <c r="D823" t="s">
        <v>1272</v>
      </c>
      <c r="E823"/>
      <c r="F823" t="s">
        <v>5292</v>
      </c>
      <c r="G823"/>
      <c r="H823"/>
      <c r="I823" t="s">
        <v>5293</v>
      </c>
      <c r="J823" t="s">
        <v>5294</v>
      </c>
      <c r="K823" t="s">
        <v>1276</v>
      </c>
      <c r="L823"/>
      <c r="M823"/>
      <c r="N823"/>
      <c r="O823" t="s">
        <v>5248</v>
      </c>
      <c r="P823" t="s">
        <v>5249</v>
      </c>
      <c r="Q823" t="s">
        <v>772</v>
      </c>
      <c r="R823" t="s">
        <v>5295</v>
      </c>
      <c r="S823"/>
      <c r="T823"/>
      <c r="U823"/>
      <c r="V823"/>
      <c r="W823"/>
      <c r="X823"/>
      <c r="Y823"/>
      <c r="Z823"/>
      <c r="AA823"/>
      <c r="AB823" t="s">
        <v>5200</v>
      </c>
      <c r="AC823"/>
      <c r="AD823"/>
      <c r="AE823"/>
      <c r="AF823"/>
      <c r="AG823"/>
      <c r="AH823"/>
      <c r="AI823"/>
      <c r="AJ823"/>
      <c r="AK823"/>
      <c r="AL823"/>
      <c r="AM823"/>
      <c r="AN823"/>
      <c r="AO823" t="s">
        <v>1282</v>
      </c>
      <c r="AP823"/>
      <c r="AQ823"/>
      <c r="AR823"/>
      <c r="AS823"/>
      <c r="AT823"/>
      <c r="AU823">
        <v>2018</v>
      </c>
      <c r="AV823">
        <v>224</v>
      </c>
      <c r="AW823"/>
      <c r="AX823"/>
      <c r="AY823"/>
      <c r="AZ823"/>
      <c r="BA823"/>
      <c r="BB823"/>
      <c r="BC823"/>
      <c r="BD823">
        <v>1040</v>
      </c>
      <c r="BE823" t="s">
        <v>5296</v>
      </c>
      <c r="BF823" t="str">
        <f>HYPERLINK("http://dx.doi.org/10.1051/matecconf/201822401040","http://dx.doi.org/10.1051/matecconf/201822401040")</f>
        <v>http://dx.doi.org/10.1051/matecconf/201822401040</v>
      </c>
      <c r="BG823"/>
      <c r="BH823"/>
      <c r="BI823"/>
      <c r="BJ823"/>
      <c r="BK823"/>
      <c r="BL823"/>
      <c r="BM823"/>
      <c r="BN823"/>
      <c r="BO823"/>
      <c r="BP823"/>
      <c r="BQ823"/>
      <c r="BR823"/>
      <c r="BS823" t="s">
        <v>5297</v>
      </c>
      <c r="BT823" t="str">
        <f>HYPERLINK("https%3A%2F%2Fwww.webofscience.com%2Fwos%2Fwoscc%2Ffull-record%2FWOS:000476933600040","View Full Record in Web of Science")</f>
        <v>View Full Record in Web of Science</v>
      </c>
    </row>
    <row r="824" spans="1:75" customHeight="1" ht="12.75">
      <c r="A824" t="s">
        <v>72</v>
      </c>
      <c r="B824" t="s">
        <v>5298</v>
      </c>
      <c r="C824"/>
      <c r="D824"/>
      <c r="E824"/>
      <c r="F824" t="s">
        <v>5299</v>
      </c>
      <c r="G824"/>
      <c r="H824"/>
      <c r="I824" t="s">
        <v>5300</v>
      </c>
      <c r="J824" t="s">
        <v>5301</v>
      </c>
      <c r="K824"/>
      <c r="L824"/>
      <c r="M824"/>
      <c r="N824"/>
      <c r="O824"/>
      <c r="P824"/>
      <c r="Q824"/>
      <c r="R824"/>
      <c r="S824"/>
      <c r="T824"/>
      <c r="U824"/>
      <c r="V824"/>
      <c r="W824"/>
      <c r="X824"/>
      <c r="Y824"/>
      <c r="Z824"/>
      <c r="AA824"/>
      <c r="AB824"/>
      <c r="AC824"/>
      <c r="AD824"/>
      <c r="AE824"/>
      <c r="AF824"/>
      <c r="AG824"/>
      <c r="AH824"/>
      <c r="AI824"/>
      <c r="AJ824"/>
      <c r="AK824"/>
      <c r="AL824"/>
      <c r="AM824"/>
      <c r="AN824"/>
      <c r="AO824" t="s">
        <v>5302</v>
      </c>
      <c r="AP824"/>
      <c r="AQ824"/>
      <c r="AR824"/>
      <c r="AS824"/>
      <c r="AT824"/>
      <c r="AU824">
        <v>2017</v>
      </c>
      <c r="AV824">
        <v>24</v>
      </c>
      <c r="AW824"/>
      <c r="AX824"/>
      <c r="AY824"/>
      <c r="AZ824"/>
      <c r="BA824"/>
      <c r="BB824">
        <v>258</v>
      </c>
      <c r="BC824">
        <v>266</v>
      </c>
      <c r="BD824"/>
      <c r="BE824"/>
      <c r="BF824"/>
      <c r="BG824"/>
      <c r="BH824"/>
      <c r="BI824"/>
      <c r="BJ824"/>
      <c r="BK824"/>
      <c r="BL824"/>
      <c r="BM824"/>
      <c r="BN824"/>
      <c r="BO824"/>
      <c r="BP824"/>
      <c r="BQ824"/>
      <c r="BR824"/>
      <c r="BS824" t="s">
        <v>5303</v>
      </c>
      <c r="BT824" t="str">
        <f>HYPERLINK("https%3A%2F%2Fwww.webofscience.com%2Fwos%2Fwoscc%2Ffull-record%2FWOS:000417887400021","View Full Record in Web of Science")</f>
        <v>View Full Record in Web of Science</v>
      </c>
    </row>
    <row r="825" spans="1:75" customHeight="1" ht="12.75">
      <c r="A825" t="s">
        <v>72</v>
      </c>
      <c r="B825" t="s">
        <v>5304</v>
      </c>
      <c r="C825"/>
      <c r="D825"/>
      <c r="E825"/>
      <c r="F825" t="s">
        <v>5304</v>
      </c>
      <c r="G825"/>
      <c r="H825"/>
      <c r="I825" t="s">
        <v>5305</v>
      </c>
      <c r="J825" t="s">
        <v>940</v>
      </c>
      <c r="K825"/>
      <c r="L825"/>
      <c r="M825"/>
      <c r="N825"/>
      <c r="O825"/>
      <c r="P825"/>
      <c r="Q825"/>
      <c r="R825"/>
      <c r="S825"/>
      <c r="T825"/>
      <c r="U825"/>
      <c r="V825"/>
      <c r="W825"/>
      <c r="X825"/>
      <c r="Y825"/>
      <c r="Z825"/>
      <c r="AA825"/>
      <c r="AB825"/>
      <c r="AC825"/>
      <c r="AD825"/>
      <c r="AE825"/>
      <c r="AF825"/>
      <c r="AG825"/>
      <c r="AH825"/>
      <c r="AI825"/>
      <c r="AJ825"/>
      <c r="AK825"/>
      <c r="AL825"/>
      <c r="AM825"/>
      <c r="AN825"/>
      <c r="AO825" t="s">
        <v>943</v>
      </c>
      <c r="AP825"/>
      <c r="AQ825"/>
      <c r="AR825"/>
      <c r="AS825"/>
      <c r="AT825" t="s">
        <v>3477</v>
      </c>
      <c r="AU825">
        <v>2003</v>
      </c>
      <c r="AV825">
        <v>45</v>
      </c>
      <c r="AW825" t="s">
        <v>945</v>
      </c>
      <c r="AX825"/>
      <c r="AY825"/>
      <c r="AZ825"/>
      <c r="BA825"/>
      <c r="BB825">
        <v>449</v>
      </c>
      <c r="BC825">
        <v>451</v>
      </c>
      <c r="BD825"/>
      <c r="BE825" t="s">
        <v>5306</v>
      </c>
      <c r="BF825" t="str">
        <f>HYPERLINK("http://dx.doi.org/10.1023/B:MSAT.0000019201.56753.34","http://dx.doi.org/10.1023/B:MSAT.0000019201.56753.34")</f>
        <v>http://dx.doi.org/10.1023/B:MSAT.0000019201.56753.34</v>
      </c>
      <c r="BG825"/>
      <c r="BH825"/>
      <c r="BI825"/>
      <c r="BJ825"/>
      <c r="BK825"/>
      <c r="BL825"/>
      <c r="BM825"/>
      <c r="BN825"/>
      <c r="BO825"/>
      <c r="BP825"/>
      <c r="BQ825"/>
      <c r="BR825"/>
      <c r="BS825" t="s">
        <v>5307</v>
      </c>
      <c r="BT825" t="str">
        <f>HYPERLINK("https%3A%2F%2Fwww.webofscience.com%2Fwos%2Fwoscc%2Ffull-record%2FWOS:000221016500011","View Full Record in Web of Science")</f>
        <v>View Full Record in Web of Science</v>
      </c>
    </row>
    <row r="826" spans="1:75" customHeight="1" ht="12.75">
      <c r="A826" t="s">
        <v>72</v>
      </c>
      <c r="B826" t="s">
        <v>378</v>
      </c>
      <c r="C826"/>
      <c r="D826"/>
      <c r="E826"/>
      <c r="F826" t="s">
        <v>1226</v>
      </c>
      <c r="G826"/>
      <c r="H826"/>
      <c r="I826" t="s">
        <v>5308</v>
      </c>
      <c r="J826" t="s">
        <v>5309</v>
      </c>
      <c r="K826"/>
      <c r="L826"/>
      <c r="M826"/>
      <c r="N826"/>
      <c r="O826"/>
      <c r="P826"/>
      <c r="Q826"/>
      <c r="R826"/>
      <c r="S826"/>
      <c r="T826"/>
      <c r="U826"/>
      <c r="V826"/>
      <c r="W826"/>
      <c r="X826"/>
      <c r="Y826"/>
      <c r="Z826"/>
      <c r="AA826"/>
      <c r="AB826"/>
      <c r="AC826"/>
      <c r="AD826"/>
      <c r="AE826"/>
      <c r="AF826"/>
      <c r="AG826"/>
      <c r="AH826"/>
      <c r="AI826"/>
      <c r="AJ826"/>
      <c r="AK826"/>
      <c r="AL826"/>
      <c r="AM826"/>
      <c r="AN826"/>
      <c r="AO826" t="s">
        <v>5310</v>
      </c>
      <c r="AP826"/>
      <c r="AQ826"/>
      <c r="AR826"/>
      <c r="AS826"/>
      <c r="AT826"/>
      <c r="AU826">
        <v>2023</v>
      </c>
      <c r="AV826">
        <v>10</v>
      </c>
      <c r="AW826">
        <v>1</v>
      </c>
      <c r="AX826"/>
      <c r="AY826"/>
      <c r="AZ826"/>
      <c r="BA826"/>
      <c r="BB826">
        <v>65</v>
      </c>
      <c r="BC826">
        <v>75</v>
      </c>
      <c r="BD826"/>
      <c r="BE826" t="s">
        <v>5311</v>
      </c>
      <c r="BF826" t="str">
        <f>HYPERLINK("http://dx.doi.org/10.51847/2GXBEcgNwL","http://dx.doi.org/10.51847/2GXBEcgNwL")</f>
        <v>http://dx.doi.org/10.51847/2GXBEcgNwL</v>
      </c>
      <c r="BG826"/>
      <c r="BH826"/>
      <c r="BI826"/>
      <c r="BJ826"/>
      <c r="BK826"/>
      <c r="BL826"/>
      <c r="BM826"/>
      <c r="BN826"/>
      <c r="BO826"/>
      <c r="BP826"/>
      <c r="BQ826"/>
      <c r="BR826"/>
      <c r="BS826" t="s">
        <v>5312</v>
      </c>
      <c r="BT826" t="str">
        <f>HYPERLINK("https%3A%2F%2Fwww.webofscience.com%2Fwos%2Fwoscc%2Ffull-record%2FWOS:000971992100003","View Full Record in Web of Science")</f>
        <v>View Full Record in Web of Science</v>
      </c>
    </row>
    <row r="827" spans="1:75" customHeight="1" ht="12.75">
      <c r="A827" t="s">
        <v>72</v>
      </c>
      <c r="B827" t="s">
        <v>4873</v>
      </c>
      <c r="C827"/>
      <c r="D827"/>
      <c r="E827"/>
      <c r="F827" t="s">
        <v>4874</v>
      </c>
      <c r="G827"/>
      <c r="H827"/>
      <c r="I827" t="s">
        <v>5313</v>
      </c>
      <c r="J827" t="s">
        <v>4849</v>
      </c>
      <c r="K827"/>
      <c r="L827"/>
      <c r="M827"/>
      <c r="N827"/>
      <c r="O827"/>
      <c r="P827"/>
      <c r="Q827"/>
      <c r="R827"/>
      <c r="S827"/>
      <c r="T827"/>
      <c r="U827"/>
      <c r="V827"/>
      <c r="W827"/>
      <c r="X827"/>
      <c r="Y827"/>
      <c r="Z827"/>
      <c r="AA827" t="s">
        <v>4850</v>
      </c>
      <c r="AB827" t="s">
        <v>5314</v>
      </c>
      <c r="AC827"/>
      <c r="AD827"/>
      <c r="AE827"/>
      <c r="AF827"/>
      <c r="AG827"/>
      <c r="AH827"/>
      <c r="AI827"/>
      <c r="AJ827"/>
      <c r="AK827"/>
      <c r="AL827"/>
      <c r="AM827"/>
      <c r="AN827"/>
      <c r="AO827" t="s">
        <v>4852</v>
      </c>
      <c r="AP827" t="s">
        <v>4853</v>
      </c>
      <c r="AQ827"/>
      <c r="AR827"/>
      <c r="AS827"/>
      <c r="AT827" t="s">
        <v>319</v>
      </c>
      <c r="AU827">
        <v>2022</v>
      </c>
      <c r="AV827">
        <v>100</v>
      </c>
      <c r="AW827">
        <v>5</v>
      </c>
      <c r="AX827"/>
      <c r="AY827"/>
      <c r="AZ827"/>
      <c r="BA827"/>
      <c r="BB827">
        <v>514</v>
      </c>
      <c r="BC827">
        <v>515</v>
      </c>
      <c r="BD827"/>
      <c r="BE827" t="s">
        <v>5315</v>
      </c>
      <c r="BF827" t="str">
        <f>HYPERLINK("http://dx.doi.org/10.1111/tan.14748","http://dx.doi.org/10.1111/tan.14748")</f>
        <v>http://dx.doi.org/10.1111/tan.14748</v>
      </c>
      <c r="BG827"/>
      <c r="BH827" t="s">
        <v>5316</v>
      </c>
      <c r="BI827"/>
      <c r="BJ827"/>
      <c r="BK827"/>
      <c r="BL827"/>
      <c r="BM827"/>
      <c r="BN827">
        <v>35906815</v>
      </c>
      <c r="BO827"/>
      <c r="BP827"/>
      <c r="BQ827"/>
      <c r="BR827"/>
      <c r="BS827" t="s">
        <v>5317</v>
      </c>
      <c r="BT827" t="str">
        <f>HYPERLINK("https%3A%2F%2Fwww.webofscience.com%2Fwos%2Fwoscc%2Ffull-record%2FWOS:000837478000001","View Full Record in Web of Science")</f>
        <v>View Full Record in Web of Science</v>
      </c>
    </row>
    <row r="828" spans="1:75" customHeight="1" ht="12.75">
      <c r="A828" t="s">
        <v>147</v>
      </c>
      <c r="B828" t="s">
        <v>5318</v>
      </c>
      <c r="C828"/>
      <c r="D828"/>
      <c r="E828" t="s">
        <v>210</v>
      </c>
      <c r="F828" t="s">
        <v>5319</v>
      </c>
      <c r="G828"/>
      <c r="H828"/>
      <c r="I828" t="s">
        <v>5320</v>
      </c>
      <c r="J828" t="s">
        <v>5321</v>
      </c>
      <c r="K828"/>
      <c r="L828"/>
      <c r="M828"/>
      <c r="N828"/>
      <c r="O828" t="s">
        <v>5322</v>
      </c>
      <c r="P828" t="s">
        <v>5323</v>
      </c>
      <c r="Q828" t="s">
        <v>746</v>
      </c>
      <c r="R828"/>
      <c r="S828"/>
      <c r="T828"/>
      <c r="U828"/>
      <c r="V828"/>
      <c r="W828"/>
      <c r="X828"/>
      <c r="Y828"/>
      <c r="Z828"/>
      <c r="AA828" t="s">
        <v>5324</v>
      </c>
      <c r="AB828" t="s">
        <v>5325</v>
      </c>
      <c r="AC828"/>
      <c r="AD828"/>
      <c r="AE828"/>
      <c r="AF828"/>
      <c r="AG828"/>
      <c r="AH828"/>
      <c r="AI828"/>
      <c r="AJ828"/>
      <c r="AK828"/>
      <c r="AL828"/>
      <c r="AM828"/>
      <c r="AN828"/>
      <c r="AO828"/>
      <c r="AP828"/>
      <c r="AQ828" t="s">
        <v>5326</v>
      </c>
      <c r="AR828"/>
      <c r="AS828"/>
      <c r="AT828"/>
      <c r="AU828">
        <v>2016</v>
      </c>
      <c r="AV828"/>
      <c r="AW828"/>
      <c r="AX828"/>
      <c r="AY828"/>
      <c r="AZ828"/>
      <c r="BA828"/>
      <c r="BB828">
        <v>46</v>
      </c>
      <c r="BC828">
        <v>51</v>
      </c>
      <c r="BD828"/>
      <c r="BE828"/>
      <c r="BF828"/>
      <c r="BG828"/>
      <c r="BH828"/>
      <c r="BI828"/>
      <c r="BJ828"/>
      <c r="BK828"/>
      <c r="BL828"/>
      <c r="BM828"/>
      <c r="BN828"/>
      <c r="BO828"/>
      <c r="BP828"/>
      <c r="BQ828"/>
      <c r="BR828"/>
      <c r="BS828" t="s">
        <v>5327</v>
      </c>
      <c r="BT828" t="str">
        <f>HYPERLINK("https%3A%2F%2Fwww.webofscience.com%2Fwos%2Fwoscc%2Ffull-record%2FWOS:000382516300009","View Full Record in Web of Science")</f>
        <v>View Full Record in Web of Science</v>
      </c>
    </row>
    <row r="829" spans="1:75" customHeight="1" ht="12.75">
      <c r="A829" t="s">
        <v>147</v>
      </c>
      <c r="B829" t="s">
        <v>5328</v>
      </c>
      <c r="C829"/>
      <c r="D829" t="s">
        <v>5329</v>
      </c>
      <c r="E829"/>
      <c r="F829" t="s">
        <v>5330</v>
      </c>
      <c r="G829"/>
      <c r="H829"/>
      <c r="I829" t="s">
        <v>5331</v>
      </c>
      <c r="J829" t="s">
        <v>5332</v>
      </c>
      <c r="K829"/>
      <c r="L829"/>
      <c r="M829"/>
      <c r="N829"/>
      <c r="O829" t="s">
        <v>5333</v>
      </c>
      <c r="P829" t="s">
        <v>5334</v>
      </c>
      <c r="Q829" t="s">
        <v>5335</v>
      </c>
      <c r="R829"/>
      <c r="S829"/>
      <c r="T829"/>
      <c r="U829"/>
      <c r="V829"/>
      <c r="W829"/>
      <c r="X829"/>
      <c r="Y829"/>
      <c r="Z829"/>
      <c r="AA829" t="s">
        <v>5336</v>
      </c>
      <c r="AB829" t="s">
        <v>5337</v>
      </c>
      <c r="AC829"/>
      <c r="AD829"/>
      <c r="AE829"/>
      <c r="AF829"/>
      <c r="AG829"/>
      <c r="AH829"/>
      <c r="AI829"/>
      <c r="AJ829"/>
      <c r="AK829"/>
      <c r="AL829"/>
      <c r="AM829"/>
      <c r="AN829"/>
      <c r="AO829"/>
      <c r="AP829"/>
      <c r="AQ829" t="s">
        <v>5338</v>
      </c>
      <c r="AR829"/>
      <c r="AS829"/>
      <c r="AT829"/>
      <c r="AU829">
        <v>2015</v>
      </c>
      <c r="AV829"/>
      <c r="AW829"/>
      <c r="AX829"/>
      <c r="AY829"/>
      <c r="AZ829"/>
      <c r="BA829"/>
      <c r="BB829"/>
      <c r="BC829"/>
      <c r="BD829"/>
      <c r="BE829"/>
      <c r="BF829"/>
      <c r="BG829"/>
      <c r="BH829"/>
      <c r="BI829"/>
      <c r="BJ829"/>
      <c r="BK829"/>
      <c r="BL829"/>
      <c r="BM829"/>
      <c r="BN829"/>
      <c r="BO829"/>
      <c r="BP829"/>
      <c r="BQ829"/>
      <c r="BR829"/>
      <c r="BS829" t="s">
        <v>5339</v>
      </c>
      <c r="BT829" t="str">
        <f>HYPERLINK("https%3A%2F%2Fwww.webofscience.com%2Fwos%2Fwoscc%2Ffull-record%2FWOS:000398997004110","View Full Record in Web of Science")</f>
        <v>View Full Record in Web of Science</v>
      </c>
    </row>
    <row r="830" spans="1:75" customHeight="1" ht="12.75">
      <c r="A830" t="s">
        <v>72</v>
      </c>
      <c r="B830" t="s">
        <v>5340</v>
      </c>
      <c r="C830"/>
      <c r="D830"/>
      <c r="E830"/>
      <c r="F830" t="s">
        <v>5341</v>
      </c>
      <c r="G830"/>
      <c r="H830"/>
      <c r="I830" t="s">
        <v>5342</v>
      </c>
      <c r="J830" t="s">
        <v>1905</v>
      </c>
      <c r="K830"/>
      <c r="L830"/>
      <c r="M830"/>
      <c r="N830"/>
      <c r="O830" t="s">
        <v>2703</v>
      </c>
      <c r="P830" t="s">
        <v>2704</v>
      </c>
      <c r="Q830" t="s">
        <v>2563</v>
      </c>
      <c r="R830" t="s">
        <v>2705</v>
      </c>
      <c r="S830"/>
      <c r="T830"/>
      <c r="U830"/>
      <c r="V830"/>
      <c r="W830"/>
      <c r="X830"/>
      <c r="Y830"/>
      <c r="Z830"/>
      <c r="AA830" t="s">
        <v>5343</v>
      </c>
      <c r="AB830" t="s">
        <v>5344</v>
      </c>
      <c r="AC830"/>
      <c r="AD830"/>
      <c r="AE830"/>
      <c r="AF830"/>
      <c r="AG830"/>
      <c r="AH830"/>
      <c r="AI830"/>
      <c r="AJ830"/>
      <c r="AK830"/>
      <c r="AL830"/>
      <c r="AM830"/>
      <c r="AN830"/>
      <c r="AO830" t="s">
        <v>1906</v>
      </c>
      <c r="AP830"/>
      <c r="AQ830"/>
      <c r="AR830"/>
      <c r="AS830"/>
      <c r="AT830" t="s">
        <v>1173</v>
      </c>
      <c r="AU830">
        <v>2007</v>
      </c>
      <c r="AV830">
        <v>33</v>
      </c>
      <c r="AW830">
        <v>4</v>
      </c>
      <c r="AX830"/>
      <c r="AY830"/>
      <c r="AZ830"/>
      <c r="BA830"/>
      <c r="BB830">
        <v>369</v>
      </c>
      <c r="BC830">
        <v>378</v>
      </c>
      <c r="BD830"/>
      <c r="BE830" t="s">
        <v>5345</v>
      </c>
      <c r="BF830" t="str">
        <f>HYPERLINK("http://dx.doi.org/10.1134/S1087659607040116","http://dx.doi.org/10.1134/S1087659607040116")</f>
        <v>http://dx.doi.org/10.1134/S1087659607040116</v>
      </c>
      <c r="BG830"/>
      <c r="BH830"/>
      <c r="BI830"/>
      <c r="BJ830"/>
      <c r="BK830"/>
      <c r="BL830"/>
      <c r="BM830"/>
      <c r="BN830"/>
      <c r="BO830"/>
      <c r="BP830"/>
      <c r="BQ830"/>
      <c r="BR830"/>
      <c r="BS830" t="s">
        <v>5346</v>
      </c>
      <c r="BT830" t="str">
        <f>HYPERLINK("https%3A%2F%2Fwww.webofscience.com%2Fwos%2Fwoscc%2Ffull-record%2FWOS:000249259800011","View Full Record in Web of Science")</f>
        <v>View Full Record in Web of Science</v>
      </c>
    </row>
    <row r="831" spans="1:75" customHeight="1" ht="12.75">
      <c r="A831" t="s">
        <v>72</v>
      </c>
      <c r="B831" t="s">
        <v>5347</v>
      </c>
      <c r="C831"/>
      <c r="D831"/>
      <c r="E831"/>
      <c r="F831" t="s">
        <v>5348</v>
      </c>
      <c r="G831"/>
      <c r="H831"/>
      <c r="I831" t="s">
        <v>5349</v>
      </c>
      <c r="J831" t="s">
        <v>3527</v>
      </c>
      <c r="K831"/>
      <c r="L831"/>
      <c r="M831"/>
      <c r="N831"/>
      <c r="O831"/>
      <c r="P831"/>
      <c r="Q831"/>
      <c r="R831"/>
      <c r="S831"/>
      <c r="T831"/>
      <c r="U831"/>
      <c r="V831"/>
      <c r="W831"/>
      <c r="X831"/>
      <c r="Y831"/>
      <c r="Z831"/>
      <c r="AA831"/>
      <c r="AB831"/>
      <c r="AC831"/>
      <c r="AD831"/>
      <c r="AE831"/>
      <c r="AF831"/>
      <c r="AG831"/>
      <c r="AH831"/>
      <c r="AI831"/>
      <c r="AJ831"/>
      <c r="AK831"/>
      <c r="AL831"/>
      <c r="AM831"/>
      <c r="AN831"/>
      <c r="AO831" t="s">
        <v>3528</v>
      </c>
      <c r="AP831"/>
      <c r="AQ831"/>
      <c r="AR831"/>
      <c r="AS831"/>
      <c r="AT831"/>
      <c r="AU831">
        <v>2022</v>
      </c>
      <c r="AV831">
        <v>28</v>
      </c>
      <c r="AW831">
        <v>2</v>
      </c>
      <c r="AX831"/>
      <c r="AY831"/>
      <c r="AZ831"/>
      <c r="BA831"/>
      <c r="BB831">
        <v>56</v>
      </c>
      <c r="BC831">
        <v>65</v>
      </c>
      <c r="BD831"/>
      <c r="BE831" t="s">
        <v>5350</v>
      </c>
      <c r="BF831" t="str">
        <f>HYPERLINK("http://dx.doi.org/10.21538/0134-4889-2022-28-2-56-65","http://dx.doi.org/10.21538/0134-4889-2022-28-2-56-65")</f>
        <v>http://dx.doi.org/10.21538/0134-4889-2022-28-2-56-65</v>
      </c>
      <c r="BG831"/>
      <c r="BH831"/>
      <c r="BI831"/>
      <c r="BJ831"/>
      <c r="BK831"/>
      <c r="BL831"/>
      <c r="BM831"/>
      <c r="BN831"/>
      <c r="BO831"/>
      <c r="BP831"/>
      <c r="BQ831"/>
      <c r="BR831"/>
      <c r="BS831" t="s">
        <v>5351</v>
      </c>
      <c r="BT831" t="str">
        <f>HYPERLINK("https%3A%2F%2Fwww.webofscience.com%2Fwos%2Fwoscc%2Ffull-record%2FWOS:000905209900004","View Full Record in Web of Science")</f>
        <v>View Full Record in Web of Science</v>
      </c>
    </row>
    <row r="832" spans="1:75" customHeight="1" ht="12.75">
      <c r="A832" t="s">
        <v>72</v>
      </c>
      <c r="B832" t="s">
        <v>378</v>
      </c>
      <c r="C832"/>
      <c r="D832"/>
      <c r="E832"/>
      <c r="F832" t="s">
        <v>2100</v>
      </c>
      <c r="G832"/>
      <c r="H832"/>
      <c r="I832" t="s">
        <v>5352</v>
      </c>
      <c r="J832" t="s">
        <v>1652</v>
      </c>
      <c r="K832"/>
      <c r="L832"/>
      <c r="M832"/>
      <c r="N832"/>
      <c r="O832"/>
      <c r="P832"/>
      <c r="Q832"/>
      <c r="R832"/>
      <c r="S832"/>
      <c r="T832"/>
      <c r="U832"/>
      <c r="V832"/>
      <c r="W832"/>
      <c r="X832"/>
      <c r="Y832"/>
      <c r="Z832"/>
      <c r="AA832" t="s">
        <v>553</v>
      </c>
      <c r="AB832" t="s">
        <v>554</v>
      </c>
      <c r="AC832"/>
      <c r="AD832"/>
      <c r="AE832"/>
      <c r="AF832"/>
      <c r="AG832"/>
      <c r="AH832"/>
      <c r="AI832"/>
      <c r="AJ832"/>
      <c r="AK832"/>
      <c r="AL832"/>
      <c r="AM832"/>
      <c r="AN832"/>
      <c r="AO832" t="s">
        <v>1653</v>
      </c>
      <c r="AP832"/>
      <c r="AQ832"/>
      <c r="AR832"/>
      <c r="AS832"/>
      <c r="AT832" t="s">
        <v>491</v>
      </c>
      <c r="AU832">
        <v>2021</v>
      </c>
      <c r="AV832">
        <v>15</v>
      </c>
      <c r="AW832">
        <v>6</v>
      </c>
      <c r="AX832"/>
      <c r="AY832"/>
      <c r="AZ832"/>
      <c r="BA832"/>
      <c r="BB832">
        <v>2072</v>
      </c>
      <c r="BC832">
        <v>2074</v>
      </c>
      <c r="BD832"/>
      <c r="BE832" t="s">
        <v>5353</v>
      </c>
      <c r="BF832" t="str">
        <f>HYPERLINK("http://dx.doi.org/10.53350/pjmhs211562072","http://dx.doi.org/10.53350/pjmhs211562072")</f>
        <v>http://dx.doi.org/10.53350/pjmhs211562072</v>
      </c>
      <c r="BG832"/>
      <c r="BH832"/>
      <c r="BI832"/>
      <c r="BJ832"/>
      <c r="BK832"/>
      <c r="BL832"/>
      <c r="BM832"/>
      <c r="BN832"/>
      <c r="BO832"/>
      <c r="BP832"/>
      <c r="BQ832"/>
      <c r="BR832"/>
      <c r="BS832" t="s">
        <v>5354</v>
      </c>
      <c r="BT832" t="str">
        <f>HYPERLINK("https%3A%2F%2Fwww.webofscience.com%2Fwos%2Fwoscc%2Ffull-record%2FWOS:000691814600100","View Full Record in Web of Science")</f>
        <v>View Full Record in Web of Science</v>
      </c>
    </row>
    <row r="833" spans="1:75" customHeight="1" ht="12.75">
      <c r="A833" t="s">
        <v>72</v>
      </c>
      <c r="B833" t="s">
        <v>5355</v>
      </c>
      <c r="C833"/>
      <c r="D833"/>
      <c r="E833"/>
      <c r="F833" t="s">
        <v>5355</v>
      </c>
      <c r="G833"/>
      <c r="H833"/>
      <c r="I833" t="s">
        <v>5356</v>
      </c>
      <c r="J833" t="s">
        <v>614</v>
      </c>
      <c r="K833"/>
      <c r="L833"/>
      <c r="M833"/>
      <c r="N833"/>
      <c r="O833"/>
      <c r="P833"/>
      <c r="Q833"/>
      <c r="R833"/>
      <c r="S833"/>
      <c r="T833"/>
      <c r="U833"/>
      <c r="V833"/>
      <c r="W833"/>
      <c r="X833"/>
      <c r="Y833"/>
      <c r="Z833"/>
      <c r="AA833" t="s">
        <v>489</v>
      </c>
      <c r="AB833" t="s">
        <v>490</v>
      </c>
      <c r="AC833"/>
      <c r="AD833"/>
      <c r="AE833"/>
      <c r="AF833"/>
      <c r="AG833"/>
      <c r="AH833"/>
      <c r="AI833"/>
      <c r="AJ833"/>
      <c r="AK833"/>
      <c r="AL833"/>
      <c r="AM833"/>
      <c r="AN833"/>
      <c r="AO833" t="s">
        <v>617</v>
      </c>
      <c r="AP833" t="s">
        <v>1720</v>
      </c>
      <c r="AQ833"/>
      <c r="AR833"/>
      <c r="AS833"/>
      <c r="AT833" t="s">
        <v>491</v>
      </c>
      <c r="AU833">
        <v>2005</v>
      </c>
      <c r="AV833">
        <v>41</v>
      </c>
      <c r="AW833">
        <v>6</v>
      </c>
      <c r="AX833"/>
      <c r="AY833"/>
      <c r="AZ833"/>
      <c r="BA833"/>
      <c r="BB833">
        <v>625</v>
      </c>
      <c r="BC833">
        <v>631</v>
      </c>
      <c r="BD833"/>
      <c r="BE833" t="s">
        <v>5357</v>
      </c>
      <c r="BF833" t="str">
        <f>HYPERLINK("http://dx.doi.org/10.1007/s11175-005-0115-y","http://dx.doi.org/10.1007/s11175-005-0115-y")</f>
        <v>http://dx.doi.org/10.1007/s11175-005-0115-y</v>
      </c>
      <c r="BG833"/>
      <c r="BH833"/>
      <c r="BI833"/>
      <c r="BJ833"/>
      <c r="BK833"/>
      <c r="BL833"/>
      <c r="BM833"/>
      <c r="BN833"/>
      <c r="BO833"/>
      <c r="BP833"/>
      <c r="BQ833"/>
      <c r="BR833"/>
      <c r="BS833" t="s">
        <v>5358</v>
      </c>
      <c r="BT833" t="str">
        <f>HYPERLINK("https%3A%2F%2Fwww.webofscience.com%2Fwos%2Fwoscc%2Ffull-record%2FWOS:000230551900005","View Full Record in Web of Science")</f>
        <v>View Full Record in Web of Science</v>
      </c>
    </row>
    <row r="834" spans="1:75" customHeight="1" ht="12.75">
      <c r="A834" t="s">
        <v>72</v>
      </c>
      <c r="B834" t="s">
        <v>5359</v>
      </c>
      <c r="C834"/>
      <c r="D834"/>
      <c r="E834"/>
      <c r="F834" t="s">
        <v>5359</v>
      </c>
      <c r="G834"/>
      <c r="H834"/>
      <c r="I834" t="s">
        <v>5360</v>
      </c>
      <c r="J834" t="s">
        <v>1905</v>
      </c>
      <c r="K834"/>
      <c r="L834"/>
      <c r="M834"/>
      <c r="N834"/>
      <c r="O834" t="s">
        <v>486</v>
      </c>
      <c r="P834" t="s">
        <v>487</v>
      </c>
      <c r="Q834" t="s">
        <v>488</v>
      </c>
      <c r="R834"/>
      <c r="S834"/>
      <c r="T834"/>
      <c r="U834"/>
      <c r="V834"/>
      <c r="W834"/>
      <c r="X834"/>
      <c r="Y834"/>
      <c r="Z834"/>
      <c r="AA834"/>
      <c r="AB834"/>
      <c r="AC834"/>
      <c r="AD834"/>
      <c r="AE834"/>
      <c r="AF834"/>
      <c r="AG834"/>
      <c r="AH834"/>
      <c r="AI834"/>
      <c r="AJ834"/>
      <c r="AK834"/>
      <c r="AL834"/>
      <c r="AM834"/>
      <c r="AN834"/>
      <c r="AO834" t="s">
        <v>1906</v>
      </c>
      <c r="AP834"/>
      <c r="AQ834"/>
      <c r="AR834"/>
      <c r="AS834"/>
      <c r="AT834" t="s">
        <v>313</v>
      </c>
      <c r="AU834">
        <v>2000</v>
      </c>
      <c r="AV834">
        <v>26</v>
      </c>
      <c r="AW834">
        <v>4</v>
      </c>
      <c r="AX834"/>
      <c r="AY834"/>
      <c r="AZ834"/>
      <c r="BA834"/>
      <c r="BB834">
        <v>373</v>
      </c>
      <c r="BC834">
        <v>376</v>
      </c>
      <c r="BD834"/>
      <c r="BE834"/>
      <c r="BF834"/>
      <c r="BG834"/>
      <c r="BH834"/>
      <c r="BI834"/>
      <c r="BJ834"/>
      <c r="BK834"/>
      <c r="BL834"/>
      <c r="BM834"/>
      <c r="BN834"/>
      <c r="BO834"/>
      <c r="BP834"/>
      <c r="BQ834"/>
      <c r="BR834"/>
      <c r="BS834" t="s">
        <v>5361</v>
      </c>
      <c r="BT834" t="str">
        <f>HYPERLINK("https%3A%2F%2Fwww.webofscience.com%2Fwos%2Fwoscc%2Ffull-record%2FWOS:000089046200011","View Full Record in Web of Science")</f>
        <v>View Full Record in Web of Science</v>
      </c>
    </row>
    <row r="835" spans="1:75" customHeight="1" ht="12.75">
      <c r="A835" t="s">
        <v>72</v>
      </c>
      <c r="B835" t="s">
        <v>5362</v>
      </c>
      <c r="C835"/>
      <c r="D835"/>
      <c r="E835"/>
      <c r="F835" t="s">
        <v>5363</v>
      </c>
      <c r="G835"/>
      <c r="H835"/>
      <c r="I835" t="s">
        <v>5364</v>
      </c>
      <c r="J835" t="s">
        <v>1608</v>
      </c>
      <c r="K835"/>
      <c r="L835"/>
      <c r="M835"/>
      <c r="N835"/>
      <c r="O835"/>
      <c r="P835"/>
      <c r="Q835"/>
      <c r="R835"/>
      <c r="S835"/>
      <c r="T835"/>
      <c r="U835"/>
      <c r="V835"/>
      <c r="W835"/>
      <c r="X835"/>
      <c r="Y835"/>
      <c r="Z835"/>
      <c r="AA835"/>
      <c r="AB835"/>
      <c r="AC835"/>
      <c r="AD835"/>
      <c r="AE835"/>
      <c r="AF835"/>
      <c r="AG835"/>
      <c r="AH835"/>
      <c r="AI835"/>
      <c r="AJ835"/>
      <c r="AK835"/>
      <c r="AL835"/>
      <c r="AM835"/>
      <c r="AN835"/>
      <c r="AO835" t="s">
        <v>1611</v>
      </c>
      <c r="AP835" t="s">
        <v>1612</v>
      </c>
      <c r="AQ835"/>
      <c r="AR835"/>
      <c r="AS835"/>
      <c r="AT835"/>
      <c r="AU835">
        <v>2023</v>
      </c>
      <c r="AV835">
        <v>33</v>
      </c>
      <c r="AW835">
        <v>1</v>
      </c>
      <c r="AX835"/>
      <c r="AY835"/>
      <c r="AZ835"/>
      <c r="BA835"/>
      <c r="BB835"/>
      <c r="BC835"/>
      <c r="BD835"/>
      <c r="BE835" t="s">
        <v>5365</v>
      </c>
      <c r="BF835" t="str">
        <f>HYPERLINK("http://dx.doi.org/10.15507/2658-4123.033.202301.037-051","http://dx.doi.org/10.15507/2658-4123.033.202301.037-051")</f>
        <v>http://dx.doi.org/10.15507/2658-4123.033.202301.037-051</v>
      </c>
      <c r="BG835"/>
      <c r="BH835"/>
      <c r="BI835"/>
      <c r="BJ835"/>
      <c r="BK835"/>
      <c r="BL835"/>
      <c r="BM835"/>
      <c r="BN835"/>
      <c r="BO835"/>
      <c r="BP835"/>
      <c r="BQ835"/>
      <c r="BR835"/>
      <c r="BS835" t="s">
        <v>5366</v>
      </c>
      <c r="BT835" t="str">
        <f>HYPERLINK("https%3A%2F%2Fwww.webofscience.com%2Fwos%2Fwoscc%2Ffull-record%2FWOS:000994427200002","View Full Record in Web of Science")</f>
        <v>View Full Record in Web of Science</v>
      </c>
    </row>
    <row r="836" spans="1:75" customHeight="1" ht="12.75">
      <c r="A836" t="s">
        <v>72</v>
      </c>
      <c r="B836" t="s">
        <v>5367</v>
      </c>
      <c r="C836"/>
      <c r="D836"/>
      <c r="E836"/>
      <c r="F836" t="s">
        <v>5368</v>
      </c>
      <c r="G836"/>
      <c r="H836"/>
      <c r="I836" t="s">
        <v>5369</v>
      </c>
      <c r="J836" t="s">
        <v>614</v>
      </c>
      <c r="K836"/>
      <c r="L836"/>
      <c r="M836"/>
      <c r="N836"/>
      <c r="O836"/>
      <c r="P836"/>
      <c r="Q836"/>
      <c r="R836"/>
      <c r="S836"/>
      <c r="T836"/>
      <c r="U836"/>
      <c r="V836"/>
      <c r="W836"/>
      <c r="X836"/>
      <c r="Y836"/>
      <c r="Z836"/>
      <c r="AA836"/>
      <c r="AB836"/>
      <c r="AC836"/>
      <c r="AD836"/>
      <c r="AE836"/>
      <c r="AF836"/>
      <c r="AG836"/>
      <c r="AH836"/>
      <c r="AI836"/>
      <c r="AJ836"/>
      <c r="AK836"/>
      <c r="AL836"/>
      <c r="AM836"/>
      <c r="AN836"/>
      <c r="AO836" t="s">
        <v>617</v>
      </c>
      <c r="AP836" t="s">
        <v>1720</v>
      </c>
      <c r="AQ836"/>
      <c r="AR836"/>
      <c r="AS836"/>
      <c r="AT836" t="s">
        <v>1173</v>
      </c>
      <c r="AU836">
        <v>2021</v>
      </c>
      <c r="AV836">
        <v>57</v>
      </c>
      <c r="AW836">
        <v>8</v>
      </c>
      <c r="AX836"/>
      <c r="AY836"/>
      <c r="AZ836"/>
      <c r="BA836"/>
      <c r="BB836">
        <v>840</v>
      </c>
      <c r="BC836">
        <v>851</v>
      </c>
      <c r="BD836"/>
      <c r="BE836" t="s">
        <v>5370</v>
      </c>
      <c r="BF836" t="str">
        <f>HYPERLINK("http://dx.doi.org/10.1134/S1023193521070107","http://dx.doi.org/10.1134/S1023193521070107")</f>
        <v>http://dx.doi.org/10.1134/S1023193521070107</v>
      </c>
      <c r="BG836"/>
      <c r="BH836"/>
      <c r="BI836"/>
      <c r="BJ836"/>
      <c r="BK836"/>
      <c r="BL836"/>
      <c r="BM836"/>
      <c r="BN836"/>
      <c r="BO836"/>
      <c r="BP836"/>
      <c r="BQ836"/>
      <c r="BR836"/>
      <c r="BS836" t="s">
        <v>5371</v>
      </c>
      <c r="BT836" t="str">
        <f>HYPERLINK("https%3A%2F%2Fwww.webofscience.com%2Fwos%2Fwoscc%2Ffull-record%2FWOS:000694843300004","View Full Record in Web of Science")</f>
        <v>View Full Record in Web of Science</v>
      </c>
    </row>
    <row r="837" spans="1:75" customHeight="1" ht="12.75">
      <c r="A837" t="s">
        <v>72</v>
      </c>
      <c r="B837" t="s">
        <v>5347</v>
      </c>
      <c r="C837"/>
      <c r="D837"/>
      <c r="E837"/>
      <c r="F837" t="s">
        <v>5372</v>
      </c>
      <c r="G837"/>
      <c r="H837"/>
      <c r="I837" t="s">
        <v>5373</v>
      </c>
      <c r="J837" t="s">
        <v>3527</v>
      </c>
      <c r="K837"/>
      <c r="L837"/>
      <c r="M837"/>
      <c r="N837"/>
      <c r="O837"/>
      <c r="P837"/>
      <c r="Q837"/>
      <c r="R837"/>
      <c r="S837"/>
      <c r="T837"/>
      <c r="U837"/>
      <c r="V837"/>
      <c r="W837"/>
      <c r="X837"/>
      <c r="Y837"/>
      <c r="Z837"/>
      <c r="AA837" t="s">
        <v>5374</v>
      </c>
      <c r="AB837"/>
      <c r="AC837"/>
      <c r="AD837"/>
      <c r="AE837"/>
      <c r="AF837"/>
      <c r="AG837"/>
      <c r="AH837"/>
      <c r="AI837"/>
      <c r="AJ837"/>
      <c r="AK837"/>
      <c r="AL837"/>
      <c r="AM837"/>
      <c r="AN837"/>
      <c r="AO837" t="s">
        <v>3528</v>
      </c>
      <c r="AP837"/>
      <c r="AQ837"/>
      <c r="AR837"/>
      <c r="AS837"/>
      <c r="AT837"/>
      <c r="AU837">
        <v>2021</v>
      </c>
      <c r="AV837">
        <v>27</v>
      </c>
      <c r="AW837">
        <v>4</v>
      </c>
      <c r="AX837"/>
      <c r="AY837"/>
      <c r="AZ837"/>
      <c r="BA837"/>
      <c r="BB837">
        <v>48</v>
      </c>
      <c r="BC837">
        <v>60</v>
      </c>
      <c r="BD837"/>
      <c r="BE837" t="s">
        <v>5375</v>
      </c>
      <c r="BF837" t="str">
        <f>HYPERLINK("http://dx.doi.org/10.21538/0134-4889-2021-27-4-48-60","http://dx.doi.org/10.21538/0134-4889-2021-27-4-48-60")</f>
        <v>http://dx.doi.org/10.21538/0134-4889-2021-27-4-48-60</v>
      </c>
      <c r="BG837"/>
      <c r="BH837"/>
      <c r="BI837"/>
      <c r="BJ837"/>
      <c r="BK837"/>
      <c r="BL837"/>
      <c r="BM837"/>
      <c r="BN837"/>
      <c r="BO837"/>
      <c r="BP837"/>
      <c r="BQ837"/>
      <c r="BR837"/>
      <c r="BS837" t="s">
        <v>5376</v>
      </c>
      <c r="BT837" t="str">
        <f>HYPERLINK("https%3A%2F%2Fwww.webofscience.com%2Fwos%2Fwoscc%2Ffull-record%2FWOS:000756004700004","View Full Record in Web of Science")</f>
        <v>View Full Record in Web of Science</v>
      </c>
    </row>
    <row r="838" spans="1:75" customHeight="1" ht="12.75">
      <c r="A838" t="s">
        <v>72</v>
      </c>
      <c r="B838" t="s">
        <v>5377</v>
      </c>
      <c r="C838"/>
      <c r="D838"/>
      <c r="E838"/>
      <c r="F838" t="s">
        <v>5378</v>
      </c>
      <c r="G838"/>
      <c r="H838"/>
      <c r="I838" t="s">
        <v>5379</v>
      </c>
      <c r="J838" t="s">
        <v>3324</v>
      </c>
      <c r="K838"/>
      <c r="L838"/>
      <c r="M838"/>
      <c r="N838"/>
      <c r="O838"/>
      <c r="P838"/>
      <c r="Q838"/>
      <c r="R838"/>
      <c r="S838"/>
      <c r="T838"/>
      <c r="U838"/>
      <c r="V838"/>
      <c r="W838"/>
      <c r="X838"/>
      <c r="Y838"/>
      <c r="Z838"/>
      <c r="AA838" t="s">
        <v>1402</v>
      </c>
      <c r="AB838" t="s">
        <v>2760</v>
      </c>
      <c r="AC838"/>
      <c r="AD838"/>
      <c r="AE838"/>
      <c r="AF838"/>
      <c r="AG838"/>
      <c r="AH838"/>
      <c r="AI838"/>
      <c r="AJ838"/>
      <c r="AK838"/>
      <c r="AL838"/>
      <c r="AM838"/>
      <c r="AN838"/>
      <c r="AO838" t="s">
        <v>3325</v>
      </c>
      <c r="AP838"/>
      <c r="AQ838"/>
      <c r="AR838"/>
      <c r="AS838"/>
      <c r="AT838"/>
      <c r="AU838">
        <v>2021</v>
      </c>
      <c r="AV838">
        <v>9</v>
      </c>
      <c r="AW838"/>
      <c r="AX838"/>
      <c r="AY838"/>
      <c r="AZ838"/>
      <c r="BA838"/>
      <c r="BB838">
        <v>134899</v>
      </c>
      <c r="BC838">
        <v>134915</v>
      </c>
      <c r="BD838"/>
      <c r="BE838" t="s">
        <v>5380</v>
      </c>
      <c r="BF838" t="str">
        <f>HYPERLINK("http://dx.doi.org/10.1109/ACCESS.2021.3116657","http://dx.doi.org/10.1109/ACCESS.2021.3116657")</f>
        <v>http://dx.doi.org/10.1109/ACCESS.2021.3116657</v>
      </c>
      <c r="BG838"/>
      <c r="BH838"/>
      <c r="BI838"/>
      <c r="BJ838"/>
      <c r="BK838"/>
      <c r="BL838"/>
      <c r="BM838"/>
      <c r="BN838"/>
      <c r="BO838"/>
      <c r="BP838"/>
      <c r="BQ838"/>
      <c r="BR838"/>
      <c r="BS838" t="s">
        <v>5381</v>
      </c>
      <c r="BT838" t="str">
        <f>HYPERLINK("https%3A%2F%2Fwww.webofscience.com%2Fwos%2Fwoscc%2Ffull-record%2FWOS:000704104400001","View Full Record in Web of Science")</f>
        <v>View Full Record in Web of Science</v>
      </c>
    </row>
    <row r="839" spans="1:75" customHeight="1" ht="12.75">
      <c r="A839" t="s">
        <v>147</v>
      </c>
      <c r="B839" t="s">
        <v>5382</v>
      </c>
      <c r="C839"/>
      <c r="D839" t="s">
        <v>2517</v>
      </c>
      <c r="E839"/>
      <c r="F839" t="s">
        <v>5383</v>
      </c>
      <c r="G839"/>
      <c r="H839"/>
      <c r="I839" t="s">
        <v>5384</v>
      </c>
      <c r="J839" t="s">
        <v>5028</v>
      </c>
      <c r="K839" t="s">
        <v>2521</v>
      </c>
      <c r="L839"/>
      <c r="M839"/>
      <c r="N839"/>
      <c r="O839" t="s">
        <v>5029</v>
      </c>
      <c r="P839" t="s">
        <v>5030</v>
      </c>
      <c r="Q839" t="s">
        <v>2524</v>
      </c>
      <c r="R839" t="s">
        <v>2525</v>
      </c>
      <c r="S839"/>
      <c r="T839"/>
      <c r="U839"/>
      <c r="V839"/>
      <c r="W839"/>
      <c r="X839"/>
      <c r="Y839"/>
      <c r="Z839"/>
      <c r="AA839" t="s">
        <v>5385</v>
      </c>
      <c r="AB839" t="s">
        <v>5386</v>
      </c>
      <c r="AC839"/>
      <c r="AD839"/>
      <c r="AE839"/>
      <c r="AF839"/>
      <c r="AG839"/>
      <c r="AH839"/>
      <c r="AI839"/>
      <c r="AJ839"/>
      <c r="AK839"/>
      <c r="AL839"/>
      <c r="AM839"/>
      <c r="AN839"/>
      <c r="AO839" t="s">
        <v>2527</v>
      </c>
      <c r="AP839" t="s">
        <v>2528</v>
      </c>
      <c r="AQ839"/>
      <c r="AR839"/>
      <c r="AS839"/>
      <c r="AT839"/>
      <c r="AU839">
        <v>2020</v>
      </c>
      <c r="AV839"/>
      <c r="AW839"/>
      <c r="AX839"/>
      <c r="AY839"/>
      <c r="AZ839"/>
      <c r="BA839"/>
      <c r="BB839">
        <v>1053</v>
      </c>
      <c r="BC839">
        <v>1058</v>
      </c>
      <c r="BD839"/>
      <c r="BE839" t="s">
        <v>5387</v>
      </c>
      <c r="BF839" t="str">
        <f>HYPERLINK("http://dx.doi.org/10.22616/ERDev.2020.19.TF249","http://dx.doi.org/10.22616/ERDev.2020.19.TF249")</f>
        <v>http://dx.doi.org/10.22616/ERDev.2020.19.TF249</v>
      </c>
      <c r="BG839"/>
      <c r="BH839"/>
      <c r="BI839"/>
      <c r="BJ839"/>
      <c r="BK839"/>
      <c r="BL839"/>
      <c r="BM839"/>
      <c r="BN839"/>
      <c r="BO839"/>
      <c r="BP839"/>
      <c r="BQ839"/>
      <c r="BR839"/>
      <c r="BS839" t="s">
        <v>5388</v>
      </c>
      <c r="BT839" t="str">
        <f>HYPERLINK("https%3A%2F%2Fwww.webofscience.com%2Fwos%2Fwoscc%2Ffull-record%2FWOS:000815085500148","View Full Record in Web of Science")</f>
        <v>View Full Record in Web of Science</v>
      </c>
    </row>
    <row r="840" spans="1:75" customHeight="1" ht="12.75">
      <c r="A840" t="s">
        <v>72</v>
      </c>
      <c r="B840" t="s">
        <v>5389</v>
      </c>
      <c r="C840"/>
      <c r="D840"/>
      <c r="E840"/>
      <c r="F840" t="s">
        <v>5390</v>
      </c>
      <c r="G840"/>
      <c r="H840"/>
      <c r="I840" t="s">
        <v>5391</v>
      </c>
      <c r="J840" t="s">
        <v>5139</v>
      </c>
      <c r="K840"/>
      <c r="L840"/>
      <c r="M840"/>
      <c r="N840"/>
      <c r="O840"/>
      <c r="P840"/>
      <c r="Q840"/>
      <c r="R840"/>
      <c r="S840"/>
      <c r="T840"/>
      <c r="U840"/>
      <c r="V840"/>
      <c r="W840"/>
      <c r="X840"/>
      <c r="Y840"/>
      <c r="Z840"/>
      <c r="AA840" t="s">
        <v>5392</v>
      </c>
      <c r="AB840" t="s">
        <v>5393</v>
      </c>
      <c r="AC840"/>
      <c r="AD840"/>
      <c r="AE840"/>
      <c r="AF840"/>
      <c r="AG840"/>
      <c r="AH840"/>
      <c r="AI840"/>
      <c r="AJ840"/>
      <c r="AK840"/>
      <c r="AL840"/>
      <c r="AM840"/>
      <c r="AN840"/>
      <c r="AO840" t="s">
        <v>5142</v>
      </c>
      <c r="AP840" t="s">
        <v>5143</v>
      </c>
      <c r="AQ840"/>
      <c r="AR840"/>
      <c r="AS840"/>
      <c r="AT840" t="s">
        <v>125</v>
      </c>
      <c r="AU840">
        <v>2017</v>
      </c>
      <c r="AV840">
        <v>13</v>
      </c>
      <c r="AW840">
        <v>7</v>
      </c>
      <c r="AX840"/>
      <c r="AY840"/>
      <c r="AZ840"/>
      <c r="BA840"/>
      <c r="BB840">
        <v>3919</v>
      </c>
      <c r="BC840">
        <v>3933</v>
      </c>
      <c r="BD840"/>
      <c r="BE840" t="s">
        <v>5394</v>
      </c>
      <c r="BF840" t="str">
        <f>HYPERLINK("http://dx.doi.org/10.12973/eurasia.2017.00764a","http://dx.doi.org/10.12973/eurasia.2017.00764a")</f>
        <v>http://dx.doi.org/10.12973/eurasia.2017.00764a</v>
      </c>
      <c r="BG840"/>
      <c r="BH840"/>
      <c r="BI840"/>
      <c r="BJ840"/>
      <c r="BK840"/>
      <c r="BL840"/>
      <c r="BM840"/>
      <c r="BN840"/>
      <c r="BO840"/>
      <c r="BP840"/>
      <c r="BQ840"/>
      <c r="BR840"/>
      <c r="BS840" t="s">
        <v>5395</v>
      </c>
      <c r="BT840" t="str">
        <f>HYPERLINK("https%3A%2F%2Fwww.webofscience.com%2Fwos%2Fwoscc%2Ffull-record%2FWOS:000404607800063","View Full Record in Web of Science")</f>
        <v>View Full Record in Web of Science</v>
      </c>
    </row>
    <row r="841" spans="1:75" customHeight="1" ht="12.75">
      <c r="A841" t="s">
        <v>72</v>
      </c>
      <c r="B841" t="s">
        <v>5396</v>
      </c>
      <c r="C841"/>
      <c r="D841"/>
      <c r="E841"/>
      <c r="F841" t="s">
        <v>5397</v>
      </c>
      <c r="G841"/>
      <c r="H841"/>
      <c r="I841" t="s">
        <v>5398</v>
      </c>
      <c r="J841" t="s">
        <v>4849</v>
      </c>
      <c r="K841"/>
      <c r="L841"/>
      <c r="M841"/>
      <c r="N841"/>
      <c r="O841"/>
      <c r="P841"/>
      <c r="Q841"/>
      <c r="R841"/>
      <c r="S841"/>
      <c r="T841"/>
      <c r="U841"/>
      <c r="V841"/>
      <c r="W841"/>
      <c r="X841"/>
      <c r="Y841"/>
      <c r="Z841"/>
      <c r="AA841" t="s">
        <v>4850</v>
      </c>
      <c r="AB841" t="s">
        <v>4851</v>
      </c>
      <c r="AC841"/>
      <c r="AD841"/>
      <c r="AE841"/>
      <c r="AF841"/>
      <c r="AG841"/>
      <c r="AH841"/>
      <c r="AI841"/>
      <c r="AJ841"/>
      <c r="AK841"/>
      <c r="AL841"/>
      <c r="AM841"/>
      <c r="AN841"/>
      <c r="AO841" t="s">
        <v>4852</v>
      </c>
      <c r="AP841" t="s">
        <v>4853</v>
      </c>
      <c r="AQ841"/>
      <c r="AR841"/>
      <c r="AS841"/>
      <c r="AT841" t="s">
        <v>491</v>
      </c>
      <c r="AU841">
        <v>2022</v>
      </c>
      <c r="AV841">
        <v>99</v>
      </c>
      <c r="AW841">
        <v>6</v>
      </c>
      <c r="AX841"/>
      <c r="AY841"/>
      <c r="AZ841"/>
      <c r="BA841"/>
      <c r="BB841">
        <v>627</v>
      </c>
      <c r="BC841">
        <v>628</v>
      </c>
      <c r="BD841"/>
      <c r="BE841" t="s">
        <v>5399</v>
      </c>
      <c r="BF841" t="str">
        <f>HYPERLINK("http://dx.doi.org/10.1111/tan.14552","http://dx.doi.org/10.1111/tan.14552")</f>
        <v>http://dx.doi.org/10.1111/tan.14552</v>
      </c>
      <c r="BG841"/>
      <c r="BH841" t="s">
        <v>3630</v>
      </c>
      <c r="BI841"/>
      <c r="BJ841"/>
      <c r="BK841"/>
      <c r="BL841"/>
      <c r="BM841"/>
      <c r="BN841">
        <v>35048544</v>
      </c>
      <c r="BO841"/>
      <c r="BP841"/>
      <c r="BQ841"/>
      <c r="BR841"/>
      <c r="BS841" t="s">
        <v>5400</v>
      </c>
      <c r="BT841" t="str">
        <f>HYPERLINK("https%3A%2F%2Fwww.webofscience.com%2Fwos%2Fwoscc%2Ffull-record%2FWOS:000762015700001","View Full Record in Web of Science")</f>
        <v>View Full Record in Web of Science</v>
      </c>
    </row>
    <row r="842" spans="1:75" customHeight="1" ht="12.75">
      <c r="A842" t="s">
        <v>72</v>
      </c>
      <c r="B842" t="s">
        <v>5401</v>
      </c>
      <c r="C842"/>
      <c r="D842"/>
      <c r="E842"/>
      <c r="F842" t="s">
        <v>5402</v>
      </c>
      <c r="G842"/>
      <c r="H842"/>
      <c r="I842" t="s">
        <v>5403</v>
      </c>
      <c r="J842" t="s">
        <v>95</v>
      </c>
      <c r="K842"/>
      <c r="L842"/>
      <c r="M842"/>
      <c r="N842"/>
      <c r="O842"/>
      <c r="P842"/>
      <c r="Q842"/>
      <c r="R842"/>
      <c r="S842"/>
      <c r="T842"/>
      <c r="U842"/>
      <c r="V842"/>
      <c r="W842"/>
      <c r="X842"/>
      <c r="Y842"/>
      <c r="Z842"/>
      <c r="AA842"/>
      <c r="AB842" t="s">
        <v>5404</v>
      </c>
      <c r="AC842"/>
      <c r="AD842"/>
      <c r="AE842"/>
      <c r="AF842"/>
      <c r="AG842"/>
      <c r="AH842"/>
      <c r="AI842"/>
      <c r="AJ842"/>
      <c r="AK842"/>
      <c r="AL842"/>
      <c r="AM842"/>
      <c r="AN842"/>
      <c r="AO842" t="s">
        <v>98</v>
      </c>
      <c r="AP842" t="s">
        <v>99</v>
      </c>
      <c r="AQ842"/>
      <c r="AR842"/>
      <c r="AS842"/>
      <c r="AT842"/>
      <c r="AU842">
        <v>2022</v>
      </c>
      <c r="AV842"/>
      <c r="AW842">
        <v>2</v>
      </c>
      <c r="AX842"/>
      <c r="AY842"/>
      <c r="AZ842"/>
      <c r="BA842"/>
      <c r="BB842">
        <v>70</v>
      </c>
      <c r="BC842">
        <v>76</v>
      </c>
      <c r="BD842"/>
      <c r="BE842" t="s">
        <v>5405</v>
      </c>
      <c r="BF842" t="str">
        <f>HYPERLINK("http://dx.doi.org/10.25750/1995-4301-2022-2-070-076","http://dx.doi.org/10.25750/1995-4301-2022-2-070-076")</f>
        <v>http://dx.doi.org/10.25750/1995-4301-2022-2-070-076</v>
      </c>
      <c r="BG842"/>
      <c r="BH842"/>
      <c r="BI842"/>
      <c r="BJ842"/>
      <c r="BK842"/>
      <c r="BL842"/>
      <c r="BM842"/>
      <c r="BN842"/>
      <c r="BO842"/>
      <c r="BP842"/>
      <c r="BQ842"/>
      <c r="BR842"/>
      <c r="BS842" t="s">
        <v>5406</v>
      </c>
      <c r="BT842" t="str">
        <f>HYPERLINK("https%3A%2F%2Fwww.webofscience.com%2Fwos%2Fwoscc%2Ffull-record%2FWOS:000820802000009","View Full Record in Web of Science")</f>
        <v>View Full Record in Web of Science</v>
      </c>
    </row>
    <row r="843" spans="1:75" customHeight="1" ht="12.75">
      <c r="A843" t="s">
        <v>72</v>
      </c>
      <c r="B843" t="s">
        <v>378</v>
      </c>
      <c r="C843"/>
      <c r="D843"/>
      <c r="E843"/>
      <c r="F843" t="s">
        <v>1226</v>
      </c>
      <c r="G843"/>
      <c r="H843"/>
      <c r="I843" t="s">
        <v>5407</v>
      </c>
      <c r="J843" t="s">
        <v>5309</v>
      </c>
      <c r="K843"/>
      <c r="L843"/>
      <c r="M843"/>
      <c r="N843"/>
      <c r="O843"/>
      <c r="P843"/>
      <c r="Q843"/>
      <c r="R843"/>
      <c r="S843"/>
      <c r="T843"/>
      <c r="U843"/>
      <c r="V843"/>
      <c r="W843"/>
      <c r="X843"/>
      <c r="Y843"/>
      <c r="Z843"/>
      <c r="AA843"/>
      <c r="AB843"/>
      <c r="AC843"/>
      <c r="AD843"/>
      <c r="AE843"/>
      <c r="AF843"/>
      <c r="AG843"/>
      <c r="AH843"/>
      <c r="AI843"/>
      <c r="AJ843"/>
      <c r="AK843"/>
      <c r="AL843"/>
      <c r="AM843"/>
      <c r="AN843"/>
      <c r="AO843" t="s">
        <v>5310</v>
      </c>
      <c r="AP843"/>
      <c r="AQ843"/>
      <c r="AR843"/>
      <c r="AS843"/>
      <c r="AT843"/>
      <c r="AU843">
        <v>2022</v>
      </c>
      <c r="AV843">
        <v>9</v>
      </c>
      <c r="AW843">
        <v>3</v>
      </c>
      <c r="AX843"/>
      <c r="AY843"/>
      <c r="AZ843"/>
      <c r="BA843"/>
      <c r="BB843">
        <v>60</v>
      </c>
      <c r="BC843">
        <v>65</v>
      </c>
      <c r="BD843"/>
      <c r="BE843" t="s">
        <v>5408</v>
      </c>
      <c r="BF843" t="str">
        <f>HYPERLINK("http://dx.doi.org/10.51847/zTI27OVMot","http://dx.doi.org/10.51847/zTI27OVMot")</f>
        <v>http://dx.doi.org/10.51847/zTI27OVMot</v>
      </c>
      <c r="BG843"/>
      <c r="BH843"/>
      <c r="BI843"/>
      <c r="BJ843"/>
      <c r="BK843"/>
      <c r="BL843"/>
      <c r="BM843"/>
      <c r="BN843"/>
      <c r="BO843"/>
      <c r="BP843"/>
      <c r="BQ843"/>
      <c r="BR843"/>
      <c r="BS843" t="s">
        <v>5409</v>
      </c>
      <c r="BT843" t="str">
        <f>HYPERLINK("https%3A%2F%2Fwww.webofscience.com%2Fwos%2Fwoscc%2Ffull-record%2FWOS:000899150500009","View Full Record in Web of Science")</f>
        <v>View Full Record in Web of Science</v>
      </c>
    </row>
    <row r="844" spans="1:75" customHeight="1" ht="12.75">
      <c r="A844" t="s">
        <v>147</v>
      </c>
      <c r="B844" t="s">
        <v>5410</v>
      </c>
      <c r="C844"/>
      <c r="D844"/>
      <c r="E844" t="s">
        <v>210</v>
      </c>
      <c r="F844" t="s">
        <v>5411</v>
      </c>
      <c r="G844"/>
      <c r="H844"/>
      <c r="I844" t="s">
        <v>5412</v>
      </c>
      <c r="J844" t="s">
        <v>5413</v>
      </c>
      <c r="K844" t="s">
        <v>2114</v>
      </c>
      <c r="L844"/>
      <c r="M844"/>
      <c r="N844"/>
      <c r="O844" t="s">
        <v>5414</v>
      </c>
      <c r="P844" t="s">
        <v>5415</v>
      </c>
      <c r="Q844" t="s">
        <v>5416</v>
      </c>
      <c r="R844" t="s">
        <v>210</v>
      </c>
      <c r="S844" t="s">
        <v>5417</v>
      </c>
      <c r="T844"/>
      <c r="U844"/>
      <c r="V844"/>
      <c r="W844"/>
      <c r="X844"/>
      <c r="Y844"/>
      <c r="Z844"/>
      <c r="AA844" t="s">
        <v>5418</v>
      </c>
      <c r="AB844" t="s">
        <v>5419</v>
      </c>
      <c r="AC844"/>
      <c r="AD844"/>
      <c r="AE844"/>
      <c r="AF844"/>
      <c r="AG844"/>
      <c r="AH844"/>
      <c r="AI844"/>
      <c r="AJ844"/>
      <c r="AK844"/>
      <c r="AL844"/>
      <c r="AM844"/>
      <c r="AN844"/>
      <c r="AO844" t="s">
        <v>2122</v>
      </c>
      <c r="AP844"/>
      <c r="AQ844" t="s">
        <v>5420</v>
      </c>
      <c r="AR844"/>
      <c r="AS844"/>
      <c r="AT844"/>
      <c r="AU844">
        <v>2021</v>
      </c>
      <c r="AV844"/>
      <c r="AW844"/>
      <c r="AX844"/>
      <c r="AY844"/>
      <c r="AZ844"/>
      <c r="BA844"/>
      <c r="BB844">
        <v>154</v>
      </c>
      <c r="BC844">
        <v>157</v>
      </c>
      <c r="BD844"/>
      <c r="BE844" t="s">
        <v>5421</v>
      </c>
      <c r="BF844" t="str">
        <f>HYPERLINK("http://dx.doi.org/10.1109/ElConRus51938.2021.9396681","http://dx.doi.org/10.1109/ElConRus51938.2021.9396681")</f>
        <v>http://dx.doi.org/10.1109/ElConRus51938.2021.9396681</v>
      </c>
      <c r="BG844"/>
      <c r="BH844"/>
      <c r="BI844"/>
      <c r="BJ844"/>
      <c r="BK844"/>
      <c r="BL844"/>
      <c r="BM844"/>
      <c r="BN844"/>
      <c r="BO844"/>
      <c r="BP844"/>
      <c r="BQ844"/>
      <c r="BR844"/>
      <c r="BS844" t="s">
        <v>5422</v>
      </c>
      <c r="BT844" t="str">
        <f>HYPERLINK("https%3A%2F%2Fwww.webofscience.com%2Fwos%2Fwoscc%2Ffull-record%2FWOS:000669709800035","View Full Record in Web of Science")</f>
        <v>View Full Record in Web of Science</v>
      </c>
    </row>
    <row r="845" spans="1:75" customHeight="1" ht="12.75">
      <c r="A845" t="s">
        <v>147</v>
      </c>
      <c r="B845" t="s">
        <v>5423</v>
      </c>
      <c r="C845"/>
      <c r="D845" t="s">
        <v>2500</v>
      </c>
      <c r="E845"/>
      <c r="F845" t="s">
        <v>5424</v>
      </c>
      <c r="G845"/>
      <c r="H845"/>
      <c r="I845" t="s">
        <v>5425</v>
      </c>
      <c r="J845" t="s">
        <v>5426</v>
      </c>
      <c r="K845" t="s">
        <v>2504</v>
      </c>
      <c r="L845"/>
      <c r="M845"/>
      <c r="N845"/>
      <c r="O845" t="s">
        <v>5427</v>
      </c>
      <c r="P845" t="s">
        <v>5428</v>
      </c>
      <c r="Q845" t="s">
        <v>2507</v>
      </c>
      <c r="R845"/>
      <c r="S845"/>
      <c r="T845"/>
      <c r="U845"/>
      <c r="V845"/>
      <c r="W845"/>
      <c r="X845"/>
      <c r="Y845"/>
      <c r="Z845"/>
      <c r="AA845" t="s">
        <v>5429</v>
      </c>
      <c r="AB845" t="s">
        <v>5430</v>
      </c>
      <c r="AC845"/>
      <c r="AD845"/>
      <c r="AE845"/>
      <c r="AF845"/>
      <c r="AG845"/>
      <c r="AH845"/>
      <c r="AI845"/>
      <c r="AJ845"/>
      <c r="AK845"/>
      <c r="AL845"/>
      <c r="AM845"/>
      <c r="AN845"/>
      <c r="AO845" t="s">
        <v>2509</v>
      </c>
      <c r="AP845"/>
      <c r="AQ845" t="s">
        <v>5431</v>
      </c>
      <c r="AR845"/>
      <c r="AS845"/>
      <c r="AT845"/>
      <c r="AU845">
        <v>2020</v>
      </c>
      <c r="AV845">
        <v>128</v>
      </c>
      <c r="AW845"/>
      <c r="AX845"/>
      <c r="AY845"/>
      <c r="AZ845"/>
      <c r="BA845"/>
      <c r="BB845">
        <v>348</v>
      </c>
      <c r="BC845">
        <v>354</v>
      </c>
      <c r="BD845"/>
      <c r="BE845"/>
      <c r="BF845"/>
      <c r="BG845"/>
      <c r="BH845"/>
      <c r="BI845"/>
      <c r="BJ845"/>
      <c r="BK845"/>
      <c r="BL845"/>
      <c r="BM845"/>
      <c r="BN845"/>
      <c r="BO845"/>
      <c r="BP845"/>
      <c r="BQ845"/>
      <c r="BR845"/>
      <c r="BS845" t="s">
        <v>5432</v>
      </c>
      <c r="BT845" t="str">
        <f>HYPERLINK("https%3A%2F%2Fwww.webofscience.com%2Fwos%2Fwoscc%2Ffull-record%2FWOS:000701397800051","View Full Record in Web of Science")</f>
        <v>View Full Record in Web of Science</v>
      </c>
    </row>
    <row r="846" spans="1:75" customHeight="1" ht="12.75">
      <c r="A846" t="s">
        <v>72</v>
      </c>
      <c r="B846" t="s">
        <v>5433</v>
      </c>
      <c r="C846"/>
      <c r="D846"/>
      <c r="E846"/>
      <c r="F846" t="s">
        <v>5434</v>
      </c>
      <c r="G846"/>
      <c r="H846"/>
      <c r="I846" t="s">
        <v>5435</v>
      </c>
      <c r="J846" t="s">
        <v>5436</v>
      </c>
      <c r="K846"/>
      <c r="L846"/>
      <c r="M846"/>
      <c r="N846"/>
      <c r="O846"/>
      <c r="P846"/>
      <c r="Q846"/>
      <c r="R846"/>
      <c r="S846"/>
      <c r="T846"/>
      <c r="U846"/>
      <c r="V846"/>
      <c r="W846"/>
      <c r="X846"/>
      <c r="Y846"/>
      <c r="Z846"/>
      <c r="AA846" t="s">
        <v>5437</v>
      </c>
      <c r="AB846" t="s">
        <v>5438</v>
      </c>
      <c r="AC846"/>
      <c r="AD846"/>
      <c r="AE846"/>
      <c r="AF846"/>
      <c r="AG846"/>
      <c r="AH846"/>
      <c r="AI846"/>
      <c r="AJ846"/>
      <c r="AK846"/>
      <c r="AL846"/>
      <c r="AM846"/>
      <c r="AN846"/>
      <c r="AO846" t="s">
        <v>5439</v>
      </c>
      <c r="AP846" t="s">
        <v>5440</v>
      </c>
      <c r="AQ846"/>
      <c r="AR846"/>
      <c r="AS846"/>
      <c r="AT846" t="s">
        <v>319</v>
      </c>
      <c r="AU846">
        <v>2016</v>
      </c>
      <c r="AV846">
        <v>52</v>
      </c>
      <c r="AW846">
        <v>5</v>
      </c>
      <c r="AX846"/>
      <c r="AY846"/>
      <c r="AZ846"/>
      <c r="BA846"/>
      <c r="BB846">
        <v>571</v>
      </c>
      <c r="BC846">
        <v>582</v>
      </c>
      <c r="BD846"/>
      <c r="BE846" t="s">
        <v>5441</v>
      </c>
      <c r="BF846" t="str">
        <f>HYPERLINK("http://dx.doi.org/10.1007/s11029-016-9608-x","http://dx.doi.org/10.1007/s11029-016-9608-x")</f>
        <v>http://dx.doi.org/10.1007/s11029-016-9608-x</v>
      </c>
      <c r="BG846"/>
      <c r="BH846"/>
      <c r="BI846"/>
      <c r="BJ846"/>
      <c r="BK846"/>
      <c r="BL846"/>
      <c r="BM846"/>
      <c r="BN846"/>
      <c r="BO846"/>
      <c r="BP846"/>
      <c r="BQ846"/>
      <c r="BR846"/>
      <c r="BS846" t="s">
        <v>5442</v>
      </c>
      <c r="BT846" t="str">
        <f>HYPERLINK("https%3A%2F%2Fwww.webofscience.com%2Fwos%2Fwoscc%2Ffull-record%2FWOS:000389992300001","View Full Record in Web of Science")</f>
        <v>View Full Record in Web of Science</v>
      </c>
    </row>
    <row r="847" spans="1:75" customHeight="1" ht="12.75">
      <c r="A847" t="s">
        <v>72</v>
      </c>
      <c r="B847" t="s">
        <v>5443</v>
      </c>
      <c r="C847"/>
      <c r="D847"/>
      <c r="E847"/>
      <c r="F847" t="s">
        <v>5444</v>
      </c>
      <c r="G847"/>
      <c r="H847"/>
      <c r="I847" t="s">
        <v>5445</v>
      </c>
      <c r="J847" t="s">
        <v>5446</v>
      </c>
      <c r="K847"/>
      <c r="L847"/>
      <c r="M847"/>
      <c r="N847"/>
      <c r="O847"/>
      <c r="P847"/>
      <c r="Q847"/>
      <c r="R847"/>
      <c r="S847"/>
      <c r="T847"/>
      <c r="U847"/>
      <c r="V847"/>
      <c r="W847"/>
      <c r="X847"/>
      <c r="Y847"/>
      <c r="Z847"/>
      <c r="AA847"/>
      <c r="AB847"/>
      <c r="AC847"/>
      <c r="AD847"/>
      <c r="AE847"/>
      <c r="AF847"/>
      <c r="AG847"/>
      <c r="AH847"/>
      <c r="AI847"/>
      <c r="AJ847"/>
      <c r="AK847"/>
      <c r="AL847"/>
      <c r="AM847"/>
      <c r="AN847"/>
      <c r="AO847" t="s">
        <v>5447</v>
      </c>
      <c r="AP847"/>
      <c r="AQ847"/>
      <c r="AR847"/>
      <c r="AS847"/>
      <c r="AT847" t="s">
        <v>171</v>
      </c>
      <c r="AU847">
        <v>2010</v>
      </c>
      <c r="AV847">
        <v>46</v>
      </c>
      <c r="AW847">
        <v>3</v>
      </c>
      <c r="AX847"/>
      <c r="AY847"/>
      <c r="AZ847"/>
      <c r="BA847"/>
      <c r="BB847">
        <v>269</v>
      </c>
      <c r="BC847">
        <v>275</v>
      </c>
      <c r="BD847"/>
      <c r="BE847" t="s">
        <v>5448</v>
      </c>
      <c r="BF847" t="str">
        <f>HYPERLINK("http://dx.doi.org/10.1134/S0020168510030118","http://dx.doi.org/10.1134/S0020168510030118")</f>
        <v>http://dx.doi.org/10.1134/S0020168510030118</v>
      </c>
      <c r="BG847"/>
      <c r="BH847"/>
      <c r="BI847"/>
      <c r="BJ847"/>
      <c r="BK847"/>
      <c r="BL847"/>
      <c r="BM847"/>
      <c r="BN847"/>
      <c r="BO847"/>
      <c r="BP847"/>
      <c r="BQ847"/>
      <c r="BR847"/>
      <c r="BS847" t="s">
        <v>5449</v>
      </c>
      <c r="BT847" t="str">
        <f>HYPERLINK("https%3A%2F%2Fwww.webofscience.com%2Fwos%2Fwoscc%2Ffull-record%2FWOS:000275748500011","View Full Record in Web of Science")</f>
        <v>View Full Record in Web of Science</v>
      </c>
    </row>
    <row r="848" spans="1:75" customHeight="1" ht="12.75">
      <c r="A848" t="s">
        <v>72</v>
      </c>
      <c r="B848" t="s">
        <v>5450</v>
      </c>
      <c r="C848"/>
      <c r="D848"/>
      <c r="E848"/>
      <c r="F848" t="s">
        <v>5451</v>
      </c>
      <c r="G848"/>
      <c r="H848"/>
      <c r="I848" t="s">
        <v>5452</v>
      </c>
      <c r="J848" t="s">
        <v>5453</v>
      </c>
      <c r="K848"/>
      <c r="L848"/>
      <c r="M848"/>
      <c r="N848"/>
      <c r="O848"/>
      <c r="P848"/>
      <c r="Q848"/>
      <c r="R848"/>
      <c r="S848"/>
      <c r="T848"/>
      <c r="U848"/>
      <c r="V848"/>
      <c r="W848"/>
      <c r="X848"/>
      <c r="Y848"/>
      <c r="Z848"/>
      <c r="AA848" t="s">
        <v>5454</v>
      </c>
      <c r="AB848" t="s">
        <v>5455</v>
      </c>
      <c r="AC848"/>
      <c r="AD848"/>
      <c r="AE848"/>
      <c r="AF848"/>
      <c r="AG848"/>
      <c r="AH848"/>
      <c r="AI848"/>
      <c r="AJ848"/>
      <c r="AK848"/>
      <c r="AL848"/>
      <c r="AM848"/>
      <c r="AN848"/>
      <c r="AO848" t="s">
        <v>5456</v>
      </c>
      <c r="AP848" t="s">
        <v>5457</v>
      </c>
      <c r="AQ848"/>
      <c r="AR848"/>
      <c r="AS848"/>
      <c r="AT848"/>
      <c r="AU848">
        <v>2021</v>
      </c>
      <c r="AV848">
        <v>5</v>
      </c>
      <c r="AW848">
        <v>4</v>
      </c>
      <c r="AX848"/>
      <c r="AY848"/>
      <c r="AZ848"/>
      <c r="BA848"/>
      <c r="BB848">
        <v>55</v>
      </c>
      <c r="BC848">
        <v>77</v>
      </c>
      <c r="BD848"/>
      <c r="BE848" t="s">
        <v>5458</v>
      </c>
      <c r="BF848" t="str">
        <f>HYPERLINK("http://dx.doi.org/10.52468/2542-1514.2021.5(4).55-77","http://dx.doi.org/10.52468/2542-1514.2021.5(4).55-77")</f>
        <v>http://dx.doi.org/10.52468/2542-1514.2021.5(4).55-77</v>
      </c>
      <c r="BG848"/>
      <c r="BH848"/>
      <c r="BI848"/>
      <c r="BJ848"/>
      <c r="BK848"/>
      <c r="BL848"/>
      <c r="BM848"/>
      <c r="BN848"/>
      <c r="BO848"/>
      <c r="BP848"/>
      <c r="BQ848"/>
      <c r="BR848"/>
      <c r="BS848" t="s">
        <v>5459</v>
      </c>
      <c r="BT848" t="str">
        <f>HYPERLINK("https%3A%2F%2Fwww.webofscience.com%2Fwos%2Fwoscc%2Ffull-record%2FWOS:000744098400005","View Full Record in Web of Science")</f>
        <v>View Full Record in Web of Science</v>
      </c>
    </row>
    <row r="849" spans="1:75" customHeight="1" ht="12.75">
      <c r="A849" t="s">
        <v>72</v>
      </c>
      <c r="B849" t="s">
        <v>5460</v>
      </c>
      <c r="C849"/>
      <c r="D849"/>
      <c r="E849"/>
      <c r="F849" t="s">
        <v>5461</v>
      </c>
      <c r="G849"/>
      <c r="H849"/>
      <c r="I849" t="s">
        <v>5462</v>
      </c>
      <c r="J849" t="s">
        <v>335</v>
      </c>
      <c r="K849"/>
      <c r="L849"/>
      <c r="M849"/>
      <c r="N849"/>
      <c r="O849"/>
      <c r="P849"/>
      <c r="Q849"/>
      <c r="R849"/>
      <c r="S849"/>
      <c r="T849"/>
      <c r="U849"/>
      <c r="V849"/>
      <c r="W849"/>
      <c r="X849"/>
      <c r="Y849"/>
      <c r="Z849"/>
      <c r="AA849" t="s">
        <v>5463</v>
      </c>
      <c r="AB849" t="s">
        <v>5464</v>
      </c>
      <c r="AC849"/>
      <c r="AD849"/>
      <c r="AE849"/>
      <c r="AF849"/>
      <c r="AG849"/>
      <c r="AH849"/>
      <c r="AI849"/>
      <c r="AJ849"/>
      <c r="AK849"/>
      <c r="AL849"/>
      <c r="AM849"/>
      <c r="AN849"/>
      <c r="AO849" t="s">
        <v>337</v>
      </c>
      <c r="AP849"/>
      <c r="AQ849"/>
      <c r="AR849"/>
      <c r="AS849"/>
      <c r="AT849" t="s">
        <v>338</v>
      </c>
      <c r="AU849">
        <v>2020</v>
      </c>
      <c r="AV849">
        <v>7</v>
      </c>
      <c r="AW849"/>
      <c r="AX849"/>
      <c r="AY849"/>
      <c r="AZ849" t="s">
        <v>339</v>
      </c>
      <c r="BA849"/>
      <c r="BB849">
        <v>509</v>
      </c>
      <c r="BC849">
        <v>516</v>
      </c>
      <c r="BD849"/>
      <c r="BE849"/>
      <c r="BF849"/>
      <c r="BG849"/>
      <c r="BH849"/>
      <c r="BI849"/>
      <c r="BJ849"/>
      <c r="BK849"/>
      <c r="BL849"/>
      <c r="BM849"/>
      <c r="BN849"/>
      <c r="BO849"/>
      <c r="BP849"/>
      <c r="BQ849"/>
      <c r="BR849"/>
      <c r="BS849" t="s">
        <v>5465</v>
      </c>
      <c r="BT849" t="str">
        <f>HYPERLINK("https%3A%2F%2Fwww.webofscience.com%2Fwos%2Fwoscc%2Ffull-record%2FWOS:000572971200043","View Full Record in Web of Science")</f>
        <v>View Full Record in Web of Science</v>
      </c>
    </row>
    <row r="850" spans="1:75" customHeight="1" ht="12.75">
      <c r="A850" t="s">
        <v>72</v>
      </c>
      <c r="B850" t="s">
        <v>5466</v>
      </c>
      <c r="C850"/>
      <c r="D850"/>
      <c r="E850"/>
      <c r="F850" t="s">
        <v>5467</v>
      </c>
      <c r="G850"/>
      <c r="H850"/>
      <c r="I850" t="s">
        <v>5468</v>
      </c>
      <c r="J850" t="s">
        <v>335</v>
      </c>
      <c r="K850"/>
      <c r="L850"/>
      <c r="M850"/>
      <c r="N850"/>
      <c r="O850"/>
      <c r="P850"/>
      <c r="Q850"/>
      <c r="R850"/>
      <c r="S850"/>
      <c r="T850"/>
      <c r="U850"/>
      <c r="V850"/>
      <c r="W850"/>
      <c r="X850"/>
      <c r="Y850"/>
      <c r="Z850"/>
      <c r="AA850" t="s">
        <v>5469</v>
      </c>
      <c r="AB850" t="s">
        <v>5470</v>
      </c>
      <c r="AC850"/>
      <c r="AD850"/>
      <c r="AE850"/>
      <c r="AF850"/>
      <c r="AG850"/>
      <c r="AH850"/>
      <c r="AI850"/>
      <c r="AJ850"/>
      <c r="AK850"/>
      <c r="AL850"/>
      <c r="AM850"/>
      <c r="AN850"/>
      <c r="AO850" t="s">
        <v>337</v>
      </c>
      <c r="AP850"/>
      <c r="AQ850"/>
      <c r="AR850"/>
      <c r="AS850"/>
      <c r="AT850" t="s">
        <v>338</v>
      </c>
      <c r="AU850">
        <v>2020</v>
      </c>
      <c r="AV850">
        <v>7</v>
      </c>
      <c r="AW850"/>
      <c r="AX850"/>
      <c r="AY850"/>
      <c r="AZ850" t="s">
        <v>339</v>
      </c>
      <c r="BA850"/>
      <c r="BB850">
        <v>9</v>
      </c>
      <c r="BC850">
        <v>19</v>
      </c>
      <c r="BD850"/>
      <c r="BE850"/>
      <c r="BF850"/>
      <c r="BG850"/>
      <c r="BH850"/>
      <c r="BI850"/>
      <c r="BJ850"/>
      <c r="BK850"/>
      <c r="BL850"/>
      <c r="BM850"/>
      <c r="BN850"/>
      <c r="BO850"/>
      <c r="BP850"/>
      <c r="BQ850"/>
      <c r="BR850"/>
      <c r="BS850" t="s">
        <v>5471</v>
      </c>
      <c r="BT850" t="str">
        <f>HYPERLINK("https%3A%2F%2Fwww.webofscience.com%2Fwos%2Fwoscc%2Ffull-record%2FWOS:000572971200002","View Full Record in Web of Science")</f>
        <v>View Full Record in Web of Science</v>
      </c>
    </row>
    <row r="851" spans="1:75" customHeight="1" ht="12.75">
      <c r="A851" t="s">
        <v>72</v>
      </c>
      <c r="B851" t="s">
        <v>5472</v>
      </c>
      <c r="C851"/>
      <c r="D851"/>
      <c r="E851"/>
      <c r="F851" t="s">
        <v>5473</v>
      </c>
      <c r="G851"/>
      <c r="H851"/>
      <c r="I851" t="s">
        <v>5474</v>
      </c>
      <c r="J851" t="s">
        <v>708</v>
      </c>
      <c r="K851"/>
      <c r="L851"/>
      <c r="M851"/>
      <c r="N851"/>
      <c r="O851"/>
      <c r="P851"/>
      <c r="Q851"/>
      <c r="R851"/>
      <c r="S851"/>
      <c r="T851"/>
      <c r="U851"/>
      <c r="V851"/>
      <c r="W851"/>
      <c r="X851"/>
      <c r="Y851"/>
      <c r="Z851"/>
      <c r="AA851"/>
      <c r="AB851"/>
      <c r="AC851"/>
      <c r="AD851"/>
      <c r="AE851"/>
      <c r="AF851"/>
      <c r="AG851"/>
      <c r="AH851"/>
      <c r="AI851"/>
      <c r="AJ851"/>
      <c r="AK851"/>
      <c r="AL851"/>
      <c r="AM851"/>
      <c r="AN851"/>
      <c r="AO851" t="s">
        <v>709</v>
      </c>
      <c r="AP851" t="s">
        <v>710</v>
      </c>
      <c r="AQ851"/>
      <c r="AR851"/>
      <c r="AS851"/>
      <c r="AT851" t="s">
        <v>125</v>
      </c>
      <c r="AU851">
        <v>2020</v>
      </c>
      <c r="AV851">
        <v>121</v>
      </c>
      <c r="AW851">
        <v>7</v>
      </c>
      <c r="AX851"/>
      <c r="AY851"/>
      <c r="AZ851"/>
      <c r="BA851"/>
      <c r="BB851">
        <v>701</v>
      </c>
      <c r="BC851">
        <v>707</v>
      </c>
      <c r="BD851"/>
      <c r="BE851" t="s">
        <v>5475</v>
      </c>
      <c r="BF851" t="str">
        <f>HYPERLINK("http://dx.doi.org/10.1134/S0031918X2007011X","http://dx.doi.org/10.1134/S0031918X2007011X")</f>
        <v>http://dx.doi.org/10.1134/S0031918X2007011X</v>
      </c>
      <c r="BG851"/>
      <c r="BH851"/>
      <c r="BI851"/>
      <c r="BJ851"/>
      <c r="BK851"/>
      <c r="BL851"/>
      <c r="BM851"/>
      <c r="BN851"/>
      <c r="BO851"/>
      <c r="BP851"/>
      <c r="BQ851"/>
      <c r="BR851"/>
      <c r="BS851" t="s">
        <v>5476</v>
      </c>
      <c r="BT851" t="str">
        <f>HYPERLINK("https%3A%2F%2Fwww.webofscience.com%2Fwos%2Fwoscc%2Ffull-record%2FWOS:000565173800011","View Full Record in Web of Science")</f>
        <v>View Full Record in Web of Science</v>
      </c>
    </row>
    <row r="852" spans="1:75" customHeight="1" ht="12.75">
      <c r="A852" t="s">
        <v>72</v>
      </c>
      <c r="B852" t="s">
        <v>5477</v>
      </c>
      <c r="C852"/>
      <c r="D852"/>
      <c r="E852"/>
      <c r="F852" t="s">
        <v>5478</v>
      </c>
      <c r="G852"/>
      <c r="H852"/>
      <c r="I852" t="s">
        <v>5479</v>
      </c>
      <c r="J852" t="s">
        <v>95</v>
      </c>
      <c r="K852"/>
      <c r="L852"/>
      <c r="M852"/>
      <c r="N852"/>
      <c r="O852"/>
      <c r="P852"/>
      <c r="Q852"/>
      <c r="R852"/>
      <c r="S852"/>
      <c r="T852"/>
      <c r="U852"/>
      <c r="V852"/>
      <c r="W852"/>
      <c r="X852"/>
      <c r="Y852"/>
      <c r="Z852"/>
      <c r="AA852" t="s">
        <v>5480</v>
      </c>
      <c r="AB852" t="s">
        <v>5481</v>
      </c>
      <c r="AC852"/>
      <c r="AD852"/>
      <c r="AE852"/>
      <c r="AF852"/>
      <c r="AG852"/>
      <c r="AH852"/>
      <c r="AI852"/>
      <c r="AJ852"/>
      <c r="AK852"/>
      <c r="AL852"/>
      <c r="AM852"/>
      <c r="AN852"/>
      <c r="AO852" t="s">
        <v>98</v>
      </c>
      <c r="AP852" t="s">
        <v>99</v>
      </c>
      <c r="AQ852"/>
      <c r="AR852"/>
      <c r="AS852"/>
      <c r="AT852"/>
      <c r="AU852">
        <v>2019</v>
      </c>
      <c r="AV852"/>
      <c r="AW852">
        <v>4</v>
      </c>
      <c r="AX852"/>
      <c r="AY852"/>
      <c r="AZ852"/>
      <c r="BA852"/>
      <c r="BB852">
        <v>37</v>
      </c>
      <c r="BC852">
        <v>44</v>
      </c>
      <c r="BD852"/>
      <c r="BE852" t="s">
        <v>5482</v>
      </c>
      <c r="BF852" t="str">
        <f>HYPERLINK("http://dx.doi.org/10.25750/1995-4301-2019-4-037-044","http://dx.doi.org/10.25750/1995-4301-2019-4-037-044")</f>
        <v>http://dx.doi.org/10.25750/1995-4301-2019-4-037-044</v>
      </c>
      <c r="BG852"/>
      <c r="BH852"/>
      <c r="BI852"/>
      <c r="BJ852"/>
      <c r="BK852"/>
      <c r="BL852"/>
      <c r="BM852"/>
      <c r="BN852"/>
      <c r="BO852"/>
      <c r="BP852"/>
      <c r="BQ852"/>
      <c r="BR852"/>
      <c r="BS852" t="s">
        <v>5483</v>
      </c>
      <c r="BT852" t="str">
        <f>HYPERLINK("https%3A%2F%2Fwww.webofscience.com%2Fwos%2Fwoscc%2Ffull-record%2FWOS:000504049400005","View Full Record in Web of Science")</f>
        <v>View Full Record in Web of Science</v>
      </c>
    </row>
    <row r="853" spans="1:75" customHeight="1" ht="12.75">
      <c r="A853" t="s">
        <v>72</v>
      </c>
      <c r="B853" t="s">
        <v>5484</v>
      </c>
      <c r="C853"/>
      <c r="D853"/>
      <c r="E853"/>
      <c r="F853" t="s">
        <v>5485</v>
      </c>
      <c r="G853"/>
      <c r="H853"/>
      <c r="I853" t="s">
        <v>5486</v>
      </c>
      <c r="J853" t="s">
        <v>5436</v>
      </c>
      <c r="K853"/>
      <c r="L853"/>
      <c r="M853"/>
      <c r="N853"/>
      <c r="O853"/>
      <c r="P853"/>
      <c r="Q853"/>
      <c r="R853"/>
      <c r="S853"/>
      <c r="T853"/>
      <c r="U853"/>
      <c r="V853"/>
      <c r="W853"/>
      <c r="X853"/>
      <c r="Y853"/>
      <c r="Z853"/>
      <c r="AA853" t="s">
        <v>5487</v>
      </c>
      <c r="AB853" t="s">
        <v>5488</v>
      </c>
      <c r="AC853"/>
      <c r="AD853"/>
      <c r="AE853"/>
      <c r="AF853"/>
      <c r="AG853"/>
      <c r="AH853"/>
      <c r="AI853"/>
      <c r="AJ853"/>
      <c r="AK853"/>
      <c r="AL853"/>
      <c r="AM853"/>
      <c r="AN853"/>
      <c r="AO853" t="s">
        <v>5439</v>
      </c>
      <c r="AP853" t="s">
        <v>5440</v>
      </c>
      <c r="AQ853"/>
      <c r="AR853"/>
      <c r="AS853"/>
      <c r="AT853" t="s">
        <v>541</v>
      </c>
      <c r="AU853">
        <v>2016</v>
      </c>
      <c r="AV853">
        <v>51</v>
      </c>
      <c r="AW853">
        <v>6</v>
      </c>
      <c r="AX853"/>
      <c r="AY853"/>
      <c r="AZ853"/>
      <c r="BA853"/>
      <c r="BB853">
        <v>771</v>
      </c>
      <c r="BC853">
        <v>788</v>
      </c>
      <c r="BD853"/>
      <c r="BE853" t="s">
        <v>5489</v>
      </c>
      <c r="BF853" t="str">
        <f>HYPERLINK("http://dx.doi.org/10.1007/s11029-016-9548-5","http://dx.doi.org/10.1007/s11029-016-9548-5")</f>
        <v>http://dx.doi.org/10.1007/s11029-016-9548-5</v>
      </c>
      <c r="BG853"/>
      <c r="BH853"/>
      <c r="BI853"/>
      <c r="BJ853"/>
      <c r="BK853"/>
      <c r="BL853"/>
      <c r="BM853"/>
      <c r="BN853"/>
      <c r="BO853"/>
      <c r="BP853"/>
      <c r="BQ853"/>
      <c r="BR853"/>
      <c r="BS853" t="s">
        <v>5490</v>
      </c>
      <c r="BT853" t="str">
        <f>HYPERLINK("https%3A%2F%2Fwww.webofscience.com%2Fwos%2Fwoscc%2Ffull-record%2FWOS:000368729200010","View Full Record in Web of Science")</f>
        <v>View Full Record in Web of Science</v>
      </c>
    </row>
    <row r="854" spans="1:75" customHeight="1" ht="12.75">
      <c r="A854" t="s">
        <v>72</v>
      </c>
      <c r="B854" t="s">
        <v>5491</v>
      </c>
      <c r="C854"/>
      <c r="D854"/>
      <c r="E854"/>
      <c r="F854" t="s">
        <v>5492</v>
      </c>
      <c r="G854"/>
      <c r="H854"/>
      <c r="I854" t="s">
        <v>5493</v>
      </c>
      <c r="J854" t="s">
        <v>3150</v>
      </c>
      <c r="K854"/>
      <c r="L854"/>
      <c r="M854"/>
      <c r="N854"/>
      <c r="O854"/>
      <c r="P854"/>
      <c r="Q854"/>
      <c r="R854"/>
      <c r="S854"/>
      <c r="T854"/>
      <c r="U854"/>
      <c r="V854"/>
      <c r="W854"/>
      <c r="X854"/>
      <c r="Y854"/>
      <c r="Z854"/>
      <c r="AA854" t="s">
        <v>5494</v>
      </c>
      <c r="AB854" t="s">
        <v>5495</v>
      </c>
      <c r="AC854"/>
      <c r="AD854"/>
      <c r="AE854"/>
      <c r="AF854"/>
      <c r="AG854"/>
      <c r="AH854"/>
      <c r="AI854"/>
      <c r="AJ854"/>
      <c r="AK854"/>
      <c r="AL854"/>
      <c r="AM854"/>
      <c r="AN854"/>
      <c r="AO854" t="s">
        <v>3151</v>
      </c>
      <c r="AP854"/>
      <c r="AQ854"/>
      <c r="AR854"/>
      <c r="AS854"/>
      <c r="AT854" t="s">
        <v>313</v>
      </c>
      <c r="AU854">
        <v>2010</v>
      </c>
      <c r="AV854">
        <v>51</v>
      </c>
      <c r="AW854">
        <v>4</v>
      </c>
      <c r="AX854"/>
      <c r="AY854"/>
      <c r="AZ854"/>
      <c r="BA854"/>
      <c r="BB854">
        <v>316</v>
      </c>
      <c r="BC854">
        <v>319</v>
      </c>
      <c r="BD854"/>
      <c r="BE854" t="s">
        <v>5496</v>
      </c>
      <c r="BF854" t="str">
        <f>HYPERLINK("http://dx.doi.org/10.3103/S1067821210040103","http://dx.doi.org/10.3103/S1067821210040103")</f>
        <v>http://dx.doi.org/10.3103/S1067821210040103</v>
      </c>
      <c r="BG854"/>
      <c r="BH854"/>
      <c r="BI854"/>
      <c r="BJ854"/>
      <c r="BK854"/>
      <c r="BL854"/>
      <c r="BM854"/>
      <c r="BN854"/>
      <c r="BO854"/>
      <c r="BP854"/>
      <c r="BQ854"/>
      <c r="BR854"/>
      <c r="BS854" t="s">
        <v>5497</v>
      </c>
      <c r="BT854" t="str">
        <f>HYPERLINK("https%3A%2F%2Fwww.webofscience.com%2Fwos%2Fwoscc%2Ffull-record%2FWOS:000282068400010","View Full Record in Web of Science")</f>
        <v>View Full Record in Web of Science</v>
      </c>
    </row>
    <row r="855" spans="1:75" customHeight="1" ht="12.75">
      <c r="A855" t="s">
        <v>72</v>
      </c>
      <c r="B855" t="s">
        <v>698</v>
      </c>
      <c r="C855"/>
      <c r="D855"/>
      <c r="E855"/>
      <c r="F855" t="s">
        <v>699</v>
      </c>
      <c r="G855"/>
      <c r="H855"/>
      <c r="I855" t="s">
        <v>5498</v>
      </c>
      <c r="J855" t="s">
        <v>5499</v>
      </c>
      <c r="K855"/>
      <c r="L855"/>
      <c r="M855"/>
      <c r="N855"/>
      <c r="O855"/>
      <c r="P855"/>
      <c r="Q855"/>
      <c r="R855"/>
      <c r="S855"/>
      <c r="T855"/>
      <c r="U855"/>
      <c r="V855"/>
      <c r="W855"/>
      <c r="X855"/>
      <c r="Y855"/>
      <c r="Z855"/>
      <c r="AA855"/>
      <c r="AB855"/>
      <c r="AC855"/>
      <c r="AD855"/>
      <c r="AE855"/>
      <c r="AF855"/>
      <c r="AG855"/>
      <c r="AH855"/>
      <c r="AI855"/>
      <c r="AJ855"/>
      <c r="AK855"/>
      <c r="AL855"/>
      <c r="AM855"/>
      <c r="AN855"/>
      <c r="AO855" t="s">
        <v>5500</v>
      </c>
      <c r="AP855"/>
      <c r="AQ855"/>
      <c r="AR855"/>
      <c r="AS855"/>
      <c r="AT855" t="s">
        <v>541</v>
      </c>
      <c r="AU855">
        <v>2023</v>
      </c>
      <c r="AV855">
        <v>13</v>
      </c>
      <c r="AW855">
        <v>1</v>
      </c>
      <c r="AX855"/>
      <c r="AY855"/>
      <c r="AZ855"/>
      <c r="BA855"/>
      <c r="BB855" t="s">
        <v>5501</v>
      </c>
      <c r="BC855" t="s">
        <v>5502</v>
      </c>
      <c r="BD855"/>
      <c r="BE855" t="s">
        <v>5503</v>
      </c>
      <c r="BF855" t="str">
        <f>HYPERLINK("http://dx.doi.org/10.22376/ijlpr.2023.13.1.L104-108","http://dx.doi.org/10.22376/ijlpr.2023.13.1.L104-108")</f>
        <v>http://dx.doi.org/10.22376/ijlpr.2023.13.1.L104-108</v>
      </c>
      <c r="BG855"/>
      <c r="BH855"/>
      <c r="BI855"/>
      <c r="BJ855"/>
      <c r="BK855"/>
      <c r="BL855"/>
      <c r="BM855"/>
      <c r="BN855"/>
      <c r="BO855"/>
      <c r="BP855"/>
      <c r="BQ855"/>
      <c r="BR855"/>
      <c r="BS855" t="s">
        <v>5504</v>
      </c>
      <c r="BT855" t="str">
        <f>HYPERLINK("https%3A%2F%2Fwww.webofscience.com%2Fwos%2Fwoscc%2Ffull-record%2FWOS:000912047300001","View Full Record in Web of Science")</f>
        <v>View Full Record in Web of Science</v>
      </c>
    </row>
    <row r="856" spans="1:75" customHeight="1" ht="12.75">
      <c r="A856" t="s">
        <v>72</v>
      </c>
      <c r="B856" t="s">
        <v>378</v>
      </c>
      <c r="C856"/>
      <c r="D856"/>
      <c r="E856"/>
      <c r="F856" t="s">
        <v>1226</v>
      </c>
      <c r="G856"/>
      <c r="H856"/>
      <c r="I856" t="s">
        <v>5505</v>
      </c>
      <c r="J856" t="s">
        <v>5506</v>
      </c>
      <c r="K856"/>
      <c r="L856"/>
      <c r="M856"/>
      <c r="N856"/>
      <c r="O856"/>
      <c r="P856"/>
      <c r="Q856"/>
      <c r="R856"/>
      <c r="S856"/>
      <c r="T856"/>
      <c r="U856"/>
      <c r="V856"/>
      <c r="W856"/>
      <c r="X856"/>
      <c r="Y856"/>
      <c r="Z856"/>
      <c r="AA856"/>
      <c r="AB856"/>
      <c r="AC856"/>
      <c r="AD856"/>
      <c r="AE856"/>
      <c r="AF856"/>
      <c r="AG856"/>
      <c r="AH856"/>
      <c r="AI856"/>
      <c r="AJ856"/>
      <c r="AK856"/>
      <c r="AL856"/>
      <c r="AM856"/>
      <c r="AN856"/>
      <c r="AO856" t="s">
        <v>5507</v>
      </c>
      <c r="AP856"/>
      <c r="AQ856"/>
      <c r="AR856"/>
      <c r="AS856"/>
      <c r="AT856"/>
      <c r="AU856">
        <v>2022</v>
      </c>
      <c r="AV856">
        <v>11</v>
      </c>
      <c r="AW856">
        <v>4</v>
      </c>
      <c r="AX856"/>
      <c r="AY856"/>
      <c r="AZ856"/>
      <c r="BA856"/>
      <c r="BB856">
        <v>134</v>
      </c>
      <c r="BC856">
        <v>139</v>
      </c>
      <c r="BD856"/>
      <c r="BE856" t="s">
        <v>5508</v>
      </c>
      <c r="BF856" t="str">
        <f>HYPERLINK("http://dx.doi.org/10.51847/bvPSNlJliW","http://dx.doi.org/10.51847/bvPSNlJliW")</f>
        <v>http://dx.doi.org/10.51847/bvPSNlJliW</v>
      </c>
      <c r="BG856"/>
      <c r="BH856"/>
      <c r="BI856"/>
      <c r="BJ856"/>
      <c r="BK856"/>
      <c r="BL856"/>
      <c r="BM856"/>
      <c r="BN856"/>
      <c r="BO856"/>
      <c r="BP856"/>
      <c r="BQ856"/>
      <c r="BR856"/>
      <c r="BS856" t="s">
        <v>5509</v>
      </c>
      <c r="BT856" t="str">
        <f>HYPERLINK("https%3A%2F%2Fwww.webofscience.com%2Fwos%2Fwoscc%2Ffull-record%2FWOS:000904502200001","View Full Record in Web of Science")</f>
        <v>View Full Record in Web of Science</v>
      </c>
    </row>
    <row r="857" spans="1:75" customHeight="1" ht="12.75">
      <c r="A857" t="s">
        <v>72</v>
      </c>
      <c r="B857" t="s">
        <v>5510</v>
      </c>
      <c r="C857"/>
      <c r="D857"/>
      <c r="E857"/>
      <c r="F857" t="s">
        <v>5511</v>
      </c>
      <c r="G857"/>
      <c r="H857"/>
      <c r="I857" t="s">
        <v>5512</v>
      </c>
      <c r="J857" t="s">
        <v>3488</v>
      </c>
      <c r="K857"/>
      <c r="L857"/>
      <c r="M857"/>
      <c r="N857"/>
      <c r="O857"/>
      <c r="P857"/>
      <c r="Q857"/>
      <c r="R857"/>
      <c r="S857"/>
      <c r="T857"/>
      <c r="U857"/>
      <c r="V857"/>
      <c r="W857"/>
      <c r="X857"/>
      <c r="Y857"/>
      <c r="Z857"/>
      <c r="AA857" t="s">
        <v>5513</v>
      </c>
      <c r="AB857" t="s">
        <v>5200</v>
      </c>
      <c r="AC857"/>
      <c r="AD857"/>
      <c r="AE857"/>
      <c r="AF857"/>
      <c r="AG857"/>
      <c r="AH857"/>
      <c r="AI857"/>
      <c r="AJ857"/>
      <c r="AK857"/>
      <c r="AL857"/>
      <c r="AM857"/>
      <c r="AN857"/>
      <c r="AO857" t="s">
        <v>3490</v>
      </c>
      <c r="AP857" t="s">
        <v>3491</v>
      </c>
      <c r="AQ857"/>
      <c r="AR857"/>
      <c r="AS857"/>
      <c r="AT857" t="s">
        <v>338</v>
      </c>
      <c r="AU857">
        <v>2019</v>
      </c>
      <c r="AV857">
        <v>21</v>
      </c>
      <c r="AW857">
        <v>3</v>
      </c>
      <c r="AX857"/>
      <c r="AY857"/>
      <c r="AZ857"/>
      <c r="BA857"/>
      <c r="BB857">
        <v>59</v>
      </c>
      <c r="BC857">
        <v>71</v>
      </c>
      <c r="BD857"/>
      <c r="BE857" t="s">
        <v>5514</v>
      </c>
      <c r="BF857" t="str">
        <f>HYPERLINK("http://dx.doi.org/10.17212/1994-6309-2019-21.3-59-71","http://dx.doi.org/10.17212/1994-6309-2019-21.3-59-71")</f>
        <v>http://dx.doi.org/10.17212/1994-6309-2019-21.3-59-71</v>
      </c>
      <c r="BG857"/>
      <c r="BH857"/>
      <c r="BI857"/>
      <c r="BJ857"/>
      <c r="BK857"/>
      <c r="BL857"/>
      <c r="BM857"/>
      <c r="BN857"/>
      <c r="BO857"/>
      <c r="BP857"/>
      <c r="BQ857"/>
      <c r="BR857"/>
      <c r="BS857" t="s">
        <v>5515</v>
      </c>
      <c r="BT857" t="str">
        <f>HYPERLINK("https%3A%2F%2Fwww.webofscience.com%2Fwos%2Fwoscc%2Ffull-record%2FWOS:000485750300005","View Full Record in Web of Science")</f>
        <v>View Full Record in Web of Science</v>
      </c>
    </row>
    <row r="858" spans="1:75" customHeight="1" ht="12.75">
      <c r="A858" t="s">
        <v>147</v>
      </c>
      <c r="B858" t="s">
        <v>5516</v>
      </c>
      <c r="C858"/>
      <c r="D858" t="s">
        <v>233</v>
      </c>
      <c r="E858"/>
      <c r="F858" t="s">
        <v>5517</v>
      </c>
      <c r="G858"/>
      <c r="H858"/>
      <c r="I858" t="s">
        <v>5518</v>
      </c>
      <c r="J858" t="s">
        <v>444</v>
      </c>
      <c r="K858" t="s">
        <v>445</v>
      </c>
      <c r="L858"/>
      <c r="M858"/>
      <c r="N858"/>
      <c r="O858" t="s">
        <v>446</v>
      </c>
      <c r="P858" t="s">
        <v>447</v>
      </c>
      <c r="Q858" t="s">
        <v>448</v>
      </c>
      <c r="R858"/>
      <c r="S858"/>
      <c r="T858"/>
      <c r="U858"/>
      <c r="V858"/>
      <c r="W858"/>
      <c r="X858"/>
      <c r="Y858"/>
      <c r="Z858"/>
      <c r="AA858" t="s">
        <v>3565</v>
      </c>
      <c r="AB858" t="s">
        <v>5519</v>
      </c>
      <c r="AC858"/>
      <c r="AD858"/>
      <c r="AE858"/>
      <c r="AF858"/>
      <c r="AG858"/>
      <c r="AH858"/>
      <c r="AI858"/>
      <c r="AJ858"/>
      <c r="AK858"/>
      <c r="AL858"/>
      <c r="AM858"/>
      <c r="AN858"/>
      <c r="AO858" t="s">
        <v>450</v>
      </c>
      <c r="AP858"/>
      <c r="AQ858" t="s">
        <v>451</v>
      </c>
      <c r="AR858"/>
      <c r="AS858"/>
      <c r="AT858"/>
      <c r="AU858">
        <v>2017</v>
      </c>
      <c r="AV858"/>
      <c r="AW858"/>
      <c r="AX858"/>
      <c r="AY858"/>
      <c r="AZ858"/>
      <c r="BA858"/>
      <c r="BB858">
        <v>9</v>
      </c>
      <c r="BC858">
        <v>14</v>
      </c>
      <c r="BD858"/>
      <c r="BE858" t="s">
        <v>5520</v>
      </c>
      <c r="BF858" t="str">
        <f>HYPERLINK("http://dx.doi.org/10.1007/978-3-319-60696-5_2","http://dx.doi.org/10.1007/978-3-319-60696-5_2")</f>
        <v>http://dx.doi.org/10.1007/978-3-319-60696-5_2</v>
      </c>
      <c r="BG858"/>
      <c r="BH858"/>
      <c r="BI858"/>
      <c r="BJ858"/>
      <c r="BK858"/>
      <c r="BL858"/>
      <c r="BM858"/>
      <c r="BN858"/>
      <c r="BO858"/>
      <c r="BP858"/>
      <c r="BQ858"/>
      <c r="BR858"/>
      <c r="BS858" t="s">
        <v>5521</v>
      </c>
      <c r="BT858" t="str">
        <f>HYPERLINK("https%3A%2F%2Fwww.webofscience.com%2Fwos%2Fwoscc%2Ffull-record%2FWOS:000426114200002","View Full Record in Web of Science")</f>
        <v>View Full Record in Web of Science</v>
      </c>
    </row>
    <row r="859" spans="1:75" customHeight="1" ht="12.75">
      <c r="A859" t="s">
        <v>147</v>
      </c>
      <c r="B859" t="s">
        <v>5522</v>
      </c>
      <c r="C859"/>
      <c r="D859"/>
      <c r="E859" t="s">
        <v>210</v>
      </c>
      <c r="F859" t="s">
        <v>5523</v>
      </c>
      <c r="G859"/>
      <c r="H859"/>
      <c r="I859" t="s">
        <v>5524</v>
      </c>
      <c r="J859" t="s">
        <v>1261</v>
      </c>
      <c r="K859"/>
      <c r="L859"/>
      <c r="M859"/>
      <c r="N859"/>
      <c r="O859" t="s">
        <v>214</v>
      </c>
      <c r="P859" t="s">
        <v>909</v>
      </c>
      <c r="Q859" t="s">
        <v>910</v>
      </c>
      <c r="R859" t="s">
        <v>1262</v>
      </c>
      <c r="S859"/>
      <c r="T859"/>
      <c r="U859"/>
      <c r="V859"/>
      <c r="W859"/>
      <c r="X859"/>
      <c r="Y859"/>
      <c r="Z859"/>
      <c r="AA859"/>
      <c r="AB859"/>
      <c r="AC859"/>
      <c r="AD859"/>
      <c r="AE859"/>
      <c r="AF859"/>
      <c r="AG859"/>
      <c r="AH859"/>
      <c r="AI859"/>
      <c r="AJ859"/>
      <c r="AK859"/>
      <c r="AL859"/>
      <c r="AM859"/>
      <c r="AN859"/>
      <c r="AO859"/>
      <c r="AP859"/>
      <c r="AQ859" t="s">
        <v>1263</v>
      </c>
      <c r="AR859"/>
      <c r="AS859"/>
      <c r="AT859"/>
      <c r="AU859">
        <v>2017</v>
      </c>
      <c r="AV859"/>
      <c r="AW859"/>
      <c r="AX859"/>
      <c r="AY859"/>
      <c r="AZ859"/>
      <c r="BA859"/>
      <c r="BB859"/>
      <c r="BC859"/>
      <c r="BD859"/>
      <c r="BE859"/>
      <c r="BF859"/>
      <c r="BG859"/>
      <c r="BH859"/>
      <c r="BI859"/>
      <c r="BJ859"/>
      <c r="BK859"/>
      <c r="BL859"/>
      <c r="BM859"/>
      <c r="BN859"/>
      <c r="BO859"/>
      <c r="BP859"/>
      <c r="BQ859"/>
      <c r="BR859"/>
      <c r="BS859" t="s">
        <v>5525</v>
      </c>
      <c r="BT859" t="str">
        <f>HYPERLINK("https%3A%2F%2Fwww.webofscience.com%2Fwos%2Fwoscc%2Ffull-record%2FWOS:000414282400059","View Full Record in Web of Science")</f>
        <v>View Full Record in Web of Science</v>
      </c>
    </row>
    <row r="860" spans="1:75" customHeight="1" ht="12.75">
      <c r="A860" t="s">
        <v>72</v>
      </c>
      <c r="B860" t="s">
        <v>5526</v>
      </c>
      <c r="C860"/>
      <c r="D860"/>
      <c r="E860"/>
      <c r="F860" t="s">
        <v>5527</v>
      </c>
      <c r="G860"/>
      <c r="H860"/>
      <c r="I860" t="s">
        <v>5528</v>
      </c>
      <c r="J860" t="s">
        <v>3610</v>
      </c>
      <c r="K860"/>
      <c r="L860"/>
      <c r="M860"/>
      <c r="N860"/>
      <c r="O860"/>
      <c r="P860"/>
      <c r="Q860"/>
      <c r="R860"/>
      <c r="S860"/>
      <c r="T860"/>
      <c r="U860"/>
      <c r="V860"/>
      <c r="W860"/>
      <c r="X860"/>
      <c r="Y860"/>
      <c r="Z860"/>
      <c r="AA860" t="s">
        <v>5529</v>
      </c>
      <c r="AB860" t="s">
        <v>5530</v>
      </c>
      <c r="AC860"/>
      <c r="AD860"/>
      <c r="AE860"/>
      <c r="AF860"/>
      <c r="AG860"/>
      <c r="AH860"/>
      <c r="AI860"/>
      <c r="AJ860"/>
      <c r="AK860"/>
      <c r="AL860"/>
      <c r="AM860"/>
      <c r="AN860"/>
      <c r="AO860" t="s">
        <v>3613</v>
      </c>
      <c r="AP860" t="s">
        <v>4602</v>
      </c>
      <c r="AQ860"/>
      <c r="AR860"/>
      <c r="AS860"/>
      <c r="AT860" t="s">
        <v>403</v>
      </c>
      <c r="AU860">
        <v>2006</v>
      </c>
      <c r="AV860">
        <v>39</v>
      </c>
      <c r="AW860"/>
      <c r="AX860"/>
      <c r="AY860">
        <v>1</v>
      </c>
      <c r="AZ860"/>
      <c r="BA860"/>
      <c r="BB860" t="s">
        <v>5531</v>
      </c>
      <c r="BC860" t="s">
        <v>5532</v>
      </c>
      <c r="BD860"/>
      <c r="BE860" t="s">
        <v>5533</v>
      </c>
      <c r="BF860" t="str">
        <f>HYPERLINK("http://dx.doi.org/10.1134/S1064229306130151","http://dx.doi.org/10.1134/S1064229306130151")</f>
        <v>http://dx.doi.org/10.1134/S1064229306130151</v>
      </c>
      <c r="BG860"/>
      <c r="BH860"/>
      <c r="BI860"/>
      <c r="BJ860"/>
      <c r="BK860"/>
      <c r="BL860"/>
      <c r="BM860"/>
      <c r="BN860"/>
      <c r="BO860"/>
      <c r="BP860"/>
      <c r="BQ860"/>
      <c r="BR860"/>
      <c r="BS860" t="s">
        <v>5534</v>
      </c>
      <c r="BT860" t="str">
        <f>HYPERLINK("https%3A%2F%2Fwww.webofscience.com%2Fwos%2Fwoscc%2Ffull-record%2FWOS:000245221500014","View Full Record in Web of Science")</f>
        <v>View Full Record in Web of Science</v>
      </c>
    </row>
    <row r="861" spans="1:75" customHeight="1" ht="12.75">
      <c r="A861" t="s">
        <v>72</v>
      </c>
      <c r="B861" t="s">
        <v>5535</v>
      </c>
      <c r="C861"/>
      <c r="D861"/>
      <c r="E861"/>
      <c r="F861" t="s">
        <v>5536</v>
      </c>
      <c r="G861"/>
      <c r="H861"/>
      <c r="I861" t="s">
        <v>5537</v>
      </c>
      <c r="J861" t="s">
        <v>4849</v>
      </c>
      <c r="K861"/>
      <c r="L861"/>
      <c r="M861"/>
      <c r="N861"/>
      <c r="O861"/>
      <c r="P861"/>
      <c r="Q861"/>
      <c r="R861"/>
      <c r="S861"/>
      <c r="T861"/>
      <c r="U861"/>
      <c r="V861"/>
      <c r="W861"/>
      <c r="X861"/>
      <c r="Y861"/>
      <c r="Z861"/>
      <c r="AA861" t="s">
        <v>4850</v>
      </c>
      <c r="AB861" t="s">
        <v>4851</v>
      </c>
      <c r="AC861"/>
      <c r="AD861"/>
      <c r="AE861"/>
      <c r="AF861"/>
      <c r="AG861"/>
      <c r="AH861"/>
      <c r="AI861"/>
      <c r="AJ861"/>
      <c r="AK861"/>
      <c r="AL861"/>
      <c r="AM861"/>
      <c r="AN861"/>
      <c r="AO861" t="s">
        <v>4852</v>
      </c>
      <c r="AP861" t="s">
        <v>4853</v>
      </c>
      <c r="AQ861"/>
      <c r="AR861"/>
      <c r="AS861"/>
      <c r="AT861" t="s">
        <v>125</v>
      </c>
      <c r="AU861">
        <v>2023</v>
      </c>
      <c r="AV861">
        <v>102</v>
      </c>
      <c r="AW861">
        <v>1</v>
      </c>
      <c r="AX861"/>
      <c r="AY861"/>
      <c r="AZ861"/>
      <c r="BA861"/>
      <c r="BB861">
        <v>109</v>
      </c>
      <c r="BC861">
        <v>110</v>
      </c>
      <c r="BD861"/>
      <c r="BE861" t="s">
        <v>5538</v>
      </c>
      <c r="BF861" t="str">
        <f>HYPERLINK("http://dx.doi.org/10.1111/tan.15037","http://dx.doi.org/10.1111/tan.15037")</f>
        <v>http://dx.doi.org/10.1111/tan.15037</v>
      </c>
      <c r="BG861"/>
      <c r="BH861" t="s">
        <v>5539</v>
      </c>
      <c r="BI861"/>
      <c r="BJ861"/>
      <c r="BK861"/>
      <c r="BL861"/>
      <c r="BM861"/>
      <c r="BN861">
        <v>36951586</v>
      </c>
      <c r="BO861"/>
      <c r="BP861"/>
      <c r="BQ861"/>
      <c r="BR861"/>
      <c r="BS861" t="s">
        <v>5540</v>
      </c>
      <c r="BT861" t="str">
        <f>HYPERLINK("https%3A%2F%2Fwww.webofscience.com%2Fwos%2Fwoscc%2Ffull-record%2FWOS:000955109100001","View Full Record in Web of Science")</f>
        <v>View Full Record in Web of Science</v>
      </c>
    </row>
    <row r="862" spans="1:75" customHeight="1" ht="12.75">
      <c r="A862" t="s">
        <v>72</v>
      </c>
      <c r="B862" t="s">
        <v>378</v>
      </c>
      <c r="C862"/>
      <c r="D862"/>
      <c r="E862"/>
      <c r="F862" t="s">
        <v>1226</v>
      </c>
      <c r="G862"/>
      <c r="H862"/>
      <c r="I862" t="s">
        <v>5541</v>
      </c>
      <c r="J862" t="s">
        <v>5542</v>
      </c>
      <c r="K862"/>
      <c r="L862"/>
      <c r="M862"/>
      <c r="N862"/>
      <c r="O862"/>
      <c r="P862"/>
      <c r="Q862"/>
      <c r="R862"/>
      <c r="S862"/>
      <c r="T862"/>
      <c r="U862"/>
      <c r="V862"/>
      <c r="W862"/>
      <c r="X862"/>
      <c r="Y862"/>
      <c r="Z862"/>
      <c r="AA862"/>
      <c r="AB862"/>
      <c r="AC862"/>
      <c r="AD862"/>
      <c r="AE862"/>
      <c r="AF862"/>
      <c r="AG862"/>
      <c r="AH862"/>
      <c r="AI862"/>
      <c r="AJ862"/>
      <c r="AK862"/>
      <c r="AL862"/>
      <c r="AM862"/>
      <c r="AN862"/>
      <c r="AO862" t="s">
        <v>5543</v>
      </c>
      <c r="AP862" t="s">
        <v>5544</v>
      </c>
      <c r="AQ862"/>
      <c r="AR862"/>
      <c r="AS862"/>
      <c r="AT862" t="s">
        <v>338</v>
      </c>
      <c r="AU862">
        <v>2022</v>
      </c>
      <c r="AV862">
        <v>13</v>
      </c>
      <c r="AW862">
        <v>3</v>
      </c>
      <c r="AX862"/>
      <c r="AY862"/>
      <c r="AZ862"/>
      <c r="BA862"/>
      <c r="BB862">
        <v>112</v>
      </c>
      <c r="BC862">
        <v>115</v>
      </c>
      <c r="BD862"/>
      <c r="BE862" t="s">
        <v>5545</v>
      </c>
      <c r="BF862" t="str">
        <f>HYPERLINK("http://dx.doi.org/10.51847/yDF12GeLiV","http://dx.doi.org/10.51847/yDF12GeLiV")</f>
        <v>http://dx.doi.org/10.51847/yDF12GeLiV</v>
      </c>
      <c r="BG862"/>
      <c r="BH862"/>
      <c r="BI862"/>
      <c r="BJ862"/>
      <c r="BK862"/>
      <c r="BL862"/>
      <c r="BM862"/>
      <c r="BN862"/>
      <c r="BO862"/>
      <c r="BP862"/>
      <c r="BQ862"/>
      <c r="BR862"/>
      <c r="BS862" t="s">
        <v>5546</v>
      </c>
      <c r="BT862" t="str">
        <f>HYPERLINK("https%3A%2F%2Fwww.webofscience.com%2Fwos%2Fwoscc%2Ffull-record%2FWOS:000906730900003","View Full Record in Web of Science")</f>
        <v>View Full Record in Web of Science</v>
      </c>
    </row>
    <row r="863" spans="1:75" customHeight="1" ht="12.75">
      <c r="A863" t="s">
        <v>72</v>
      </c>
      <c r="B863" t="s">
        <v>5547</v>
      </c>
      <c r="C863"/>
      <c r="D863"/>
      <c r="E863"/>
      <c r="F863" t="s">
        <v>5548</v>
      </c>
      <c r="G863"/>
      <c r="H863"/>
      <c r="I863" t="s">
        <v>5549</v>
      </c>
      <c r="J863" t="s">
        <v>95</v>
      </c>
      <c r="K863"/>
      <c r="L863"/>
      <c r="M863"/>
      <c r="N863"/>
      <c r="O863"/>
      <c r="P863"/>
      <c r="Q863"/>
      <c r="R863"/>
      <c r="S863"/>
      <c r="T863"/>
      <c r="U863"/>
      <c r="V863"/>
      <c r="W863"/>
      <c r="X863"/>
      <c r="Y863"/>
      <c r="Z863"/>
      <c r="AA863" t="s">
        <v>5550</v>
      </c>
      <c r="AB863" t="s">
        <v>5551</v>
      </c>
      <c r="AC863"/>
      <c r="AD863"/>
      <c r="AE863"/>
      <c r="AF863"/>
      <c r="AG863"/>
      <c r="AH863"/>
      <c r="AI863"/>
      <c r="AJ863"/>
      <c r="AK863"/>
      <c r="AL863"/>
      <c r="AM863"/>
      <c r="AN863"/>
      <c r="AO863" t="s">
        <v>98</v>
      </c>
      <c r="AP863" t="s">
        <v>99</v>
      </c>
      <c r="AQ863"/>
      <c r="AR863"/>
      <c r="AS863"/>
      <c r="AT863"/>
      <c r="AU863">
        <v>2022</v>
      </c>
      <c r="AV863"/>
      <c r="AW863">
        <v>1</v>
      </c>
      <c r="AX863"/>
      <c r="AY863"/>
      <c r="AZ863"/>
      <c r="BA863"/>
      <c r="BB863">
        <v>115</v>
      </c>
      <c r="BC863">
        <v>123</v>
      </c>
      <c r="BD863"/>
      <c r="BE863" t="s">
        <v>5552</v>
      </c>
      <c r="BF863" t="str">
        <f>HYPERLINK("http://dx.doi.org/10.25750/1995-4301-2022-1-115-123","http://dx.doi.org/10.25750/1995-4301-2022-1-115-123")</f>
        <v>http://dx.doi.org/10.25750/1995-4301-2022-1-115-123</v>
      </c>
      <c r="BG863"/>
      <c r="BH863"/>
      <c r="BI863"/>
      <c r="BJ863"/>
      <c r="BK863"/>
      <c r="BL863"/>
      <c r="BM863"/>
      <c r="BN863"/>
      <c r="BO863"/>
      <c r="BP863"/>
      <c r="BQ863"/>
      <c r="BR863"/>
      <c r="BS863" t="s">
        <v>5553</v>
      </c>
      <c r="BT863" t="str">
        <f>HYPERLINK("https%3A%2F%2Fwww.webofscience.com%2Fwos%2Fwoscc%2Ffull-record%2FWOS:000819811100016","View Full Record in Web of Science")</f>
        <v>View Full Record in Web of Science</v>
      </c>
    </row>
    <row r="864" spans="1:75" customHeight="1" ht="12.75">
      <c r="A864" t="s">
        <v>72</v>
      </c>
      <c r="B864" t="s">
        <v>5554</v>
      </c>
      <c r="C864"/>
      <c r="D864"/>
      <c r="E864"/>
      <c r="F864" t="s">
        <v>5555</v>
      </c>
      <c r="G864"/>
      <c r="H864"/>
      <c r="I864" t="s">
        <v>5556</v>
      </c>
      <c r="J864" t="s">
        <v>325</v>
      </c>
      <c r="K864"/>
      <c r="L864"/>
      <c r="M864"/>
      <c r="N864"/>
      <c r="O864"/>
      <c r="P864"/>
      <c r="Q864"/>
      <c r="R864"/>
      <c r="S864"/>
      <c r="T864"/>
      <c r="U864"/>
      <c r="V864"/>
      <c r="W864"/>
      <c r="X864"/>
      <c r="Y864"/>
      <c r="Z864"/>
      <c r="AA864" t="s">
        <v>4064</v>
      </c>
      <c r="AB864"/>
      <c r="AC864"/>
      <c r="AD864"/>
      <c r="AE864"/>
      <c r="AF864"/>
      <c r="AG864"/>
      <c r="AH864"/>
      <c r="AI864"/>
      <c r="AJ864"/>
      <c r="AK864"/>
      <c r="AL864"/>
      <c r="AM864"/>
      <c r="AN864"/>
      <c r="AO864" t="s">
        <v>328</v>
      </c>
      <c r="AP864" t="s">
        <v>329</v>
      </c>
      <c r="AQ864"/>
      <c r="AR864"/>
      <c r="AS864"/>
      <c r="AT864"/>
      <c r="AU864">
        <v>2021</v>
      </c>
      <c r="AV864">
        <v>15</v>
      </c>
      <c r="AW864">
        <v>4</v>
      </c>
      <c r="AX864"/>
      <c r="AY864"/>
      <c r="AZ864"/>
      <c r="BA864"/>
      <c r="BB864">
        <v>1141</v>
      </c>
      <c r="BC864">
        <v>1158</v>
      </c>
      <c r="BD864"/>
      <c r="BE864" t="s">
        <v>5557</v>
      </c>
      <c r="BF864" t="str">
        <f>HYPERLINK("http://dx.doi.org/10.24874/IJQR15.04-08","http://dx.doi.org/10.24874/IJQR15.04-08")</f>
        <v>http://dx.doi.org/10.24874/IJQR15.04-08</v>
      </c>
      <c r="BG864"/>
      <c r="BH864"/>
      <c r="BI864"/>
      <c r="BJ864"/>
      <c r="BK864"/>
      <c r="BL864"/>
      <c r="BM864"/>
      <c r="BN864"/>
      <c r="BO864"/>
      <c r="BP864"/>
      <c r="BQ864"/>
      <c r="BR864"/>
      <c r="BS864" t="s">
        <v>5558</v>
      </c>
      <c r="BT864" t="str">
        <f>HYPERLINK("https%3A%2F%2Fwww.webofscience.com%2Fwos%2Fwoscc%2Ffull-record%2FWOS:000720953800008","View Full Record in Web of Science")</f>
        <v>View Full Record in Web of Science</v>
      </c>
    </row>
    <row r="865" spans="1:75" customHeight="1" ht="12.75">
      <c r="A865" t="s">
        <v>147</v>
      </c>
      <c r="B865" t="s">
        <v>5559</v>
      </c>
      <c r="C865"/>
      <c r="D865" t="s">
        <v>5560</v>
      </c>
      <c r="E865"/>
      <c r="F865" t="s">
        <v>5561</v>
      </c>
      <c r="G865"/>
      <c r="H865"/>
      <c r="I865" t="s">
        <v>5562</v>
      </c>
      <c r="J865" t="s">
        <v>5563</v>
      </c>
      <c r="K865" t="s">
        <v>1236</v>
      </c>
      <c r="L865"/>
      <c r="M865"/>
      <c r="N865"/>
      <c r="O865" t="s">
        <v>5564</v>
      </c>
      <c r="P865" t="s">
        <v>5565</v>
      </c>
      <c r="Q865" t="s">
        <v>5566</v>
      </c>
      <c r="R865"/>
      <c r="S865" t="s">
        <v>5567</v>
      </c>
      <c r="T865"/>
      <c r="U865"/>
      <c r="V865"/>
      <c r="W865"/>
      <c r="X865"/>
      <c r="Y865"/>
      <c r="Z865"/>
      <c r="AA865"/>
      <c r="AB865"/>
      <c r="AC865"/>
      <c r="AD865"/>
      <c r="AE865"/>
      <c r="AF865"/>
      <c r="AG865"/>
      <c r="AH865"/>
      <c r="AI865"/>
      <c r="AJ865"/>
      <c r="AK865"/>
      <c r="AL865"/>
      <c r="AM865"/>
      <c r="AN865"/>
      <c r="AO865" t="s">
        <v>1240</v>
      </c>
      <c r="AP865"/>
      <c r="AQ865"/>
      <c r="AR865"/>
      <c r="AS865"/>
      <c r="AT865"/>
      <c r="AU865">
        <v>2020</v>
      </c>
      <c r="AV865">
        <v>210</v>
      </c>
      <c r="AW865"/>
      <c r="AX865"/>
      <c r="AY865"/>
      <c r="AZ865"/>
      <c r="BA865"/>
      <c r="BB865"/>
      <c r="BC865"/>
      <c r="BD865">
        <v>13037</v>
      </c>
      <c r="BE865" t="s">
        <v>5568</v>
      </c>
      <c r="BF865" t="str">
        <f>HYPERLINK("http://dx.doi.org/10.1051/e3sconf/202021013037","http://dx.doi.org/10.1051/e3sconf/202021013037")</f>
        <v>http://dx.doi.org/10.1051/e3sconf/202021013037</v>
      </c>
      <c r="BG865"/>
      <c r="BH865"/>
      <c r="BI865"/>
      <c r="BJ865"/>
      <c r="BK865"/>
      <c r="BL865"/>
      <c r="BM865"/>
      <c r="BN865"/>
      <c r="BO865"/>
      <c r="BP865"/>
      <c r="BQ865"/>
      <c r="BR865"/>
      <c r="BS865" t="s">
        <v>5569</v>
      </c>
      <c r="BT865" t="str">
        <f>HYPERLINK("https%3A%2F%2Fwww.webofscience.com%2Fwos%2Fwoscc%2Ffull-record%2FWOS:000659867301086","View Full Record in Web of Science")</f>
        <v>View Full Record in Web of Science</v>
      </c>
    </row>
    <row r="866" spans="1:75" customHeight="1" ht="12.75">
      <c r="A866" t="s">
        <v>147</v>
      </c>
      <c r="B866" t="s">
        <v>5570</v>
      </c>
      <c r="C866"/>
      <c r="D866" t="s">
        <v>1876</v>
      </c>
      <c r="E866"/>
      <c r="F866" t="s">
        <v>5571</v>
      </c>
      <c r="G866"/>
      <c r="H866"/>
      <c r="I866" t="s">
        <v>5572</v>
      </c>
      <c r="J866" t="s">
        <v>1879</v>
      </c>
      <c r="K866" t="s">
        <v>1276</v>
      </c>
      <c r="L866"/>
      <c r="M866"/>
      <c r="N866"/>
      <c r="O866" t="s">
        <v>1880</v>
      </c>
      <c r="P866" t="s">
        <v>1881</v>
      </c>
      <c r="Q866" t="s">
        <v>1882</v>
      </c>
      <c r="R866" t="s">
        <v>1883</v>
      </c>
      <c r="S866" t="s">
        <v>1884</v>
      </c>
      <c r="T866"/>
      <c r="U866"/>
      <c r="V866"/>
      <c r="W866"/>
      <c r="X866"/>
      <c r="Y866"/>
      <c r="Z866"/>
      <c r="AA866"/>
      <c r="AB866" t="s">
        <v>5573</v>
      </c>
      <c r="AC866"/>
      <c r="AD866"/>
      <c r="AE866"/>
      <c r="AF866"/>
      <c r="AG866"/>
      <c r="AH866"/>
      <c r="AI866"/>
      <c r="AJ866"/>
      <c r="AK866"/>
      <c r="AL866"/>
      <c r="AM866"/>
      <c r="AN866"/>
      <c r="AO866" t="s">
        <v>1282</v>
      </c>
      <c r="AP866"/>
      <c r="AQ866"/>
      <c r="AR866"/>
      <c r="AS866"/>
      <c r="AT866"/>
      <c r="AU866">
        <v>2017</v>
      </c>
      <c r="AV866">
        <v>106</v>
      </c>
      <c r="AW866"/>
      <c r="AX866"/>
      <c r="AY866"/>
      <c r="AZ866"/>
      <c r="BA866"/>
      <c r="BB866"/>
      <c r="BC866"/>
      <c r="BD866">
        <v>8088</v>
      </c>
      <c r="BE866" t="s">
        <v>5574</v>
      </c>
      <c r="BF866" t="str">
        <f>HYPERLINK("http://dx.doi.org/10.1051/matecconf/201710608088","http://dx.doi.org/10.1051/matecconf/201710608088")</f>
        <v>http://dx.doi.org/10.1051/matecconf/201710608088</v>
      </c>
      <c r="BG866"/>
      <c r="BH866"/>
      <c r="BI866"/>
      <c r="BJ866"/>
      <c r="BK866"/>
      <c r="BL866"/>
      <c r="BM866"/>
      <c r="BN866"/>
      <c r="BO866"/>
      <c r="BP866"/>
      <c r="BQ866"/>
      <c r="BR866"/>
      <c r="BS866" t="s">
        <v>5575</v>
      </c>
      <c r="BT866" t="str">
        <f>HYPERLINK("https%3A%2F%2Fwww.webofscience.com%2Fwos%2Fwoscc%2Ffull-record%2FWOS:000426426600273","View Full Record in Web of Science")</f>
        <v>View Full Record in Web of Science</v>
      </c>
    </row>
    <row r="867" spans="1:75" customHeight="1" ht="12.75">
      <c r="A867" t="s">
        <v>72</v>
      </c>
      <c r="B867" t="s">
        <v>5433</v>
      </c>
      <c r="C867"/>
      <c r="D867"/>
      <c r="E867"/>
      <c r="F867" t="s">
        <v>5434</v>
      </c>
      <c r="G867"/>
      <c r="H867"/>
      <c r="I867" t="s">
        <v>5576</v>
      </c>
      <c r="J867" t="s">
        <v>5436</v>
      </c>
      <c r="K867"/>
      <c r="L867"/>
      <c r="M867"/>
      <c r="N867"/>
      <c r="O867"/>
      <c r="P867"/>
      <c r="Q867"/>
      <c r="R867"/>
      <c r="S867"/>
      <c r="T867"/>
      <c r="U867"/>
      <c r="V867"/>
      <c r="W867"/>
      <c r="X867"/>
      <c r="Y867"/>
      <c r="Z867"/>
      <c r="AA867" t="s">
        <v>5487</v>
      </c>
      <c r="AB867" t="s">
        <v>5577</v>
      </c>
      <c r="AC867"/>
      <c r="AD867"/>
      <c r="AE867"/>
      <c r="AF867"/>
      <c r="AG867"/>
      <c r="AH867"/>
      <c r="AI867"/>
      <c r="AJ867"/>
      <c r="AK867"/>
      <c r="AL867"/>
      <c r="AM867"/>
      <c r="AN867"/>
      <c r="AO867" t="s">
        <v>5439</v>
      </c>
      <c r="AP867" t="s">
        <v>5440</v>
      </c>
      <c r="AQ867"/>
      <c r="AR867"/>
      <c r="AS867"/>
      <c r="AT867" t="s">
        <v>88</v>
      </c>
      <c r="AU867">
        <v>2016</v>
      </c>
      <c r="AV867">
        <v>52</v>
      </c>
      <c r="AW867">
        <v>2</v>
      </c>
      <c r="AX867"/>
      <c r="AY867"/>
      <c r="AZ867"/>
      <c r="BA867"/>
      <c r="BB867">
        <v>133</v>
      </c>
      <c r="BC867">
        <v>142</v>
      </c>
      <c r="BD867"/>
      <c r="BE867" t="s">
        <v>5578</v>
      </c>
      <c r="BF867" t="str">
        <f>HYPERLINK("http://dx.doi.org/10.1007/s11029-016-9566-3","http://dx.doi.org/10.1007/s11029-016-9566-3")</f>
        <v>http://dx.doi.org/10.1007/s11029-016-9566-3</v>
      </c>
      <c r="BG867"/>
      <c r="BH867"/>
      <c r="BI867"/>
      <c r="BJ867"/>
      <c r="BK867"/>
      <c r="BL867"/>
      <c r="BM867"/>
      <c r="BN867"/>
      <c r="BO867"/>
      <c r="BP867"/>
      <c r="BQ867"/>
      <c r="BR867"/>
      <c r="BS867" t="s">
        <v>5579</v>
      </c>
      <c r="BT867" t="str">
        <f>HYPERLINK("https%3A%2F%2Fwww.webofscience.com%2Fwos%2Fwoscc%2Ffull-record%2FWOS:000376306600001","View Full Record in Web of Science")</f>
        <v>View Full Record in Web of Science</v>
      </c>
    </row>
    <row r="868" spans="1:75" customHeight="1" ht="12.75">
      <c r="A868" t="s">
        <v>72</v>
      </c>
      <c r="B868" t="s">
        <v>5580</v>
      </c>
      <c r="C868"/>
      <c r="D868"/>
      <c r="E868"/>
      <c r="F868" t="s">
        <v>5581</v>
      </c>
      <c r="G868"/>
      <c r="H868"/>
      <c r="I868" t="s">
        <v>5582</v>
      </c>
      <c r="J868" t="s">
        <v>4849</v>
      </c>
      <c r="K868"/>
      <c r="L868"/>
      <c r="M868"/>
      <c r="N868"/>
      <c r="O868"/>
      <c r="P868"/>
      <c r="Q868"/>
      <c r="R868"/>
      <c r="S868"/>
      <c r="T868"/>
      <c r="U868"/>
      <c r="V868"/>
      <c r="W868"/>
      <c r="X868"/>
      <c r="Y868"/>
      <c r="Z868"/>
      <c r="AA868" t="s">
        <v>4850</v>
      </c>
      <c r="AB868" t="s">
        <v>4851</v>
      </c>
      <c r="AC868"/>
      <c r="AD868"/>
      <c r="AE868"/>
      <c r="AF868"/>
      <c r="AG868"/>
      <c r="AH868"/>
      <c r="AI868"/>
      <c r="AJ868"/>
      <c r="AK868"/>
      <c r="AL868"/>
      <c r="AM868"/>
      <c r="AN868"/>
      <c r="AO868" t="s">
        <v>4852</v>
      </c>
      <c r="AP868" t="s">
        <v>4853</v>
      </c>
      <c r="AQ868"/>
      <c r="AR868"/>
      <c r="AS868"/>
      <c r="AT868" t="s">
        <v>88</v>
      </c>
      <c r="AU868">
        <v>2023</v>
      </c>
      <c r="AV868">
        <v>101</v>
      </c>
      <c r="AW868">
        <v>5</v>
      </c>
      <c r="AX868"/>
      <c r="AY868"/>
      <c r="AZ868"/>
      <c r="BA868"/>
      <c r="BB868">
        <v>517</v>
      </c>
      <c r="BC868">
        <v>519</v>
      </c>
      <c r="BD868"/>
      <c r="BE868" t="s">
        <v>5583</v>
      </c>
      <c r="BF868" t="str">
        <f>HYPERLINK("http://dx.doi.org/10.1111/tan.14944","http://dx.doi.org/10.1111/tan.14944")</f>
        <v>http://dx.doi.org/10.1111/tan.14944</v>
      </c>
      <c r="BG868"/>
      <c r="BH868" t="s">
        <v>4345</v>
      </c>
      <c r="BI868"/>
      <c r="BJ868"/>
      <c r="BK868"/>
      <c r="BL868"/>
      <c r="BM868"/>
      <c r="BN868">
        <v>36540915</v>
      </c>
      <c r="BO868"/>
      <c r="BP868"/>
      <c r="BQ868"/>
      <c r="BR868"/>
      <c r="BS868" t="s">
        <v>5584</v>
      </c>
      <c r="BT868" t="str">
        <f>HYPERLINK("https%3A%2F%2Fwww.webofscience.com%2Fwos%2Fwoscc%2Ffull-record%2FWOS:000903700500001","View Full Record in Web of Science")</f>
        <v>View Full Record in Web of Science</v>
      </c>
    </row>
    <row r="869" spans="1:75" customHeight="1" ht="12.75">
      <c r="A869" t="s">
        <v>72</v>
      </c>
      <c r="B869" t="s">
        <v>5585</v>
      </c>
      <c r="C869"/>
      <c r="D869"/>
      <c r="E869"/>
      <c r="F869" t="s">
        <v>5586</v>
      </c>
      <c r="G869"/>
      <c r="H869"/>
      <c r="I869" t="s">
        <v>5587</v>
      </c>
      <c r="J869" t="s">
        <v>716</v>
      </c>
      <c r="K869"/>
      <c r="L869"/>
      <c r="M869"/>
      <c r="N869"/>
      <c r="O869"/>
      <c r="P869"/>
      <c r="Q869"/>
      <c r="R869"/>
      <c r="S869"/>
      <c r="T869"/>
      <c r="U869"/>
      <c r="V869"/>
      <c r="W869"/>
      <c r="X869"/>
      <c r="Y869"/>
      <c r="Z869"/>
      <c r="AA869" t="s">
        <v>1781</v>
      </c>
      <c r="AB869" t="s">
        <v>1782</v>
      </c>
      <c r="AC869"/>
      <c r="AD869"/>
      <c r="AE869"/>
      <c r="AF869"/>
      <c r="AG869"/>
      <c r="AH869"/>
      <c r="AI869"/>
      <c r="AJ869"/>
      <c r="AK869"/>
      <c r="AL869"/>
      <c r="AM869"/>
      <c r="AN869"/>
      <c r="AO869" t="s">
        <v>719</v>
      </c>
      <c r="AP869" t="s">
        <v>720</v>
      </c>
      <c r="AQ869"/>
      <c r="AR869"/>
      <c r="AS869"/>
      <c r="AT869" t="s">
        <v>171</v>
      </c>
      <c r="AU869">
        <v>2022</v>
      </c>
      <c r="AV869"/>
      <c r="AW869">
        <v>476</v>
      </c>
      <c r="AX869"/>
      <c r="AY869"/>
      <c r="AZ869"/>
      <c r="BA869"/>
      <c r="BB869">
        <v>121</v>
      </c>
      <c r="BC869">
        <v>129</v>
      </c>
      <c r="BD869"/>
      <c r="BE869" t="s">
        <v>5588</v>
      </c>
      <c r="BF869" t="str">
        <f>HYPERLINK("http://dx.doi.org/10.17223/15617793/476/13","http://dx.doi.org/10.17223/15617793/476/13")</f>
        <v>http://dx.doi.org/10.17223/15617793/476/13</v>
      </c>
      <c r="BG869"/>
      <c r="BH869"/>
      <c r="BI869"/>
      <c r="BJ869"/>
      <c r="BK869"/>
      <c r="BL869"/>
      <c r="BM869"/>
      <c r="BN869"/>
      <c r="BO869"/>
      <c r="BP869"/>
      <c r="BQ869"/>
      <c r="BR869"/>
      <c r="BS869" t="s">
        <v>5589</v>
      </c>
      <c r="BT869" t="str">
        <f>HYPERLINK("https%3A%2F%2Fwww.webofscience.com%2Fwos%2Fwoscc%2Ffull-record%2FWOS:000868947100013","View Full Record in Web of Science")</f>
        <v>View Full Record in Web of Science</v>
      </c>
    </row>
    <row r="870" spans="1:75" customHeight="1" ht="12.75">
      <c r="A870" t="s">
        <v>72</v>
      </c>
      <c r="B870" t="s">
        <v>5590</v>
      </c>
      <c r="C870"/>
      <c r="D870"/>
      <c r="E870"/>
      <c r="F870" t="s">
        <v>5591</v>
      </c>
      <c r="G870"/>
      <c r="H870"/>
      <c r="I870" t="s">
        <v>5592</v>
      </c>
      <c r="J870" t="s">
        <v>4823</v>
      </c>
      <c r="K870"/>
      <c r="L870"/>
      <c r="M870"/>
      <c r="N870"/>
      <c r="O870"/>
      <c r="P870"/>
      <c r="Q870"/>
      <c r="R870"/>
      <c r="S870"/>
      <c r="T870"/>
      <c r="U870"/>
      <c r="V870"/>
      <c r="W870"/>
      <c r="X870"/>
      <c r="Y870"/>
      <c r="Z870"/>
      <c r="AA870" t="s">
        <v>5593</v>
      </c>
      <c r="AB870" t="s">
        <v>5594</v>
      </c>
      <c r="AC870"/>
      <c r="AD870"/>
      <c r="AE870"/>
      <c r="AF870"/>
      <c r="AG870"/>
      <c r="AH870"/>
      <c r="AI870"/>
      <c r="AJ870"/>
      <c r="AK870"/>
      <c r="AL870"/>
      <c r="AM870"/>
      <c r="AN870"/>
      <c r="AO870" t="s">
        <v>4826</v>
      </c>
      <c r="AP870"/>
      <c r="AQ870"/>
      <c r="AR870"/>
      <c r="AS870"/>
      <c r="AT870" t="s">
        <v>703</v>
      </c>
      <c r="AU870">
        <v>2020</v>
      </c>
      <c r="AV870">
        <v>20</v>
      </c>
      <c r="AW870">
        <v>4</v>
      </c>
      <c r="AX870"/>
      <c r="AY870"/>
      <c r="AZ870"/>
      <c r="BA870"/>
      <c r="BB870">
        <v>93</v>
      </c>
      <c r="BC870">
        <v>98</v>
      </c>
      <c r="BD870"/>
      <c r="BE870" t="s">
        <v>5595</v>
      </c>
      <c r="BF870" t="str">
        <f>HYPERLINK("http://dx.doi.org/10.18083/LCAppl.2020.4.93","http://dx.doi.org/10.18083/LCAppl.2020.4.93")</f>
        <v>http://dx.doi.org/10.18083/LCAppl.2020.4.93</v>
      </c>
      <c r="BG870"/>
      <c r="BH870"/>
      <c r="BI870"/>
      <c r="BJ870"/>
      <c r="BK870"/>
      <c r="BL870"/>
      <c r="BM870"/>
      <c r="BN870"/>
      <c r="BO870"/>
      <c r="BP870"/>
      <c r="BQ870"/>
      <c r="BR870"/>
      <c r="BS870" t="s">
        <v>5596</v>
      </c>
      <c r="BT870" t="str">
        <f>HYPERLINK("https%3A%2F%2Fwww.webofscience.com%2Fwos%2Fwoscc%2Ffull-record%2FWOS:000604530500010","View Full Record in Web of Science")</f>
        <v>View Full Record in Web of Science</v>
      </c>
    </row>
    <row r="871" spans="1:75" customHeight="1" ht="12.75">
      <c r="A871" t="s">
        <v>72</v>
      </c>
      <c r="B871" t="s">
        <v>5597</v>
      </c>
      <c r="C871"/>
      <c r="D871"/>
      <c r="E871"/>
      <c r="F871" t="s">
        <v>5598</v>
      </c>
      <c r="G871"/>
      <c r="H871"/>
      <c r="I871" t="s">
        <v>5599</v>
      </c>
      <c r="J871" t="s">
        <v>95</v>
      </c>
      <c r="K871"/>
      <c r="L871"/>
      <c r="M871"/>
      <c r="N871"/>
      <c r="O871"/>
      <c r="P871"/>
      <c r="Q871"/>
      <c r="R871"/>
      <c r="S871"/>
      <c r="T871"/>
      <c r="U871"/>
      <c r="V871"/>
      <c r="W871"/>
      <c r="X871"/>
      <c r="Y871"/>
      <c r="Z871"/>
      <c r="AA871" t="s">
        <v>5550</v>
      </c>
      <c r="AB871" t="s">
        <v>5600</v>
      </c>
      <c r="AC871"/>
      <c r="AD871"/>
      <c r="AE871"/>
      <c r="AF871"/>
      <c r="AG871"/>
      <c r="AH871"/>
      <c r="AI871"/>
      <c r="AJ871"/>
      <c r="AK871"/>
      <c r="AL871"/>
      <c r="AM871"/>
      <c r="AN871"/>
      <c r="AO871" t="s">
        <v>98</v>
      </c>
      <c r="AP871" t="s">
        <v>99</v>
      </c>
      <c r="AQ871"/>
      <c r="AR871"/>
      <c r="AS871"/>
      <c r="AT871"/>
      <c r="AU871">
        <v>2020</v>
      </c>
      <c r="AV871"/>
      <c r="AW871">
        <v>2</v>
      </c>
      <c r="AX871"/>
      <c r="AY871"/>
      <c r="AZ871"/>
      <c r="BA871"/>
      <c r="BB871">
        <v>130</v>
      </c>
      <c r="BC871">
        <v>135</v>
      </c>
      <c r="BD871"/>
      <c r="BE871" t="s">
        <v>5601</v>
      </c>
      <c r="BF871" t="str">
        <f>HYPERLINK("http://dx.doi.org/10.25750/1995-4301-2020-2-130-135","http://dx.doi.org/10.25750/1995-4301-2020-2-130-135")</f>
        <v>http://dx.doi.org/10.25750/1995-4301-2020-2-130-135</v>
      </c>
      <c r="BG871"/>
      <c r="BH871"/>
      <c r="BI871"/>
      <c r="BJ871"/>
      <c r="BK871"/>
      <c r="BL871"/>
      <c r="BM871"/>
      <c r="BN871"/>
      <c r="BO871"/>
      <c r="BP871"/>
      <c r="BQ871"/>
      <c r="BR871"/>
      <c r="BS871" t="s">
        <v>5602</v>
      </c>
      <c r="BT871" t="str">
        <f>HYPERLINK("https%3A%2F%2Fwww.webofscience.com%2Fwos%2Fwoscc%2Ffull-record%2FWOS:000545295600018","View Full Record in Web of Science")</f>
        <v>View Full Record in Web of Science</v>
      </c>
    </row>
    <row r="872" spans="1:75" customHeight="1" ht="12.75">
      <c r="A872" t="s">
        <v>72</v>
      </c>
      <c r="B872" t="s">
        <v>5603</v>
      </c>
      <c r="C872"/>
      <c r="D872"/>
      <c r="E872"/>
      <c r="F872" t="s">
        <v>5604</v>
      </c>
      <c r="G872"/>
      <c r="H872"/>
      <c r="I872" t="s">
        <v>5605</v>
      </c>
      <c r="J872" t="s">
        <v>668</v>
      </c>
      <c r="K872"/>
      <c r="L872"/>
      <c r="M872"/>
      <c r="N872"/>
      <c r="O872"/>
      <c r="P872"/>
      <c r="Q872"/>
      <c r="R872"/>
      <c r="S872"/>
      <c r="T872"/>
      <c r="U872"/>
      <c r="V872"/>
      <c r="W872"/>
      <c r="X872"/>
      <c r="Y872"/>
      <c r="Z872"/>
      <c r="AA872" t="s">
        <v>5606</v>
      </c>
      <c r="AB872" t="s">
        <v>5607</v>
      </c>
      <c r="AC872"/>
      <c r="AD872"/>
      <c r="AE872"/>
      <c r="AF872"/>
      <c r="AG872"/>
      <c r="AH872"/>
      <c r="AI872"/>
      <c r="AJ872"/>
      <c r="AK872"/>
      <c r="AL872"/>
      <c r="AM872"/>
      <c r="AN872"/>
      <c r="AO872" t="s">
        <v>669</v>
      </c>
      <c r="AP872" t="s">
        <v>670</v>
      </c>
      <c r="AQ872"/>
      <c r="AR872"/>
      <c r="AS872"/>
      <c r="AT872"/>
      <c r="AU872">
        <v>2020</v>
      </c>
      <c r="AV872"/>
      <c r="AW872">
        <v>7</v>
      </c>
      <c r="AX872"/>
      <c r="AY872"/>
      <c r="AZ872"/>
      <c r="BA872"/>
      <c r="BB872">
        <v>266</v>
      </c>
      <c r="BC872">
        <v>283</v>
      </c>
      <c r="BD872"/>
      <c r="BE872" t="s">
        <v>5608</v>
      </c>
      <c r="BF872" t="str">
        <f>HYPERLINK("http://dx.doi.org/10.24224/2227-1295-2020-7-266-283","http://dx.doi.org/10.24224/2227-1295-2020-7-266-283")</f>
        <v>http://dx.doi.org/10.24224/2227-1295-2020-7-266-283</v>
      </c>
      <c r="BG872"/>
      <c r="BH872"/>
      <c r="BI872"/>
      <c r="BJ872"/>
      <c r="BK872"/>
      <c r="BL872"/>
      <c r="BM872"/>
      <c r="BN872"/>
      <c r="BO872"/>
      <c r="BP872"/>
      <c r="BQ872"/>
      <c r="BR872"/>
      <c r="BS872" t="s">
        <v>5609</v>
      </c>
      <c r="BT872" t="str">
        <f>HYPERLINK("https%3A%2F%2Fwww.webofscience.com%2Fwos%2Fwoscc%2Ffull-record%2FWOS:000568419600017","View Full Record in Web of Science")</f>
        <v>View Full Record in Web of Science</v>
      </c>
    </row>
    <row r="873" spans="1:75" customHeight="1" ht="12.75">
      <c r="A873" t="s">
        <v>147</v>
      </c>
      <c r="B873" t="s">
        <v>5610</v>
      </c>
      <c r="C873"/>
      <c r="D873" t="s">
        <v>814</v>
      </c>
      <c r="E873"/>
      <c r="F873" t="s">
        <v>5611</v>
      </c>
      <c r="G873"/>
      <c r="H873"/>
      <c r="I873" t="s">
        <v>5612</v>
      </c>
      <c r="J873" t="s">
        <v>5613</v>
      </c>
      <c r="K873" t="s">
        <v>818</v>
      </c>
      <c r="L873"/>
      <c r="M873"/>
      <c r="N873"/>
      <c r="O873" t="s">
        <v>819</v>
      </c>
      <c r="P873" t="s">
        <v>820</v>
      </c>
      <c r="Q873" t="s">
        <v>156</v>
      </c>
      <c r="R873" t="s">
        <v>821</v>
      </c>
      <c r="S873"/>
      <c r="T873"/>
      <c r="U873"/>
      <c r="V873"/>
      <c r="W873"/>
      <c r="X873"/>
      <c r="Y873"/>
      <c r="Z873"/>
      <c r="AA873"/>
      <c r="AB873" t="s">
        <v>5614</v>
      </c>
      <c r="AC873"/>
      <c r="AD873"/>
      <c r="AE873"/>
      <c r="AF873"/>
      <c r="AG873"/>
      <c r="AH873"/>
      <c r="AI873"/>
      <c r="AJ873"/>
      <c r="AK873"/>
      <c r="AL873"/>
      <c r="AM873"/>
      <c r="AN873"/>
      <c r="AO873" t="s">
        <v>822</v>
      </c>
      <c r="AP873" t="s">
        <v>823</v>
      </c>
      <c r="AQ873" t="s">
        <v>5615</v>
      </c>
      <c r="AR873"/>
      <c r="AS873"/>
      <c r="AT873"/>
      <c r="AU873">
        <v>2020</v>
      </c>
      <c r="AV873"/>
      <c r="AW873"/>
      <c r="AX873"/>
      <c r="AY873"/>
      <c r="AZ873"/>
      <c r="BA873"/>
      <c r="BB873">
        <v>347</v>
      </c>
      <c r="BC873">
        <v>354</v>
      </c>
      <c r="BD873"/>
      <c r="BE873" t="s">
        <v>5616</v>
      </c>
      <c r="BF873" t="str">
        <f>HYPERLINK("http://dx.doi.org/10.1007/978-3-030-22063-1_37","http://dx.doi.org/10.1007/978-3-030-22063-1_37")</f>
        <v>http://dx.doi.org/10.1007/978-3-030-22063-1_37</v>
      </c>
      <c r="BG873"/>
      <c r="BH873"/>
      <c r="BI873"/>
      <c r="BJ873"/>
      <c r="BK873"/>
      <c r="BL873"/>
      <c r="BM873"/>
      <c r="BN873"/>
      <c r="BO873"/>
      <c r="BP873"/>
      <c r="BQ873"/>
      <c r="BR873"/>
      <c r="BS873" t="s">
        <v>5617</v>
      </c>
      <c r="BT873" t="str">
        <f>HYPERLINK("https%3A%2F%2Fwww.webofscience.com%2Fwos%2Fwoscc%2Ffull-record%2FWOS:000613005500037","View Full Record in Web of Science")</f>
        <v>View Full Record in Web of Science</v>
      </c>
    </row>
    <row r="874" spans="1:75" customHeight="1" ht="12.75">
      <c r="A874" t="s">
        <v>147</v>
      </c>
      <c r="B874" t="s">
        <v>5618</v>
      </c>
      <c r="C874"/>
      <c r="D874"/>
      <c r="E874" t="s">
        <v>175</v>
      </c>
      <c r="F874" t="s">
        <v>5619</v>
      </c>
      <c r="G874"/>
      <c r="H874"/>
      <c r="I874" t="s">
        <v>5620</v>
      </c>
      <c r="J874" t="s">
        <v>5621</v>
      </c>
      <c r="K874" t="s">
        <v>1469</v>
      </c>
      <c r="L874"/>
      <c r="M874"/>
      <c r="N874"/>
      <c r="O874" t="s">
        <v>5622</v>
      </c>
      <c r="P874" t="s">
        <v>5623</v>
      </c>
      <c r="Q874" t="s">
        <v>746</v>
      </c>
      <c r="R874" t="s">
        <v>5624</v>
      </c>
      <c r="S874"/>
      <c r="T874"/>
      <c r="U874"/>
      <c r="V874"/>
      <c r="W874"/>
      <c r="X874"/>
      <c r="Y874"/>
      <c r="Z874"/>
      <c r="AA874" t="s">
        <v>5625</v>
      </c>
      <c r="AB874" t="s">
        <v>5626</v>
      </c>
      <c r="AC874"/>
      <c r="AD874"/>
      <c r="AE874"/>
      <c r="AF874"/>
      <c r="AG874"/>
      <c r="AH874"/>
      <c r="AI874"/>
      <c r="AJ874"/>
      <c r="AK874"/>
      <c r="AL874"/>
      <c r="AM874"/>
      <c r="AN874"/>
      <c r="AO874" t="s">
        <v>1472</v>
      </c>
      <c r="AP874"/>
      <c r="AQ874"/>
      <c r="AR874"/>
      <c r="AS874"/>
      <c r="AT874"/>
      <c r="AU874">
        <v>2019</v>
      </c>
      <c r="AV874">
        <v>489</v>
      </c>
      <c r="AW874"/>
      <c r="AX874"/>
      <c r="AY874"/>
      <c r="AZ874"/>
      <c r="BA874"/>
      <c r="BB874"/>
      <c r="BC874"/>
      <c r="BD874">
        <v>12030</v>
      </c>
      <c r="BE874" t="s">
        <v>5627</v>
      </c>
      <c r="BF874" t="str">
        <f>HYPERLINK("http://dx.doi.org/10.1088/1757-899X/489/1/012030","http://dx.doi.org/10.1088/1757-899X/489/1/012030")</f>
        <v>http://dx.doi.org/10.1088/1757-899X/489/1/012030</v>
      </c>
      <c r="BG874"/>
      <c r="BH874"/>
      <c r="BI874"/>
      <c r="BJ874"/>
      <c r="BK874"/>
      <c r="BL874"/>
      <c r="BM874"/>
      <c r="BN874"/>
      <c r="BO874"/>
      <c r="BP874"/>
      <c r="BQ874"/>
      <c r="BR874"/>
      <c r="BS874" t="s">
        <v>5628</v>
      </c>
      <c r="BT874" t="str">
        <f>HYPERLINK("https%3A%2F%2Fwww.webofscience.com%2Fwos%2Fwoscc%2Ffull-record%2FWOS:000471174700030","View Full Record in Web of Science")</f>
        <v>View Full Record in Web of Science</v>
      </c>
    </row>
    <row r="875" spans="1:75" customHeight="1" ht="12.75">
      <c r="A875" t="s">
        <v>147</v>
      </c>
      <c r="B875" t="s">
        <v>5629</v>
      </c>
      <c r="C875"/>
      <c r="D875" t="s">
        <v>249</v>
      </c>
      <c r="E875"/>
      <c r="F875" t="s">
        <v>5630</v>
      </c>
      <c r="G875"/>
      <c r="H875"/>
      <c r="I875" t="s">
        <v>5631</v>
      </c>
      <c r="J875" t="s">
        <v>3582</v>
      </c>
      <c r="K875" t="s">
        <v>253</v>
      </c>
      <c r="L875"/>
      <c r="M875"/>
      <c r="N875"/>
      <c r="O875" t="s">
        <v>3583</v>
      </c>
      <c r="P875" t="s">
        <v>3584</v>
      </c>
      <c r="Q875" t="s">
        <v>256</v>
      </c>
      <c r="R875"/>
      <c r="S875" t="s">
        <v>257</v>
      </c>
      <c r="T875"/>
      <c r="U875"/>
      <c r="V875"/>
      <c r="W875"/>
      <c r="X875"/>
      <c r="Y875"/>
      <c r="Z875"/>
      <c r="AA875" t="s">
        <v>5632</v>
      </c>
      <c r="AB875" t="s">
        <v>3370</v>
      </c>
      <c r="AC875"/>
      <c r="AD875"/>
      <c r="AE875"/>
      <c r="AF875"/>
      <c r="AG875"/>
      <c r="AH875"/>
      <c r="AI875"/>
      <c r="AJ875"/>
      <c r="AK875"/>
      <c r="AL875"/>
      <c r="AM875"/>
      <c r="AN875"/>
      <c r="AO875" t="s">
        <v>259</v>
      </c>
      <c r="AP875"/>
      <c r="AQ875"/>
      <c r="AR875"/>
      <c r="AS875"/>
      <c r="AT875"/>
      <c r="AU875">
        <v>2018</v>
      </c>
      <c r="AV875">
        <v>45</v>
      </c>
      <c r="AW875"/>
      <c r="AX875"/>
      <c r="AY875"/>
      <c r="AZ875"/>
      <c r="BA875"/>
      <c r="BB875">
        <v>8</v>
      </c>
      <c r="BC875">
        <v>20</v>
      </c>
      <c r="BD875"/>
      <c r="BE875" t="s">
        <v>5633</v>
      </c>
      <c r="BF875" t="str">
        <f>HYPERLINK("http://dx.doi.org/10.15405/epsbs.2018.09.2","http://dx.doi.org/10.15405/epsbs.2018.09.2")</f>
        <v>http://dx.doi.org/10.15405/epsbs.2018.09.2</v>
      </c>
      <c r="BG875"/>
      <c r="BH875"/>
      <c r="BI875"/>
      <c r="BJ875"/>
      <c r="BK875"/>
      <c r="BL875"/>
      <c r="BM875"/>
      <c r="BN875"/>
      <c r="BO875"/>
      <c r="BP875"/>
      <c r="BQ875"/>
      <c r="BR875"/>
      <c r="BS875" t="s">
        <v>5634</v>
      </c>
      <c r="BT875" t="str">
        <f>HYPERLINK("https%3A%2F%2Fwww.webofscience.com%2Fwos%2Fwoscc%2Ffull-record%2FWOS:000472144400002","View Full Record in Web of Science")</f>
        <v>View Full Record in Web of Science</v>
      </c>
    </row>
    <row r="876" spans="1:75" customHeight="1" ht="12.75">
      <c r="A876" t="s">
        <v>147</v>
      </c>
      <c r="B876" t="s">
        <v>5635</v>
      </c>
      <c r="C876"/>
      <c r="D876" t="s">
        <v>5636</v>
      </c>
      <c r="E876"/>
      <c r="F876" t="s">
        <v>5637</v>
      </c>
      <c r="G876"/>
      <c r="H876"/>
      <c r="I876" t="s">
        <v>5638</v>
      </c>
      <c r="J876" t="s">
        <v>5639</v>
      </c>
      <c r="K876"/>
      <c r="L876"/>
      <c r="M876"/>
      <c r="N876"/>
      <c r="O876" t="s">
        <v>5640</v>
      </c>
      <c r="P876" t="s">
        <v>5641</v>
      </c>
      <c r="Q876" t="s">
        <v>1316</v>
      </c>
      <c r="R876" t="s">
        <v>5642</v>
      </c>
      <c r="S876"/>
      <c r="T876"/>
      <c r="U876"/>
      <c r="V876"/>
      <c r="W876"/>
      <c r="X876"/>
      <c r="Y876"/>
      <c r="Z876"/>
      <c r="AA876" t="s">
        <v>5643</v>
      </c>
      <c r="AB876" t="s">
        <v>5644</v>
      </c>
      <c r="AC876"/>
      <c r="AD876"/>
      <c r="AE876"/>
      <c r="AF876"/>
      <c r="AG876"/>
      <c r="AH876"/>
      <c r="AI876"/>
      <c r="AJ876"/>
      <c r="AK876"/>
      <c r="AL876"/>
      <c r="AM876"/>
      <c r="AN876"/>
      <c r="AO876"/>
      <c r="AP876"/>
      <c r="AQ876" t="s">
        <v>5645</v>
      </c>
      <c r="AR876"/>
      <c r="AS876"/>
      <c r="AT876"/>
      <c r="AU876">
        <v>2017</v>
      </c>
      <c r="AV876"/>
      <c r="AW876"/>
      <c r="AX876"/>
      <c r="AY876"/>
      <c r="AZ876"/>
      <c r="BA876"/>
      <c r="BB876">
        <v>656</v>
      </c>
      <c r="BC876">
        <v>664</v>
      </c>
      <c r="BD876"/>
      <c r="BE876"/>
      <c r="BF876"/>
      <c r="BG876"/>
      <c r="BH876"/>
      <c r="BI876"/>
      <c r="BJ876"/>
      <c r="BK876"/>
      <c r="BL876"/>
      <c r="BM876"/>
      <c r="BN876"/>
      <c r="BO876"/>
      <c r="BP876"/>
      <c r="BQ876"/>
      <c r="BR876"/>
      <c r="BS876" t="s">
        <v>5646</v>
      </c>
      <c r="BT876" t="str">
        <f>HYPERLINK("https%3A%2F%2Fwww.webofscience.com%2Fwos%2Fwoscc%2Ffull-record%2FWOS:000455325300065","View Full Record in Web of Science")</f>
        <v>View Full Record in Web of Science</v>
      </c>
    </row>
    <row r="877" spans="1:75" customHeight="1" ht="12.75">
      <c r="A877" t="s">
        <v>72</v>
      </c>
      <c r="B877" t="s">
        <v>5433</v>
      </c>
      <c r="C877"/>
      <c r="D877"/>
      <c r="E877"/>
      <c r="F877" t="s">
        <v>5434</v>
      </c>
      <c r="G877"/>
      <c r="H877"/>
      <c r="I877" t="s">
        <v>5647</v>
      </c>
      <c r="J877" t="s">
        <v>5436</v>
      </c>
      <c r="K877"/>
      <c r="L877"/>
      <c r="M877"/>
      <c r="N877"/>
      <c r="O877"/>
      <c r="P877"/>
      <c r="Q877"/>
      <c r="R877"/>
      <c r="S877"/>
      <c r="T877"/>
      <c r="U877"/>
      <c r="V877"/>
      <c r="W877"/>
      <c r="X877"/>
      <c r="Y877"/>
      <c r="Z877"/>
      <c r="AA877" t="s">
        <v>5648</v>
      </c>
      <c r="AB877" t="s">
        <v>5649</v>
      </c>
      <c r="AC877"/>
      <c r="AD877"/>
      <c r="AE877"/>
      <c r="AF877"/>
      <c r="AG877"/>
      <c r="AH877"/>
      <c r="AI877"/>
      <c r="AJ877"/>
      <c r="AK877"/>
      <c r="AL877"/>
      <c r="AM877"/>
      <c r="AN877"/>
      <c r="AO877" t="s">
        <v>5439</v>
      </c>
      <c r="AP877" t="s">
        <v>5440</v>
      </c>
      <c r="AQ877"/>
      <c r="AR877"/>
      <c r="AS877"/>
      <c r="AT877" t="s">
        <v>125</v>
      </c>
      <c r="AU877">
        <v>2015</v>
      </c>
      <c r="AV877">
        <v>51</v>
      </c>
      <c r="AW877">
        <v>3</v>
      </c>
      <c r="AX877"/>
      <c r="AY877"/>
      <c r="AZ877"/>
      <c r="BA877"/>
      <c r="BB877">
        <v>285</v>
      </c>
      <c r="BC877">
        <v>300</v>
      </c>
      <c r="BD877"/>
      <c r="BE877" t="s">
        <v>5650</v>
      </c>
      <c r="BF877" t="str">
        <f>HYPERLINK("http://dx.doi.org/10.1007/s11029-015-9500-0","http://dx.doi.org/10.1007/s11029-015-9500-0")</f>
        <v>http://dx.doi.org/10.1007/s11029-015-9500-0</v>
      </c>
      <c r="BG877"/>
      <c r="BH877"/>
      <c r="BI877"/>
      <c r="BJ877"/>
      <c r="BK877"/>
      <c r="BL877"/>
      <c r="BM877"/>
      <c r="BN877"/>
      <c r="BO877"/>
      <c r="BP877"/>
      <c r="BQ877"/>
      <c r="BR877"/>
      <c r="BS877" t="s">
        <v>5651</v>
      </c>
      <c r="BT877" t="str">
        <f>HYPERLINK("https%3A%2F%2Fwww.webofscience.com%2Fwos%2Fwoscc%2Ffull-record%2FWOS:000360935200003","View Full Record in Web of Science")</f>
        <v>View Full Record in Web of Science</v>
      </c>
    </row>
    <row r="878" spans="1:75" customHeight="1" ht="12.75">
      <c r="A878" t="s">
        <v>72</v>
      </c>
      <c r="B878" t="s">
        <v>5652</v>
      </c>
      <c r="C878"/>
      <c r="D878"/>
      <c r="E878"/>
      <c r="F878" t="s">
        <v>5653</v>
      </c>
      <c r="G878"/>
      <c r="H878"/>
      <c r="I878" t="s">
        <v>5654</v>
      </c>
      <c r="J878" t="s">
        <v>614</v>
      </c>
      <c r="K878"/>
      <c r="L878"/>
      <c r="M878"/>
      <c r="N878"/>
      <c r="O878" t="s">
        <v>3604</v>
      </c>
      <c r="P878" t="s">
        <v>3605</v>
      </c>
      <c r="Q878" t="s">
        <v>3159</v>
      </c>
      <c r="R878"/>
      <c r="S878"/>
      <c r="T878"/>
      <c r="U878"/>
      <c r="V878"/>
      <c r="W878"/>
      <c r="X878"/>
      <c r="Y878"/>
      <c r="Z878"/>
      <c r="AA878" t="s">
        <v>489</v>
      </c>
      <c r="AB878" t="s">
        <v>490</v>
      </c>
      <c r="AC878"/>
      <c r="AD878"/>
      <c r="AE878"/>
      <c r="AF878"/>
      <c r="AG878"/>
      <c r="AH878"/>
      <c r="AI878"/>
      <c r="AJ878"/>
      <c r="AK878"/>
      <c r="AL878"/>
      <c r="AM878"/>
      <c r="AN878"/>
      <c r="AO878" t="s">
        <v>617</v>
      </c>
      <c r="AP878"/>
      <c r="AQ878"/>
      <c r="AR878"/>
      <c r="AS878"/>
      <c r="AT878" t="s">
        <v>491</v>
      </c>
      <c r="AU878">
        <v>2009</v>
      </c>
      <c r="AV878">
        <v>45</v>
      </c>
      <c r="AW878">
        <v>6</v>
      </c>
      <c r="AX878"/>
      <c r="AY878"/>
      <c r="AZ878"/>
      <c r="BA878"/>
      <c r="BB878">
        <v>677</v>
      </c>
      <c r="BC878">
        <v>683</v>
      </c>
      <c r="BD878"/>
      <c r="BE878" t="s">
        <v>5655</v>
      </c>
      <c r="BF878" t="str">
        <f>HYPERLINK("http://dx.doi.org/10.1134/S1023193509060093","http://dx.doi.org/10.1134/S1023193509060093")</f>
        <v>http://dx.doi.org/10.1134/S1023193509060093</v>
      </c>
      <c r="BG878"/>
      <c r="BH878"/>
      <c r="BI878"/>
      <c r="BJ878"/>
      <c r="BK878"/>
      <c r="BL878"/>
      <c r="BM878"/>
      <c r="BN878"/>
      <c r="BO878"/>
      <c r="BP878"/>
      <c r="BQ878"/>
      <c r="BR878"/>
      <c r="BS878" t="s">
        <v>5656</v>
      </c>
      <c r="BT878" t="str">
        <f>HYPERLINK("https%3A%2F%2Fwww.webofscience.com%2Fwos%2Fwoscc%2Ffull-record%2FWOS:000267670800009","View Full Record in Web of Science")</f>
        <v>View Full Record in Web of Science</v>
      </c>
    </row>
    <row r="879" spans="1:75" customHeight="1" ht="12.75">
      <c r="A879" t="s">
        <v>72</v>
      </c>
      <c r="B879" t="s">
        <v>5657</v>
      </c>
      <c r="C879"/>
      <c r="D879"/>
      <c r="E879"/>
      <c r="F879" t="s">
        <v>5657</v>
      </c>
      <c r="G879"/>
      <c r="H879"/>
      <c r="I879" t="s">
        <v>5658</v>
      </c>
      <c r="J879" t="s">
        <v>409</v>
      </c>
      <c r="K879"/>
      <c r="L879"/>
      <c r="M879"/>
      <c r="N879"/>
      <c r="O879" t="s">
        <v>486</v>
      </c>
      <c r="P879" t="s">
        <v>487</v>
      </c>
      <c r="Q879" t="s">
        <v>488</v>
      </c>
      <c r="R879"/>
      <c r="S879"/>
      <c r="T879"/>
      <c r="U879"/>
      <c r="V879"/>
      <c r="W879"/>
      <c r="X879"/>
      <c r="Y879"/>
      <c r="Z879"/>
      <c r="AA879" t="s">
        <v>489</v>
      </c>
      <c r="AB879" t="s">
        <v>490</v>
      </c>
      <c r="AC879"/>
      <c r="AD879"/>
      <c r="AE879"/>
      <c r="AF879"/>
      <c r="AG879"/>
      <c r="AH879"/>
      <c r="AI879"/>
      <c r="AJ879"/>
      <c r="AK879"/>
      <c r="AL879"/>
      <c r="AM879"/>
      <c r="AN879"/>
      <c r="AO879" t="s">
        <v>412</v>
      </c>
      <c r="AP879"/>
      <c r="AQ879"/>
      <c r="AR879"/>
      <c r="AS879"/>
      <c r="AT879" t="s">
        <v>1173</v>
      </c>
      <c r="AU879">
        <v>2000</v>
      </c>
      <c r="AV879">
        <v>73</v>
      </c>
      <c r="AW879">
        <v>8</v>
      </c>
      <c r="AX879"/>
      <c r="AY879"/>
      <c r="AZ879"/>
      <c r="BA879"/>
      <c r="BB879">
        <v>1396</v>
      </c>
      <c r="BC879">
        <v>1404</v>
      </c>
      <c r="BD879"/>
      <c r="BE879"/>
      <c r="BF879"/>
      <c r="BG879"/>
      <c r="BH879"/>
      <c r="BI879"/>
      <c r="BJ879"/>
      <c r="BK879"/>
      <c r="BL879"/>
      <c r="BM879"/>
      <c r="BN879"/>
      <c r="BO879"/>
      <c r="BP879"/>
      <c r="BQ879"/>
      <c r="BR879"/>
      <c r="BS879" t="s">
        <v>5659</v>
      </c>
      <c r="BT879" t="str">
        <f>HYPERLINK("https%3A%2F%2Fwww.webofscience.com%2Fwos%2Fwoscc%2Ffull-record%2FWOS:000166725200018","View Full Record in Web of Science")</f>
        <v>View Full Record in Web of Science</v>
      </c>
    </row>
    <row r="880" spans="1:75" customHeight="1" ht="12.75">
      <c r="A880" t="s">
        <v>72</v>
      </c>
      <c r="B880" t="s">
        <v>3120</v>
      </c>
      <c r="C880"/>
      <c r="D880"/>
      <c r="E880"/>
      <c r="F880" t="s">
        <v>3122</v>
      </c>
      <c r="G880"/>
      <c r="H880"/>
      <c r="I880" t="s">
        <v>5660</v>
      </c>
      <c r="J880" t="s">
        <v>5661</v>
      </c>
      <c r="K880"/>
      <c r="L880"/>
      <c r="M880"/>
      <c r="N880"/>
      <c r="O880"/>
      <c r="P880"/>
      <c r="Q880"/>
      <c r="R880"/>
      <c r="S880"/>
      <c r="T880"/>
      <c r="U880"/>
      <c r="V880"/>
      <c r="W880"/>
      <c r="X880"/>
      <c r="Y880"/>
      <c r="Z880"/>
      <c r="AA880" t="s">
        <v>934</v>
      </c>
      <c r="AB880" t="s">
        <v>935</v>
      </c>
      <c r="AC880"/>
      <c r="AD880"/>
      <c r="AE880"/>
      <c r="AF880"/>
      <c r="AG880"/>
      <c r="AH880"/>
      <c r="AI880"/>
      <c r="AJ880"/>
      <c r="AK880"/>
      <c r="AL880"/>
      <c r="AM880"/>
      <c r="AN880"/>
      <c r="AO880" t="s">
        <v>5662</v>
      </c>
      <c r="AP880" t="s">
        <v>5663</v>
      </c>
      <c r="AQ880"/>
      <c r="AR880"/>
      <c r="AS880"/>
      <c r="AT880" t="s">
        <v>491</v>
      </c>
      <c r="AU880">
        <v>2020</v>
      </c>
      <c r="AV880">
        <v>140</v>
      </c>
      <c r="AW880"/>
      <c r="AX880"/>
      <c r="AY880"/>
      <c r="AZ880"/>
      <c r="BA880"/>
      <c r="BB880">
        <v>25</v>
      </c>
      <c r="BC880">
        <v>36</v>
      </c>
      <c r="BD880"/>
      <c r="BE880" t="s">
        <v>5664</v>
      </c>
      <c r="BF880" t="str">
        <f>HYPERLINK("http://dx.doi.org/10.1016/j.jpdc.2020.02.006","http://dx.doi.org/10.1016/j.jpdc.2020.02.006")</f>
        <v>http://dx.doi.org/10.1016/j.jpdc.2020.02.006</v>
      </c>
      <c r="BG880"/>
      <c r="BH880"/>
      <c r="BI880"/>
      <c r="BJ880"/>
      <c r="BK880"/>
      <c r="BL880"/>
      <c r="BM880"/>
      <c r="BN880"/>
      <c r="BO880"/>
      <c r="BP880"/>
      <c r="BQ880"/>
      <c r="BR880"/>
      <c r="BS880" t="s">
        <v>5665</v>
      </c>
      <c r="BT880" t="str">
        <f>HYPERLINK("https%3A%2F%2Fwww.webofscience.com%2Fwos%2Fwoscc%2Ffull-record%2FWOS:000527288900003","View Full Record in Web of Science")</f>
        <v>View Full Record in Web of Science</v>
      </c>
    </row>
    <row r="881" spans="1:75" customHeight="1" ht="12.75">
      <c r="A881" t="s">
        <v>72</v>
      </c>
      <c r="B881" t="s">
        <v>5666</v>
      </c>
      <c r="C881"/>
      <c r="D881"/>
      <c r="E881"/>
      <c r="F881" t="s">
        <v>5667</v>
      </c>
      <c r="G881"/>
      <c r="H881"/>
      <c r="I881" t="s">
        <v>5668</v>
      </c>
      <c r="J881" t="s">
        <v>4996</v>
      </c>
      <c r="K881"/>
      <c r="L881"/>
      <c r="M881"/>
      <c r="N881"/>
      <c r="O881"/>
      <c r="P881"/>
      <c r="Q881"/>
      <c r="R881"/>
      <c r="S881"/>
      <c r="T881"/>
      <c r="U881"/>
      <c r="V881"/>
      <c r="W881"/>
      <c r="X881"/>
      <c r="Y881"/>
      <c r="Z881"/>
      <c r="AA881" t="s">
        <v>1091</v>
      </c>
      <c r="AB881" t="s">
        <v>1092</v>
      </c>
      <c r="AC881"/>
      <c r="AD881"/>
      <c r="AE881"/>
      <c r="AF881"/>
      <c r="AG881"/>
      <c r="AH881"/>
      <c r="AI881"/>
      <c r="AJ881"/>
      <c r="AK881"/>
      <c r="AL881"/>
      <c r="AM881"/>
      <c r="AN881"/>
      <c r="AO881" t="s">
        <v>4999</v>
      </c>
      <c r="AP881" t="s">
        <v>5000</v>
      </c>
      <c r="AQ881"/>
      <c r="AR881"/>
      <c r="AS881"/>
      <c r="AT881"/>
      <c r="AU881">
        <v>2019</v>
      </c>
      <c r="AV881">
        <v>42</v>
      </c>
      <c r="AW881">
        <v>6</v>
      </c>
      <c r="AX881"/>
      <c r="AY881"/>
      <c r="AZ881"/>
      <c r="BA881"/>
      <c r="BB881">
        <v>825</v>
      </c>
      <c r="BC881">
        <v>836</v>
      </c>
      <c r="BD881"/>
      <c r="BE881" t="s">
        <v>5669</v>
      </c>
      <c r="BF881" t="str">
        <f>HYPERLINK("http://dx.doi.org/10.18720/MPM.4262019_14","http://dx.doi.org/10.18720/MPM.4262019_14")</f>
        <v>http://dx.doi.org/10.18720/MPM.4262019_14</v>
      </c>
      <c r="BG881"/>
      <c r="BH881"/>
      <c r="BI881"/>
      <c r="BJ881"/>
      <c r="BK881"/>
      <c r="BL881"/>
      <c r="BM881"/>
      <c r="BN881"/>
      <c r="BO881"/>
      <c r="BP881"/>
      <c r="BQ881"/>
      <c r="BR881"/>
      <c r="BS881" t="s">
        <v>5670</v>
      </c>
      <c r="BT881" t="str">
        <f>HYPERLINK("https%3A%2F%2Fwww.webofscience.com%2Fwos%2Fwoscc%2Ffull-record%2FWOS:000504843000014","View Full Record in Web of Science")</f>
        <v>View Full Record in Web of Science</v>
      </c>
    </row>
    <row r="882" spans="1:75" customHeight="1" ht="12.75">
      <c r="A882" t="s">
        <v>147</v>
      </c>
      <c r="B882" t="s">
        <v>5671</v>
      </c>
      <c r="C882"/>
      <c r="D882"/>
      <c r="E882"/>
      <c r="F882" t="s">
        <v>5672</v>
      </c>
      <c r="G882"/>
      <c r="H882"/>
      <c r="I882" t="s">
        <v>5673</v>
      </c>
      <c r="J882" t="s">
        <v>769</v>
      </c>
      <c r="K882"/>
      <c r="L882"/>
      <c r="M882"/>
      <c r="N882"/>
      <c r="O882" t="s">
        <v>1277</v>
      </c>
      <c r="P882" t="s">
        <v>5199</v>
      </c>
      <c r="Q882" t="s">
        <v>772</v>
      </c>
      <c r="R882" t="s">
        <v>773</v>
      </c>
      <c r="S882"/>
      <c r="T882"/>
      <c r="U882"/>
      <c r="V882"/>
      <c r="W882"/>
      <c r="X882"/>
      <c r="Y882"/>
      <c r="Z882"/>
      <c r="AA882"/>
      <c r="AB882" t="s">
        <v>3489</v>
      </c>
      <c r="AC882"/>
      <c r="AD882"/>
      <c r="AE882"/>
      <c r="AF882"/>
      <c r="AG882"/>
      <c r="AH882"/>
      <c r="AI882"/>
      <c r="AJ882"/>
      <c r="AK882"/>
      <c r="AL882"/>
      <c r="AM882"/>
      <c r="AN882"/>
      <c r="AO882" t="s">
        <v>775</v>
      </c>
      <c r="AP882"/>
      <c r="AQ882"/>
      <c r="AR882"/>
      <c r="AS882"/>
      <c r="AT882"/>
      <c r="AU882">
        <v>2019</v>
      </c>
      <c r="AV882">
        <v>19</v>
      </c>
      <c r="AW882"/>
      <c r="AX882">
        <v>5</v>
      </c>
      <c r="AY882"/>
      <c r="AZ882"/>
      <c r="BA882"/>
      <c r="BB882">
        <v>2323</v>
      </c>
      <c r="BC882">
        <v>2328</v>
      </c>
      <c r="BD882"/>
      <c r="BE882" t="s">
        <v>5674</v>
      </c>
      <c r="BF882" t="str">
        <f>HYPERLINK("http://dx.doi.org/10.1016/j.matpr.2019.07.680","http://dx.doi.org/10.1016/j.matpr.2019.07.680")</f>
        <v>http://dx.doi.org/10.1016/j.matpr.2019.07.680</v>
      </c>
      <c r="BG882"/>
      <c r="BH882"/>
      <c r="BI882"/>
      <c r="BJ882"/>
      <c r="BK882"/>
      <c r="BL882"/>
      <c r="BM882"/>
      <c r="BN882"/>
      <c r="BO882"/>
      <c r="BP882"/>
      <c r="BQ882"/>
      <c r="BR882"/>
      <c r="BS882" t="s">
        <v>5675</v>
      </c>
      <c r="BT882" t="str">
        <f>HYPERLINK("https%3A%2F%2Fwww.webofscience.com%2Fwos%2Fwoscc%2Ffull-record%2FWOS:000507473500119","View Full Record in Web of Science")</f>
        <v>View Full Record in Web of Science</v>
      </c>
    </row>
    <row r="883" spans="1:75" customHeight="1" ht="12.75">
      <c r="A883" t="s">
        <v>147</v>
      </c>
      <c r="B883" t="s">
        <v>5676</v>
      </c>
      <c r="C883"/>
      <c r="D883" t="s">
        <v>5677</v>
      </c>
      <c r="E883"/>
      <c r="F883" t="s">
        <v>5678</v>
      </c>
      <c r="G883"/>
      <c r="H883"/>
      <c r="I883" t="s">
        <v>5679</v>
      </c>
      <c r="J883" t="s">
        <v>5680</v>
      </c>
      <c r="K883"/>
      <c r="L883"/>
      <c r="M883"/>
      <c r="N883"/>
      <c r="O883" t="s">
        <v>5681</v>
      </c>
      <c r="P883" t="s">
        <v>5682</v>
      </c>
      <c r="Q883" t="s">
        <v>5683</v>
      </c>
      <c r="R883" t="s">
        <v>5684</v>
      </c>
      <c r="S883"/>
      <c r="T883"/>
      <c r="U883"/>
      <c r="V883"/>
      <c r="W883"/>
      <c r="X883"/>
      <c r="Y883"/>
      <c r="Z883"/>
      <c r="AA883" t="s">
        <v>5685</v>
      </c>
      <c r="AB883" t="s">
        <v>5686</v>
      </c>
      <c r="AC883"/>
      <c r="AD883"/>
      <c r="AE883"/>
      <c r="AF883"/>
      <c r="AG883"/>
      <c r="AH883"/>
      <c r="AI883"/>
      <c r="AJ883"/>
      <c r="AK883"/>
      <c r="AL883"/>
      <c r="AM883"/>
      <c r="AN883"/>
      <c r="AO883"/>
      <c r="AP883"/>
      <c r="AQ883" t="s">
        <v>5687</v>
      </c>
      <c r="AR883"/>
      <c r="AS883"/>
      <c r="AT883"/>
      <c r="AU883">
        <v>2016</v>
      </c>
      <c r="AV883"/>
      <c r="AW883"/>
      <c r="AX883"/>
      <c r="AY883"/>
      <c r="AZ883"/>
      <c r="BA883"/>
      <c r="BB883">
        <v>675</v>
      </c>
      <c r="BC883">
        <v>680</v>
      </c>
      <c r="BD883"/>
      <c r="BE883" t="s">
        <v>5688</v>
      </c>
      <c r="BF883" t="str">
        <f>HYPERLINK("http://dx.doi.org/10.1109/IIAI-AAI.2016.92","http://dx.doi.org/10.1109/IIAI-AAI.2016.92")</f>
        <v>http://dx.doi.org/10.1109/IIAI-AAI.2016.92</v>
      </c>
      <c r="BG883"/>
      <c r="BH883"/>
      <c r="BI883"/>
      <c r="BJ883"/>
      <c r="BK883"/>
      <c r="BL883"/>
      <c r="BM883"/>
      <c r="BN883"/>
      <c r="BO883"/>
      <c r="BP883"/>
      <c r="BQ883"/>
      <c r="BR883"/>
      <c r="BS883" t="s">
        <v>5689</v>
      </c>
      <c r="BT883" t="str">
        <f>HYPERLINK("https%3A%2F%2Fwww.webofscience.com%2Fwos%2Fwoscc%2Ffull-record%2FWOS:000389501300131","View Full Record in Web of Science")</f>
        <v>View Full Record in Web of Science</v>
      </c>
    </row>
    <row r="884" spans="1:75" customHeight="1" ht="12.75">
      <c r="A884" t="s">
        <v>72</v>
      </c>
      <c r="B884" t="s">
        <v>5690</v>
      </c>
      <c r="C884"/>
      <c r="D884"/>
      <c r="E884"/>
      <c r="F884" t="s">
        <v>5690</v>
      </c>
      <c r="G884"/>
      <c r="H884"/>
      <c r="I884" t="s">
        <v>5691</v>
      </c>
      <c r="J884" t="s">
        <v>614</v>
      </c>
      <c r="K884"/>
      <c r="L884"/>
      <c r="M884"/>
      <c r="N884"/>
      <c r="O884"/>
      <c r="P884"/>
      <c r="Q884"/>
      <c r="R884"/>
      <c r="S884"/>
      <c r="T884"/>
      <c r="U884"/>
      <c r="V884"/>
      <c r="W884"/>
      <c r="X884"/>
      <c r="Y884"/>
      <c r="Z884"/>
      <c r="AA884" t="s">
        <v>489</v>
      </c>
      <c r="AB884" t="s">
        <v>490</v>
      </c>
      <c r="AC884"/>
      <c r="AD884"/>
      <c r="AE884"/>
      <c r="AF884"/>
      <c r="AG884"/>
      <c r="AH884"/>
      <c r="AI884"/>
      <c r="AJ884"/>
      <c r="AK884"/>
      <c r="AL884"/>
      <c r="AM884"/>
      <c r="AN884"/>
      <c r="AO884" t="s">
        <v>617</v>
      </c>
      <c r="AP884" t="s">
        <v>1720</v>
      </c>
      <c r="AQ884"/>
      <c r="AR884"/>
      <c r="AS884"/>
      <c r="AT884" t="s">
        <v>491</v>
      </c>
      <c r="AU884">
        <v>2005</v>
      </c>
      <c r="AV884">
        <v>41</v>
      </c>
      <c r="AW884">
        <v>6</v>
      </c>
      <c r="AX884"/>
      <c r="AY884"/>
      <c r="AZ884"/>
      <c r="BA884"/>
      <c r="BB884">
        <v>632</v>
      </c>
      <c r="BC884">
        <v>638</v>
      </c>
      <c r="BD884"/>
      <c r="BE884" t="s">
        <v>5692</v>
      </c>
      <c r="BF884" t="str">
        <f>HYPERLINK("http://dx.doi.org/10.1007/s11175-005-0116-x","http://dx.doi.org/10.1007/s11175-005-0116-x")</f>
        <v>http://dx.doi.org/10.1007/s11175-005-0116-x</v>
      </c>
      <c r="BG884"/>
      <c r="BH884"/>
      <c r="BI884"/>
      <c r="BJ884"/>
      <c r="BK884"/>
      <c r="BL884"/>
      <c r="BM884"/>
      <c r="BN884"/>
      <c r="BO884"/>
      <c r="BP884"/>
      <c r="BQ884"/>
      <c r="BR884"/>
      <c r="BS884" t="s">
        <v>5693</v>
      </c>
      <c r="BT884" t="str">
        <f>HYPERLINK("https%3A%2F%2Fwww.webofscience.com%2Fwos%2Fwoscc%2Ffull-record%2FWOS:000230551900006","View Full Record in Web of Science")</f>
        <v>View Full Record in Web of Science</v>
      </c>
    </row>
    <row r="885" spans="1:75" customHeight="1" ht="12.75">
      <c r="A885" t="s">
        <v>72</v>
      </c>
      <c r="B885" t="s">
        <v>5694</v>
      </c>
      <c r="C885"/>
      <c r="D885"/>
      <c r="E885"/>
      <c r="F885" t="s">
        <v>5694</v>
      </c>
      <c r="G885"/>
      <c r="H885"/>
      <c r="I885" t="s">
        <v>5695</v>
      </c>
      <c r="J885" t="s">
        <v>3317</v>
      </c>
      <c r="K885"/>
      <c r="L885"/>
      <c r="M885"/>
      <c r="N885"/>
      <c r="O885"/>
      <c r="P885"/>
      <c r="Q885"/>
      <c r="R885"/>
      <c r="S885"/>
      <c r="T885"/>
      <c r="U885"/>
      <c r="V885"/>
      <c r="W885"/>
      <c r="X885"/>
      <c r="Y885"/>
      <c r="Z885"/>
      <c r="AA885" t="s">
        <v>5696</v>
      </c>
      <c r="AB885" t="s">
        <v>5697</v>
      </c>
      <c r="AC885"/>
      <c r="AD885"/>
      <c r="AE885"/>
      <c r="AF885"/>
      <c r="AG885"/>
      <c r="AH885"/>
      <c r="AI885"/>
      <c r="AJ885"/>
      <c r="AK885"/>
      <c r="AL885"/>
      <c r="AM885"/>
      <c r="AN885"/>
      <c r="AO885" t="s">
        <v>3318</v>
      </c>
      <c r="AP885" t="s">
        <v>5698</v>
      </c>
      <c r="AQ885"/>
      <c r="AR885"/>
      <c r="AS885"/>
      <c r="AT885" t="s">
        <v>830</v>
      </c>
      <c r="AU885">
        <v>2004</v>
      </c>
      <c r="AV885">
        <v>59</v>
      </c>
      <c r="AW885">
        <v>9</v>
      </c>
      <c r="AX885"/>
      <c r="AY885"/>
      <c r="AZ885"/>
      <c r="BA885"/>
      <c r="BB885">
        <v>841</v>
      </c>
      <c r="BC885">
        <v>846</v>
      </c>
      <c r="BD885"/>
      <c r="BE885" t="s">
        <v>5699</v>
      </c>
      <c r="BF885" t="str">
        <f>HYPERLINK("http://dx.doi.org/10.1023/B:JANC.0000040698.44884.ad","http://dx.doi.org/10.1023/B:JANC.0000040698.44884.ad")</f>
        <v>http://dx.doi.org/10.1023/B:JANC.0000040698.44884.ad</v>
      </c>
      <c r="BG885"/>
      <c r="BH885"/>
      <c r="BI885"/>
      <c r="BJ885"/>
      <c r="BK885"/>
      <c r="BL885"/>
      <c r="BM885"/>
      <c r="BN885"/>
      <c r="BO885"/>
      <c r="BP885"/>
      <c r="BQ885"/>
      <c r="BR885"/>
      <c r="BS885" t="s">
        <v>5700</v>
      </c>
      <c r="BT885" t="str">
        <f>HYPERLINK("https%3A%2F%2Fwww.webofscience.com%2Fwos%2Fwoscc%2Ffull-record%2FWOS:000224141700006","View Full Record in Web of Science")</f>
        <v>View Full Record in Web of Science</v>
      </c>
    </row>
    <row r="886" spans="1:75" customHeight="1" ht="12.75">
      <c r="A886" t="s">
        <v>72</v>
      </c>
      <c r="B886" t="s">
        <v>5207</v>
      </c>
      <c r="C886"/>
      <c r="D886"/>
      <c r="E886"/>
      <c r="F886" t="s">
        <v>5701</v>
      </c>
      <c r="G886"/>
      <c r="H886"/>
      <c r="I886" t="s">
        <v>5702</v>
      </c>
      <c r="J886" t="s">
        <v>4849</v>
      </c>
      <c r="K886"/>
      <c r="L886"/>
      <c r="M886"/>
      <c r="N886"/>
      <c r="O886"/>
      <c r="P886"/>
      <c r="Q886"/>
      <c r="R886"/>
      <c r="S886"/>
      <c r="T886"/>
      <c r="U886"/>
      <c r="V886"/>
      <c r="W886"/>
      <c r="X886"/>
      <c r="Y886"/>
      <c r="Z886"/>
      <c r="AA886" t="s">
        <v>4850</v>
      </c>
      <c r="AB886" t="s">
        <v>4851</v>
      </c>
      <c r="AC886"/>
      <c r="AD886"/>
      <c r="AE886"/>
      <c r="AF886"/>
      <c r="AG886"/>
      <c r="AH886"/>
      <c r="AI886"/>
      <c r="AJ886"/>
      <c r="AK886"/>
      <c r="AL886"/>
      <c r="AM886"/>
      <c r="AN886"/>
      <c r="AO886" t="s">
        <v>4852</v>
      </c>
      <c r="AP886" t="s">
        <v>4853</v>
      </c>
      <c r="AQ886"/>
      <c r="AR886"/>
      <c r="AS886"/>
      <c r="AT886" t="s">
        <v>491</v>
      </c>
      <c r="AU886">
        <v>2022</v>
      </c>
      <c r="AV886">
        <v>99</v>
      </c>
      <c r="AW886">
        <v>6</v>
      </c>
      <c r="AX886"/>
      <c r="AY886"/>
      <c r="AZ886"/>
      <c r="BA886"/>
      <c r="BB886">
        <v>635</v>
      </c>
      <c r="BC886">
        <v>637</v>
      </c>
      <c r="BD886"/>
      <c r="BE886" t="s">
        <v>5703</v>
      </c>
      <c r="BF886" t="str">
        <f>HYPERLINK("http://dx.doi.org/10.1111/tan.14558","http://dx.doi.org/10.1111/tan.14558")</f>
        <v>http://dx.doi.org/10.1111/tan.14558</v>
      </c>
      <c r="BG886"/>
      <c r="BH886" t="s">
        <v>3630</v>
      </c>
      <c r="BI886"/>
      <c r="BJ886"/>
      <c r="BK886"/>
      <c r="BL886"/>
      <c r="BM886"/>
      <c r="BN886">
        <v>35064637</v>
      </c>
      <c r="BO886"/>
      <c r="BP886"/>
      <c r="BQ886"/>
      <c r="BR886"/>
      <c r="BS886" t="s">
        <v>5704</v>
      </c>
      <c r="BT886" t="str">
        <f>HYPERLINK("https%3A%2F%2Fwww.webofscience.com%2Fwos%2Fwoscc%2Ffull-record%2FWOS:000749250800001","View Full Record in Web of Science")</f>
        <v>View Full Record in Web of Science</v>
      </c>
    </row>
    <row r="887" spans="1:75" customHeight="1" ht="12.75">
      <c r="A887" t="s">
        <v>72</v>
      </c>
      <c r="B887" t="s">
        <v>5705</v>
      </c>
      <c r="C887"/>
      <c r="D887"/>
      <c r="E887"/>
      <c r="F887" t="s">
        <v>5706</v>
      </c>
      <c r="G887"/>
      <c r="H887"/>
      <c r="I887" t="s">
        <v>5707</v>
      </c>
      <c r="J887" t="s">
        <v>194</v>
      </c>
      <c r="K887"/>
      <c r="L887"/>
      <c r="M887"/>
      <c r="N887"/>
      <c r="O887"/>
      <c r="P887"/>
      <c r="Q887"/>
      <c r="R887"/>
      <c r="S887"/>
      <c r="T887"/>
      <c r="U887"/>
      <c r="V887"/>
      <c r="W887"/>
      <c r="X887"/>
      <c r="Y887"/>
      <c r="Z887"/>
      <c r="AA887" t="s">
        <v>5708</v>
      </c>
      <c r="AB887" t="s">
        <v>5709</v>
      </c>
      <c r="AC887"/>
      <c r="AD887"/>
      <c r="AE887"/>
      <c r="AF887"/>
      <c r="AG887"/>
      <c r="AH887"/>
      <c r="AI887"/>
      <c r="AJ887"/>
      <c r="AK887"/>
      <c r="AL887"/>
      <c r="AM887"/>
      <c r="AN887"/>
      <c r="AO887" t="s">
        <v>196</v>
      </c>
      <c r="AP887" t="s">
        <v>197</v>
      </c>
      <c r="AQ887"/>
      <c r="AR887"/>
      <c r="AS887"/>
      <c r="AT887" t="s">
        <v>1173</v>
      </c>
      <c r="AU887">
        <v>2020</v>
      </c>
      <c r="AV887">
        <v>23</v>
      </c>
      <c r="AW887"/>
      <c r="AX887"/>
      <c r="AY887"/>
      <c r="AZ887"/>
      <c r="BA887"/>
      <c r="BB887">
        <v>115</v>
      </c>
      <c r="BC887">
        <v>130</v>
      </c>
      <c r="BD887"/>
      <c r="BE887" t="s">
        <v>5710</v>
      </c>
      <c r="BF887" t="str">
        <f>HYPERLINK("http://dx.doi.org/10.17223/23062061/23/7","http://dx.doi.org/10.17223/23062061/23/7")</f>
        <v>http://dx.doi.org/10.17223/23062061/23/7</v>
      </c>
      <c r="BG887"/>
      <c r="BH887"/>
      <c r="BI887"/>
      <c r="BJ887"/>
      <c r="BK887"/>
      <c r="BL887"/>
      <c r="BM887"/>
      <c r="BN887"/>
      <c r="BO887"/>
      <c r="BP887"/>
      <c r="BQ887"/>
      <c r="BR887"/>
      <c r="BS887" t="s">
        <v>5711</v>
      </c>
      <c r="BT887" t="str">
        <f>HYPERLINK("https%3A%2F%2Fwww.webofscience.com%2Fwos%2Fwoscc%2Ffull-record%2FWOS:000574371400007","View Full Record in Web of Science")</f>
        <v>View Full Record in Web of Science</v>
      </c>
    </row>
    <row r="888" spans="1:75" customHeight="1" ht="12.75">
      <c r="A888" t="s">
        <v>147</v>
      </c>
      <c r="B888" t="s">
        <v>5712</v>
      </c>
      <c r="C888"/>
      <c r="D888" t="s">
        <v>1876</v>
      </c>
      <c r="E888"/>
      <c r="F888" t="s">
        <v>5713</v>
      </c>
      <c r="G888"/>
      <c r="H888"/>
      <c r="I888" t="s">
        <v>5714</v>
      </c>
      <c r="J888" t="s">
        <v>1879</v>
      </c>
      <c r="K888" t="s">
        <v>1276</v>
      </c>
      <c r="L888"/>
      <c r="M888"/>
      <c r="N888"/>
      <c r="O888" t="s">
        <v>1880</v>
      </c>
      <c r="P888" t="s">
        <v>1881</v>
      </c>
      <c r="Q888" t="s">
        <v>1882</v>
      </c>
      <c r="R888" t="s">
        <v>1883</v>
      </c>
      <c r="S888" t="s">
        <v>1884</v>
      </c>
      <c r="T888"/>
      <c r="U888"/>
      <c r="V888"/>
      <c r="W888"/>
      <c r="X888"/>
      <c r="Y888"/>
      <c r="Z888"/>
      <c r="AA888" t="s">
        <v>5715</v>
      </c>
      <c r="AB888" t="s">
        <v>5716</v>
      </c>
      <c r="AC888"/>
      <c r="AD888"/>
      <c r="AE888"/>
      <c r="AF888"/>
      <c r="AG888"/>
      <c r="AH888"/>
      <c r="AI888"/>
      <c r="AJ888"/>
      <c r="AK888"/>
      <c r="AL888"/>
      <c r="AM888"/>
      <c r="AN888"/>
      <c r="AO888" t="s">
        <v>1282</v>
      </c>
      <c r="AP888"/>
      <c r="AQ888"/>
      <c r="AR888"/>
      <c r="AS888"/>
      <c r="AT888"/>
      <c r="AU888">
        <v>2017</v>
      </c>
      <c r="AV888">
        <v>106</v>
      </c>
      <c r="AW888"/>
      <c r="AX888"/>
      <c r="AY888"/>
      <c r="AZ888"/>
      <c r="BA888"/>
      <c r="BB888"/>
      <c r="BC888"/>
      <c r="BD888">
        <v>8076</v>
      </c>
      <c r="BE888" t="s">
        <v>5717</v>
      </c>
      <c r="BF888" t="str">
        <f>HYPERLINK("http://dx.doi.org/10.1051/matecconf/201710608076","http://dx.doi.org/10.1051/matecconf/201710608076")</f>
        <v>http://dx.doi.org/10.1051/matecconf/201710608076</v>
      </c>
      <c r="BG888"/>
      <c r="BH888"/>
      <c r="BI888"/>
      <c r="BJ888"/>
      <c r="BK888"/>
      <c r="BL888"/>
      <c r="BM888"/>
      <c r="BN888"/>
      <c r="BO888"/>
      <c r="BP888"/>
      <c r="BQ888"/>
      <c r="BR888"/>
      <c r="BS888" t="s">
        <v>5718</v>
      </c>
      <c r="BT888" t="str">
        <f>HYPERLINK("https%3A%2F%2Fwww.webofscience.com%2Fwos%2Fwoscc%2Ffull-record%2FWOS:000426426600261","View Full Record in Web of Science")</f>
        <v>View Full Record in Web of Science</v>
      </c>
    </row>
    <row r="889" spans="1:75" customHeight="1" ht="12.75">
      <c r="A889" t="s">
        <v>72</v>
      </c>
      <c r="B889" t="s">
        <v>5240</v>
      </c>
      <c r="C889"/>
      <c r="D889"/>
      <c r="E889"/>
      <c r="F889" t="s">
        <v>5240</v>
      </c>
      <c r="G889"/>
      <c r="H889"/>
      <c r="I889" t="s">
        <v>5719</v>
      </c>
      <c r="J889" t="s">
        <v>5446</v>
      </c>
      <c r="K889"/>
      <c r="L889"/>
      <c r="M889"/>
      <c r="N889"/>
      <c r="O889"/>
      <c r="P889"/>
      <c r="Q889"/>
      <c r="R889"/>
      <c r="S889"/>
      <c r="T889"/>
      <c r="U889"/>
      <c r="V889"/>
      <c r="W889"/>
      <c r="X889"/>
      <c r="Y889"/>
      <c r="Z889"/>
      <c r="AA889"/>
      <c r="AB889"/>
      <c r="AC889"/>
      <c r="AD889"/>
      <c r="AE889"/>
      <c r="AF889"/>
      <c r="AG889"/>
      <c r="AH889"/>
      <c r="AI889"/>
      <c r="AJ889"/>
      <c r="AK889"/>
      <c r="AL889"/>
      <c r="AM889"/>
      <c r="AN889"/>
      <c r="AO889" t="s">
        <v>5447</v>
      </c>
      <c r="AP889"/>
      <c r="AQ889"/>
      <c r="AR889"/>
      <c r="AS889"/>
      <c r="AT889" t="s">
        <v>88</v>
      </c>
      <c r="AU889">
        <v>2006</v>
      </c>
      <c r="AV889">
        <v>42</v>
      </c>
      <c r="AW889">
        <v>5</v>
      </c>
      <c r="AX889"/>
      <c r="AY889"/>
      <c r="AZ889"/>
      <c r="BA889"/>
      <c r="BB889">
        <v>474</v>
      </c>
      <c r="BC889">
        <v>478</v>
      </c>
      <c r="BD889"/>
      <c r="BE889" t="s">
        <v>5720</v>
      </c>
      <c r="BF889" t="str">
        <f>HYPERLINK("http://dx.doi.org/10.1134/S0020168506050049","http://dx.doi.org/10.1134/S0020168506050049")</f>
        <v>http://dx.doi.org/10.1134/S0020168506050049</v>
      </c>
      <c r="BG889"/>
      <c r="BH889"/>
      <c r="BI889"/>
      <c r="BJ889"/>
      <c r="BK889"/>
      <c r="BL889"/>
      <c r="BM889"/>
      <c r="BN889"/>
      <c r="BO889"/>
      <c r="BP889"/>
      <c r="BQ889"/>
      <c r="BR889"/>
      <c r="BS889" t="s">
        <v>5721</v>
      </c>
      <c r="BT889" t="str">
        <f>HYPERLINK("https%3A%2F%2Fwww.webofscience.com%2Fwos%2Fwoscc%2Ffull-record%2FWOS:000237676000004","View Full Record in Web of Science")</f>
        <v>View Full Record in Web of Science</v>
      </c>
    </row>
    <row r="890" spans="1:75" customHeight="1" ht="12.75">
      <c r="A890" t="s">
        <v>72</v>
      </c>
      <c r="B890" t="s">
        <v>378</v>
      </c>
      <c r="C890"/>
      <c r="D890"/>
      <c r="E890"/>
      <c r="F890" t="s">
        <v>1226</v>
      </c>
      <c r="G890"/>
      <c r="H890"/>
      <c r="I890" t="s">
        <v>5722</v>
      </c>
      <c r="J890" t="s">
        <v>5309</v>
      </c>
      <c r="K890"/>
      <c r="L890"/>
      <c r="M890"/>
      <c r="N890"/>
      <c r="O890"/>
      <c r="P890"/>
      <c r="Q890"/>
      <c r="R890"/>
      <c r="S890"/>
      <c r="T890"/>
      <c r="U890"/>
      <c r="V890"/>
      <c r="W890"/>
      <c r="X890"/>
      <c r="Y890"/>
      <c r="Z890"/>
      <c r="AA890"/>
      <c r="AB890"/>
      <c r="AC890"/>
      <c r="AD890"/>
      <c r="AE890"/>
      <c r="AF890"/>
      <c r="AG890"/>
      <c r="AH890"/>
      <c r="AI890"/>
      <c r="AJ890"/>
      <c r="AK890"/>
      <c r="AL890"/>
      <c r="AM890"/>
      <c r="AN890"/>
      <c r="AO890" t="s">
        <v>5310</v>
      </c>
      <c r="AP890"/>
      <c r="AQ890"/>
      <c r="AR890"/>
      <c r="AS890"/>
      <c r="AT890"/>
      <c r="AU890">
        <v>2022</v>
      </c>
      <c r="AV890">
        <v>9</v>
      </c>
      <c r="AW890">
        <v>4</v>
      </c>
      <c r="AX890"/>
      <c r="AY890"/>
      <c r="AZ890"/>
      <c r="BA890"/>
      <c r="BB890">
        <v>57</v>
      </c>
      <c r="BC890">
        <v>61</v>
      </c>
      <c r="BD890"/>
      <c r="BE890" t="s">
        <v>5723</v>
      </c>
      <c r="BF890" t="str">
        <f>HYPERLINK("http://dx.doi.org/10.51847/h2jlKTkM26","http://dx.doi.org/10.51847/h2jlKTkM26")</f>
        <v>http://dx.doi.org/10.51847/h2jlKTkM26</v>
      </c>
      <c r="BG890"/>
      <c r="BH890"/>
      <c r="BI890"/>
      <c r="BJ890"/>
      <c r="BK890"/>
      <c r="BL890"/>
      <c r="BM890"/>
      <c r="BN890"/>
      <c r="BO890"/>
      <c r="BP890"/>
      <c r="BQ890"/>
      <c r="BR890"/>
      <c r="BS890" t="s">
        <v>5724</v>
      </c>
      <c r="BT890" t="str">
        <f>HYPERLINK("https%3A%2F%2Fwww.webofscience.com%2Fwos%2Fwoscc%2Ffull-record%2FWOS:000899154600008","View Full Record in Web of Science")</f>
        <v>View Full Record in Web of Science</v>
      </c>
    </row>
    <row r="891" spans="1:75" customHeight="1" ht="12.75">
      <c r="A891" t="s">
        <v>72</v>
      </c>
      <c r="B891" t="s">
        <v>5725</v>
      </c>
      <c r="C891"/>
      <c r="D891"/>
      <c r="E891"/>
      <c r="F891" t="s">
        <v>5726</v>
      </c>
      <c r="G891"/>
      <c r="H891"/>
      <c r="I891" t="s">
        <v>5727</v>
      </c>
      <c r="J891" t="s">
        <v>5728</v>
      </c>
      <c r="K891"/>
      <c r="L891"/>
      <c r="M891"/>
      <c r="N891"/>
      <c r="O891"/>
      <c r="P891"/>
      <c r="Q891"/>
      <c r="R891"/>
      <c r="S891"/>
      <c r="T891"/>
      <c r="U891"/>
      <c r="V891"/>
      <c r="W891"/>
      <c r="X891"/>
      <c r="Y891"/>
      <c r="Z891"/>
      <c r="AA891" t="s">
        <v>4571</v>
      </c>
      <c r="AB891" t="s">
        <v>4572</v>
      </c>
      <c r="AC891"/>
      <c r="AD891"/>
      <c r="AE891"/>
      <c r="AF891"/>
      <c r="AG891"/>
      <c r="AH891"/>
      <c r="AI891"/>
      <c r="AJ891"/>
      <c r="AK891"/>
      <c r="AL891"/>
      <c r="AM891"/>
      <c r="AN891"/>
      <c r="AO891" t="s">
        <v>5729</v>
      </c>
      <c r="AP891"/>
      <c r="AQ891"/>
      <c r="AR891"/>
      <c r="AS891"/>
      <c r="AT891"/>
      <c r="AU891">
        <v>2020</v>
      </c>
      <c r="AV891"/>
      <c r="AW891">
        <v>3</v>
      </c>
      <c r="AX891"/>
      <c r="AY891"/>
      <c r="AZ891"/>
      <c r="BA891"/>
      <c r="BB891">
        <v>128</v>
      </c>
      <c r="BC891">
        <v>142</v>
      </c>
      <c r="BD891"/>
      <c r="BE891" t="s">
        <v>5730</v>
      </c>
      <c r="BF891" t="str">
        <f>HYPERLINK("http://dx.doi.org/10.37482/0536-1036-2020-3-128-142","http://dx.doi.org/10.37482/0536-1036-2020-3-128-142")</f>
        <v>http://dx.doi.org/10.37482/0536-1036-2020-3-128-142</v>
      </c>
      <c r="BG891"/>
      <c r="BH891"/>
      <c r="BI891"/>
      <c r="BJ891"/>
      <c r="BK891"/>
      <c r="BL891"/>
      <c r="BM891"/>
      <c r="BN891"/>
      <c r="BO891"/>
      <c r="BP891"/>
      <c r="BQ891"/>
      <c r="BR891"/>
      <c r="BS891" t="s">
        <v>5731</v>
      </c>
      <c r="BT891" t="str">
        <f>HYPERLINK("https%3A%2F%2Fwww.webofscience.com%2Fwos%2Fwoscc%2Ffull-record%2FWOS:000540068900010","View Full Record in Web of Science")</f>
        <v>View Full Record in Web of Science</v>
      </c>
    </row>
    <row r="892" spans="1:75" customHeight="1" ht="12.75">
      <c r="A892" t="s">
        <v>72</v>
      </c>
      <c r="B892" t="s">
        <v>5732</v>
      </c>
      <c r="C892"/>
      <c r="D892"/>
      <c r="E892"/>
      <c r="F892" t="s">
        <v>5733</v>
      </c>
      <c r="G892"/>
      <c r="H892"/>
      <c r="I892" t="s">
        <v>5734</v>
      </c>
      <c r="J892" t="s">
        <v>95</v>
      </c>
      <c r="K892"/>
      <c r="L892"/>
      <c r="M892"/>
      <c r="N892"/>
      <c r="O892"/>
      <c r="P892"/>
      <c r="Q892"/>
      <c r="R892"/>
      <c r="S892"/>
      <c r="T892"/>
      <c r="U892"/>
      <c r="V892"/>
      <c r="W892"/>
      <c r="X892"/>
      <c r="Y892"/>
      <c r="Z892"/>
      <c r="AA892" t="s">
        <v>5529</v>
      </c>
      <c r="AB892" t="s">
        <v>5530</v>
      </c>
      <c r="AC892"/>
      <c r="AD892"/>
      <c r="AE892"/>
      <c r="AF892"/>
      <c r="AG892"/>
      <c r="AH892"/>
      <c r="AI892"/>
      <c r="AJ892"/>
      <c r="AK892"/>
      <c r="AL892"/>
      <c r="AM892"/>
      <c r="AN892"/>
      <c r="AO892" t="s">
        <v>98</v>
      </c>
      <c r="AP892" t="s">
        <v>99</v>
      </c>
      <c r="AQ892"/>
      <c r="AR892"/>
      <c r="AS892"/>
      <c r="AT892"/>
      <c r="AU892">
        <v>2019</v>
      </c>
      <c r="AV892"/>
      <c r="AW892">
        <v>1</v>
      </c>
      <c r="AX892"/>
      <c r="AY892"/>
      <c r="AZ892"/>
      <c r="BA892"/>
      <c r="BB892">
        <v>23</v>
      </c>
      <c r="BC892">
        <v>29</v>
      </c>
      <c r="BD892"/>
      <c r="BE892" t="s">
        <v>5735</v>
      </c>
      <c r="BF892" t="str">
        <f>HYPERLINK("http://dx.doi.org/10.25750/1995-4301-2019-1-023-029","http://dx.doi.org/10.25750/1995-4301-2019-1-023-029")</f>
        <v>http://dx.doi.org/10.25750/1995-4301-2019-1-023-029</v>
      </c>
      <c r="BG892"/>
      <c r="BH892"/>
      <c r="BI892"/>
      <c r="BJ892"/>
      <c r="BK892"/>
      <c r="BL892"/>
      <c r="BM892"/>
      <c r="BN892"/>
      <c r="BO892"/>
      <c r="BP892"/>
      <c r="BQ892"/>
      <c r="BR892"/>
      <c r="BS892" t="s">
        <v>5736</v>
      </c>
      <c r="BT892" t="str">
        <f>HYPERLINK("https%3A%2F%2Fwww.webofscience.com%2Fwos%2Fwoscc%2Ffull-record%2FWOS:000468565900003","View Full Record in Web of Science")</f>
        <v>View Full Record in Web of Science</v>
      </c>
    </row>
    <row r="893" spans="1:75" customHeight="1" ht="12.75">
      <c r="A893" t="s">
        <v>147</v>
      </c>
      <c r="B893" t="s">
        <v>5737</v>
      </c>
      <c r="C893"/>
      <c r="D893"/>
      <c r="E893" t="s">
        <v>175</v>
      </c>
      <c r="F893" t="s">
        <v>5738</v>
      </c>
      <c r="G893"/>
      <c r="H893"/>
      <c r="I893" t="s">
        <v>5739</v>
      </c>
      <c r="J893" t="s">
        <v>1702</v>
      </c>
      <c r="K893" t="s">
        <v>1469</v>
      </c>
      <c r="L893"/>
      <c r="M893"/>
      <c r="N893"/>
      <c r="O893" t="s">
        <v>1619</v>
      </c>
      <c r="P893" t="s">
        <v>1703</v>
      </c>
      <c r="Q893" t="s">
        <v>1704</v>
      </c>
      <c r="R893" t="s">
        <v>1705</v>
      </c>
      <c r="S893" t="s">
        <v>157</v>
      </c>
      <c r="T893"/>
      <c r="U893"/>
      <c r="V893"/>
      <c r="W893"/>
      <c r="X893"/>
      <c r="Y893"/>
      <c r="Z893"/>
      <c r="AA893"/>
      <c r="AB893"/>
      <c r="AC893"/>
      <c r="AD893"/>
      <c r="AE893"/>
      <c r="AF893"/>
      <c r="AG893"/>
      <c r="AH893"/>
      <c r="AI893"/>
      <c r="AJ893"/>
      <c r="AK893"/>
      <c r="AL893"/>
      <c r="AM893"/>
      <c r="AN893"/>
      <c r="AO893" t="s">
        <v>1472</v>
      </c>
      <c r="AP893"/>
      <c r="AQ893"/>
      <c r="AR893"/>
      <c r="AS893"/>
      <c r="AT893"/>
      <c r="AU893">
        <v>2018</v>
      </c>
      <c r="AV893">
        <v>451</v>
      </c>
      <c r="AW893"/>
      <c r="AX893"/>
      <c r="AY893"/>
      <c r="AZ893"/>
      <c r="BA893"/>
      <c r="BB893"/>
      <c r="BC893"/>
      <c r="BD893">
        <v>12205</v>
      </c>
      <c r="BE893" t="s">
        <v>5740</v>
      </c>
      <c r="BF893" t="str">
        <f>HYPERLINK("http://dx.doi.org/10.1088/1757-899X/451/1/012205","http://dx.doi.org/10.1088/1757-899X/451/1/012205")</f>
        <v>http://dx.doi.org/10.1088/1757-899X/451/1/012205</v>
      </c>
      <c r="BG893"/>
      <c r="BH893"/>
      <c r="BI893"/>
      <c r="BJ893"/>
      <c r="BK893"/>
      <c r="BL893"/>
      <c r="BM893"/>
      <c r="BN893"/>
      <c r="BO893"/>
      <c r="BP893"/>
      <c r="BQ893"/>
      <c r="BR893"/>
      <c r="BS893" t="s">
        <v>5741</v>
      </c>
      <c r="BT893" t="str">
        <f>HYPERLINK("https%3A%2F%2Fwww.webofscience.com%2Fwos%2Fwoscc%2Ffull-record%2FWOS:000648426900205","View Full Record in Web of Science")</f>
        <v>View Full Record in Web of Science</v>
      </c>
    </row>
    <row r="894" spans="1:75" customHeight="1" ht="12.75">
      <c r="A894" t="s">
        <v>147</v>
      </c>
      <c r="B894" t="s">
        <v>5742</v>
      </c>
      <c r="C894"/>
      <c r="D894" t="s">
        <v>1876</v>
      </c>
      <c r="E894"/>
      <c r="F894" t="s">
        <v>5743</v>
      </c>
      <c r="G894"/>
      <c r="H894"/>
      <c r="I894" t="s">
        <v>5744</v>
      </c>
      <c r="J894" t="s">
        <v>1879</v>
      </c>
      <c r="K894" t="s">
        <v>1276</v>
      </c>
      <c r="L894"/>
      <c r="M894"/>
      <c r="N894"/>
      <c r="O894" t="s">
        <v>1880</v>
      </c>
      <c r="P894" t="s">
        <v>1881</v>
      </c>
      <c r="Q894" t="s">
        <v>1882</v>
      </c>
      <c r="R894" t="s">
        <v>1883</v>
      </c>
      <c r="S894" t="s">
        <v>1884</v>
      </c>
      <c r="T894"/>
      <c r="U894"/>
      <c r="V894"/>
      <c r="W894"/>
      <c r="X894"/>
      <c r="Y894"/>
      <c r="Z894"/>
      <c r="AA894"/>
      <c r="AB894" t="s">
        <v>5745</v>
      </c>
      <c r="AC894"/>
      <c r="AD894"/>
      <c r="AE894"/>
      <c r="AF894"/>
      <c r="AG894"/>
      <c r="AH894"/>
      <c r="AI894"/>
      <c r="AJ894"/>
      <c r="AK894"/>
      <c r="AL894"/>
      <c r="AM894"/>
      <c r="AN894"/>
      <c r="AO894" t="s">
        <v>1282</v>
      </c>
      <c r="AP894"/>
      <c r="AQ894"/>
      <c r="AR894"/>
      <c r="AS894"/>
      <c r="AT894"/>
      <c r="AU894">
        <v>2017</v>
      </c>
      <c r="AV894">
        <v>106</v>
      </c>
      <c r="AW894"/>
      <c r="AX894"/>
      <c r="AY894"/>
      <c r="AZ894"/>
      <c r="BA894"/>
      <c r="BB894"/>
      <c r="BC894"/>
      <c r="BD894">
        <v>8083</v>
      </c>
      <c r="BE894" t="s">
        <v>5746</v>
      </c>
      <c r="BF894" t="str">
        <f>HYPERLINK("http://dx.doi.org/10.1051/matecconf/201710608083","http://dx.doi.org/10.1051/matecconf/201710608083")</f>
        <v>http://dx.doi.org/10.1051/matecconf/201710608083</v>
      </c>
      <c r="BG894"/>
      <c r="BH894"/>
      <c r="BI894"/>
      <c r="BJ894"/>
      <c r="BK894"/>
      <c r="BL894"/>
      <c r="BM894"/>
      <c r="BN894"/>
      <c r="BO894"/>
      <c r="BP894"/>
      <c r="BQ894"/>
      <c r="BR894"/>
      <c r="BS894" t="s">
        <v>5747</v>
      </c>
      <c r="BT894" t="str">
        <f>HYPERLINK("https%3A%2F%2Fwww.webofscience.com%2Fwos%2Fwoscc%2Ffull-record%2FWOS:000426426600268","View Full Record in Web of Science")</f>
        <v>View Full Record in Web of Science</v>
      </c>
    </row>
    <row r="895" spans="1:75" customHeight="1" ht="12.75">
      <c r="A895" t="s">
        <v>147</v>
      </c>
      <c r="B895" t="s">
        <v>5748</v>
      </c>
      <c r="C895"/>
      <c r="D895" t="s">
        <v>1876</v>
      </c>
      <c r="E895"/>
      <c r="F895" t="s">
        <v>5749</v>
      </c>
      <c r="G895"/>
      <c r="H895"/>
      <c r="I895" t="s">
        <v>5750</v>
      </c>
      <c r="J895" t="s">
        <v>1879</v>
      </c>
      <c r="K895" t="s">
        <v>1276</v>
      </c>
      <c r="L895"/>
      <c r="M895"/>
      <c r="N895"/>
      <c r="O895" t="s">
        <v>1880</v>
      </c>
      <c r="P895" t="s">
        <v>1881</v>
      </c>
      <c r="Q895" t="s">
        <v>1882</v>
      </c>
      <c r="R895" t="s">
        <v>1883</v>
      </c>
      <c r="S895" t="s">
        <v>1884</v>
      </c>
      <c r="T895"/>
      <c r="U895"/>
      <c r="V895"/>
      <c r="W895"/>
      <c r="X895"/>
      <c r="Y895"/>
      <c r="Z895"/>
      <c r="AA895" t="s">
        <v>1823</v>
      </c>
      <c r="AB895" t="s">
        <v>5751</v>
      </c>
      <c r="AC895"/>
      <c r="AD895"/>
      <c r="AE895"/>
      <c r="AF895"/>
      <c r="AG895"/>
      <c r="AH895"/>
      <c r="AI895"/>
      <c r="AJ895"/>
      <c r="AK895"/>
      <c r="AL895"/>
      <c r="AM895"/>
      <c r="AN895"/>
      <c r="AO895" t="s">
        <v>1282</v>
      </c>
      <c r="AP895"/>
      <c r="AQ895"/>
      <c r="AR895"/>
      <c r="AS895"/>
      <c r="AT895"/>
      <c r="AU895">
        <v>2017</v>
      </c>
      <c r="AV895">
        <v>106</v>
      </c>
      <c r="AW895"/>
      <c r="AX895"/>
      <c r="AY895"/>
      <c r="AZ895"/>
      <c r="BA895"/>
      <c r="BB895"/>
      <c r="BC895"/>
      <c r="BD895">
        <v>8086</v>
      </c>
      <c r="BE895" t="s">
        <v>5752</v>
      </c>
      <c r="BF895" t="str">
        <f>HYPERLINK("http://dx.doi.org/10.1051/matecconf/201710608086","http://dx.doi.org/10.1051/matecconf/201710608086")</f>
        <v>http://dx.doi.org/10.1051/matecconf/201710608086</v>
      </c>
      <c r="BG895"/>
      <c r="BH895"/>
      <c r="BI895"/>
      <c r="BJ895"/>
      <c r="BK895"/>
      <c r="BL895"/>
      <c r="BM895"/>
      <c r="BN895"/>
      <c r="BO895"/>
      <c r="BP895"/>
      <c r="BQ895"/>
      <c r="BR895"/>
      <c r="BS895" t="s">
        <v>5753</v>
      </c>
      <c r="BT895" t="str">
        <f>HYPERLINK("https%3A%2F%2Fwww.webofscience.com%2Fwos%2Fwoscc%2Ffull-record%2FWOS:000426426600271","View Full Record in Web of Science")</f>
        <v>View Full Record in Web of Science</v>
      </c>
    </row>
    <row r="896" spans="1:75" customHeight="1" ht="12.75">
      <c r="A896" t="s">
        <v>147</v>
      </c>
      <c r="B896" t="s">
        <v>5754</v>
      </c>
      <c r="C896"/>
      <c r="D896"/>
      <c r="E896" t="s">
        <v>280</v>
      </c>
      <c r="F896" t="s">
        <v>5755</v>
      </c>
      <c r="G896"/>
      <c r="H896"/>
      <c r="I896" t="s">
        <v>5756</v>
      </c>
      <c r="J896" t="s">
        <v>4146</v>
      </c>
      <c r="K896" t="s">
        <v>284</v>
      </c>
      <c r="L896"/>
      <c r="M896"/>
      <c r="N896"/>
      <c r="O896" t="s">
        <v>4147</v>
      </c>
      <c r="P896" t="s">
        <v>4148</v>
      </c>
      <c r="Q896" t="s">
        <v>287</v>
      </c>
      <c r="R896" t="s">
        <v>4149</v>
      </c>
      <c r="S896"/>
      <c r="T896"/>
      <c r="U896"/>
      <c r="V896"/>
      <c r="W896"/>
      <c r="X896"/>
      <c r="Y896"/>
      <c r="Z896"/>
      <c r="AA896" t="s">
        <v>5757</v>
      </c>
      <c r="AB896" t="s">
        <v>5758</v>
      </c>
      <c r="AC896"/>
      <c r="AD896"/>
      <c r="AE896"/>
      <c r="AF896"/>
      <c r="AG896"/>
      <c r="AH896"/>
      <c r="AI896"/>
      <c r="AJ896"/>
      <c r="AK896"/>
      <c r="AL896"/>
      <c r="AM896"/>
      <c r="AN896"/>
      <c r="AO896" t="s">
        <v>289</v>
      </c>
      <c r="AP896"/>
      <c r="AQ896" t="s">
        <v>4150</v>
      </c>
      <c r="AR896"/>
      <c r="AS896"/>
      <c r="AT896"/>
      <c r="AU896">
        <v>2015</v>
      </c>
      <c r="AV896"/>
      <c r="AW896"/>
      <c r="AX896"/>
      <c r="AY896"/>
      <c r="AZ896"/>
      <c r="BA896"/>
      <c r="BB896">
        <v>505</v>
      </c>
      <c r="BC896">
        <v>512</v>
      </c>
      <c r="BD896"/>
      <c r="BE896"/>
      <c r="BF896"/>
      <c r="BG896"/>
      <c r="BH896"/>
      <c r="BI896"/>
      <c r="BJ896"/>
      <c r="BK896"/>
      <c r="BL896"/>
      <c r="BM896"/>
      <c r="BN896"/>
      <c r="BO896"/>
      <c r="BP896"/>
      <c r="BQ896"/>
      <c r="BR896"/>
      <c r="BS896" t="s">
        <v>5759</v>
      </c>
      <c r="BT896" t="str">
        <f>HYPERLINK("https%3A%2F%2Fwww.webofscience.com%2Fwos%2Fwoscc%2Ffull-record%2FWOS:000378098500062","View Full Record in Web of Science")</f>
        <v>View Full Record in Web of Science</v>
      </c>
    </row>
    <row r="897" spans="1:75" customHeight="1" ht="12.75">
      <c r="A897" t="s">
        <v>72</v>
      </c>
      <c r="B897" t="s">
        <v>5760</v>
      </c>
      <c r="C897"/>
      <c r="D897"/>
      <c r="E897"/>
      <c r="F897" t="s">
        <v>5761</v>
      </c>
      <c r="G897"/>
      <c r="H897"/>
      <c r="I897" t="s">
        <v>5762</v>
      </c>
      <c r="J897" t="s">
        <v>3860</v>
      </c>
      <c r="K897"/>
      <c r="L897"/>
      <c r="M897"/>
      <c r="N897"/>
      <c r="O897"/>
      <c r="P897"/>
      <c r="Q897"/>
      <c r="R897"/>
      <c r="S897"/>
      <c r="T897"/>
      <c r="U897"/>
      <c r="V897"/>
      <c r="W897"/>
      <c r="X897"/>
      <c r="Y897"/>
      <c r="Z897"/>
      <c r="AA897" t="s">
        <v>5763</v>
      </c>
      <c r="AB897" t="s">
        <v>5764</v>
      </c>
      <c r="AC897"/>
      <c r="AD897"/>
      <c r="AE897"/>
      <c r="AF897"/>
      <c r="AG897"/>
      <c r="AH897"/>
      <c r="AI897"/>
      <c r="AJ897"/>
      <c r="AK897"/>
      <c r="AL897"/>
      <c r="AM897"/>
      <c r="AN897"/>
      <c r="AO897" t="s">
        <v>3861</v>
      </c>
      <c r="AP897" t="s">
        <v>5765</v>
      </c>
      <c r="AQ897"/>
      <c r="AR897"/>
      <c r="AS897"/>
      <c r="AT897" t="s">
        <v>198</v>
      </c>
      <c r="AU897">
        <v>2012</v>
      </c>
      <c r="AV897">
        <v>54</v>
      </c>
      <c r="AW897" t="s">
        <v>1639</v>
      </c>
      <c r="AX897"/>
      <c r="AY897"/>
      <c r="AZ897"/>
      <c r="BA897"/>
      <c r="BB897">
        <v>161</v>
      </c>
      <c r="BC897">
        <v>166</v>
      </c>
      <c r="BD897"/>
      <c r="BE897" t="s">
        <v>5766</v>
      </c>
      <c r="BF897" t="str">
        <f>HYPERLINK("http://dx.doi.org/10.1134/S1560090412030050","http://dx.doi.org/10.1134/S1560090412030050")</f>
        <v>http://dx.doi.org/10.1134/S1560090412030050</v>
      </c>
      <c r="BG897"/>
      <c r="BH897"/>
      <c r="BI897"/>
      <c r="BJ897"/>
      <c r="BK897"/>
      <c r="BL897"/>
      <c r="BM897"/>
      <c r="BN897"/>
      <c r="BO897"/>
      <c r="BP897"/>
      <c r="BQ897"/>
      <c r="BR897"/>
      <c r="BS897" t="s">
        <v>5767</v>
      </c>
      <c r="BT897" t="str">
        <f>HYPERLINK("https%3A%2F%2Fwww.webofscience.com%2Fwos%2Fwoscc%2Ffull-record%2FWOS:000303357200005","View Full Record in Web of Science")</f>
        <v>View Full Record in Web of Science</v>
      </c>
    </row>
    <row r="898" spans="1:75" customHeight="1" ht="12.75">
      <c r="A898" t="s">
        <v>72</v>
      </c>
      <c r="B898" t="s">
        <v>5768</v>
      </c>
      <c r="C898"/>
      <c r="D898"/>
      <c r="E898"/>
      <c r="F898" t="s">
        <v>5769</v>
      </c>
      <c r="G898"/>
      <c r="H898"/>
      <c r="I898" t="s">
        <v>5770</v>
      </c>
      <c r="J898" t="s">
        <v>4849</v>
      </c>
      <c r="K898"/>
      <c r="L898"/>
      <c r="M898"/>
      <c r="N898"/>
      <c r="O898"/>
      <c r="P898"/>
      <c r="Q898"/>
      <c r="R898"/>
      <c r="S898"/>
      <c r="T898"/>
      <c r="U898"/>
      <c r="V898"/>
      <c r="W898"/>
      <c r="X898"/>
      <c r="Y898"/>
      <c r="Z898"/>
      <c r="AA898" t="s">
        <v>4850</v>
      </c>
      <c r="AB898" t="s">
        <v>4851</v>
      </c>
      <c r="AC898"/>
      <c r="AD898"/>
      <c r="AE898"/>
      <c r="AF898"/>
      <c r="AG898"/>
      <c r="AH898"/>
      <c r="AI898"/>
      <c r="AJ898"/>
      <c r="AK898"/>
      <c r="AL898"/>
      <c r="AM898"/>
      <c r="AN898"/>
      <c r="AO898" t="s">
        <v>4852</v>
      </c>
      <c r="AP898" t="s">
        <v>4853</v>
      </c>
      <c r="AQ898"/>
      <c r="AR898"/>
      <c r="AS898"/>
      <c r="AT898" t="s">
        <v>541</v>
      </c>
      <c r="AU898">
        <v>2023</v>
      </c>
      <c r="AV898">
        <v>101</v>
      </c>
      <c r="AW898">
        <v>1</v>
      </c>
      <c r="AX898"/>
      <c r="AY898"/>
      <c r="AZ898"/>
      <c r="BA898"/>
      <c r="BB898">
        <v>46</v>
      </c>
      <c r="BC898">
        <v>47</v>
      </c>
      <c r="BD898"/>
      <c r="BE898" t="s">
        <v>5771</v>
      </c>
      <c r="BF898" t="str">
        <f>HYPERLINK("http://dx.doi.org/10.1111/tan.14802","http://dx.doi.org/10.1111/tan.14802")</f>
        <v>http://dx.doi.org/10.1111/tan.14802</v>
      </c>
      <c r="BG898"/>
      <c r="BH898" t="s">
        <v>4877</v>
      </c>
      <c r="BI898"/>
      <c r="BJ898"/>
      <c r="BK898"/>
      <c r="BL898"/>
      <c r="BM898"/>
      <c r="BN898">
        <v>36059062</v>
      </c>
      <c r="BO898"/>
      <c r="BP898"/>
      <c r="BQ898"/>
      <c r="BR898"/>
      <c r="BS898" t="s">
        <v>5772</v>
      </c>
      <c r="BT898" t="str">
        <f>HYPERLINK("https%3A%2F%2Fwww.webofscience.com%2Fwos%2Fwoscc%2Ffull-record%2FWOS:000853301800001","View Full Record in Web of Science")</f>
        <v>View Full Record in Web of Science</v>
      </c>
    </row>
    <row r="899" spans="1:75" customHeight="1" ht="12.75">
      <c r="A899" t="s">
        <v>72</v>
      </c>
      <c r="B899" t="s">
        <v>4873</v>
      </c>
      <c r="C899"/>
      <c r="D899"/>
      <c r="E899"/>
      <c r="F899" t="s">
        <v>4874</v>
      </c>
      <c r="G899"/>
      <c r="H899"/>
      <c r="I899" t="s">
        <v>5773</v>
      </c>
      <c r="J899" t="s">
        <v>4849</v>
      </c>
      <c r="K899"/>
      <c r="L899"/>
      <c r="M899"/>
      <c r="N899"/>
      <c r="O899"/>
      <c r="P899"/>
      <c r="Q899"/>
      <c r="R899"/>
      <c r="S899"/>
      <c r="T899"/>
      <c r="U899"/>
      <c r="V899"/>
      <c r="W899"/>
      <c r="X899"/>
      <c r="Y899"/>
      <c r="Z899"/>
      <c r="AA899" t="s">
        <v>4850</v>
      </c>
      <c r="AB899" t="s">
        <v>4851</v>
      </c>
      <c r="AC899"/>
      <c r="AD899"/>
      <c r="AE899"/>
      <c r="AF899"/>
      <c r="AG899"/>
      <c r="AH899"/>
      <c r="AI899"/>
      <c r="AJ899"/>
      <c r="AK899"/>
      <c r="AL899"/>
      <c r="AM899"/>
      <c r="AN899"/>
      <c r="AO899" t="s">
        <v>4852</v>
      </c>
      <c r="AP899" t="s">
        <v>4853</v>
      </c>
      <c r="AQ899"/>
      <c r="AR899"/>
      <c r="AS899"/>
      <c r="AT899" t="s">
        <v>830</v>
      </c>
      <c r="AU899">
        <v>2022</v>
      </c>
      <c r="AV899">
        <v>100</v>
      </c>
      <c r="AW899">
        <v>3</v>
      </c>
      <c r="AX899"/>
      <c r="AY899"/>
      <c r="AZ899"/>
      <c r="BA899"/>
      <c r="BB899">
        <v>277</v>
      </c>
      <c r="BC899">
        <v>278</v>
      </c>
      <c r="BD899"/>
      <c r="BE899" t="s">
        <v>5774</v>
      </c>
      <c r="BF899" t="str">
        <f>HYPERLINK("http://dx.doi.org/10.1111/tan.14683","http://dx.doi.org/10.1111/tan.14683")</f>
        <v>http://dx.doi.org/10.1111/tan.14683</v>
      </c>
      <c r="BG899"/>
      <c r="BH899" t="s">
        <v>5775</v>
      </c>
      <c r="BI899"/>
      <c r="BJ899"/>
      <c r="BK899"/>
      <c r="BL899"/>
      <c r="BM899"/>
      <c r="BN899">
        <v>35616014</v>
      </c>
      <c r="BO899"/>
      <c r="BP899"/>
      <c r="BQ899"/>
      <c r="BR899"/>
      <c r="BS899" t="s">
        <v>5776</v>
      </c>
      <c r="BT899" t="str">
        <f>HYPERLINK("https%3A%2F%2Fwww.webofscience.com%2Fwos%2Fwoscc%2Ffull-record%2FWOS:000807523600001","View Full Record in Web of Science")</f>
        <v>View Full Record in Web of Science</v>
      </c>
    </row>
    <row r="900" spans="1:75" customHeight="1" ht="12.75">
      <c r="A900" t="s">
        <v>72</v>
      </c>
      <c r="B900" t="s">
        <v>378</v>
      </c>
      <c r="C900"/>
      <c r="D900"/>
      <c r="E900"/>
      <c r="F900" t="s">
        <v>2100</v>
      </c>
      <c r="G900"/>
      <c r="H900"/>
      <c r="I900" t="s">
        <v>5777</v>
      </c>
      <c r="J900" t="s">
        <v>5086</v>
      </c>
      <c r="K900"/>
      <c r="L900"/>
      <c r="M900"/>
      <c r="N900"/>
      <c r="O900"/>
      <c r="P900"/>
      <c r="Q900"/>
      <c r="R900"/>
      <c r="S900"/>
      <c r="T900"/>
      <c r="U900"/>
      <c r="V900"/>
      <c r="W900"/>
      <c r="X900"/>
      <c r="Y900"/>
      <c r="Z900"/>
      <c r="AA900" t="s">
        <v>553</v>
      </c>
      <c r="AB900" t="s">
        <v>554</v>
      </c>
      <c r="AC900"/>
      <c r="AD900"/>
      <c r="AE900"/>
      <c r="AF900"/>
      <c r="AG900"/>
      <c r="AH900"/>
      <c r="AI900"/>
      <c r="AJ900"/>
      <c r="AK900"/>
      <c r="AL900"/>
      <c r="AM900"/>
      <c r="AN900"/>
      <c r="AO900" t="s">
        <v>5087</v>
      </c>
      <c r="AP900" t="s">
        <v>5088</v>
      </c>
      <c r="AQ900"/>
      <c r="AR900"/>
      <c r="AS900"/>
      <c r="AT900" t="s">
        <v>198</v>
      </c>
      <c r="AU900">
        <v>2021</v>
      </c>
      <c r="AV900">
        <v>9</v>
      </c>
      <c r="AW900">
        <v>4</v>
      </c>
      <c r="AX900"/>
      <c r="AY900"/>
      <c r="AZ900"/>
      <c r="BA900"/>
      <c r="BB900">
        <v>13343</v>
      </c>
      <c r="BC900">
        <v>13348</v>
      </c>
      <c r="BD900"/>
      <c r="BE900" t="s">
        <v>5778</v>
      </c>
      <c r="BF900" t="str">
        <f>HYPERLINK("http://dx.doi.org/10.22038/IJP.2021.56526.4442","http://dx.doi.org/10.22038/IJP.2021.56526.4442")</f>
        <v>http://dx.doi.org/10.22038/IJP.2021.56526.4442</v>
      </c>
      <c r="BG900"/>
      <c r="BH900"/>
      <c r="BI900"/>
      <c r="BJ900"/>
      <c r="BK900"/>
      <c r="BL900"/>
      <c r="BM900"/>
      <c r="BN900"/>
      <c r="BO900"/>
      <c r="BP900"/>
      <c r="BQ900"/>
      <c r="BR900"/>
      <c r="BS900" t="s">
        <v>5779</v>
      </c>
      <c r="BT900" t="str">
        <f>HYPERLINK("https%3A%2F%2Fwww.webofscience.com%2Fwos%2Fwoscc%2Ffull-record%2FWOS:000641158200005","View Full Record in Web of Science")</f>
        <v>View Full Record in Web of Science</v>
      </c>
    </row>
    <row r="901" spans="1:75" customHeight="1" ht="12.75">
      <c r="A901" t="s">
        <v>72</v>
      </c>
      <c r="B901" t="s">
        <v>5780</v>
      </c>
      <c r="C901"/>
      <c r="D901"/>
      <c r="E901"/>
      <c r="F901" t="s">
        <v>5781</v>
      </c>
      <c r="G901"/>
      <c r="H901"/>
      <c r="I901" t="s">
        <v>5782</v>
      </c>
      <c r="J901" t="s">
        <v>5783</v>
      </c>
      <c r="K901"/>
      <c r="L901"/>
      <c r="M901"/>
      <c r="N901"/>
      <c r="O901"/>
      <c r="P901"/>
      <c r="Q901"/>
      <c r="R901"/>
      <c r="S901"/>
      <c r="T901"/>
      <c r="U901"/>
      <c r="V901"/>
      <c r="W901"/>
      <c r="X901"/>
      <c r="Y901"/>
      <c r="Z901"/>
      <c r="AA901" t="s">
        <v>1885</v>
      </c>
      <c r="AB901" t="s">
        <v>3257</v>
      </c>
      <c r="AC901"/>
      <c r="AD901"/>
      <c r="AE901"/>
      <c r="AF901"/>
      <c r="AG901"/>
      <c r="AH901"/>
      <c r="AI901"/>
      <c r="AJ901"/>
      <c r="AK901"/>
      <c r="AL901"/>
      <c r="AM901"/>
      <c r="AN901"/>
      <c r="AO901" t="s">
        <v>5784</v>
      </c>
      <c r="AP901" t="s">
        <v>5785</v>
      </c>
      <c r="AQ901"/>
      <c r="AR901"/>
      <c r="AS901"/>
      <c r="AT901"/>
      <c r="AU901">
        <v>2021</v>
      </c>
      <c r="AV901">
        <v>17</v>
      </c>
      <c r="AW901">
        <v>4</v>
      </c>
      <c r="AX901"/>
      <c r="AY901"/>
      <c r="AZ901"/>
      <c r="BA901"/>
      <c r="BB901">
        <v>1361</v>
      </c>
      <c r="BC901">
        <v>1375</v>
      </c>
      <c r="BD901"/>
      <c r="BE901" t="s">
        <v>5786</v>
      </c>
      <c r="BF901" t="str">
        <f>HYPERLINK("http://dx.doi.org/10.17059/ekon.reg.2021-4-22","http://dx.doi.org/10.17059/ekon.reg.2021-4-22")</f>
        <v>http://dx.doi.org/10.17059/ekon.reg.2021-4-22</v>
      </c>
      <c r="BG901"/>
      <c r="BH901"/>
      <c r="BI901"/>
      <c r="BJ901"/>
      <c r="BK901"/>
      <c r="BL901"/>
      <c r="BM901"/>
      <c r="BN901"/>
      <c r="BO901"/>
      <c r="BP901"/>
      <c r="BQ901"/>
      <c r="BR901"/>
      <c r="BS901" t="s">
        <v>5787</v>
      </c>
      <c r="BT901" t="str">
        <f>HYPERLINK("https%3A%2F%2Fwww.webofscience.com%2Fwos%2Fwoscc%2Ffull-record%2FWOS:000753139500022","View Full Record in Web of Science")</f>
        <v>View Full Record in Web of Science</v>
      </c>
    </row>
    <row r="902" spans="1:75" customHeight="1" ht="12.75">
      <c r="A902" t="s">
        <v>147</v>
      </c>
      <c r="B902" t="s">
        <v>5788</v>
      </c>
      <c r="C902"/>
      <c r="D902"/>
      <c r="E902" t="s">
        <v>1465</v>
      </c>
      <c r="F902" t="s">
        <v>5789</v>
      </c>
      <c r="G902"/>
      <c r="H902"/>
      <c r="I902" t="s">
        <v>5790</v>
      </c>
      <c r="J902" t="s">
        <v>5791</v>
      </c>
      <c r="K902" t="s">
        <v>1469</v>
      </c>
      <c r="L902"/>
      <c r="M902"/>
      <c r="N902"/>
      <c r="O902" t="s">
        <v>5792</v>
      </c>
      <c r="P902" t="s">
        <v>5793</v>
      </c>
      <c r="Q902" t="s">
        <v>5794</v>
      </c>
      <c r="R902"/>
      <c r="S902"/>
      <c r="T902"/>
      <c r="U902"/>
      <c r="V902"/>
      <c r="W902"/>
      <c r="X902"/>
      <c r="Y902"/>
      <c r="Z902"/>
      <c r="AA902"/>
      <c r="AB902"/>
      <c r="AC902"/>
      <c r="AD902"/>
      <c r="AE902"/>
      <c r="AF902"/>
      <c r="AG902"/>
      <c r="AH902"/>
      <c r="AI902"/>
      <c r="AJ902"/>
      <c r="AK902"/>
      <c r="AL902"/>
      <c r="AM902"/>
      <c r="AN902"/>
      <c r="AO902" t="s">
        <v>1472</v>
      </c>
      <c r="AP902"/>
      <c r="AQ902"/>
      <c r="AR902"/>
      <c r="AS902"/>
      <c r="AT902"/>
      <c r="AU902">
        <v>2020</v>
      </c>
      <c r="AV902">
        <v>940</v>
      </c>
      <c r="AW902"/>
      <c r="AX902"/>
      <c r="AY902"/>
      <c r="AZ902"/>
      <c r="BA902"/>
      <c r="BB902"/>
      <c r="BC902"/>
      <c r="BD902">
        <v>12053</v>
      </c>
      <c r="BE902" t="s">
        <v>5795</v>
      </c>
      <c r="BF902" t="str">
        <f>HYPERLINK("http://dx.doi.org/10.1088/1757-899X/940/1/012053","http://dx.doi.org/10.1088/1757-899X/940/1/012053")</f>
        <v>http://dx.doi.org/10.1088/1757-899X/940/1/012053</v>
      </c>
      <c r="BG902"/>
      <c r="BH902"/>
      <c r="BI902"/>
      <c r="BJ902"/>
      <c r="BK902"/>
      <c r="BL902"/>
      <c r="BM902"/>
      <c r="BN902"/>
      <c r="BO902"/>
      <c r="BP902"/>
      <c r="BQ902"/>
      <c r="BR902"/>
      <c r="BS902" t="s">
        <v>5796</v>
      </c>
      <c r="BT902" t="str">
        <f>HYPERLINK("https%3A%2F%2Fwww.webofscience.com%2Fwos%2Fwoscc%2Ffull-record%2FWOS:000632620800053","View Full Record in Web of Science")</f>
        <v>View Full Record in Web of Science</v>
      </c>
    </row>
    <row r="903" spans="1:75" customHeight="1" ht="12.75">
      <c r="A903" t="s">
        <v>147</v>
      </c>
      <c r="B903" t="s">
        <v>5797</v>
      </c>
      <c r="C903"/>
      <c r="D903" t="s">
        <v>5798</v>
      </c>
      <c r="E903"/>
      <c r="F903" t="s">
        <v>5799</v>
      </c>
      <c r="G903"/>
      <c r="H903"/>
      <c r="I903" t="s">
        <v>5800</v>
      </c>
      <c r="J903" t="s">
        <v>5801</v>
      </c>
      <c r="K903" t="s">
        <v>1299</v>
      </c>
      <c r="L903"/>
      <c r="M903"/>
      <c r="N903"/>
      <c r="O903" t="s">
        <v>5802</v>
      </c>
      <c r="P903" t="s">
        <v>5803</v>
      </c>
      <c r="Q903" t="s">
        <v>5804</v>
      </c>
      <c r="R903"/>
      <c r="S903"/>
      <c r="T903"/>
      <c r="U903"/>
      <c r="V903"/>
      <c r="W903"/>
      <c r="X903"/>
      <c r="Y903"/>
      <c r="Z903"/>
      <c r="AA903" t="s">
        <v>5805</v>
      </c>
      <c r="AB903" t="s">
        <v>5806</v>
      </c>
      <c r="AC903"/>
      <c r="AD903"/>
      <c r="AE903"/>
      <c r="AF903"/>
      <c r="AG903"/>
      <c r="AH903"/>
      <c r="AI903"/>
      <c r="AJ903"/>
      <c r="AK903"/>
      <c r="AL903"/>
      <c r="AM903"/>
      <c r="AN903"/>
      <c r="AO903" t="s">
        <v>1500</v>
      </c>
      <c r="AP903" t="s">
        <v>1304</v>
      </c>
      <c r="AQ903" t="s">
        <v>5807</v>
      </c>
      <c r="AR903"/>
      <c r="AS903"/>
      <c r="AT903"/>
      <c r="AU903">
        <v>2014</v>
      </c>
      <c r="AV903">
        <v>8643</v>
      </c>
      <c r="AW903"/>
      <c r="AX903"/>
      <c r="AY903"/>
      <c r="AZ903"/>
      <c r="BA903"/>
      <c r="BB903">
        <v>219</v>
      </c>
      <c r="BC903">
        <v>230</v>
      </c>
      <c r="BD903"/>
      <c r="BE903" t="s">
        <v>5808</v>
      </c>
      <c r="BF903" t="str">
        <f>HYPERLINK("http://dx.doi.org/10.1007/978-3-319-13186-3_21","http://dx.doi.org/10.1007/978-3-319-13186-3_21")</f>
        <v>http://dx.doi.org/10.1007/978-3-319-13186-3_21</v>
      </c>
      <c r="BG903"/>
      <c r="BH903"/>
      <c r="BI903"/>
      <c r="BJ903"/>
      <c r="BK903"/>
      <c r="BL903"/>
      <c r="BM903"/>
      <c r="BN903"/>
      <c r="BO903"/>
      <c r="BP903"/>
      <c r="BQ903"/>
      <c r="BR903"/>
      <c r="BS903" t="s">
        <v>5809</v>
      </c>
      <c r="BT903" t="str">
        <f>HYPERLINK("https%3A%2F%2Fwww.webofscience.com%2Fwos%2Fwoscc%2Ffull-record%2FWOS:000354705300021","View Full Record in Web of Science")</f>
        <v>View Full Record in Web of Science</v>
      </c>
    </row>
    <row r="904" spans="1:75" customHeight="1" ht="12.75">
      <c r="A904" t="s">
        <v>72</v>
      </c>
      <c r="B904" t="s">
        <v>5810</v>
      </c>
      <c r="C904"/>
      <c r="D904"/>
      <c r="E904"/>
      <c r="F904" t="s">
        <v>5811</v>
      </c>
      <c r="G904"/>
      <c r="H904"/>
      <c r="I904" t="s">
        <v>5812</v>
      </c>
      <c r="J904" t="s">
        <v>5813</v>
      </c>
      <c r="K904"/>
      <c r="L904"/>
      <c r="M904"/>
      <c r="N904"/>
      <c r="O904"/>
      <c r="P904"/>
      <c r="Q904"/>
      <c r="R904"/>
      <c r="S904"/>
      <c r="T904"/>
      <c r="U904"/>
      <c r="V904"/>
      <c r="W904"/>
      <c r="X904"/>
      <c r="Y904"/>
      <c r="Z904"/>
      <c r="AA904"/>
      <c r="AB904"/>
      <c r="AC904"/>
      <c r="AD904"/>
      <c r="AE904"/>
      <c r="AF904"/>
      <c r="AG904"/>
      <c r="AH904"/>
      <c r="AI904"/>
      <c r="AJ904"/>
      <c r="AK904"/>
      <c r="AL904"/>
      <c r="AM904"/>
      <c r="AN904"/>
      <c r="AO904" t="s">
        <v>5814</v>
      </c>
      <c r="AP904" t="s">
        <v>5815</v>
      </c>
      <c r="AQ904"/>
      <c r="AR904"/>
      <c r="AS904"/>
      <c r="AT904" t="s">
        <v>655</v>
      </c>
      <c r="AU904">
        <v>2023</v>
      </c>
      <c r="AV904">
        <v>67</v>
      </c>
      <c r="AW904">
        <v>2</v>
      </c>
      <c r="AX904"/>
      <c r="AY904"/>
      <c r="AZ904"/>
      <c r="BA904"/>
      <c r="BB904">
        <v>23</v>
      </c>
      <c r="BC904">
        <v>31</v>
      </c>
      <c r="BD904"/>
      <c r="BE904" t="s">
        <v>5816</v>
      </c>
      <c r="BF904" t="str">
        <f>HYPERLINK("http://dx.doi.org/10.3103/S1066369X2302007X","http://dx.doi.org/10.3103/S1066369X2302007X")</f>
        <v>http://dx.doi.org/10.3103/S1066369X2302007X</v>
      </c>
      <c r="BG904"/>
      <c r="BH904"/>
      <c r="BI904"/>
      <c r="BJ904"/>
      <c r="BK904"/>
      <c r="BL904"/>
      <c r="BM904"/>
      <c r="BN904"/>
      <c r="BO904"/>
      <c r="BP904"/>
      <c r="BQ904"/>
      <c r="BR904"/>
      <c r="BS904" t="s">
        <v>5817</v>
      </c>
      <c r="BT904" t="str">
        <f>HYPERLINK("https%3A%2F%2Fwww.webofscience.com%2Fwos%2Fwoscc%2Ffull-record%2FWOS:000998928200002","View Full Record in Web of Science")</f>
        <v>View Full Record in Web of Science</v>
      </c>
    </row>
    <row r="905" spans="1:75" customHeight="1" ht="12.75">
      <c r="A905" t="s">
        <v>72</v>
      </c>
      <c r="B905" t="s">
        <v>4873</v>
      </c>
      <c r="C905"/>
      <c r="D905"/>
      <c r="E905"/>
      <c r="F905" t="s">
        <v>4874</v>
      </c>
      <c r="G905"/>
      <c r="H905"/>
      <c r="I905" t="s">
        <v>5818</v>
      </c>
      <c r="J905" t="s">
        <v>4849</v>
      </c>
      <c r="K905"/>
      <c r="L905"/>
      <c r="M905"/>
      <c r="N905"/>
      <c r="O905"/>
      <c r="P905"/>
      <c r="Q905"/>
      <c r="R905"/>
      <c r="S905"/>
      <c r="T905"/>
      <c r="U905"/>
      <c r="V905"/>
      <c r="W905"/>
      <c r="X905"/>
      <c r="Y905"/>
      <c r="Z905"/>
      <c r="AA905" t="s">
        <v>4850</v>
      </c>
      <c r="AB905" t="s">
        <v>5314</v>
      </c>
      <c r="AC905"/>
      <c r="AD905"/>
      <c r="AE905"/>
      <c r="AF905"/>
      <c r="AG905"/>
      <c r="AH905"/>
      <c r="AI905"/>
      <c r="AJ905"/>
      <c r="AK905"/>
      <c r="AL905"/>
      <c r="AM905"/>
      <c r="AN905"/>
      <c r="AO905" t="s">
        <v>4852</v>
      </c>
      <c r="AP905" t="s">
        <v>4853</v>
      </c>
      <c r="AQ905"/>
      <c r="AR905"/>
      <c r="AS905"/>
      <c r="AT905" t="s">
        <v>655</v>
      </c>
      <c r="AU905">
        <v>2023</v>
      </c>
      <c r="AV905">
        <v>101</v>
      </c>
      <c r="AW905">
        <v>2</v>
      </c>
      <c r="AX905"/>
      <c r="AY905"/>
      <c r="AZ905"/>
      <c r="BA905"/>
      <c r="BB905">
        <v>171</v>
      </c>
      <c r="BC905">
        <v>172</v>
      </c>
      <c r="BD905"/>
      <c r="BE905" t="s">
        <v>5819</v>
      </c>
      <c r="BF905" t="str">
        <f>HYPERLINK("http://dx.doi.org/10.1111/tan.14838","http://dx.doi.org/10.1111/tan.14838")</f>
        <v>http://dx.doi.org/10.1111/tan.14838</v>
      </c>
      <c r="BG905"/>
      <c r="BH905" t="s">
        <v>5062</v>
      </c>
      <c r="BI905"/>
      <c r="BJ905"/>
      <c r="BK905"/>
      <c r="BL905"/>
      <c r="BM905"/>
      <c r="BN905">
        <v>36181406</v>
      </c>
      <c r="BO905"/>
      <c r="BP905"/>
      <c r="BQ905"/>
      <c r="BR905"/>
      <c r="BS905" t="s">
        <v>5820</v>
      </c>
      <c r="BT905" t="str">
        <f>HYPERLINK("https%3A%2F%2Fwww.webofscience.com%2Fwos%2Fwoscc%2Ffull-record%2FWOS:000865644000001","View Full Record in Web of Science")</f>
        <v>View Full Record in Web of Science</v>
      </c>
    </row>
    <row r="906" spans="1:75" customHeight="1" ht="12.75">
      <c r="A906" t="s">
        <v>72</v>
      </c>
      <c r="B906" t="s">
        <v>5821</v>
      </c>
      <c r="C906"/>
      <c r="D906"/>
      <c r="E906"/>
      <c r="F906" t="s">
        <v>5822</v>
      </c>
      <c r="G906"/>
      <c r="H906"/>
      <c r="I906" t="s">
        <v>5823</v>
      </c>
      <c r="J906" t="s">
        <v>614</v>
      </c>
      <c r="K906"/>
      <c r="L906"/>
      <c r="M906"/>
      <c r="N906"/>
      <c r="O906"/>
      <c r="P906"/>
      <c r="Q906"/>
      <c r="R906"/>
      <c r="S906"/>
      <c r="T906"/>
      <c r="U906"/>
      <c r="V906"/>
      <c r="W906"/>
      <c r="X906"/>
      <c r="Y906"/>
      <c r="Z906"/>
      <c r="AA906" t="s">
        <v>5824</v>
      </c>
      <c r="AB906" t="s">
        <v>5825</v>
      </c>
      <c r="AC906"/>
      <c r="AD906"/>
      <c r="AE906"/>
      <c r="AF906"/>
      <c r="AG906"/>
      <c r="AH906"/>
      <c r="AI906"/>
      <c r="AJ906"/>
      <c r="AK906"/>
      <c r="AL906"/>
      <c r="AM906"/>
      <c r="AN906"/>
      <c r="AO906" t="s">
        <v>617</v>
      </c>
      <c r="AP906" t="s">
        <v>1720</v>
      </c>
      <c r="AQ906"/>
      <c r="AR906"/>
      <c r="AS906"/>
      <c r="AT906" t="s">
        <v>830</v>
      </c>
      <c r="AU906">
        <v>2021</v>
      </c>
      <c r="AV906">
        <v>57</v>
      </c>
      <c r="AW906">
        <v>9</v>
      </c>
      <c r="AX906"/>
      <c r="AY906"/>
      <c r="AZ906"/>
      <c r="BA906"/>
      <c r="BB906">
        <v>938</v>
      </c>
      <c r="BC906">
        <v>948</v>
      </c>
      <c r="BD906"/>
      <c r="BE906" t="s">
        <v>5826</v>
      </c>
      <c r="BF906" t="str">
        <f>HYPERLINK("http://dx.doi.org/10.1134/S1023193521090056","http://dx.doi.org/10.1134/S1023193521090056")</f>
        <v>http://dx.doi.org/10.1134/S1023193521090056</v>
      </c>
      <c r="BG906"/>
      <c r="BH906"/>
      <c r="BI906"/>
      <c r="BJ906"/>
      <c r="BK906"/>
      <c r="BL906"/>
      <c r="BM906"/>
      <c r="BN906"/>
      <c r="BO906"/>
      <c r="BP906"/>
      <c r="BQ906"/>
      <c r="BR906"/>
      <c r="BS906" t="s">
        <v>5827</v>
      </c>
      <c r="BT906" t="str">
        <f>HYPERLINK("https%3A%2F%2Fwww.webofscience.com%2Fwos%2Fwoscc%2Ffull-record%2FWOS:000702661000003","View Full Record in Web of Science")</f>
        <v>View Full Record in Web of Science</v>
      </c>
    </row>
    <row r="907" spans="1:75" customHeight="1" ht="12.75">
      <c r="A907" t="s">
        <v>72</v>
      </c>
      <c r="B907" t="s">
        <v>5828</v>
      </c>
      <c r="C907"/>
      <c r="D907"/>
      <c r="E907"/>
      <c r="F907" t="s">
        <v>5829</v>
      </c>
      <c r="G907"/>
      <c r="H907"/>
      <c r="I907" t="s">
        <v>5830</v>
      </c>
      <c r="J907" t="s">
        <v>95</v>
      </c>
      <c r="K907"/>
      <c r="L907"/>
      <c r="M907"/>
      <c r="N907"/>
      <c r="O907"/>
      <c r="P907"/>
      <c r="Q907"/>
      <c r="R907"/>
      <c r="S907"/>
      <c r="T907"/>
      <c r="U907"/>
      <c r="V907"/>
      <c r="W907"/>
      <c r="X907"/>
      <c r="Y907"/>
      <c r="Z907"/>
      <c r="AA907" t="s">
        <v>5831</v>
      </c>
      <c r="AB907" t="s">
        <v>5832</v>
      </c>
      <c r="AC907"/>
      <c r="AD907"/>
      <c r="AE907"/>
      <c r="AF907"/>
      <c r="AG907"/>
      <c r="AH907"/>
      <c r="AI907"/>
      <c r="AJ907"/>
      <c r="AK907"/>
      <c r="AL907"/>
      <c r="AM907"/>
      <c r="AN907"/>
      <c r="AO907" t="s">
        <v>98</v>
      </c>
      <c r="AP907" t="s">
        <v>99</v>
      </c>
      <c r="AQ907"/>
      <c r="AR907"/>
      <c r="AS907"/>
      <c r="AT907"/>
      <c r="AU907">
        <v>2021</v>
      </c>
      <c r="AV907"/>
      <c r="AW907">
        <v>2</v>
      </c>
      <c r="AX907"/>
      <c r="AY907"/>
      <c r="AZ907"/>
      <c r="BA907"/>
      <c r="BB907">
        <v>115</v>
      </c>
      <c r="BC907">
        <v>121</v>
      </c>
      <c r="BD907"/>
      <c r="BE907" t="s">
        <v>5833</v>
      </c>
      <c r="BF907" t="str">
        <f>HYPERLINK("http://dx.doi.org/10.25750/1995-4301-2021-2-115-121","http://dx.doi.org/10.25750/1995-4301-2021-2-115-121")</f>
        <v>http://dx.doi.org/10.25750/1995-4301-2021-2-115-121</v>
      </c>
      <c r="BG907"/>
      <c r="BH907"/>
      <c r="BI907"/>
      <c r="BJ907"/>
      <c r="BK907"/>
      <c r="BL907"/>
      <c r="BM907"/>
      <c r="BN907"/>
      <c r="BO907"/>
      <c r="BP907"/>
      <c r="BQ907"/>
      <c r="BR907"/>
      <c r="BS907" t="s">
        <v>5834</v>
      </c>
      <c r="BT907" t="str">
        <f>HYPERLINK("https%3A%2F%2Fwww.webofscience.com%2Fwos%2Fwoscc%2Ffull-record%2FWOS:000667025400016","View Full Record in Web of Science")</f>
        <v>View Full Record in Web of Science</v>
      </c>
    </row>
    <row r="908" spans="1:75" customHeight="1" ht="12.75">
      <c r="A908" t="s">
        <v>72</v>
      </c>
      <c r="B908" t="s">
        <v>5835</v>
      </c>
      <c r="C908"/>
      <c r="D908"/>
      <c r="E908"/>
      <c r="F908" t="s">
        <v>5836</v>
      </c>
      <c r="G908"/>
      <c r="H908"/>
      <c r="I908" t="s">
        <v>5837</v>
      </c>
      <c r="J908" t="s">
        <v>95</v>
      </c>
      <c r="K908"/>
      <c r="L908"/>
      <c r="M908"/>
      <c r="N908"/>
      <c r="O908"/>
      <c r="P908"/>
      <c r="Q908"/>
      <c r="R908"/>
      <c r="S908"/>
      <c r="T908"/>
      <c r="U908"/>
      <c r="V908"/>
      <c r="W908"/>
      <c r="X908"/>
      <c r="Y908"/>
      <c r="Z908"/>
      <c r="AA908" t="s">
        <v>5838</v>
      </c>
      <c r="AB908" t="s">
        <v>5839</v>
      </c>
      <c r="AC908"/>
      <c r="AD908"/>
      <c r="AE908"/>
      <c r="AF908"/>
      <c r="AG908"/>
      <c r="AH908"/>
      <c r="AI908"/>
      <c r="AJ908"/>
      <c r="AK908"/>
      <c r="AL908"/>
      <c r="AM908"/>
      <c r="AN908"/>
      <c r="AO908" t="s">
        <v>98</v>
      </c>
      <c r="AP908" t="s">
        <v>99</v>
      </c>
      <c r="AQ908"/>
      <c r="AR908"/>
      <c r="AS908"/>
      <c r="AT908"/>
      <c r="AU908">
        <v>2019</v>
      </c>
      <c r="AV908"/>
      <c r="AW908">
        <v>2</v>
      </c>
      <c r="AX908"/>
      <c r="AY908"/>
      <c r="AZ908"/>
      <c r="BA908"/>
      <c r="BB908">
        <v>131</v>
      </c>
      <c r="BC908">
        <v>136</v>
      </c>
      <c r="BD908"/>
      <c r="BE908" t="s">
        <v>5840</v>
      </c>
      <c r="BF908" t="str">
        <f>HYPERLINK("http://dx.doi.org/10.25750/1995-4301-2019-2-131-136","http://dx.doi.org/10.25750/1995-4301-2019-2-131-136")</f>
        <v>http://dx.doi.org/10.25750/1995-4301-2019-2-131-136</v>
      </c>
      <c r="BG908"/>
      <c r="BH908"/>
      <c r="BI908"/>
      <c r="BJ908"/>
      <c r="BK908"/>
      <c r="BL908"/>
      <c r="BM908"/>
      <c r="BN908"/>
      <c r="BO908"/>
      <c r="BP908"/>
      <c r="BQ908"/>
      <c r="BR908"/>
      <c r="BS908" t="s">
        <v>5841</v>
      </c>
      <c r="BT908" t="str">
        <f>HYPERLINK("https%3A%2F%2Fwww.webofscience.com%2Fwos%2Fwoscc%2Ffull-record%2FWOS:000477826000016","View Full Record in Web of Science")</f>
        <v>View Full Record in Web of Science</v>
      </c>
    </row>
    <row r="909" spans="1:75" customHeight="1" ht="12.75">
      <c r="A909" t="s">
        <v>147</v>
      </c>
      <c r="B909" t="s">
        <v>5842</v>
      </c>
      <c r="C909"/>
      <c r="D909" t="s">
        <v>2500</v>
      </c>
      <c r="E909"/>
      <c r="F909" t="s">
        <v>5843</v>
      </c>
      <c r="G909"/>
      <c r="H909"/>
      <c r="I909" t="s">
        <v>5844</v>
      </c>
      <c r="J909" t="s">
        <v>2503</v>
      </c>
      <c r="K909" t="s">
        <v>2504</v>
      </c>
      <c r="L909"/>
      <c r="M909"/>
      <c r="N909"/>
      <c r="O909" t="s">
        <v>2505</v>
      </c>
      <c r="P909" t="s">
        <v>2506</v>
      </c>
      <c r="Q909" t="s">
        <v>2507</v>
      </c>
      <c r="R909" t="s">
        <v>2508</v>
      </c>
      <c r="S909"/>
      <c r="T909"/>
      <c r="U909"/>
      <c r="V909"/>
      <c r="W909"/>
      <c r="X909"/>
      <c r="Y909"/>
      <c r="Z909"/>
      <c r="AA909"/>
      <c r="AB909"/>
      <c r="AC909"/>
      <c r="AD909"/>
      <c r="AE909"/>
      <c r="AF909"/>
      <c r="AG909"/>
      <c r="AH909"/>
      <c r="AI909"/>
      <c r="AJ909"/>
      <c r="AK909"/>
      <c r="AL909"/>
      <c r="AM909"/>
      <c r="AN909"/>
      <c r="AO909" t="s">
        <v>2509</v>
      </c>
      <c r="AP909"/>
      <c r="AQ909" t="s">
        <v>2510</v>
      </c>
      <c r="AR909"/>
      <c r="AS909"/>
      <c r="AT909"/>
      <c r="AU909">
        <v>2018</v>
      </c>
      <c r="AV909">
        <v>47</v>
      </c>
      <c r="AW909"/>
      <c r="AX909"/>
      <c r="AY909"/>
      <c r="AZ909"/>
      <c r="BA909"/>
      <c r="BB909">
        <v>522</v>
      </c>
      <c r="BC909">
        <v>526</v>
      </c>
      <c r="BD909"/>
      <c r="BE909"/>
      <c r="BF909"/>
      <c r="BG909"/>
      <c r="BH909"/>
      <c r="BI909"/>
      <c r="BJ909"/>
      <c r="BK909"/>
      <c r="BL909"/>
      <c r="BM909"/>
      <c r="BN909"/>
      <c r="BO909"/>
      <c r="BP909"/>
      <c r="BQ909"/>
      <c r="BR909"/>
      <c r="BS909" t="s">
        <v>5845</v>
      </c>
      <c r="BT909" t="str">
        <f>HYPERLINK("https%3A%2F%2Fwww.webofscience.com%2Fwos%2Fwoscc%2Ffull-record%2FWOS:000679066800117","View Full Record in Web of Science")</f>
        <v>View Full Record in Web of Science</v>
      </c>
    </row>
    <row r="910" spans="1:75" customHeight="1" ht="12.75">
      <c r="A910" t="s">
        <v>72</v>
      </c>
      <c r="B910" t="s">
        <v>5846</v>
      </c>
      <c r="C910"/>
      <c r="D910"/>
      <c r="E910"/>
      <c r="F910" t="s">
        <v>5847</v>
      </c>
      <c r="G910"/>
      <c r="H910"/>
      <c r="I910" t="s">
        <v>5848</v>
      </c>
      <c r="J910" t="s">
        <v>5139</v>
      </c>
      <c r="K910"/>
      <c r="L910"/>
      <c r="M910"/>
      <c r="N910"/>
      <c r="O910"/>
      <c r="P910"/>
      <c r="Q910"/>
      <c r="R910"/>
      <c r="S910"/>
      <c r="T910"/>
      <c r="U910"/>
      <c r="V910"/>
      <c r="W910"/>
      <c r="X910"/>
      <c r="Y910"/>
      <c r="Z910"/>
      <c r="AA910" t="s">
        <v>5849</v>
      </c>
      <c r="AB910" t="s">
        <v>5850</v>
      </c>
      <c r="AC910"/>
      <c r="AD910"/>
      <c r="AE910"/>
      <c r="AF910"/>
      <c r="AG910"/>
      <c r="AH910"/>
      <c r="AI910"/>
      <c r="AJ910"/>
      <c r="AK910"/>
      <c r="AL910"/>
      <c r="AM910"/>
      <c r="AN910"/>
      <c r="AO910" t="s">
        <v>5142</v>
      </c>
      <c r="AP910" t="s">
        <v>5143</v>
      </c>
      <c r="AQ910"/>
      <c r="AR910"/>
      <c r="AS910"/>
      <c r="AT910" t="s">
        <v>1173</v>
      </c>
      <c r="AU910">
        <v>2017</v>
      </c>
      <c r="AV910">
        <v>13</v>
      </c>
      <c r="AW910">
        <v>8</v>
      </c>
      <c r="AX910"/>
      <c r="AY910"/>
      <c r="AZ910"/>
      <c r="BA910"/>
      <c r="BB910">
        <v>4351</v>
      </c>
      <c r="BC910">
        <v>4362</v>
      </c>
      <c r="BD910"/>
      <c r="BE910" t="s">
        <v>5851</v>
      </c>
      <c r="BF910" t="str">
        <f>HYPERLINK("http://dx.doi.org/10.12973/eurasia.2017.00931a","http://dx.doi.org/10.12973/eurasia.2017.00931a")</f>
        <v>http://dx.doi.org/10.12973/eurasia.2017.00931a</v>
      </c>
      <c r="BG910"/>
      <c r="BH910"/>
      <c r="BI910"/>
      <c r="BJ910"/>
      <c r="BK910"/>
      <c r="BL910"/>
      <c r="BM910"/>
      <c r="BN910"/>
      <c r="BO910"/>
      <c r="BP910"/>
      <c r="BQ910"/>
      <c r="BR910"/>
      <c r="BS910" t="s">
        <v>5852</v>
      </c>
      <c r="BT910" t="str">
        <f>HYPERLINK("https%3A%2F%2Fwww.webofscience.com%2Fwos%2Fwoscc%2Ffull-record%2FWOS:000409067500002","View Full Record in Web of Science")</f>
        <v>View Full Record in Web of Science</v>
      </c>
    </row>
    <row r="911" spans="1:75" customHeight="1" ht="12.75">
      <c r="A911" t="s">
        <v>72</v>
      </c>
      <c r="B911" t="s">
        <v>5484</v>
      </c>
      <c r="C911"/>
      <c r="D911"/>
      <c r="E911"/>
      <c r="F911" t="s">
        <v>5485</v>
      </c>
      <c r="G911"/>
      <c r="H911"/>
      <c r="I911" t="s">
        <v>5853</v>
      </c>
      <c r="J911" t="s">
        <v>5436</v>
      </c>
      <c r="K911"/>
      <c r="L911"/>
      <c r="M911"/>
      <c r="N911"/>
      <c r="O911"/>
      <c r="P911"/>
      <c r="Q911"/>
      <c r="R911"/>
      <c r="S911"/>
      <c r="T911"/>
      <c r="U911"/>
      <c r="V911"/>
      <c r="W911"/>
      <c r="X911"/>
      <c r="Y911"/>
      <c r="Z911"/>
      <c r="AA911" t="s">
        <v>5487</v>
      </c>
      <c r="AB911" t="s">
        <v>5488</v>
      </c>
      <c r="AC911"/>
      <c r="AD911"/>
      <c r="AE911"/>
      <c r="AF911"/>
      <c r="AG911"/>
      <c r="AH911"/>
      <c r="AI911"/>
      <c r="AJ911"/>
      <c r="AK911"/>
      <c r="AL911"/>
      <c r="AM911"/>
      <c r="AN911"/>
      <c r="AO911" t="s">
        <v>5439</v>
      </c>
      <c r="AP911" t="s">
        <v>5440</v>
      </c>
      <c r="AQ911"/>
      <c r="AR911"/>
      <c r="AS911"/>
      <c r="AT911" t="s">
        <v>319</v>
      </c>
      <c r="AU911">
        <v>2015</v>
      </c>
      <c r="AV911">
        <v>51</v>
      </c>
      <c r="AW911">
        <v>5</v>
      </c>
      <c r="AX911"/>
      <c r="AY911"/>
      <c r="AZ911"/>
      <c r="BA911"/>
      <c r="BB911">
        <v>609</v>
      </c>
      <c r="BC911">
        <v>628</v>
      </c>
      <c r="BD911"/>
      <c r="BE911" t="s">
        <v>5854</v>
      </c>
      <c r="BF911" t="str">
        <f>HYPERLINK("http://dx.doi.org/10.1007/s11029-015-9531-6","http://dx.doi.org/10.1007/s11029-015-9531-6")</f>
        <v>http://dx.doi.org/10.1007/s11029-015-9531-6</v>
      </c>
      <c r="BG911"/>
      <c r="BH911"/>
      <c r="BI911"/>
      <c r="BJ911"/>
      <c r="BK911"/>
      <c r="BL911"/>
      <c r="BM911"/>
      <c r="BN911"/>
      <c r="BO911"/>
      <c r="BP911"/>
      <c r="BQ911"/>
      <c r="BR911"/>
      <c r="BS911" t="s">
        <v>5855</v>
      </c>
      <c r="BT911" t="str">
        <f>HYPERLINK("https%3A%2F%2Fwww.webofscience.com%2Fwos%2Fwoscc%2Ffull-record%2FWOS:000365271200007","View Full Record in Web of Science")</f>
        <v>View Full Record in Web of Science</v>
      </c>
    </row>
    <row r="912" spans="1:75" customHeight="1" ht="12.75">
      <c r="A912" t="s">
        <v>147</v>
      </c>
      <c r="B912" t="s">
        <v>5856</v>
      </c>
      <c r="C912"/>
      <c r="D912"/>
      <c r="E912" t="s">
        <v>210</v>
      </c>
      <c r="F912" t="s">
        <v>5857</v>
      </c>
      <c r="G912"/>
      <c r="H912"/>
      <c r="I912" t="s">
        <v>5858</v>
      </c>
      <c r="J912" t="s">
        <v>5859</v>
      </c>
      <c r="K912" t="s">
        <v>5860</v>
      </c>
      <c r="L912"/>
      <c r="M912"/>
      <c r="N912"/>
      <c r="O912" t="s">
        <v>5861</v>
      </c>
      <c r="P912" t="s">
        <v>5862</v>
      </c>
      <c r="Q912" t="s">
        <v>5863</v>
      </c>
      <c r="R912" t="s">
        <v>5864</v>
      </c>
      <c r="S912"/>
      <c r="T912"/>
      <c r="U912"/>
      <c r="V912"/>
      <c r="W912"/>
      <c r="X912"/>
      <c r="Y912"/>
      <c r="Z912"/>
      <c r="AA912" t="s">
        <v>5805</v>
      </c>
      <c r="AB912" t="s">
        <v>5806</v>
      </c>
      <c r="AC912"/>
      <c r="AD912"/>
      <c r="AE912"/>
      <c r="AF912"/>
      <c r="AG912"/>
      <c r="AH912"/>
      <c r="AI912"/>
      <c r="AJ912"/>
      <c r="AK912"/>
      <c r="AL912"/>
      <c r="AM912"/>
      <c r="AN912"/>
      <c r="AO912" t="s">
        <v>5865</v>
      </c>
      <c r="AP912"/>
      <c r="AQ912" t="s">
        <v>5866</v>
      </c>
      <c r="AR912"/>
      <c r="AS912"/>
      <c r="AT912"/>
      <c r="AU912">
        <v>2015</v>
      </c>
      <c r="AV912"/>
      <c r="AW912"/>
      <c r="AX912"/>
      <c r="AY912"/>
      <c r="AZ912"/>
      <c r="BA912"/>
      <c r="BB912">
        <v>26</v>
      </c>
      <c r="BC912">
        <v>33</v>
      </c>
      <c r="BD912"/>
      <c r="BE912" t="s">
        <v>5867</v>
      </c>
      <c r="BF912" t="str">
        <f>HYPERLINK("http://dx.doi.org/10.1109/ISKE.2015.28","http://dx.doi.org/10.1109/ISKE.2015.28")</f>
        <v>http://dx.doi.org/10.1109/ISKE.2015.28</v>
      </c>
      <c r="BG912"/>
      <c r="BH912"/>
      <c r="BI912"/>
      <c r="BJ912"/>
      <c r="BK912"/>
      <c r="BL912"/>
      <c r="BM912"/>
      <c r="BN912"/>
      <c r="BO912"/>
      <c r="BP912"/>
      <c r="BQ912"/>
      <c r="BR912"/>
      <c r="BS912" t="s">
        <v>5868</v>
      </c>
      <c r="BT912" t="str">
        <f>HYPERLINK("https%3A%2F%2Fwww.webofscience.com%2Fwos%2Fwoscc%2Ffull-record%2FWOS:000380396100006","View Full Record in Web of Science")</f>
        <v>View Full Record in Web of Science</v>
      </c>
    </row>
    <row r="913" spans="1:75" customHeight="1" ht="12.75">
      <c r="A913" t="s">
        <v>72</v>
      </c>
      <c r="B913" t="s">
        <v>5690</v>
      </c>
      <c r="C913"/>
      <c r="D913"/>
      <c r="E913"/>
      <c r="F913" t="s">
        <v>5690</v>
      </c>
      <c r="G913"/>
      <c r="H913"/>
      <c r="I913" t="s">
        <v>5869</v>
      </c>
      <c r="J913" t="s">
        <v>1905</v>
      </c>
      <c r="K913"/>
      <c r="L913"/>
      <c r="M913"/>
      <c r="N913"/>
      <c r="O913" t="s">
        <v>5870</v>
      </c>
      <c r="P913" t="s">
        <v>5871</v>
      </c>
      <c r="Q913" t="s">
        <v>2563</v>
      </c>
      <c r="R913" t="s">
        <v>2705</v>
      </c>
      <c r="S913"/>
      <c r="T913"/>
      <c r="U913"/>
      <c r="V913"/>
      <c r="W913"/>
      <c r="X913"/>
      <c r="Y913"/>
      <c r="Z913"/>
      <c r="AA913" t="s">
        <v>489</v>
      </c>
      <c r="AB913" t="s">
        <v>490</v>
      </c>
      <c r="AC913"/>
      <c r="AD913"/>
      <c r="AE913"/>
      <c r="AF913"/>
      <c r="AG913"/>
      <c r="AH913"/>
      <c r="AI913"/>
      <c r="AJ913"/>
      <c r="AK913"/>
      <c r="AL913"/>
      <c r="AM913"/>
      <c r="AN913"/>
      <c r="AO913" t="s">
        <v>1906</v>
      </c>
      <c r="AP913"/>
      <c r="AQ913"/>
      <c r="AR913"/>
      <c r="AS913"/>
      <c r="AT913" t="s">
        <v>78</v>
      </c>
      <c r="AU913">
        <v>2005</v>
      </c>
      <c r="AV913">
        <v>31</v>
      </c>
      <c r="AW913">
        <v>3</v>
      </c>
      <c r="AX913"/>
      <c r="AY913"/>
      <c r="AZ913"/>
      <c r="BA913"/>
      <c r="BB913">
        <v>346</v>
      </c>
      <c r="BC913">
        <v>351</v>
      </c>
      <c r="BD913"/>
      <c r="BE913" t="s">
        <v>5872</v>
      </c>
      <c r="BF913" t="str">
        <f>HYPERLINK("http://dx.doi.org/10.1007/s10720-005-0067-z","http://dx.doi.org/10.1007/s10720-005-0067-z")</f>
        <v>http://dx.doi.org/10.1007/s10720-005-0067-z</v>
      </c>
      <c r="BG913"/>
      <c r="BH913"/>
      <c r="BI913"/>
      <c r="BJ913"/>
      <c r="BK913"/>
      <c r="BL913"/>
      <c r="BM913"/>
      <c r="BN913"/>
      <c r="BO913"/>
      <c r="BP913"/>
      <c r="BQ913"/>
      <c r="BR913"/>
      <c r="BS913" t="s">
        <v>5873</v>
      </c>
      <c r="BT913" t="str">
        <f>HYPERLINK("https%3A%2F%2Fwww.webofscience.com%2Fwos%2Fwoscc%2Ffull-record%2FWOS:000230552700013","View Full Record in Web of Science")</f>
        <v>View Full Record in Web of Science</v>
      </c>
    </row>
    <row r="914" spans="1:75" customHeight="1" ht="12.75">
      <c r="A914" t="s">
        <v>72</v>
      </c>
      <c r="B914" t="s">
        <v>5874</v>
      </c>
      <c r="C914"/>
      <c r="D914"/>
      <c r="E914"/>
      <c r="F914" t="s">
        <v>5874</v>
      </c>
      <c r="G914"/>
      <c r="H914"/>
      <c r="I914" t="s">
        <v>5875</v>
      </c>
      <c r="J914" t="s">
        <v>614</v>
      </c>
      <c r="K914"/>
      <c r="L914"/>
      <c r="M914"/>
      <c r="N914"/>
      <c r="O914" t="s">
        <v>5261</v>
      </c>
      <c r="P914" t="s">
        <v>5262</v>
      </c>
      <c r="Q914" t="s">
        <v>5263</v>
      </c>
      <c r="R914"/>
      <c r="S914" t="s">
        <v>2862</v>
      </c>
      <c r="T914"/>
      <c r="U914"/>
      <c r="V914"/>
      <c r="W914"/>
      <c r="X914"/>
      <c r="Y914"/>
      <c r="Z914"/>
      <c r="AA914"/>
      <c r="AB914"/>
      <c r="AC914"/>
      <c r="AD914"/>
      <c r="AE914"/>
      <c r="AF914"/>
      <c r="AG914"/>
      <c r="AH914"/>
      <c r="AI914"/>
      <c r="AJ914"/>
      <c r="AK914"/>
      <c r="AL914"/>
      <c r="AM914"/>
      <c r="AN914"/>
      <c r="AO914" t="s">
        <v>617</v>
      </c>
      <c r="AP914" t="s">
        <v>1720</v>
      </c>
      <c r="AQ914"/>
      <c r="AR914"/>
      <c r="AS914"/>
      <c r="AT914" t="s">
        <v>88</v>
      </c>
      <c r="AU914">
        <v>2005</v>
      </c>
      <c r="AV914">
        <v>41</v>
      </c>
      <c r="AW914">
        <v>5</v>
      </c>
      <c r="AX914"/>
      <c r="AY914"/>
      <c r="AZ914"/>
      <c r="BA914"/>
      <c r="BB914">
        <v>540</v>
      </c>
      <c r="BC914">
        <v>543</v>
      </c>
      <c r="BD914"/>
      <c r="BE914" t="s">
        <v>5876</v>
      </c>
      <c r="BF914" t="str">
        <f>HYPERLINK("http://dx.doi.org/10.1007/s11175-005-0102-3","http://dx.doi.org/10.1007/s11175-005-0102-3")</f>
        <v>http://dx.doi.org/10.1007/s11175-005-0102-3</v>
      </c>
      <c r="BG914"/>
      <c r="BH914"/>
      <c r="BI914"/>
      <c r="BJ914"/>
      <c r="BK914"/>
      <c r="BL914"/>
      <c r="BM914"/>
      <c r="BN914"/>
      <c r="BO914"/>
      <c r="BP914"/>
      <c r="BQ914"/>
      <c r="BR914"/>
      <c r="BS914" t="s">
        <v>5877</v>
      </c>
      <c r="BT914" t="str">
        <f>HYPERLINK("https%3A%2F%2Fwww.webofscience.com%2Fwos%2Fwoscc%2Ffull-record%2FWOS:000229725000015","View Full Record in Web of Science")</f>
        <v>View Full Record in Web of Science</v>
      </c>
    </row>
    <row r="915" spans="1:75" customHeight="1" ht="12.75">
      <c r="A915" t="s">
        <v>72</v>
      </c>
      <c r="B915" t="s">
        <v>5878</v>
      </c>
      <c r="C915"/>
      <c r="D915"/>
      <c r="E915"/>
      <c r="F915" t="s">
        <v>5879</v>
      </c>
      <c r="G915"/>
      <c r="H915"/>
      <c r="I915" t="s">
        <v>5880</v>
      </c>
      <c r="J915" t="s">
        <v>166</v>
      </c>
      <c r="K915"/>
      <c r="L915"/>
      <c r="M915"/>
      <c r="N915"/>
      <c r="O915"/>
      <c r="P915"/>
      <c r="Q915"/>
      <c r="R915"/>
      <c r="S915"/>
      <c r="T915"/>
      <c r="U915"/>
      <c r="V915"/>
      <c r="W915"/>
      <c r="X915"/>
      <c r="Y915"/>
      <c r="Z915"/>
      <c r="AA915" t="s">
        <v>5881</v>
      </c>
      <c r="AB915" t="s">
        <v>5882</v>
      </c>
      <c r="AC915"/>
      <c r="AD915"/>
      <c r="AE915"/>
      <c r="AF915"/>
      <c r="AG915"/>
      <c r="AH915"/>
      <c r="AI915"/>
      <c r="AJ915"/>
      <c r="AK915"/>
      <c r="AL915"/>
      <c r="AM915"/>
      <c r="AN915"/>
      <c r="AO915" t="s">
        <v>169</v>
      </c>
      <c r="AP915" t="s">
        <v>170</v>
      </c>
      <c r="AQ915"/>
      <c r="AR915"/>
      <c r="AS915"/>
      <c r="AT915" t="s">
        <v>171</v>
      </c>
      <c r="AU915">
        <v>2023</v>
      </c>
      <c r="AV915">
        <v>12</v>
      </c>
      <c r="AW915">
        <v>1</v>
      </c>
      <c r="AX915"/>
      <c r="AY915"/>
      <c r="AZ915"/>
      <c r="BA915"/>
      <c r="BB915">
        <v>173</v>
      </c>
      <c r="BC915">
        <v>187</v>
      </c>
      <c r="BD915"/>
      <c r="BE915" t="s">
        <v>5883</v>
      </c>
      <c r="BF915" t="str">
        <f>HYPERLINK("http://dx.doi.org/10.13187/ejced.2023.1.173","http://dx.doi.org/10.13187/ejced.2023.1.173")</f>
        <v>http://dx.doi.org/10.13187/ejced.2023.1.173</v>
      </c>
      <c r="BG915"/>
      <c r="BH915"/>
      <c r="BI915"/>
      <c r="BJ915"/>
      <c r="BK915"/>
      <c r="BL915"/>
      <c r="BM915"/>
      <c r="BN915"/>
      <c r="BO915"/>
      <c r="BP915"/>
      <c r="BQ915"/>
      <c r="BR915"/>
      <c r="BS915" t="s">
        <v>5884</v>
      </c>
      <c r="BT915" t="str">
        <f>HYPERLINK("https%3A%2F%2Fwww.webofscience.com%2Fwos%2Fwoscc%2Ffull-record%2FWOS:000961369300014","View Full Record in Web of Science")</f>
        <v>View Full Record in Web of Science</v>
      </c>
    </row>
    <row r="916" spans="1:75" customHeight="1" ht="12.75">
      <c r="A916" t="s">
        <v>72</v>
      </c>
      <c r="B916" t="s">
        <v>5885</v>
      </c>
      <c r="C916"/>
      <c r="D916"/>
      <c r="E916"/>
      <c r="F916" t="s">
        <v>5886</v>
      </c>
      <c r="G916"/>
      <c r="H916"/>
      <c r="I916" t="s">
        <v>5887</v>
      </c>
      <c r="J916" t="s">
        <v>95</v>
      </c>
      <c r="K916"/>
      <c r="L916"/>
      <c r="M916"/>
      <c r="N916"/>
      <c r="O916"/>
      <c r="P916"/>
      <c r="Q916"/>
      <c r="R916"/>
      <c r="S916"/>
      <c r="T916"/>
      <c r="U916"/>
      <c r="V916"/>
      <c r="W916"/>
      <c r="X916"/>
      <c r="Y916"/>
      <c r="Z916"/>
      <c r="AA916"/>
      <c r="AB916" t="s">
        <v>5888</v>
      </c>
      <c r="AC916"/>
      <c r="AD916"/>
      <c r="AE916"/>
      <c r="AF916"/>
      <c r="AG916"/>
      <c r="AH916"/>
      <c r="AI916"/>
      <c r="AJ916"/>
      <c r="AK916"/>
      <c r="AL916"/>
      <c r="AM916"/>
      <c r="AN916"/>
      <c r="AO916" t="s">
        <v>98</v>
      </c>
      <c r="AP916" t="s">
        <v>99</v>
      </c>
      <c r="AQ916"/>
      <c r="AR916"/>
      <c r="AS916"/>
      <c r="AT916"/>
      <c r="AU916">
        <v>2020</v>
      </c>
      <c r="AV916"/>
      <c r="AW916">
        <v>4</v>
      </c>
      <c r="AX916"/>
      <c r="AY916"/>
      <c r="AZ916"/>
      <c r="BA916"/>
      <c r="BB916">
        <v>35</v>
      </c>
      <c r="BC916">
        <v>42</v>
      </c>
      <c r="BD916"/>
      <c r="BE916" t="s">
        <v>5889</v>
      </c>
      <c r="BF916" t="str">
        <f>HYPERLINK("http://dx.doi.org/10.25750/1995-4301-2020-4-035-042","http://dx.doi.org/10.25750/1995-4301-2020-4-035-042")</f>
        <v>http://dx.doi.org/10.25750/1995-4301-2020-4-035-042</v>
      </c>
      <c r="BG916"/>
      <c r="BH916"/>
      <c r="BI916"/>
      <c r="BJ916"/>
      <c r="BK916"/>
      <c r="BL916"/>
      <c r="BM916"/>
      <c r="BN916"/>
      <c r="BO916"/>
      <c r="BP916"/>
      <c r="BQ916"/>
      <c r="BR916"/>
      <c r="BS916" t="s">
        <v>5890</v>
      </c>
      <c r="BT916" t="str">
        <f>HYPERLINK("https%3A%2F%2Fwww.webofscience.com%2Fwos%2Fwoscc%2Ffull-record%2FWOS:000597810500005","View Full Record in Web of Science")</f>
        <v>View Full Record in Web of Science</v>
      </c>
    </row>
    <row r="917" spans="1:75" customHeight="1" ht="12.75">
      <c r="A917" t="s">
        <v>147</v>
      </c>
      <c r="B917" t="s">
        <v>5891</v>
      </c>
      <c r="C917"/>
      <c r="D917" t="s">
        <v>5892</v>
      </c>
      <c r="E917"/>
      <c r="F917" t="s">
        <v>5893</v>
      </c>
      <c r="G917"/>
      <c r="H917"/>
      <c r="I917" t="s">
        <v>5894</v>
      </c>
      <c r="J917" t="s">
        <v>5895</v>
      </c>
      <c r="K917" t="s">
        <v>2504</v>
      </c>
      <c r="L917"/>
      <c r="M917"/>
      <c r="N917"/>
      <c r="O917" t="s">
        <v>5896</v>
      </c>
      <c r="P917" t="s">
        <v>5897</v>
      </c>
      <c r="Q917" t="s">
        <v>226</v>
      </c>
      <c r="R917"/>
      <c r="S917" t="s">
        <v>227</v>
      </c>
      <c r="T917"/>
      <c r="U917"/>
      <c r="V917"/>
      <c r="W917"/>
      <c r="X917"/>
      <c r="Y917"/>
      <c r="Z917"/>
      <c r="AA917" t="s">
        <v>5898</v>
      </c>
      <c r="AB917" t="s">
        <v>5899</v>
      </c>
      <c r="AC917"/>
      <c r="AD917"/>
      <c r="AE917"/>
      <c r="AF917"/>
      <c r="AG917"/>
      <c r="AH917"/>
      <c r="AI917"/>
      <c r="AJ917"/>
      <c r="AK917"/>
      <c r="AL917"/>
      <c r="AM917"/>
      <c r="AN917"/>
      <c r="AO917" t="s">
        <v>2509</v>
      </c>
      <c r="AP917"/>
      <c r="AQ917" t="s">
        <v>5900</v>
      </c>
      <c r="AR917"/>
      <c r="AS917"/>
      <c r="AT917"/>
      <c r="AU917">
        <v>2017</v>
      </c>
      <c r="AV917">
        <v>38</v>
      </c>
      <c r="AW917"/>
      <c r="AX917"/>
      <c r="AY917"/>
      <c r="AZ917"/>
      <c r="BA917"/>
      <c r="BB917">
        <v>34</v>
      </c>
      <c r="BC917">
        <v>39</v>
      </c>
      <c r="BD917"/>
      <c r="BE917"/>
      <c r="BF917"/>
      <c r="BG917"/>
      <c r="BH917"/>
      <c r="BI917"/>
      <c r="BJ917"/>
      <c r="BK917"/>
      <c r="BL917"/>
      <c r="BM917"/>
      <c r="BN917"/>
      <c r="BO917"/>
      <c r="BP917"/>
      <c r="BQ917"/>
      <c r="BR917"/>
      <c r="BS917" t="s">
        <v>5901</v>
      </c>
      <c r="BT917" t="str">
        <f>HYPERLINK("https%3A%2F%2Fwww.webofscience.com%2Fwos%2Fwoscc%2Ffull-record%2FWOS:000416099600006","View Full Record in Web of Science")</f>
        <v>View Full Record in Web of Science</v>
      </c>
    </row>
    <row r="918" spans="1:75" customHeight="1" ht="12.75">
      <c r="A918" t="s">
        <v>147</v>
      </c>
      <c r="B918" t="s">
        <v>5902</v>
      </c>
      <c r="C918"/>
      <c r="D918" t="s">
        <v>903</v>
      </c>
      <c r="E918"/>
      <c r="F918" t="s">
        <v>5903</v>
      </c>
      <c r="G918"/>
      <c r="H918"/>
      <c r="I918" t="s">
        <v>5904</v>
      </c>
      <c r="J918" t="s">
        <v>906</v>
      </c>
      <c r="K918" t="s">
        <v>907</v>
      </c>
      <c r="L918"/>
      <c r="M918"/>
      <c r="N918"/>
      <c r="O918" t="s">
        <v>908</v>
      </c>
      <c r="P918" t="s">
        <v>909</v>
      </c>
      <c r="Q918" t="s">
        <v>910</v>
      </c>
      <c r="R918" t="s">
        <v>911</v>
      </c>
      <c r="S918"/>
      <c r="T918"/>
      <c r="U918"/>
      <c r="V918"/>
      <c r="W918"/>
      <c r="X918"/>
      <c r="Y918"/>
      <c r="Z918"/>
      <c r="AA918"/>
      <c r="AB918"/>
      <c r="AC918"/>
      <c r="AD918"/>
      <c r="AE918"/>
      <c r="AF918"/>
      <c r="AG918"/>
      <c r="AH918"/>
      <c r="AI918"/>
      <c r="AJ918"/>
      <c r="AK918"/>
      <c r="AL918"/>
      <c r="AM918"/>
      <c r="AN918"/>
      <c r="AO918" t="s">
        <v>912</v>
      </c>
      <c r="AP918"/>
      <c r="AQ918"/>
      <c r="AR918"/>
      <c r="AS918"/>
      <c r="AT918"/>
      <c r="AU918">
        <v>2017</v>
      </c>
      <c r="AV918">
        <v>206</v>
      </c>
      <c r="AW918"/>
      <c r="AX918"/>
      <c r="AY918"/>
      <c r="AZ918"/>
      <c r="BA918"/>
      <c r="BB918">
        <v>373</v>
      </c>
      <c r="BC918">
        <v>379</v>
      </c>
      <c r="BD918"/>
      <c r="BE918" t="s">
        <v>5905</v>
      </c>
      <c r="BF918" t="str">
        <f>HYPERLINK("http://dx.doi.org/10.1016/j.proeng.2017.10.488","http://dx.doi.org/10.1016/j.proeng.2017.10.488")</f>
        <v>http://dx.doi.org/10.1016/j.proeng.2017.10.488</v>
      </c>
      <c r="BG918"/>
      <c r="BH918"/>
      <c r="BI918"/>
      <c r="BJ918"/>
      <c r="BK918"/>
      <c r="BL918"/>
      <c r="BM918"/>
      <c r="BN918"/>
      <c r="BO918"/>
      <c r="BP918"/>
      <c r="BQ918"/>
      <c r="BR918"/>
      <c r="BS918" t="s">
        <v>5906</v>
      </c>
      <c r="BT918" t="str">
        <f>HYPERLINK("https%3A%2F%2Fwww.webofscience.com%2Fwos%2Fwoscc%2Ffull-record%2FWOS:000425674300061","View Full Record in Web of Science")</f>
        <v>View Full Record in Web of Science</v>
      </c>
    </row>
    <row r="919" spans="1:75" customHeight="1" ht="12.75">
      <c r="A919" t="s">
        <v>72</v>
      </c>
      <c r="B919" t="s">
        <v>5907</v>
      </c>
      <c r="C919"/>
      <c r="D919"/>
      <c r="E919"/>
      <c r="F919" t="s">
        <v>5908</v>
      </c>
      <c r="G919"/>
      <c r="H919"/>
      <c r="I919" t="s">
        <v>5909</v>
      </c>
      <c r="J919" t="s">
        <v>3310</v>
      </c>
      <c r="K919"/>
      <c r="L919"/>
      <c r="M919"/>
      <c r="N919"/>
      <c r="O919"/>
      <c r="P919"/>
      <c r="Q919"/>
      <c r="R919"/>
      <c r="S919"/>
      <c r="T919"/>
      <c r="U919"/>
      <c r="V919"/>
      <c r="W919"/>
      <c r="X919"/>
      <c r="Y919"/>
      <c r="Z919"/>
      <c r="AA919" t="s">
        <v>5910</v>
      </c>
      <c r="AB919" t="s">
        <v>5911</v>
      </c>
      <c r="AC919"/>
      <c r="AD919"/>
      <c r="AE919"/>
      <c r="AF919"/>
      <c r="AG919"/>
      <c r="AH919"/>
      <c r="AI919"/>
      <c r="AJ919"/>
      <c r="AK919"/>
      <c r="AL919"/>
      <c r="AM919"/>
      <c r="AN919"/>
      <c r="AO919" t="s">
        <v>3313</v>
      </c>
      <c r="AP919"/>
      <c r="AQ919"/>
      <c r="AR919"/>
      <c r="AS919"/>
      <c r="AT919" t="s">
        <v>2803</v>
      </c>
      <c r="AU919">
        <v>2015</v>
      </c>
      <c r="AV919">
        <v>36</v>
      </c>
      <c r="AW919">
        <v>2</v>
      </c>
      <c r="AX919"/>
      <c r="AY919"/>
      <c r="AZ919"/>
      <c r="BA919"/>
      <c r="BB919">
        <v>132</v>
      </c>
      <c r="BC919">
        <v>134</v>
      </c>
      <c r="BD919"/>
      <c r="BE919"/>
      <c r="BF919"/>
      <c r="BG919"/>
      <c r="BH919"/>
      <c r="BI919"/>
      <c r="BJ919"/>
      <c r="BK919"/>
      <c r="BL919"/>
      <c r="BM919"/>
      <c r="BN919"/>
      <c r="BO919"/>
      <c r="BP919"/>
      <c r="BQ919"/>
      <c r="BR919"/>
      <c r="BS919" t="s">
        <v>5912</v>
      </c>
      <c r="BT919" t="str">
        <f>HYPERLINK("https%3A%2F%2Fwww.webofscience.com%2Fwos%2Fwoscc%2Ffull-record%2FWOS:000357702500014","View Full Record in Web of Science")</f>
        <v>View Full Record in Web of Science</v>
      </c>
    </row>
    <row r="920" spans="1:75" customHeight="1" ht="12.75">
      <c r="A920" t="s">
        <v>72</v>
      </c>
      <c r="B920" t="s">
        <v>5913</v>
      </c>
      <c r="C920"/>
      <c r="D920"/>
      <c r="E920"/>
      <c r="F920" t="s">
        <v>5914</v>
      </c>
      <c r="G920"/>
      <c r="H920"/>
      <c r="I920" t="s">
        <v>5915</v>
      </c>
      <c r="J920" t="s">
        <v>3233</v>
      </c>
      <c r="K920"/>
      <c r="L920"/>
      <c r="M920"/>
      <c r="N920"/>
      <c r="O920"/>
      <c r="P920"/>
      <c r="Q920"/>
      <c r="R920"/>
      <c r="S920"/>
      <c r="T920"/>
      <c r="U920"/>
      <c r="V920"/>
      <c r="W920"/>
      <c r="X920"/>
      <c r="Y920"/>
      <c r="Z920"/>
      <c r="AA920"/>
      <c r="AB920"/>
      <c r="AC920"/>
      <c r="AD920"/>
      <c r="AE920"/>
      <c r="AF920"/>
      <c r="AG920"/>
      <c r="AH920"/>
      <c r="AI920"/>
      <c r="AJ920"/>
      <c r="AK920"/>
      <c r="AL920"/>
      <c r="AM920"/>
      <c r="AN920"/>
      <c r="AO920" t="s">
        <v>3236</v>
      </c>
      <c r="AP920" t="s">
        <v>3237</v>
      </c>
      <c r="AQ920"/>
      <c r="AR920"/>
      <c r="AS920"/>
      <c r="AT920"/>
      <c r="AU920">
        <v>2021</v>
      </c>
      <c r="AV920"/>
      <c r="AW920">
        <v>53</v>
      </c>
      <c r="AX920"/>
      <c r="AY920"/>
      <c r="AZ920"/>
      <c r="BA920"/>
      <c r="BB920">
        <v>217</v>
      </c>
      <c r="BC920">
        <v>237</v>
      </c>
      <c r="BD920"/>
      <c r="BE920" t="s">
        <v>5916</v>
      </c>
      <c r="BF920" t="str">
        <f>HYPERLINK("http://dx.doi.org/10.17223/19996195/53/14","http://dx.doi.org/10.17223/19996195/53/14")</f>
        <v>http://dx.doi.org/10.17223/19996195/53/14</v>
      </c>
      <c r="BG920"/>
      <c r="BH920"/>
      <c r="BI920"/>
      <c r="BJ920"/>
      <c r="BK920"/>
      <c r="BL920"/>
      <c r="BM920"/>
      <c r="BN920"/>
      <c r="BO920"/>
      <c r="BP920"/>
      <c r="BQ920"/>
      <c r="BR920"/>
      <c r="BS920" t="s">
        <v>5917</v>
      </c>
      <c r="BT920" t="str">
        <f>HYPERLINK("https%3A%2F%2Fwww.webofscience.com%2Fwos%2Fwoscc%2Ffull-record%2FWOS:000654299500014","View Full Record in Web of Science")</f>
        <v>View Full Record in Web of Science</v>
      </c>
    </row>
    <row r="921" spans="1:75" customHeight="1" ht="12.75">
      <c r="A921" t="s">
        <v>72</v>
      </c>
      <c r="B921" t="s">
        <v>5918</v>
      </c>
      <c r="C921"/>
      <c r="D921"/>
      <c r="E921"/>
      <c r="F921" t="s">
        <v>5919</v>
      </c>
      <c r="G921"/>
      <c r="H921"/>
      <c r="I921" t="s">
        <v>5920</v>
      </c>
      <c r="J921" t="s">
        <v>614</v>
      </c>
      <c r="K921"/>
      <c r="L921"/>
      <c r="M921"/>
      <c r="N921"/>
      <c r="O921"/>
      <c r="P921"/>
      <c r="Q921"/>
      <c r="R921"/>
      <c r="S921"/>
      <c r="T921"/>
      <c r="U921"/>
      <c r="V921"/>
      <c r="W921"/>
      <c r="X921"/>
      <c r="Y921"/>
      <c r="Z921"/>
      <c r="AA921" t="s">
        <v>5921</v>
      </c>
      <c r="AB921" t="s">
        <v>5922</v>
      </c>
      <c r="AC921"/>
      <c r="AD921"/>
      <c r="AE921"/>
      <c r="AF921"/>
      <c r="AG921"/>
      <c r="AH921"/>
      <c r="AI921"/>
      <c r="AJ921"/>
      <c r="AK921"/>
      <c r="AL921"/>
      <c r="AM921"/>
      <c r="AN921"/>
      <c r="AO921" t="s">
        <v>617</v>
      </c>
      <c r="AP921" t="s">
        <v>1720</v>
      </c>
      <c r="AQ921"/>
      <c r="AR921"/>
      <c r="AS921"/>
      <c r="AT921" t="s">
        <v>1173</v>
      </c>
      <c r="AU921">
        <v>2017</v>
      </c>
      <c r="AV921">
        <v>53</v>
      </c>
      <c r="AW921">
        <v>8</v>
      </c>
      <c r="AX921"/>
      <c r="AY921"/>
      <c r="AZ921"/>
      <c r="BA921"/>
      <c r="BB921">
        <v>799</v>
      </c>
      <c r="BC921">
        <v>807</v>
      </c>
      <c r="BD921"/>
      <c r="BE921" t="s">
        <v>5923</v>
      </c>
      <c r="BF921" t="str">
        <f>HYPERLINK("http://dx.doi.org/10.1134/S102319351708002X","http://dx.doi.org/10.1134/S102319351708002X")</f>
        <v>http://dx.doi.org/10.1134/S102319351708002X</v>
      </c>
      <c r="BG921"/>
      <c r="BH921"/>
      <c r="BI921"/>
      <c r="BJ921"/>
      <c r="BK921"/>
      <c r="BL921"/>
      <c r="BM921"/>
      <c r="BN921"/>
      <c r="BO921"/>
      <c r="BP921"/>
      <c r="BQ921"/>
      <c r="BR921"/>
      <c r="BS921" t="s">
        <v>5924</v>
      </c>
      <c r="BT921" t="str">
        <f>HYPERLINK("https%3A%2F%2Fwww.webofscience.com%2Fwos%2Fwoscc%2Ffull-record%2FWOS:000409010200001","View Full Record in Web of Science")</f>
        <v>View Full Record in Web of Science</v>
      </c>
    </row>
    <row r="922" spans="1:75" customHeight="1" ht="12.75">
      <c r="A922" t="s">
        <v>147</v>
      </c>
      <c r="B922" t="s">
        <v>5925</v>
      </c>
      <c r="C922"/>
      <c r="D922" t="s">
        <v>1876</v>
      </c>
      <c r="E922"/>
      <c r="F922" t="s">
        <v>5926</v>
      </c>
      <c r="G922"/>
      <c r="H922"/>
      <c r="I922" t="s">
        <v>5927</v>
      </c>
      <c r="J922" t="s">
        <v>1879</v>
      </c>
      <c r="K922" t="s">
        <v>1276</v>
      </c>
      <c r="L922"/>
      <c r="M922"/>
      <c r="N922"/>
      <c r="O922" t="s">
        <v>1880</v>
      </c>
      <c r="P922" t="s">
        <v>1881</v>
      </c>
      <c r="Q922" t="s">
        <v>1882</v>
      </c>
      <c r="R922" t="s">
        <v>1883</v>
      </c>
      <c r="S922" t="s">
        <v>1884</v>
      </c>
      <c r="T922"/>
      <c r="U922"/>
      <c r="V922"/>
      <c r="W922"/>
      <c r="X922"/>
      <c r="Y922"/>
      <c r="Z922"/>
      <c r="AA922" t="s">
        <v>5928</v>
      </c>
      <c r="AB922" t="s">
        <v>5929</v>
      </c>
      <c r="AC922"/>
      <c r="AD922"/>
      <c r="AE922"/>
      <c r="AF922"/>
      <c r="AG922"/>
      <c r="AH922"/>
      <c r="AI922"/>
      <c r="AJ922"/>
      <c r="AK922"/>
      <c r="AL922"/>
      <c r="AM922"/>
      <c r="AN922"/>
      <c r="AO922" t="s">
        <v>1282</v>
      </c>
      <c r="AP922"/>
      <c r="AQ922"/>
      <c r="AR922"/>
      <c r="AS922"/>
      <c r="AT922"/>
      <c r="AU922">
        <v>2017</v>
      </c>
      <c r="AV922">
        <v>106</v>
      </c>
      <c r="AW922"/>
      <c r="AX922"/>
      <c r="AY922"/>
      <c r="AZ922"/>
      <c r="BA922"/>
      <c r="BB922"/>
      <c r="BC922"/>
      <c r="BD922">
        <v>8079</v>
      </c>
      <c r="BE922" t="s">
        <v>5930</v>
      </c>
      <c r="BF922" t="str">
        <f>HYPERLINK("http://dx.doi.org/10.1051/matecconf/201710608079","http://dx.doi.org/10.1051/matecconf/201710608079")</f>
        <v>http://dx.doi.org/10.1051/matecconf/201710608079</v>
      </c>
      <c r="BG922"/>
      <c r="BH922"/>
      <c r="BI922"/>
      <c r="BJ922"/>
      <c r="BK922"/>
      <c r="BL922"/>
      <c r="BM922"/>
      <c r="BN922"/>
      <c r="BO922"/>
      <c r="BP922"/>
      <c r="BQ922"/>
      <c r="BR922"/>
      <c r="BS922" t="s">
        <v>5931</v>
      </c>
      <c r="BT922" t="str">
        <f>HYPERLINK("https%3A%2F%2Fwww.webofscience.com%2Fwos%2Fwoscc%2Ffull-record%2FWOS:000426426600264","View Full Record in Web of Science")</f>
        <v>View Full Record in Web of Science</v>
      </c>
    </row>
    <row r="923" spans="1:75" customHeight="1" ht="12.75">
      <c r="A923" t="s">
        <v>72</v>
      </c>
      <c r="B923" t="s">
        <v>5932</v>
      </c>
      <c r="C923"/>
      <c r="D923"/>
      <c r="E923"/>
      <c r="F923" t="s">
        <v>5933</v>
      </c>
      <c r="G923"/>
      <c r="H923"/>
      <c r="I923" t="s">
        <v>5934</v>
      </c>
      <c r="J923" t="s">
        <v>5935</v>
      </c>
      <c r="K923"/>
      <c r="L923"/>
      <c r="M923"/>
      <c r="N923"/>
      <c r="O923"/>
      <c r="P923"/>
      <c r="Q923"/>
      <c r="R923"/>
      <c r="S923"/>
      <c r="T923"/>
      <c r="U923"/>
      <c r="V923"/>
      <c r="W923"/>
      <c r="X923"/>
      <c r="Y923"/>
      <c r="Z923"/>
      <c r="AA923" t="s">
        <v>5936</v>
      </c>
      <c r="AB923" t="s">
        <v>5937</v>
      </c>
      <c r="AC923"/>
      <c r="AD923"/>
      <c r="AE923"/>
      <c r="AF923"/>
      <c r="AG923"/>
      <c r="AH923"/>
      <c r="AI923"/>
      <c r="AJ923"/>
      <c r="AK923"/>
      <c r="AL923"/>
      <c r="AM923"/>
      <c r="AN923"/>
      <c r="AO923" t="s">
        <v>5938</v>
      </c>
      <c r="AP923" t="s">
        <v>5939</v>
      </c>
      <c r="AQ923"/>
      <c r="AR923"/>
      <c r="AS923"/>
      <c r="AT923" t="s">
        <v>125</v>
      </c>
      <c r="AU923">
        <v>2016</v>
      </c>
      <c r="AV923">
        <v>27</v>
      </c>
      <c r="AW923">
        <v>3</v>
      </c>
      <c r="AX923"/>
      <c r="AY923"/>
      <c r="AZ923" t="s">
        <v>339</v>
      </c>
      <c r="BA923"/>
      <c r="BB923">
        <v>719</v>
      </c>
      <c r="BC923">
        <v>742</v>
      </c>
      <c r="BD923"/>
      <c r="BE923" t="s">
        <v>5940</v>
      </c>
      <c r="BF923" t="str">
        <f>HYPERLINK("http://dx.doi.org/10.1007/s11045-016-0394-3","http://dx.doi.org/10.1007/s11045-016-0394-3")</f>
        <v>http://dx.doi.org/10.1007/s11045-016-0394-3</v>
      </c>
      <c r="BG923"/>
      <c r="BH923"/>
      <c r="BI923"/>
      <c r="BJ923"/>
      <c r="BK923"/>
      <c r="BL923"/>
      <c r="BM923"/>
      <c r="BN923"/>
      <c r="BO923"/>
      <c r="BP923"/>
      <c r="BQ923"/>
      <c r="BR923"/>
      <c r="BS923" t="s">
        <v>5941</v>
      </c>
      <c r="BT923" t="str">
        <f>HYPERLINK("https%3A%2F%2Fwww.webofscience.com%2Fwos%2Fwoscc%2Ffull-record%2FWOS:000374691700006","View Full Record in Web of Science")</f>
        <v>View Full Record in Web of Science</v>
      </c>
    </row>
    <row r="924" spans="1:75" customHeight="1" ht="12.75">
      <c r="A924" t="s">
        <v>147</v>
      </c>
      <c r="B924" t="s">
        <v>5942</v>
      </c>
      <c r="C924"/>
      <c r="D924"/>
      <c r="E924" t="s">
        <v>210</v>
      </c>
      <c r="F924" t="s">
        <v>5943</v>
      </c>
      <c r="G924"/>
      <c r="H924"/>
      <c r="I924" t="s">
        <v>5944</v>
      </c>
      <c r="J924" t="s">
        <v>464</v>
      </c>
      <c r="K924" t="s">
        <v>465</v>
      </c>
      <c r="L924"/>
      <c r="M924"/>
      <c r="N924"/>
      <c r="O924" t="s">
        <v>466</v>
      </c>
      <c r="P924" t="s">
        <v>467</v>
      </c>
      <c r="Q924" t="s">
        <v>468</v>
      </c>
      <c r="R924" t="s">
        <v>469</v>
      </c>
      <c r="S924"/>
      <c r="T924"/>
      <c r="U924"/>
      <c r="V924"/>
      <c r="W924"/>
      <c r="X924"/>
      <c r="Y924"/>
      <c r="Z924"/>
      <c r="AA924" t="s">
        <v>5945</v>
      </c>
      <c r="AB924" t="s">
        <v>5946</v>
      </c>
      <c r="AC924"/>
      <c r="AD924"/>
      <c r="AE924"/>
      <c r="AF924"/>
      <c r="AG924"/>
      <c r="AH924"/>
      <c r="AI924"/>
      <c r="AJ924"/>
      <c r="AK924"/>
      <c r="AL924"/>
      <c r="AM924"/>
      <c r="AN924"/>
      <c r="AO924" t="s">
        <v>470</v>
      </c>
      <c r="AP924" t="s">
        <v>471</v>
      </c>
      <c r="AQ924" t="s">
        <v>472</v>
      </c>
      <c r="AR924"/>
      <c r="AS924"/>
      <c r="AT924"/>
      <c r="AU924">
        <v>2015</v>
      </c>
      <c r="AV924"/>
      <c r="AW924"/>
      <c r="AX924"/>
      <c r="AY924"/>
      <c r="AZ924"/>
      <c r="BA924"/>
      <c r="BB924">
        <v>373</v>
      </c>
      <c r="BC924">
        <v>376</v>
      </c>
      <c r="BD924"/>
      <c r="BE924"/>
      <c r="BF924"/>
      <c r="BG924"/>
      <c r="BH924"/>
      <c r="BI924"/>
      <c r="BJ924"/>
      <c r="BK924"/>
      <c r="BL924"/>
      <c r="BM924"/>
      <c r="BN924"/>
      <c r="BO924"/>
      <c r="BP924"/>
      <c r="BQ924"/>
      <c r="BR924"/>
      <c r="BS924" t="s">
        <v>5947</v>
      </c>
      <c r="BT924" t="str">
        <f>HYPERLINK("https%3A%2F%2Fwww.webofscience.com%2Fwos%2Fwoscc%2Ffull-record%2FWOS:000380404000079","View Full Record in Web of Science")</f>
        <v>View Full Record in Web of Science</v>
      </c>
    </row>
    <row r="925" spans="1:75" customHeight="1" ht="12.75">
      <c r="A925" t="s">
        <v>72</v>
      </c>
      <c r="B925" t="s">
        <v>5948</v>
      </c>
      <c r="C925"/>
      <c r="D925"/>
      <c r="E925"/>
      <c r="F925" t="s">
        <v>5949</v>
      </c>
      <c r="G925"/>
      <c r="H925"/>
      <c r="I925" t="s">
        <v>5950</v>
      </c>
      <c r="J925" t="s">
        <v>614</v>
      </c>
      <c r="K925"/>
      <c r="L925"/>
      <c r="M925"/>
      <c r="N925"/>
      <c r="O925"/>
      <c r="P925"/>
      <c r="Q925"/>
      <c r="R925"/>
      <c r="S925"/>
      <c r="T925"/>
      <c r="U925"/>
      <c r="V925"/>
      <c r="W925"/>
      <c r="X925"/>
      <c r="Y925"/>
      <c r="Z925"/>
      <c r="AA925" t="s">
        <v>489</v>
      </c>
      <c r="AB925" t="s">
        <v>490</v>
      </c>
      <c r="AC925"/>
      <c r="AD925"/>
      <c r="AE925"/>
      <c r="AF925"/>
      <c r="AG925"/>
      <c r="AH925"/>
      <c r="AI925"/>
      <c r="AJ925"/>
      <c r="AK925"/>
      <c r="AL925"/>
      <c r="AM925"/>
      <c r="AN925"/>
      <c r="AO925" t="s">
        <v>617</v>
      </c>
      <c r="AP925" t="s">
        <v>1720</v>
      </c>
      <c r="AQ925"/>
      <c r="AR925"/>
      <c r="AS925"/>
      <c r="AT925" t="s">
        <v>1173</v>
      </c>
      <c r="AU925">
        <v>2013</v>
      </c>
      <c r="AV925">
        <v>49</v>
      </c>
      <c r="AW925">
        <v>8</v>
      </c>
      <c r="AX925"/>
      <c r="AY925"/>
      <c r="AZ925"/>
      <c r="BA925"/>
      <c r="BB925">
        <v>776</v>
      </c>
      <c r="BC925">
        <v>782</v>
      </c>
      <c r="BD925"/>
      <c r="BE925" t="s">
        <v>5951</v>
      </c>
      <c r="BF925" t="str">
        <f>HYPERLINK("http://dx.doi.org/10.1134/S1023193513080132","http://dx.doi.org/10.1134/S1023193513080132")</f>
        <v>http://dx.doi.org/10.1134/S1023193513080132</v>
      </c>
      <c r="BG925"/>
      <c r="BH925"/>
      <c r="BI925"/>
      <c r="BJ925"/>
      <c r="BK925"/>
      <c r="BL925"/>
      <c r="BM925"/>
      <c r="BN925"/>
      <c r="BO925"/>
      <c r="BP925"/>
      <c r="BQ925"/>
      <c r="BR925"/>
      <c r="BS925" t="s">
        <v>5952</v>
      </c>
      <c r="BT925" t="str">
        <f>HYPERLINK("https%3A%2F%2Fwww.webofscience.com%2Fwos%2Fwoscc%2Ffull-record%2FWOS:000323258500008","View Full Record in Web of Science")</f>
        <v>View Full Record in Web of Science</v>
      </c>
    </row>
    <row r="926" spans="1:75" customHeight="1" ht="12.75">
      <c r="A926" t="s">
        <v>72</v>
      </c>
      <c r="B926" t="s">
        <v>4873</v>
      </c>
      <c r="C926"/>
      <c r="D926"/>
      <c r="E926"/>
      <c r="F926" t="s">
        <v>4874</v>
      </c>
      <c r="G926"/>
      <c r="H926"/>
      <c r="I926" t="s">
        <v>5953</v>
      </c>
      <c r="J926" t="s">
        <v>4849</v>
      </c>
      <c r="K926"/>
      <c r="L926"/>
      <c r="M926"/>
      <c r="N926"/>
      <c r="O926"/>
      <c r="P926"/>
      <c r="Q926"/>
      <c r="R926"/>
      <c r="S926"/>
      <c r="T926"/>
      <c r="U926"/>
      <c r="V926"/>
      <c r="W926"/>
      <c r="X926"/>
      <c r="Y926"/>
      <c r="Z926"/>
      <c r="AA926" t="s">
        <v>4850</v>
      </c>
      <c r="AB926" t="s">
        <v>4851</v>
      </c>
      <c r="AC926"/>
      <c r="AD926"/>
      <c r="AE926"/>
      <c r="AF926"/>
      <c r="AG926"/>
      <c r="AH926"/>
      <c r="AI926"/>
      <c r="AJ926"/>
      <c r="AK926"/>
      <c r="AL926"/>
      <c r="AM926"/>
      <c r="AN926"/>
      <c r="AO926" t="s">
        <v>4852</v>
      </c>
      <c r="AP926" t="s">
        <v>4853</v>
      </c>
      <c r="AQ926"/>
      <c r="AR926"/>
      <c r="AS926"/>
      <c r="AT926" t="s">
        <v>125</v>
      </c>
      <c r="AU926">
        <v>2023</v>
      </c>
      <c r="AV926">
        <v>102</v>
      </c>
      <c r="AW926">
        <v>1</v>
      </c>
      <c r="AX926"/>
      <c r="AY926"/>
      <c r="AZ926"/>
      <c r="BA926"/>
      <c r="BB926">
        <v>75</v>
      </c>
      <c r="BC926">
        <v>77</v>
      </c>
      <c r="BD926"/>
      <c r="BE926" t="s">
        <v>5954</v>
      </c>
      <c r="BF926" t="str">
        <f>HYPERLINK("http://dx.doi.org/10.1111/tan.15042","http://dx.doi.org/10.1111/tan.15042")</f>
        <v>http://dx.doi.org/10.1111/tan.15042</v>
      </c>
      <c r="BG926"/>
      <c r="BH926" t="s">
        <v>5539</v>
      </c>
      <c r="BI926"/>
      <c r="BJ926"/>
      <c r="BK926"/>
      <c r="BL926"/>
      <c r="BM926"/>
      <c r="BN926">
        <v>36951653</v>
      </c>
      <c r="BO926"/>
      <c r="BP926"/>
      <c r="BQ926"/>
      <c r="BR926"/>
      <c r="BS926" t="s">
        <v>5955</v>
      </c>
      <c r="BT926" t="str">
        <f>HYPERLINK("https%3A%2F%2Fwww.webofscience.com%2Fwos%2Fwoscc%2Ffull-record%2FWOS:000955626700001","View Full Record in Web of Science")</f>
        <v>View Full Record in Web of Science</v>
      </c>
    </row>
    <row r="927" spans="1:75" customHeight="1" ht="12.75">
      <c r="A927" t="s">
        <v>72</v>
      </c>
      <c r="B927" t="s">
        <v>5347</v>
      </c>
      <c r="C927"/>
      <c r="D927"/>
      <c r="E927"/>
      <c r="F927" t="s">
        <v>5956</v>
      </c>
      <c r="G927"/>
      <c r="H927"/>
      <c r="I927" t="s">
        <v>5957</v>
      </c>
      <c r="J927" t="s">
        <v>989</v>
      </c>
      <c r="K927"/>
      <c r="L927"/>
      <c r="M927"/>
      <c r="N927"/>
      <c r="O927"/>
      <c r="P927"/>
      <c r="Q927"/>
      <c r="R927"/>
      <c r="S927"/>
      <c r="T927"/>
      <c r="U927"/>
      <c r="V927"/>
      <c r="W927"/>
      <c r="X927"/>
      <c r="Y927"/>
      <c r="Z927"/>
      <c r="AA927" t="s">
        <v>5374</v>
      </c>
      <c r="AB927"/>
      <c r="AC927"/>
      <c r="AD927"/>
      <c r="AE927"/>
      <c r="AF927"/>
      <c r="AG927"/>
      <c r="AH927"/>
      <c r="AI927"/>
      <c r="AJ927"/>
      <c r="AK927"/>
      <c r="AL927"/>
      <c r="AM927"/>
      <c r="AN927"/>
      <c r="AO927" t="s">
        <v>992</v>
      </c>
      <c r="AP927" t="s">
        <v>993</v>
      </c>
      <c r="AQ927"/>
      <c r="AR927"/>
      <c r="AS927"/>
      <c r="AT927" t="s">
        <v>198</v>
      </c>
      <c r="AU927">
        <v>2022</v>
      </c>
      <c r="AV927">
        <v>111</v>
      </c>
      <c r="AW927" t="s">
        <v>1639</v>
      </c>
      <c r="AX927"/>
      <c r="AY927"/>
      <c r="AZ927"/>
      <c r="BA927"/>
      <c r="BB927">
        <v>331</v>
      </c>
      <c r="BC927">
        <v>342</v>
      </c>
      <c r="BD927"/>
      <c r="BE927" t="s">
        <v>5958</v>
      </c>
      <c r="BF927" t="str">
        <f>HYPERLINK("http://dx.doi.org/10.1134/S0001434622030014","http://dx.doi.org/10.1134/S0001434622030014")</f>
        <v>http://dx.doi.org/10.1134/S0001434622030014</v>
      </c>
      <c r="BG927"/>
      <c r="BH927"/>
      <c r="BI927"/>
      <c r="BJ927"/>
      <c r="BK927"/>
      <c r="BL927"/>
      <c r="BM927"/>
      <c r="BN927"/>
      <c r="BO927"/>
      <c r="BP927"/>
      <c r="BQ927"/>
      <c r="BR927"/>
      <c r="BS927" t="s">
        <v>5959</v>
      </c>
      <c r="BT927" t="str">
        <f>HYPERLINK("https%3A%2F%2Fwww.webofscience.com%2Fwos%2Fwoscc%2Ffull-record%2FWOS:000787851100001","View Full Record in Web of Science")</f>
        <v>View Full Record in Web of Science</v>
      </c>
    </row>
    <row r="928" spans="1:75" customHeight="1" ht="12.75">
      <c r="A928" t="s">
        <v>72</v>
      </c>
      <c r="B928" t="s">
        <v>5960</v>
      </c>
      <c r="C928"/>
      <c r="D928"/>
      <c r="E928"/>
      <c r="F928" t="s">
        <v>5961</v>
      </c>
      <c r="G928"/>
      <c r="H928"/>
      <c r="I928" t="s">
        <v>5962</v>
      </c>
      <c r="J928" t="s">
        <v>5963</v>
      </c>
      <c r="K928"/>
      <c r="L928"/>
      <c r="M928"/>
      <c r="N928"/>
      <c r="O928"/>
      <c r="P928"/>
      <c r="Q928"/>
      <c r="R928"/>
      <c r="S928"/>
      <c r="T928"/>
      <c r="U928"/>
      <c r="V928"/>
      <c r="W928"/>
      <c r="X928"/>
      <c r="Y928"/>
      <c r="Z928"/>
      <c r="AA928" t="s">
        <v>5964</v>
      </c>
      <c r="AB928" t="s">
        <v>5965</v>
      </c>
      <c r="AC928"/>
      <c r="AD928"/>
      <c r="AE928"/>
      <c r="AF928"/>
      <c r="AG928"/>
      <c r="AH928"/>
      <c r="AI928"/>
      <c r="AJ928"/>
      <c r="AK928"/>
      <c r="AL928"/>
      <c r="AM928"/>
      <c r="AN928"/>
      <c r="AO928" t="s">
        <v>5966</v>
      </c>
      <c r="AP928" t="s">
        <v>5967</v>
      </c>
      <c r="AQ928"/>
      <c r="AR928"/>
      <c r="AS928"/>
      <c r="AT928" t="s">
        <v>88</v>
      </c>
      <c r="AU928">
        <v>2021</v>
      </c>
      <c r="AV928">
        <v>14</v>
      </c>
      <c r="AW928">
        <v>2</v>
      </c>
      <c r="AX928"/>
      <c r="AY928"/>
      <c r="AZ928"/>
      <c r="BA928"/>
      <c r="BB928">
        <v>64</v>
      </c>
      <c r="BC928">
        <v>69</v>
      </c>
      <c r="BD928"/>
      <c r="BE928" t="s">
        <v>5968</v>
      </c>
      <c r="BF928" t="str">
        <f>HYPERLINK("http://dx.doi.org/10.14529/mmp210206","http://dx.doi.org/10.14529/mmp210206")</f>
        <v>http://dx.doi.org/10.14529/mmp210206</v>
      </c>
      <c r="BG928"/>
      <c r="BH928"/>
      <c r="BI928"/>
      <c r="BJ928"/>
      <c r="BK928"/>
      <c r="BL928"/>
      <c r="BM928"/>
      <c r="BN928"/>
      <c r="BO928"/>
      <c r="BP928"/>
      <c r="BQ928"/>
      <c r="BR928"/>
      <c r="BS928" t="s">
        <v>5969</v>
      </c>
      <c r="BT928" t="str">
        <f>HYPERLINK("https%3A%2F%2Fwww.webofscience.com%2Fwos%2Fwoscc%2Ffull-record%2FWOS:000657624800006","View Full Record in Web of Science")</f>
        <v>View Full Record in Web of Science</v>
      </c>
    </row>
    <row r="929" spans="1:75" customHeight="1" ht="12.75">
      <c r="A929" t="s">
        <v>72</v>
      </c>
      <c r="B929" t="s">
        <v>5970</v>
      </c>
      <c r="C929"/>
      <c r="D929"/>
      <c r="E929"/>
      <c r="F929" t="s">
        <v>5971</v>
      </c>
      <c r="G929"/>
      <c r="H929"/>
      <c r="I929" t="s">
        <v>5972</v>
      </c>
      <c r="J929" t="s">
        <v>335</v>
      </c>
      <c r="K929"/>
      <c r="L929"/>
      <c r="M929"/>
      <c r="N929"/>
      <c r="O929"/>
      <c r="P929"/>
      <c r="Q929"/>
      <c r="R929"/>
      <c r="S929"/>
      <c r="T929"/>
      <c r="U929"/>
      <c r="V929"/>
      <c r="W929"/>
      <c r="X929"/>
      <c r="Y929"/>
      <c r="Z929"/>
      <c r="AA929"/>
      <c r="AB929"/>
      <c r="AC929"/>
      <c r="AD929"/>
      <c r="AE929"/>
      <c r="AF929"/>
      <c r="AG929"/>
      <c r="AH929"/>
      <c r="AI929"/>
      <c r="AJ929"/>
      <c r="AK929"/>
      <c r="AL929"/>
      <c r="AM929"/>
      <c r="AN929"/>
      <c r="AO929" t="s">
        <v>337</v>
      </c>
      <c r="AP929"/>
      <c r="AQ929"/>
      <c r="AR929"/>
      <c r="AS929"/>
      <c r="AT929" t="s">
        <v>338</v>
      </c>
      <c r="AU929">
        <v>2020</v>
      </c>
      <c r="AV929">
        <v>7</v>
      </c>
      <c r="AW929"/>
      <c r="AX929"/>
      <c r="AY929"/>
      <c r="AZ929" t="s">
        <v>339</v>
      </c>
      <c r="BA929"/>
      <c r="BB929">
        <v>603</v>
      </c>
      <c r="BC929">
        <v>615</v>
      </c>
      <c r="BD929"/>
      <c r="BE929"/>
      <c r="BF929"/>
      <c r="BG929"/>
      <c r="BH929"/>
      <c r="BI929"/>
      <c r="BJ929"/>
      <c r="BK929"/>
      <c r="BL929"/>
      <c r="BM929"/>
      <c r="BN929"/>
      <c r="BO929"/>
      <c r="BP929"/>
      <c r="BQ929"/>
      <c r="BR929"/>
      <c r="BS929" t="s">
        <v>5973</v>
      </c>
      <c r="BT929" t="str">
        <f>HYPERLINK("https%3A%2F%2Fwww.webofscience.com%2Fwos%2Fwoscc%2Ffull-record%2FWOS:000572971200050","View Full Record in Web of Science")</f>
        <v>View Full Record in Web of Science</v>
      </c>
    </row>
    <row r="930" spans="1:75" customHeight="1" ht="12.75">
      <c r="A930" t="s">
        <v>147</v>
      </c>
      <c r="B930" t="s">
        <v>5974</v>
      </c>
      <c r="C930"/>
      <c r="D930"/>
      <c r="E930"/>
      <c r="F930" t="s">
        <v>5975</v>
      </c>
      <c r="G930"/>
      <c r="H930"/>
      <c r="I930" t="s">
        <v>5976</v>
      </c>
      <c r="J930" t="s">
        <v>769</v>
      </c>
      <c r="K930"/>
      <c r="L930"/>
      <c r="M930"/>
      <c r="N930"/>
      <c r="O930" t="s">
        <v>5248</v>
      </c>
      <c r="P930" t="s">
        <v>5249</v>
      </c>
      <c r="Q930" t="s">
        <v>772</v>
      </c>
      <c r="R930"/>
      <c r="S930"/>
      <c r="T930"/>
      <c r="U930"/>
      <c r="V930"/>
      <c r="W930"/>
      <c r="X930"/>
      <c r="Y930"/>
      <c r="Z930"/>
      <c r="AA930"/>
      <c r="AB930" t="s">
        <v>5250</v>
      </c>
      <c r="AC930"/>
      <c r="AD930"/>
      <c r="AE930"/>
      <c r="AF930"/>
      <c r="AG930"/>
      <c r="AH930"/>
      <c r="AI930"/>
      <c r="AJ930"/>
      <c r="AK930"/>
      <c r="AL930"/>
      <c r="AM930"/>
      <c r="AN930"/>
      <c r="AO930" t="s">
        <v>775</v>
      </c>
      <c r="AP930"/>
      <c r="AQ930"/>
      <c r="AR930"/>
      <c r="AS930"/>
      <c r="AT930"/>
      <c r="AU930">
        <v>2019</v>
      </c>
      <c r="AV930">
        <v>11</v>
      </c>
      <c r="AW930"/>
      <c r="AX930">
        <v>1</v>
      </c>
      <c r="AY930"/>
      <c r="AZ930"/>
      <c r="BA930"/>
      <c r="BB930">
        <v>247</v>
      </c>
      <c r="BC930">
        <v>251</v>
      </c>
      <c r="BD930"/>
      <c r="BE930" t="s">
        <v>5977</v>
      </c>
      <c r="BF930" t="str">
        <f>HYPERLINK("http://dx.doi.org/10.1016/j.matpr.2018.12.138","http://dx.doi.org/10.1016/j.matpr.2018.12.138")</f>
        <v>http://dx.doi.org/10.1016/j.matpr.2018.12.138</v>
      </c>
      <c r="BG930"/>
      <c r="BH930"/>
      <c r="BI930"/>
      <c r="BJ930"/>
      <c r="BK930"/>
      <c r="BL930"/>
      <c r="BM930"/>
      <c r="BN930"/>
      <c r="BO930"/>
      <c r="BP930"/>
      <c r="BQ930"/>
      <c r="BR930"/>
      <c r="BS930" t="s">
        <v>5978</v>
      </c>
      <c r="BT930" t="str">
        <f>HYPERLINK("https%3A%2F%2Fwww.webofscience.com%2Fwos%2Fwoscc%2Ffull-record%2FWOS:000463193400042","View Full Record in Web of Science")</f>
        <v>View Full Record in Web of Science</v>
      </c>
    </row>
    <row r="931" spans="1:75" customHeight="1" ht="12.75">
      <c r="A931" t="s">
        <v>147</v>
      </c>
      <c r="B931" t="s">
        <v>5979</v>
      </c>
      <c r="C931"/>
      <c r="D931" t="s">
        <v>249</v>
      </c>
      <c r="E931"/>
      <c r="F931" t="s">
        <v>5980</v>
      </c>
      <c r="G931"/>
      <c r="H931"/>
      <c r="I931" t="s">
        <v>5981</v>
      </c>
      <c r="J931" t="s">
        <v>1371</v>
      </c>
      <c r="K931"/>
      <c r="L931"/>
      <c r="M931"/>
      <c r="N931"/>
      <c r="O931" t="s">
        <v>1372</v>
      </c>
      <c r="P931" t="s">
        <v>1373</v>
      </c>
      <c r="Q931" t="s">
        <v>256</v>
      </c>
      <c r="R931"/>
      <c r="S931" t="s">
        <v>257</v>
      </c>
      <c r="T931"/>
      <c r="U931"/>
      <c r="V931"/>
      <c r="W931"/>
      <c r="X931"/>
      <c r="Y931"/>
      <c r="Z931"/>
      <c r="AA931"/>
      <c r="AB931"/>
      <c r="AC931"/>
      <c r="AD931"/>
      <c r="AE931"/>
      <c r="AF931"/>
      <c r="AG931"/>
      <c r="AH931"/>
      <c r="AI931"/>
      <c r="AJ931"/>
      <c r="AK931"/>
      <c r="AL931"/>
      <c r="AM931"/>
      <c r="AN931"/>
      <c r="AO931"/>
      <c r="AP931"/>
      <c r="AQ931" t="s">
        <v>1374</v>
      </c>
      <c r="AR931"/>
      <c r="AS931"/>
      <c r="AT931"/>
      <c r="AU931">
        <v>2019</v>
      </c>
      <c r="AV931"/>
      <c r="AW931"/>
      <c r="AX931"/>
      <c r="AY931"/>
      <c r="AZ931"/>
      <c r="BA931"/>
      <c r="BB931">
        <v>473</v>
      </c>
      <c r="BC931">
        <v>485</v>
      </c>
      <c r="BD931"/>
      <c r="BE931" t="s">
        <v>5982</v>
      </c>
      <c r="BF931" t="str">
        <f>HYPERLINK("http://dx.doi.org/10.3897/ap.1.e0448","http://dx.doi.org/10.3897/ap.1.e0448")</f>
        <v>http://dx.doi.org/10.3897/ap.1.e0448</v>
      </c>
      <c r="BG931"/>
      <c r="BH931"/>
      <c r="BI931"/>
      <c r="BJ931"/>
      <c r="BK931"/>
      <c r="BL931"/>
      <c r="BM931"/>
      <c r="BN931"/>
      <c r="BO931"/>
      <c r="BP931"/>
      <c r="BQ931"/>
      <c r="BR931"/>
      <c r="BS931" t="s">
        <v>5983</v>
      </c>
      <c r="BT931" t="str">
        <f>HYPERLINK("https%3A%2F%2Fwww.webofscience.com%2Fwos%2Fwoscc%2Ffull-record%2FWOS:000520005200048","View Full Record in Web of Science")</f>
        <v>View Full Record in Web of Science</v>
      </c>
    </row>
    <row r="932" spans="1:75" customHeight="1" ht="12.75">
      <c r="A932" t="s">
        <v>72</v>
      </c>
      <c r="B932" t="s">
        <v>5984</v>
      </c>
      <c r="C932"/>
      <c r="D932"/>
      <c r="E932"/>
      <c r="F932" t="s">
        <v>5985</v>
      </c>
      <c r="G932"/>
      <c r="H932"/>
      <c r="I932" t="s">
        <v>5986</v>
      </c>
      <c r="J932" t="s">
        <v>1987</v>
      </c>
      <c r="K932"/>
      <c r="L932"/>
      <c r="M932"/>
      <c r="N932"/>
      <c r="O932"/>
      <c r="P932"/>
      <c r="Q932"/>
      <c r="R932"/>
      <c r="S932"/>
      <c r="T932"/>
      <c r="U932"/>
      <c r="V932"/>
      <c r="W932"/>
      <c r="X932"/>
      <c r="Y932"/>
      <c r="Z932"/>
      <c r="AA932" t="s">
        <v>5987</v>
      </c>
      <c r="AB932" t="s">
        <v>5988</v>
      </c>
      <c r="AC932"/>
      <c r="AD932"/>
      <c r="AE932"/>
      <c r="AF932"/>
      <c r="AG932"/>
      <c r="AH932"/>
      <c r="AI932"/>
      <c r="AJ932"/>
      <c r="AK932"/>
      <c r="AL932"/>
      <c r="AM932"/>
      <c r="AN932"/>
      <c r="AO932" t="s">
        <v>1990</v>
      </c>
      <c r="AP932" t="s">
        <v>1991</v>
      </c>
      <c r="AQ932"/>
      <c r="AR932"/>
      <c r="AS932"/>
      <c r="AT932" t="s">
        <v>1173</v>
      </c>
      <c r="AU932">
        <v>2018</v>
      </c>
      <c r="AV932">
        <v>54</v>
      </c>
      <c r="AW932"/>
      <c r="AX932"/>
      <c r="AY932"/>
      <c r="AZ932"/>
      <c r="BA932"/>
      <c r="BB932">
        <v>59</v>
      </c>
      <c r="BC932">
        <v>66</v>
      </c>
      <c r="BD932"/>
      <c r="BE932" t="s">
        <v>5989</v>
      </c>
      <c r="BF932" t="str">
        <f>HYPERLINK("http://dx.doi.org/10.17223/19986645/54/4","http://dx.doi.org/10.17223/19986645/54/4")</f>
        <v>http://dx.doi.org/10.17223/19986645/54/4</v>
      </c>
      <c r="BG932"/>
      <c r="BH932"/>
      <c r="BI932"/>
      <c r="BJ932"/>
      <c r="BK932"/>
      <c r="BL932"/>
      <c r="BM932"/>
      <c r="BN932"/>
      <c r="BO932"/>
      <c r="BP932"/>
      <c r="BQ932"/>
      <c r="BR932"/>
      <c r="BS932" t="s">
        <v>5990</v>
      </c>
      <c r="BT932" t="str">
        <f>HYPERLINK("https%3A%2F%2Fwww.webofscience.com%2Fwos%2Fwoscc%2Ffull-record%2FWOS:000448064100004","View Full Record in Web of Science")</f>
        <v>View Full Record in Web of Science</v>
      </c>
    </row>
    <row r="933" spans="1:75" customHeight="1" ht="12.75">
      <c r="A933" t="s">
        <v>147</v>
      </c>
      <c r="B933" t="s">
        <v>5991</v>
      </c>
      <c r="C933"/>
      <c r="D933"/>
      <c r="E933" t="s">
        <v>175</v>
      </c>
      <c r="F933" t="s">
        <v>5992</v>
      </c>
      <c r="G933"/>
      <c r="H933"/>
      <c r="I933" t="s">
        <v>5993</v>
      </c>
      <c r="J933" t="s">
        <v>223</v>
      </c>
      <c r="K933" t="s">
        <v>179</v>
      </c>
      <c r="L933"/>
      <c r="M933"/>
      <c r="N933"/>
      <c r="O933" t="s">
        <v>224</v>
      </c>
      <c r="P933" t="s">
        <v>225</v>
      </c>
      <c r="Q933" t="s">
        <v>226</v>
      </c>
      <c r="R933"/>
      <c r="S933" t="s">
        <v>227</v>
      </c>
      <c r="T933"/>
      <c r="U933"/>
      <c r="V933"/>
      <c r="W933"/>
      <c r="X933"/>
      <c r="Y933"/>
      <c r="Z933"/>
      <c r="AA933" t="s">
        <v>5994</v>
      </c>
      <c r="AB933" t="s">
        <v>5995</v>
      </c>
      <c r="AC933"/>
      <c r="AD933"/>
      <c r="AE933"/>
      <c r="AF933"/>
      <c r="AG933"/>
      <c r="AH933"/>
      <c r="AI933"/>
      <c r="AJ933"/>
      <c r="AK933"/>
      <c r="AL933"/>
      <c r="AM933"/>
      <c r="AN933"/>
      <c r="AO933" t="s">
        <v>187</v>
      </c>
      <c r="AP933" t="s">
        <v>188</v>
      </c>
      <c r="AQ933"/>
      <c r="AR933"/>
      <c r="AS933"/>
      <c r="AT933"/>
      <c r="AU933">
        <v>2018</v>
      </c>
      <c r="AV933">
        <v>1015</v>
      </c>
      <c r="AW933"/>
      <c r="AX933"/>
      <c r="AY933"/>
      <c r="AZ933"/>
      <c r="BA933"/>
      <c r="BB933"/>
      <c r="BC933"/>
      <c r="BD933">
        <v>32068</v>
      </c>
      <c r="BE933" t="s">
        <v>5996</v>
      </c>
      <c r="BF933" t="str">
        <f>HYPERLINK("http://dx.doi.org/10.1088/1742-6596/1015/3/032068","http://dx.doi.org/10.1088/1742-6596/1015/3/032068")</f>
        <v>http://dx.doi.org/10.1088/1742-6596/1015/3/032068</v>
      </c>
      <c r="BG933"/>
      <c r="BH933"/>
      <c r="BI933"/>
      <c r="BJ933"/>
      <c r="BK933"/>
      <c r="BL933"/>
      <c r="BM933"/>
      <c r="BN933"/>
      <c r="BO933"/>
      <c r="BP933"/>
      <c r="BQ933"/>
      <c r="BR933"/>
      <c r="BS933" t="s">
        <v>5997</v>
      </c>
      <c r="BT933" t="str">
        <f>HYPERLINK("https%3A%2F%2Fwww.webofscience.com%2Fwos%2Fwoscc%2Ffull-record%2FWOS:000446952000087","View Full Record in Web of Science")</f>
        <v>View Full Record in Web of Science</v>
      </c>
    </row>
    <row r="934" spans="1:75" customHeight="1" ht="12.75">
      <c r="A934" t="s">
        <v>147</v>
      </c>
      <c r="B934" t="s">
        <v>5998</v>
      </c>
      <c r="C934"/>
      <c r="D934" t="s">
        <v>1876</v>
      </c>
      <c r="E934"/>
      <c r="F934" t="s">
        <v>5999</v>
      </c>
      <c r="G934"/>
      <c r="H934"/>
      <c r="I934" t="s">
        <v>6000</v>
      </c>
      <c r="J934" t="s">
        <v>1879</v>
      </c>
      <c r="K934" t="s">
        <v>1276</v>
      </c>
      <c r="L934"/>
      <c r="M934"/>
      <c r="N934"/>
      <c r="O934" t="s">
        <v>1880</v>
      </c>
      <c r="P934" t="s">
        <v>1881</v>
      </c>
      <c r="Q934" t="s">
        <v>1882</v>
      </c>
      <c r="R934" t="s">
        <v>1883</v>
      </c>
      <c r="S934" t="s">
        <v>1884</v>
      </c>
      <c r="T934"/>
      <c r="U934"/>
      <c r="V934"/>
      <c r="W934"/>
      <c r="X934"/>
      <c r="Y934"/>
      <c r="Z934"/>
      <c r="AA934" t="s">
        <v>6001</v>
      </c>
      <c r="AB934" t="s">
        <v>6002</v>
      </c>
      <c r="AC934"/>
      <c r="AD934"/>
      <c r="AE934"/>
      <c r="AF934"/>
      <c r="AG934"/>
      <c r="AH934"/>
      <c r="AI934"/>
      <c r="AJ934"/>
      <c r="AK934"/>
      <c r="AL934"/>
      <c r="AM934"/>
      <c r="AN934"/>
      <c r="AO934" t="s">
        <v>1282</v>
      </c>
      <c r="AP934"/>
      <c r="AQ934"/>
      <c r="AR934"/>
      <c r="AS934"/>
      <c r="AT934"/>
      <c r="AU934">
        <v>2017</v>
      </c>
      <c r="AV934">
        <v>106</v>
      </c>
      <c r="AW934"/>
      <c r="AX934"/>
      <c r="AY934"/>
      <c r="AZ934"/>
      <c r="BA934"/>
      <c r="BB934"/>
      <c r="BC934"/>
      <c r="BD934">
        <v>8082</v>
      </c>
      <c r="BE934" t="s">
        <v>6003</v>
      </c>
      <c r="BF934" t="str">
        <f>HYPERLINK("http://dx.doi.org/10.1051/matecconf/201710608082","http://dx.doi.org/10.1051/matecconf/201710608082")</f>
        <v>http://dx.doi.org/10.1051/matecconf/201710608082</v>
      </c>
      <c r="BG934"/>
      <c r="BH934"/>
      <c r="BI934"/>
      <c r="BJ934"/>
      <c r="BK934"/>
      <c r="BL934"/>
      <c r="BM934"/>
      <c r="BN934"/>
      <c r="BO934"/>
      <c r="BP934"/>
      <c r="BQ934"/>
      <c r="BR934"/>
      <c r="BS934" t="s">
        <v>6004</v>
      </c>
      <c r="BT934" t="str">
        <f>HYPERLINK("https%3A%2F%2Fwww.webofscience.com%2Fwos%2Fwoscc%2Ffull-record%2FWOS:000426426600267","View Full Record in Web of Science")</f>
        <v>View Full Record in Web of Science</v>
      </c>
    </row>
    <row r="935" spans="1:75" customHeight="1" ht="12.75">
      <c r="A935" t="s">
        <v>147</v>
      </c>
      <c r="B935" t="s">
        <v>5942</v>
      </c>
      <c r="C935"/>
      <c r="D935"/>
      <c r="E935" t="s">
        <v>210</v>
      </c>
      <c r="F935" t="s">
        <v>5943</v>
      </c>
      <c r="G935"/>
      <c r="H935"/>
      <c r="I935" t="s">
        <v>6005</v>
      </c>
      <c r="J935" t="s">
        <v>2832</v>
      </c>
      <c r="K935"/>
      <c r="L935"/>
      <c r="M935"/>
      <c r="N935"/>
      <c r="O935" t="s">
        <v>744</v>
      </c>
      <c r="P935" t="s">
        <v>2833</v>
      </c>
      <c r="Q935" t="s">
        <v>888</v>
      </c>
      <c r="R935" t="s">
        <v>2834</v>
      </c>
      <c r="S935"/>
      <c r="T935"/>
      <c r="U935"/>
      <c r="V935"/>
      <c r="W935"/>
      <c r="X935"/>
      <c r="Y935"/>
      <c r="Z935"/>
      <c r="AA935" t="s">
        <v>6006</v>
      </c>
      <c r="AB935" t="s">
        <v>5946</v>
      </c>
      <c r="AC935"/>
      <c r="AD935"/>
      <c r="AE935"/>
      <c r="AF935"/>
      <c r="AG935"/>
      <c r="AH935"/>
      <c r="AI935"/>
      <c r="AJ935"/>
      <c r="AK935"/>
      <c r="AL935"/>
      <c r="AM935"/>
      <c r="AN935"/>
      <c r="AO935"/>
      <c r="AP935"/>
      <c r="AQ935" t="s">
        <v>2835</v>
      </c>
      <c r="AR935"/>
      <c r="AS935"/>
      <c r="AT935"/>
      <c r="AU935">
        <v>2015</v>
      </c>
      <c r="AV935"/>
      <c r="AW935"/>
      <c r="AX935"/>
      <c r="AY935"/>
      <c r="AZ935"/>
      <c r="BA935"/>
      <c r="BB935"/>
      <c r="BC935"/>
      <c r="BD935"/>
      <c r="BE935"/>
      <c r="BF935"/>
      <c r="BG935"/>
      <c r="BH935"/>
      <c r="BI935"/>
      <c r="BJ935"/>
      <c r="BK935"/>
      <c r="BL935"/>
      <c r="BM935"/>
      <c r="BN935"/>
      <c r="BO935"/>
      <c r="BP935"/>
      <c r="BQ935"/>
      <c r="BR935"/>
      <c r="BS935" t="s">
        <v>6007</v>
      </c>
      <c r="BT935" t="str">
        <f>HYPERLINK("https%3A%2F%2Fwww.webofscience.com%2Fwos%2Fwoscc%2Ffull-record%2FWOS:000380571600028","View Full Record in Web of Science")</f>
        <v>View Full Record in Web of Science</v>
      </c>
    </row>
    <row r="936" spans="1:75" customHeight="1" ht="12.75">
      <c r="A936" t="s">
        <v>72</v>
      </c>
      <c r="B936" t="s">
        <v>2998</v>
      </c>
      <c r="C936"/>
      <c r="D936"/>
      <c r="E936"/>
      <c r="F936" t="s">
        <v>6008</v>
      </c>
      <c r="G936"/>
      <c r="H936"/>
      <c r="I936" t="s">
        <v>6009</v>
      </c>
      <c r="J936" t="s">
        <v>3618</v>
      </c>
      <c r="K936"/>
      <c r="L936"/>
      <c r="M936"/>
      <c r="N936"/>
      <c r="O936"/>
      <c r="P936"/>
      <c r="Q936"/>
      <c r="R936"/>
      <c r="S936"/>
      <c r="T936"/>
      <c r="U936"/>
      <c r="V936"/>
      <c r="W936"/>
      <c r="X936"/>
      <c r="Y936"/>
      <c r="Z936"/>
      <c r="AA936" t="s">
        <v>1781</v>
      </c>
      <c r="AB936" t="s">
        <v>1782</v>
      </c>
      <c r="AC936"/>
      <c r="AD936"/>
      <c r="AE936"/>
      <c r="AF936"/>
      <c r="AG936"/>
      <c r="AH936"/>
      <c r="AI936"/>
      <c r="AJ936"/>
      <c r="AK936"/>
      <c r="AL936"/>
      <c r="AM936"/>
      <c r="AN936"/>
      <c r="AO936" t="s">
        <v>3620</v>
      </c>
      <c r="AP936"/>
      <c r="AQ936"/>
      <c r="AR936"/>
      <c r="AS936"/>
      <c r="AT936" t="s">
        <v>1173</v>
      </c>
      <c r="AU936">
        <v>2020</v>
      </c>
      <c r="AV936">
        <v>64</v>
      </c>
      <c r="AW936">
        <v>8</v>
      </c>
      <c r="AX936"/>
      <c r="AY936"/>
      <c r="AZ936"/>
      <c r="BA936"/>
      <c r="BB936">
        <v>91</v>
      </c>
      <c r="BC936">
        <v>100</v>
      </c>
      <c r="BD936"/>
      <c r="BE936" t="s">
        <v>6010</v>
      </c>
      <c r="BF936" t="str">
        <f>HYPERLINK("http://dx.doi.org/10.20542/0131-2227-2020-64-8-91-100","http://dx.doi.org/10.20542/0131-2227-2020-64-8-91-100")</f>
        <v>http://dx.doi.org/10.20542/0131-2227-2020-64-8-91-100</v>
      </c>
      <c r="BG936"/>
      <c r="BH936"/>
      <c r="BI936"/>
      <c r="BJ936"/>
      <c r="BK936"/>
      <c r="BL936"/>
      <c r="BM936"/>
      <c r="BN936"/>
      <c r="BO936"/>
      <c r="BP936"/>
      <c r="BQ936"/>
      <c r="BR936"/>
      <c r="BS936" t="s">
        <v>6011</v>
      </c>
      <c r="BT936" t="str">
        <f>HYPERLINK("https%3A%2F%2Fwww.webofscience.com%2Fwos%2Fwoscc%2Ffull-record%2FWOS:000569062500010","View Full Record in Web of Science")</f>
        <v>View Full Record in Web of Science</v>
      </c>
    </row>
    <row r="937" spans="1:75" customHeight="1" ht="12.75">
      <c r="A937" t="s">
        <v>72</v>
      </c>
      <c r="B937" t="s">
        <v>6012</v>
      </c>
      <c r="C937"/>
      <c r="D937"/>
      <c r="E937"/>
      <c r="F937" t="s">
        <v>6013</v>
      </c>
      <c r="G937"/>
      <c r="H937"/>
      <c r="I937" t="s">
        <v>6014</v>
      </c>
      <c r="J937" t="s">
        <v>6015</v>
      </c>
      <c r="K937"/>
      <c r="L937"/>
      <c r="M937"/>
      <c r="N937"/>
      <c r="O937" t="s">
        <v>6016</v>
      </c>
      <c r="P937" t="s">
        <v>6017</v>
      </c>
      <c r="Q937" t="s">
        <v>910</v>
      </c>
      <c r="R937"/>
      <c r="S937"/>
      <c r="T937"/>
      <c r="U937"/>
      <c r="V937"/>
      <c r="W937"/>
      <c r="X937"/>
      <c r="Y937"/>
      <c r="Z937"/>
      <c r="AA937" t="s">
        <v>6018</v>
      </c>
      <c r="AB937"/>
      <c r="AC937"/>
      <c r="AD937"/>
      <c r="AE937"/>
      <c r="AF937"/>
      <c r="AG937"/>
      <c r="AH937"/>
      <c r="AI937"/>
      <c r="AJ937"/>
      <c r="AK937"/>
      <c r="AL937"/>
      <c r="AM937"/>
      <c r="AN937"/>
      <c r="AO937" t="s">
        <v>6019</v>
      </c>
      <c r="AP937" t="s">
        <v>6020</v>
      </c>
      <c r="AQ937"/>
      <c r="AR937"/>
      <c r="AS937"/>
      <c r="AT937" t="s">
        <v>6021</v>
      </c>
      <c r="AU937">
        <v>2020</v>
      </c>
      <c r="AV937">
        <v>11</v>
      </c>
      <c r="AW937"/>
      <c r="AX937"/>
      <c r="AY937"/>
      <c r="AZ937" t="s">
        <v>339</v>
      </c>
      <c r="BA937"/>
      <c r="BB937">
        <v>106</v>
      </c>
      <c r="BC937">
        <v>114</v>
      </c>
      <c r="BD937"/>
      <c r="BE937" t="s">
        <v>6022</v>
      </c>
      <c r="BF937" t="str">
        <f>HYPERLINK("http://dx.doi.org/10.22055/RALS.2020.16291","http://dx.doi.org/10.22055/RALS.2020.16291")</f>
        <v>http://dx.doi.org/10.22055/RALS.2020.16291</v>
      </c>
      <c r="BG937"/>
      <c r="BH937"/>
      <c r="BI937"/>
      <c r="BJ937"/>
      <c r="BK937"/>
      <c r="BL937"/>
      <c r="BM937"/>
      <c r="BN937"/>
      <c r="BO937"/>
      <c r="BP937"/>
      <c r="BQ937"/>
      <c r="BR937"/>
      <c r="BS937" t="s">
        <v>6023</v>
      </c>
      <c r="BT937" t="str">
        <f>HYPERLINK("https%3A%2F%2Fwww.webofscience.com%2Fwos%2Fwoscc%2Ffull-record%2FWOS:000611609000013","View Full Record in Web of Science")</f>
        <v>View Full Record in Web of Science</v>
      </c>
    </row>
    <row r="938" spans="1:75" customHeight="1" ht="12.75">
      <c r="A938" t="s">
        <v>72</v>
      </c>
      <c r="B938" t="s">
        <v>6024</v>
      </c>
      <c r="C938"/>
      <c r="D938"/>
      <c r="E938"/>
      <c r="F938" t="s">
        <v>6025</v>
      </c>
      <c r="G938"/>
      <c r="H938"/>
      <c r="I938" t="s">
        <v>6026</v>
      </c>
      <c r="J938" t="s">
        <v>2233</v>
      </c>
      <c r="K938"/>
      <c r="L938"/>
      <c r="M938"/>
      <c r="N938"/>
      <c r="O938"/>
      <c r="P938"/>
      <c r="Q938"/>
      <c r="R938"/>
      <c r="S938"/>
      <c r="T938"/>
      <c r="U938"/>
      <c r="V938"/>
      <c r="W938"/>
      <c r="X938"/>
      <c r="Y938"/>
      <c r="Z938"/>
      <c r="AA938" t="s">
        <v>6027</v>
      </c>
      <c r="AB938" t="s">
        <v>6028</v>
      </c>
      <c r="AC938"/>
      <c r="AD938"/>
      <c r="AE938"/>
      <c r="AF938"/>
      <c r="AG938"/>
      <c r="AH938"/>
      <c r="AI938"/>
      <c r="AJ938"/>
      <c r="AK938"/>
      <c r="AL938"/>
      <c r="AM938"/>
      <c r="AN938"/>
      <c r="AO938" t="s">
        <v>2234</v>
      </c>
      <c r="AP938" t="s">
        <v>2235</v>
      </c>
      <c r="AQ938"/>
      <c r="AR938"/>
      <c r="AS938"/>
      <c r="AT938"/>
      <c r="AU938">
        <v>2019</v>
      </c>
      <c r="AV938">
        <v>13</v>
      </c>
      <c r="AW938">
        <v>3</v>
      </c>
      <c r="AX938"/>
      <c r="AY938"/>
      <c r="AZ938"/>
      <c r="BA938"/>
      <c r="BB938">
        <v>489</v>
      </c>
      <c r="BC938">
        <v>497</v>
      </c>
      <c r="BD938"/>
      <c r="BE938" t="s">
        <v>6029</v>
      </c>
      <c r="BF938" t="str">
        <f>HYPERLINK("http://dx.doi.org/10.17150/2500-4255.2019.13(3).489-497","http://dx.doi.org/10.17150/2500-4255.2019.13(3).489-497")</f>
        <v>http://dx.doi.org/10.17150/2500-4255.2019.13(3).489-497</v>
      </c>
      <c r="BG938"/>
      <c r="BH938"/>
      <c r="BI938"/>
      <c r="BJ938"/>
      <c r="BK938"/>
      <c r="BL938"/>
      <c r="BM938"/>
      <c r="BN938"/>
      <c r="BO938"/>
      <c r="BP938"/>
      <c r="BQ938"/>
      <c r="BR938"/>
      <c r="BS938" t="s">
        <v>6030</v>
      </c>
      <c r="BT938" t="str">
        <f>HYPERLINK("https%3A%2F%2Fwww.webofscience.com%2Fwos%2Fwoscc%2Ffull-record%2FWOS:000474306700012","View Full Record in Web of Science")</f>
        <v>View Full Record in Web of Science</v>
      </c>
    </row>
    <row r="939" spans="1:75" customHeight="1" ht="12.75">
      <c r="A939" t="s">
        <v>147</v>
      </c>
      <c r="B939" t="s">
        <v>5725</v>
      </c>
      <c r="C939"/>
      <c r="D939"/>
      <c r="E939" t="s">
        <v>175</v>
      </c>
      <c r="F939" t="s">
        <v>5726</v>
      </c>
      <c r="G939"/>
      <c r="H939"/>
      <c r="I939" t="s">
        <v>6031</v>
      </c>
      <c r="J939" t="s">
        <v>6032</v>
      </c>
      <c r="K939" t="s">
        <v>1469</v>
      </c>
      <c r="L939"/>
      <c r="M939"/>
      <c r="N939"/>
      <c r="O939" t="s">
        <v>6033</v>
      </c>
      <c r="P939" t="s">
        <v>6034</v>
      </c>
      <c r="Q939" t="s">
        <v>6035</v>
      </c>
      <c r="R939" t="s">
        <v>6036</v>
      </c>
      <c r="S939"/>
      <c r="T939"/>
      <c r="U939"/>
      <c r="V939"/>
      <c r="W939"/>
      <c r="X939"/>
      <c r="Y939"/>
      <c r="Z939"/>
      <c r="AA939" t="s">
        <v>4571</v>
      </c>
      <c r="AB939" t="s">
        <v>4572</v>
      </c>
      <c r="AC939"/>
      <c r="AD939"/>
      <c r="AE939"/>
      <c r="AF939"/>
      <c r="AG939"/>
      <c r="AH939"/>
      <c r="AI939"/>
      <c r="AJ939"/>
      <c r="AK939"/>
      <c r="AL939"/>
      <c r="AM939"/>
      <c r="AN939"/>
      <c r="AO939" t="s">
        <v>1472</v>
      </c>
      <c r="AP939"/>
      <c r="AQ939"/>
      <c r="AR939"/>
      <c r="AS939"/>
      <c r="AT939"/>
      <c r="AU939">
        <v>2019</v>
      </c>
      <c r="AV939">
        <v>537</v>
      </c>
      <c r="AW939"/>
      <c r="AX939"/>
      <c r="AY939"/>
      <c r="AZ939"/>
      <c r="BA939"/>
      <c r="BB939"/>
      <c r="BC939"/>
      <c r="BD939">
        <v>22064</v>
      </c>
      <c r="BE939" t="s">
        <v>6037</v>
      </c>
      <c r="BF939" t="str">
        <f>HYPERLINK("http://dx.doi.org/10.1088/1757-899X/537/2/022064","http://dx.doi.org/10.1088/1757-899X/537/2/022064")</f>
        <v>http://dx.doi.org/10.1088/1757-899X/537/2/022064</v>
      </c>
      <c r="BG939"/>
      <c r="BH939"/>
      <c r="BI939"/>
      <c r="BJ939"/>
      <c r="BK939"/>
      <c r="BL939"/>
      <c r="BM939"/>
      <c r="BN939"/>
      <c r="BO939"/>
      <c r="BP939"/>
      <c r="BQ939"/>
      <c r="BR939"/>
      <c r="BS939" t="s">
        <v>6038</v>
      </c>
      <c r="BT939" t="str">
        <f>HYPERLINK("https%3A%2F%2Fwww.webofscience.com%2Fwos%2Fwoscc%2Ffull-record%2FWOS:000561105300065","View Full Record in Web of Science")</f>
        <v>View Full Record in Web of Science</v>
      </c>
    </row>
    <row r="940" spans="1:75" customHeight="1" ht="12.75">
      <c r="A940" t="s">
        <v>147</v>
      </c>
      <c r="B940" t="s">
        <v>6039</v>
      </c>
      <c r="C940"/>
      <c r="D940" t="s">
        <v>1272</v>
      </c>
      <c r="E940"/>
      <c r="F940" t="s">
        <v>6040</v>
      </c>
      <c r="G940"/>
      <c r="H940"/>
      <c r="I940" t="s">
        <v>6041</v>
      </c>
      <c r="J940" t="s">
        <v>5294</v>
      </c>
      <c r="K940" t="s">
        <v>1276</v>
      </c>
      <c r="L940"/>
      <c r="M940"/>
      <c r="N940"/>
      <c r="O940" t="s">
        <v>5248</v>
      </c>
      <c r="P940" t="s">
        <v>5249</v>
      </c>
      <c r="Q940" t="s">
        <v>772</v>
      </c>
      <c r="R940" t="s">
        <v>5295</v>
      </c>
      <c r="S940"/>
      <c r="T940"/>
      <c r="U940"/>
      <c r="V940"/>
      <c r="W940"/>
      <c r="X940"/>
      <c r="Y940"/>
      <c r="Z940"/>
      <c r="AA940" t="s">
        <v>5513</v>
      </c>
      <c r="AB940" t="s">
        <v>3489</v>
      </c>
      <c r="AC940"/>
      <c r="AD940"/>
      <c r="AE940"/>
      <c r="AF940"/>
      <c r="AG940"/>
      <c r="AH940"/>
      <c r="AI940"/>
      <c r="AJ940"/>
      <c r="AK940"/>
      <c r="AL940"/>
      <c r="AM940"/>
      <c r="AN940"/>
      <c r="AO940" t="s">
        <v>1282</v>
      </c>
      <c r="AP940"/>
      <c r="AQ940"/>
      <c r="AR940"/>
      <c r="AS940"/>
      <c r="AT940"/>
      <c r="AU940">
        <v>2018</v>
      </c>
      <c r="AV940">
        <v>224</v>
      </c>
      <c r="AW940"/>
      <c r="AX940"/>
      <c r="AY940"/>
      <c r="AZ940"/>
      <c r="BA940"/>
      <c r="BB940"/>
      <c r="BC940"/>
      <c r="BD940">
        <v>2008</v>
      </c>
      <c r="BE940" t="s">
        <v>6042</v>
      </c>
      <c r="BF940" t="str">
        <f>HYPERLINK("http://dx.doi.org/10.1051/matecconf/201822402008","http://dx.doi.org/10.1051/matecconf/201822402008")</f>
        <v>http://dx.doi.org/10.1051/matecconf/201822402008</v>
      </c>
      <c r="BG940"/>
      <c r="BH940"/>
      <c r="BI940"/>
      <c r="BJ940"/>
      <c r="BK940"/>
      <c r="BL940"/>
      <c r="BM940"/>
      <c r="BN940"/>
      <c r="BO940"/>
      <c r="BP940"/>
      <c r="BQ940"/>
      <c r="BR940"/>
      <c r="BS940" t="s">
        <v>6043</v>
      </c>
      <c r="BT940" t="str">
        <f>HYPERLINK("https%3A%2F%2Fwww.webofscience.com%2Fwos%2Fwoscc%2Ffull-record%2FWOS:000476933600146","View Full Record in Web of Science")</f>
        <v>View Full Record in Web of Science</v>
      </c>
    </row>
    <row r="941" spans="1:75" customHeight="1" ht="12.75">
      <c r="A941" t="s">
        <v>72</v>
      </c>
      <c r="B941" t="s">
        <v>6044</v>
      </c>
      <c r="C941"/>
      <c r="D941"/>
      <c r="E941"/>
      <c r="F941" t="s">
        <v>6045</v>
      </c>
      <c r="G941"/>
      <c r="H941"/>
      <c r="I941" t="s">
        <v>6046</v>
      </c>
      <c r="J941" t="s">
        <v>5139</v>
      </c>
      <c r="K941"/>
      <c r="L941"/>
      <c r="M941"/>
      <c r="N941"/>
      <c r="O941"/>
      <c r="P941"/>
      <c r="Q941"/>
      <c r="R941"/>
      <c r="S941"/>
      <c r="T941"/>
      <c r="U941"/>
      <c r="V941"/>
      <c r="W941"/>
      <c r="X941"/>
      <c r="Y941"/>
      <c r="Z941"/>
      <c r="AA941" t="s">
        <v>6047</v>
      </c>
      <c r="AB941" t="s">
        <v>6048</v>
      </c>
      <c r="AC941"/>
      <c r="AD941"/>
      <c r="AE941"/>
      <c r="AF941"/>
      <c r="AG941"/>
      <c r="AH941"/>
      <c r="AI941"/>
      <c r="AJ941"/>
      <c r="AK941"/>
      <c r="AL941"/>
      <c r="AM941"/>
      <c r="AN941"/>
      <c r="AO941" t="s">
        <v>5142</v>
      </c>
      <c r="AP941" t="s">
        <v>5143</v>
      </c>
      <c r="AQ941"/>
      <c r="AR941"/>
      <c r="AS941"/>
      <c r="AT941" t="s">
        <v>1173</v>
      </c>
      <c r="AU941">
        <v>2017</v>
      </c>
      <c r="AV941">
        <v>13</v>
      </c>
      <c r="AW941">
        <v>8</v>
      </c>
      <c r="AX941"/>
      <c r="AY941"/>
      <c r="AZ941"/>
      <c r="BA941"/>
      <c r="BB941">
        <v>4393</v>
      </c>
      <c r="BC941">
        <v>4404</v>
      </c>
      <c r="BD941"/>
      <c r="BE941" t="s">
        <v>6049</v>
      </c>
      <c r="BF941" t="str">
        <f>HYPERLINK("http://dx.doi.org/10.12973/eurasia.2017.00934a","http://dx.doi.org/10.12973/eurasia.2017.00934a")</f>
        <v>http://dx.doi.org/10.12973/eurasia.2017.00934a</v>
      </c>
      <c r="BG941"/>
      <c r="BH941"/>
      <c r="BI941"/>
      <c r="BJ941"/>
      <c r="BK941"/>
      <c r="BL941"/>
      <c r="BM941"/>
      <c r="BN941"/>
      <c r="BO941"/>
      <c r="BP941"/>
      <c r="BQ941"/>
      <c r="BR941"/>
      <c r="BS941" t="s">
        <v>6050</v>
      </c>
      <c r="BT941" t="str">
        <f>HYPERLINK("https%3A%2F%2Fwww.webofscience.com%2Fwos%2Fwoscc%2Ffull-record%2FWOS:000409067500005","View Full Record in Web of Science")</f>
        <v>View Full Record in Web of Science</v>
      </c>
    </row>
    <row r="942" spans="1:75" customHeight="1" ht="12.75">
      <c r="A942" t="s">
        <v>72</v>
      </c>
      <c r="B942" t="s">
        <v>6051</v>
      </c>
      <c r="C942"/>
      <c r="D942"/>
      <c r="E942"/>
      <c r="F942" t="s">
        <v>6052</v>
      </c>
      <c r="G942"/>
      <c r="H942"/>
      <c r="I942" t="s">
        <v>6053</v>
      </c>
      <c r="J942" t="s">
        <v>6054</v>
      </c>
      <c r="K942"/>
      <c r="L942"/>
      <c r="M942"/>
      <c r="N942"/>
      <c r="O942"/>
      <c r="P942"/>
      <c r="Q942"/>
      <c r="R942"/>
      <c r="S942"/>
      <c r="T942"/>
      <c r="U942"/>
      <c r="V942"/>
      <c r="W942"/>
      <c r="X942"/>
      <c r="Y942"/>
      <c r="Z942"/>
      <c r="AA942"/>
      <c r="AB942"/>
      <c r="AC942"/>
      <c r="AD942"/>
      <c r="AE942"/>
      <c r="AF942"/>
      <c r="AG942"/>
      <c r="AH942"/>
      <c r="AI942"/>
      <c r="AJ942"/>
      <c r="AK942"/>
      <c r="AL942"/>
      <c r="AM942"/>
      <c r="AN942"/>
      <c r="AO942" t="s">
        <v>6055</v>
      </c>
      <c r="AP942"/>
      <c r="AQ942"/>
      <c r="AR942"/>
      <c r="AS942"/>
      <c r="AT942"/>
      <c r="AU942">
        <v>2021</v>
      </c>
      <c r="AV942">
        <v>25</v>
      </c>
      <c r="AW942"/>
      <c r="AX942"/>
      <c r="AY942"/>
      <c r="AZ942">
        <v>6</v>
      </c>
      <c r="BA942"/>
      <c r="BB942"/>
      <c r="BC942"/>
      <c r="BD942"/>
      <c r="BE942"/>
      <c r="BF942"/>
      <c r="BG942"/>
      <c r="BH942"/>
      <c r="BI942"/>
      <c r="BJ942"/>
      <c r="BK942"/>
      <c r="BL942"/>
      <c r="BM942"/>
      <c r="BN942"/>
      <c r="BO942"/>
      <c r="BP942"/>
      <c r="BQ942"/>
      <c r="BR942"/>
      <c r="BS942" t="s">
        <v>6056</v>
      </c>
      <c r="BT942" t="str">
        <f>HYPERLINK("https%3A%2F%2Fwww.webofscience.com%2Fwos%2Fwoscc%2Ffull-record%2FWOS:000759318000002","View Full Record in Web of Science")</f>
        <v>View Full Record in Web of Science</v>
      </c>
    </row>
    <row r="943" spans="1:75" customHeight="1" ht="12.75">
      <c r="A943" t="s">
        <v>72</v>
      </c>
      <c r="B943" t="s">
        <v>5433</v>
      </c>
      <c r="C943"/>
      <c r="D943"/>
      <c r="E943"/>
      <c r="F943" t="s">
        <v>5434</v>
      </c>
      <c r="G943"/>
      <c r="H943"/>
      <c r="I943" t="s">
        <v>6057</v>
      </c>
      <c r="J943" t="s">
        <v>5436</v>
      </c>
      <c r="K943"/>
      <c r="L943"/>
      <c r="M943"/>
      <c r="N943"/>
      <c r="O943"/>
      <c r="P943"/>
      <c r="Q943"/>
      <c r="R943"/>
      <c r="S943"/>
      <c r="T943"/>
      <c r="U943"/>
      <c r="V943"/>
      <c r="W943"/>
      <c r="X943"/>
      <c r="Y943"/>
      <c r="Z943"/>
      <c r="AA943" t="s">
        <v>6058</v>
      </c>
      <c r="AB943" t="s">
        <v>6059</v>
      </c>
      <c r="AC943"/>
      <c r="AD943"/>
      <c r="AE943"/>
      <c r="AF943"/>
      <c r="AG943"/>
      <c r="AH943"/>
      <c r="AI943"/>
      <c r="AJ943"/>
      <c r="AK943"/>
      <c r="AL943"/>
      <c r="AM943"/>
      <c r="AN943"/>
      <c r="AO943" t="s">
        <v>5439</v>
      </c>
      <c r="AP943" t="s">
        <v>5440</v>
      </c>
      <c r="AQ943"/>
      <c r="AR943"/>
      <c r="AS943"/>
      <c r="AT943" t="s">
        <v>830</v>
      </c>
      <c r="AU943">
        <v>2016</v>
      </c>
      <c r="AV943">
        <v>52</v>
      </c>
      <c r="AW943">
        <v>4</v>
      </c>
      <c r="AX943"/>
      <c r="AY943"/>
      <c r="AZ943"/>
      <c r="BA943"/>
      <c r="BB943">
        <v>435</v>
      </c>
      <c r="BC943">
        <v>454</v>
      </c>
      <c r="BD943"/>
      <c r="BE943" t="s">
        <v>6060</v>
      </c>
      <c r="BF943" t="str">
        <f>HYPERLINK("http://dx.doi.org/10.1007/s11029-016-9596-x","http://dx.doi.org/10.1007/s11029-016-9596-x")</f>
        <v>http://dx.doi.org/10.1007/s11029-016-9596-x</v>
      </c>
      <c r="BG943"/>
      <c r="BH943"/>
      <c r="BI943"/>
      <c r="BJ943"/>
      <c r="BK943"/>
      <c r="BL943"/>
      <c r="BM943"/>
      <c r="BN943"/>
      <c r="BO943"/>
      <c r="BP943"/>
      <c r="BQ943"/>
      <c r="BR943"/>
      <c r="BS943" t="s">
        <v>6061</v>
      </c>
      <c r="BT943" t="str">
        <f>HYPERLINK("https%3A%2F%2Fwww.webofscience.com%2Fwos%2Fwoscc%2Ffull-record%2FWOS:000384347800001","View Full Record in Web of Science")</f>
        <v>View Full Record in Web of Science</v>
      </c>
    </row>
    <row r="944" spans="1:75" customHeight="1" ht="12.75">
      <c r="A944" t="s">
        <v>72</v>
      </c>
      <c r="B944" t="s">
        <v>6062</v>
      </c>
      <c r="C944"/>
      <c r="D944"/>
      <c r="E944"/>
      <c r="F944" t="s">
        <v>6063</v>
      </c>
      <c r="G944"/>
      <c r="H944"/>
      <c r="I944" t="s">
        <v>6064</v>
      </c>
      <c r="J944" t="s">
        <v>6065</v>
      </c>
      <c r="K944"/>
      <c r="L944"/>
      <c r="M944"/>
      <c r="N944"/>
      <c r="O944"/>
      <c r="P944"/>
      <c r="Q944"/>
      <c r="R944"/>
      <c r="S944"/>
      <c r="T944"/>
      <c r="U944"/>
      <c r="V944"/>
      <c r="W944"/>
      <c r="X944"/>
      <c r="Y944"/>
      <c r="Z944"/>
      <c r="AA944" t="s">
        <v>489</v>
      </c>
      <c r="AB944" t="s">
        <v>490</v>
      </c>
      <c r="AC944"/>
      <c r="AD944"/>
      <c r="AE944"/>
      <c r="AF944"/>
      <c r="AG944"/>
      <c r="AH944"/>
      <c r="AI944"/>
      <c r="AJ944"/>
      <c r="AK944"/>
      <c r="AL944"/>
      <c r="AM944"/>
      <c r="AN944"/>
      <c r="AO944" t="s">
        <v>6066</v>
      </c>
      <c r="AP944"/>
      <c r="AQ944"/>
      <c r="AR944"/>
      <c r="AS944"/>
      <c r="AT944" t="s">
        <v>541</v>
      </c>
      <c r="AU944">
        <v>2008</v>
      </c>
      <c r="AV944">
        <v>8</v>
      </c>
      <c r="AW944">
        <v>1</v>
      </c>
      <c r="AX944"/>
      <c r="AY944"/>
      <c r="AZ944"/>
      <c r="BA944"/>
      <c r="BB944">
        <v>107</v>
      </c>
      <c r="BC944">
        <v>109</v>
      </c>
      <c r="BD944"/>
      <c r="BE944" t="s">
        <v>6067</v>
      </c>
      <c r="BF944" t="str">
        <f>HYPERLINK("http://dx.doi.org/10.1016/j.cap.2007.04.013","http://dx.doi.org/10.1016/j.cap.2007.04.013")</f>
        <v>http://dx.doi.org/10.1016/j.cap.2007.04.013</v>
      </c>
      <c r="BG944"/>
      <c r="BH944"/>
      <c r="BI944"/>
      <c r="BJ944"/>
      <c r="BK944"/>
      <c r="BL944"/>
      <c r="BM944"/>
      <c r="BN944"/>
      <c r="BO944"/>
      <c r="BP944"/>
      <c r="BQ944"/>
      <c r="BR944"/>
      <c r="BS944" t="s">
        <v>6068</v>
      </c>
      <c r="BT944" t="str">
        <f>HYPERLINK("https%3A%2F%2Fwww.webofscience.com%2Fwos%2Fwoscc%2Ffull-record%2FWOS:000251159400020","View Full Record in Web of Science")</f>
        <v>View Full Record in Web of Science</v>
      </c>
    </row>
    <row r="945" spans="1:75" customHeight="1" ht="12.75">
      <c r="A945" t="s">
        <v>72</v>
      </c>
      <c r="B945" t="s">
        <v>6069</v>
      </c>
      <c r="C945"/>
      <c r="D945"/>
      <c r="E945"/>
      <c r="F945" t="s">
        <v>6070</v>
      </c>
      <c r="G945"/>
      <c r="H945"/>
      <c r="I945" t="s">
        <v>6071</v>
      </c>
      <c r="J945" t="s">
        <v>3527</v>
      </c>
      <c r="K945"/>
      <c r="L945"/>
      <c r="M945"/>
      <c r="N945"/>
      <c r="O945"/>
      <c r="P945"/>
      <c r="Q945"/>
      <c r="R945"/>
      <c r="S945"/>
      <c r="T945"/>
      <c r="U945"/>
      <c r="V945"/>
      <c r="W945"/>
      <c r="X945"/>
      <c r="Y945"/>
      <c r="Z945"/>
      <c r="AA945" t="s">
        <v>5374</v>
      </c>
      <c r="AB945"/>
      <c r="AC945"/>
      <c r="AD945"/>
      <c r="AE945"/>
      <c r="AF945"/>
      <c r="AG945"/>
      <c r="AH945"/>
      <c r="AI945"/>
      <c r="AJ945"/>
      <c r="AK945"/>
      <c r="AL945"/>
      <c r="AM945"/>
      <c r="AN945"/>
      <c r="AO945" t="s">
        <v>3528</v>
      </c>
      <c r="AP945"/>
      <c r="AQ945"/>
      <c r="AR945"/>
      <c r="AS945"/>
      <c r="AT945"/>
      <c r="AU945">
        <v>2020</v>
      </c>
      <c r="AV945">
        <v>26</v>
      </c>
      <c r="AW945">
        <v>3</v>
      </c>
      <c r="AX945"/>
      <c r="AY945"/>
      <c r="AZ945"/>
      <c r="BA945"/>
      <c r="BB945">
        <v>235</v>
      </c>
      <c r="BC945" t="s">
        <v>107</v>
      </c>
      <c r="BD945"/>
      <c r="BE945" t="s">
        <v>6072</v>
      </c>
      <c r="BF945" t="str">
        <f>HYPERLINK("http://dx.doi.org/10.21538/0134-4889-2020-26-3-235-248","http://dx.doi.org/10.21538/0134-4889-2020-26-3-235-248")</f>
        <v>http://dx.doi.org/10.21538/0134-4889-2020-26-3-235-248</v>
      </c>
      <c r="BG945"/>
      <c r="BH945"/>
      <c r="BI945"/>
      <c r="BJ945"/>
      <c r="BK945"/>
      <c r="BL945"/>
      <c r="BM945"/>
      <c r="BN945"/>
      <c r="BO945"/>
      <c r="BP945"/>
      <c r="BQ945"/>
      <c r="BR945"/>
      <c r="BS945" t="s">
        <v>6073</v>
      </c>
      <c r="BT945" t="str">
        <f>HYPERLINK("https%3A%2F%2Fwww.webofscience.com%2Fwos%2Fwoscc%2Ffull-record%2FWOS:000592231900020","View Full Record in Web of Science")</f>
        <v>View Full Record in Web of Science</v>
      </c>
    </row>
    <row r="946" spans="1:75" customHeight="1" ht="12.75">
      <c r="A946" t="s">
        <v>147</v>
      </c>
      <c r="B946" t="s">
        <v>6074</v>
      </c>
      <c r="C946"/>
      <c r="D946" t="s">
        <v>1876</v>
      </c>
      <c r="E946"/>
      <c r="F946" t="s">
        <v>6075</v>
      </c>
      <c r="G946"/>
      <c r="H946"/>
      <c r="I946" t="s">
        <v>6076</v>
      </c>
      <c r="J946" t="s">
        <v>1879</v>
      </c>
      <c r="K946" t="s">
        <v>1276</v>
      </c>
      <c r="L946"/>
      <c r="M946"/>
      <c r="N946"/>
      <c r="O946" t="s">
        <v>1880</v>
      </c>
      <c r="P946" t="s">
        <v>1881</v>
      </c>
      <c r="Q946" t="s">
        <v>1882</v>
      </c>
      <c r="R946" t="s">
        <v>1883</v>
      </c>
      <c r="S946" t="s">
        <v>1884</v>
      </c>
      <c r="T946"/>
      <c r="U946"/>
      <c r="V946"/>
      <c r="W946"/>
      <c r="X946"/>
      <c r="Y946"/>
      <c r="Z946"/>
      <c r="AA946"/>
      <c r="AB946"/>
      <c r="AC946"/>
      <c r="AD946"/>
      <c r="AE946"/>
      <c r="AF946"/>
      <c r="AG946"/>
      <c r="AH946"/>
      <c r="AI946"/>
      <c r="AJ946"/>
      <c r="AK946"/>
      <c r="AL946"/>
      <c r="AM946"/>
      <c r="AN946"/>
      <c r="AO946" t="s">
        <v>1282</v>
      </c>
      <c r="AP946"/>
      <c r="AQ946"/>
      <c r="AR946"/>
      <c r="AS946"/>
      <c r="AT946"/>
      <c r="AU946">
        <v>2017</v>
      </c>
      <c r="AV946">
        <v>106</v>
      </c>
      <c r="AW946"/>
      <c r="AX946"/>
      <c r="AY946"/>
      <c r="AZ946"/>
      <c r="BA946"/>
      <c r="BB946"/>
      <c r="BC946"/>
      <c r="BD946">
        <v>8089</v>
      </c>
      <c r="BE946" t="s">
        <v>6077</v>
      </c>
      <c r="BF946" t="str">
        <f>HYPERLINK("http://dx.doi.org/10.1051/matecconf/201710608089","http://dx.doi.org/10.1051/matecconf/201710608089")</f>
        <v>http://dx.doi.org/10.1051/matecconf/201710608089</v>
      </c>
      <c r="BG946"/>
      <c r="BH946"/>
      <c r="BI946"/>
      <c r="BJ946"/>
      <c r="BK946"/>
      <c r="BL946"/>
      <c r="BM946"/>
      <c r="BN946"/>
      <c r="BO946"/>
      <c r="BP946"/>
      <c r="BQ946"/>
      <c r="BR946"/>
      <c r="BS946" t="s">
        <v>6078</v>
      </c>
      <c r="BT946" t="str">
        <f>HYPERLINK("https%3A%2F%2Fwww.webofscience.com%2Fwos%2Fwoscc%2Ffull-record%2FWOS:000426426600274","View Full Record in Web of Science")</f>
        <v>View Full Record in Web of Science</v>
      </c>
    </row>
    <row r="947" spans="1:75" customHeight="1" ht="12.75">
      <c r="A947" t="s">
        <v>72</v>
      </c>
      <c r="B947" t="s">
        <v>6079</v>
      </c>
      <c r="C947"/>
      <c r="D947"/>
      <c r="E947"/>
      <c r="F947" t="s">
        <v>6080</v>
      </c>
      <c r="G947"/>
      <c r="H947"/>
      <c r="I947" t="s">
        <v>6081</v>
      </c>
      <c r="J947" t="s">
        <v>793</v>
      </c>
      <c r="K947"/>
      <c r="L947"/>
      <c r="M947"/>
      <c r="N947"/>
      <c r="O947"/>
      <c r="P947"/>
      <c r="Q947"/>
      <c r="R947"/>
      <c r="S947"/>
      <c r="T947"/>
      <c r="U947"/>
      <c r="V947"/>
      <c r="W947"/>
      <c r="X947"/>
      <c r="Y947"/>
      <c r="Z947"/>
      <c r="AA947" t="s">
        <v>5529</v>
      </c>
      <c r="AB947" t="s">
        <v>5530</v>
      </c>
      <c r="AC947"/>
      <c r="AD947"/>
      <c r="AE947"/>
      <c r="AF947"/>
      <c r="AG947"/>
      <c r="AH947"/>
      <c r="AI947"/>
      <c r="AJ947"/>
      <c r="AK947"/>
      <c r="AL947"/>
      <c r="AM947"/>
      <c r="AN947"/>
      <c r="AO947" t="s">
        <v>795</v>
      </c>
      <c r="AP947"/>
      <c r="AQ947"/>
      <c r="AR947"/>
      <c r="AS947"/>
      <c r="AT947" t="s">
        <v>830</v>
      </c>
      <c r="AU947">
        <v>2013</v>
      </c>
      <c r="AV947">
        <v>6</v>
      </c>
      <c r="AW947">
        <v>5</v>
      </c>
      <c r="AX947"/>
      <c r="AY947"/>
      <c r="AZ947"/>
      <c r="BA947"/>
      <c r="BB947">
        <v>561</v>
      </c>
      <c r="BC947">
        <v>568</v>
      </c>
      <c r="BD947"/>
      <c r="BE947" t="s">
        <v>6082</v>
      </c>
      <c r="BF947" t="str">
        <f>HYPERLINK("http://dx.doi.org/10.1134/S1995425513050028","http://dx.doi.org/10.1134/S1995425513050028")</f>
        <v>http://dx.doi.org/10.1134/S1995425513050028</v>
      </c>
      <c r="BG947"/>
      <c r="BH947"/>
      <c r="BI947"/>
      <c r="BJ947"/>
      <c r="BK947"/>
      <c r="BL947"/>
      <c r="BM947"/>
      <c r="BN947"/>
      <c r="BO947"/>
      <c r="BP947"/>
      <c r="BQ947"/>
      <c r="BR947"/>
      <c r="BS947" t="s">
        <v>6083</v>
      </c>
      <c r="BT947" t="str">
        <f>HYPERLINK("https%3A%2F%2Fwww.webofscience.com%2Fwos%2Fwoscc%2Ffull-record%2FWOS:000325009100015","View Full Record in Web of Science")</f>
        <v>View Full Record in Web of Science</v>
      </c>
    </row>
    <row r="948" spans="1:75" customHeight="1" ht="12.75">
      <c r="A948" t="s">
        <v>72</v>
      </c>
      <c r="B948" t="s">
        <v>6084</v>
      </c>
      <c r="C948"/>
      <c r="D948"/>
      <c r="E948"/>
      <c r="F948" t="s">
        <v>6084</v>
      </c>
      <c r="G948"/>
      <c r="H948"/>
      <c r="I948" t="s">
        <v>6085</v>
      </c>
      <c r="J948" t="s">
        <v>614</v>
      </c>
      <c r="K948"/>
      <c r="L948"/>
      <c r="M948"/>
      <c r="N948"/>
      <c r="O948"/>
      <c r="P948"/>
      <c r="Q948"/>
      <c r="R948"/>
      <c r="S948"/>
      <c r="T948"/>
      <c r="U948"/>
      <c r="V948"/>
      <c r="W948"/>
      <c r="X948"/>
      <c r="Y948"/>
      <c r="Z948"/>
      <c r="AA948"/>
      <c r="AB948"/>
      <c r="AC948"/>
      <c r="AD948"/>
      <c r="AE948"/>
      <c r="AF948"/>
      <c r="AG948"/>
      <c r="AH948"/>
      <c r="AI948"/>
      <c r="AJ948"/>
      <c r="AK948"/>
      <c r="AL948"/>
      <c r="AM948"/>
      <c r="AN948"/>
      <c r="AO948" t="s">
        <v>617</v>
      </c>
      <c r="AP948" t="s">
        <v>1720</v>
      </c>
      <c r="AQ948"/>
      <c r="AR948"/>
      <c r="AS948"/>
      <c r="AT948" t="s">
        <v>491</v>
      </c>
      <c r="AU948">
        <v>2005</v>
      </c>
      <c r="AV948">
        <v>41</v>
      </c>
      <c r="AW948">
        <v>6</v>
      </c>
      <c r="AX948"/>
      <c r="AY948"/>
      <c r="AZ948"/>
      <c r="BA948"/>
      <c r="BB948">
        <v>639</v>
      </c>
      <c r="BC948">
        <v>645</v>
      </c>
      <c r="BD948"/>
      <c r="BE948" t="s">
        <v>6086</v>
      </c>
      <c r="BF948" t="str">
        <f>HYPERLINK("http://dx.doi.org/10.1007/s11175-005-0117-9","http://dx.doi.org/10.1007/s11175-005-0117-9")</f>
        <v>http://dx.doi.org/10.1007/s11175-005-0117-9</v>
      </c>
      <c r="BG948"/>
      <c r="BH948"/>
      <c r="BI948"/>
      <c r="BJ948"/>
      <c r="BK948"/>
      <c r="BL948"/>
      <c r="BM948"/>
      <c r="BN948"/>
      <c r="BO948"/>
      <c r="BP948"/>
      <c r="BQ948"/>
      <c r="BR948"/>
      <c r="BS948" t="s">
        <v>6087</v>
      </c>
      <c r="BT948" t="str">
        <f>HYPERLINK("https%3A%2F%2Fwww.webofscience.com%2Fwos%2Fwoscc%2Ffull-record%2FWOS:000230551900007","View Full Record in Web of Science")</f>
        <v>View Full Record in Web of Science</v>
      </c>
    </row>
    <row r="949" spans="1:75" customHeight="1" ht="12.75">
      <c r="A949" t="s">
        <v>72</v>
      </c>
      <c r="B949" t="s">
        <v>6088</v>
      </c>
      <c r="C949"/>
      <c r="D949"/>
      <c r="E949"/>
      <c r="F949" t="s">
        <v>6088</v>
      </c>
      <c r="G949"/>
      <c r="H949"/>
      <c r="I949" t="s">
        <v>6089</v>
      </c>
      <c r="J949" t="s">
        <v>1005</v>
      </c>
      <c r="K949"/>
      <c r="L949"/>
      <c r="M949"/>
      <c r="N949"/>
      <c r="O949"/>
      <c r="P949"/>
      <c r="Q949"/>
      <c r="R949"/>
      <c r="S949"/>
      <c r="T949"/>
      <c r="U949"/>
      <c r="V949"/>
      <c r="W949"/>
      <c r="X949"/>
      <c r="Y949"/>
      <c r="Z949"/>
      <c r="AA949"/>
      <c r="AB949"/>
      <c r="AC949"/>
      <c r="AD949"/>
      <c r="AE949"/>
      <c r="AF949"/>
      <c r="AG949"/>
      <c r="AH949"/>
      <c r="AI949"/>
      <c r="AJ949"/>
      <c r="AK949"/>
      <c r="AL949"/>
      <c r="AM949"/>
      <c r="AN949"/>
      <c r="AO949" t="s">
        <v>1006</v>
      </c>
      <c r="AP949"/>
      <c r="AQ949"/>
      <c r="AR949"/>
      <c r="AS949"/>
      <c r="AT949" t="s">
        <v>3477</v>
      </c>
      <c r="AU949">
        <v>1998</v>
      </c>
      <c r="AV949">
        <v>67</v>
      </c>
      <c r="AW949">
        <v>6</v>
      </c>
      <c r="AX949"/>
      <c r="AY949"/>
      <c r="AZ949"/>
      <c r="BA949"/>
      <c r="BB949">
        <v>625</v>
      </c>
      <c r="BC949">
        <v>631</v>
      </c>
      <c r="BD949"/>
      <c r="BE949"/>
      <c r="BF949"/>
      <c r="BG949"/>
      <c r="BH949"/>
      <c r="BI949"/>
      <c r="BJ949"/>
      <c r="BK949"/>
      <c r="BL949"/>
      <c r="BM949"/>
      <c r="BN949"/>
      <c r="BO949"/>
      <c r="BP949"/>
      <c r="BQ949"/>
      <c r="BR949"/>
      <c r="BS949" t="s">
        <v>6090</v>
      </c>
      <c r="BT949" t="str">
        <f>HYPERLINK("https%3A%2F%2Fwww.webofscience.com%2Fwos%2Fwoscc%2Ffull-record%2FWOS:000077638900005","View Full Record in Web of Science")</f>
        <v>View Full Record in Web of Science</v>
      </c>
    </row>
    <row r="950" spans="1:75" customHeight="1" ht="12.75">
      <c r="A950" t="s">
        <v>72</v>
      </c>
      <c r="B950" t="s">
        <v>5768</v>
      </c>
      <c r="C950"/>
      <c r="D950"/>
      <c r="E950"/>
      <c r="F950" t="s">
        <v>5769</v>
      </c>
      <c r="G950"/>
      <c r="H950"/>
      <c r="I950" t="s">
        <v>6091</v>
      </c>
      <c r="J950" t="s">
        <v>4849</v>
      </c>
      <c r="K950"/>
      <c r="L950"/>
      <c r="M950"/>
      <c r="N950"/>
      <c r="O950"/>
      <c r="P950"/>
      <c r="Q950"/>
      <c r="R950"/>
      <c r="S950"/>
      <c r="T950"/>
      <c r="U950"/>
      <c r="V950"/>
      <c r="W950"/>
      <c r="X950"/>
      <c r="Y950"/>
      <c r="Z950"/>
      <c r="AA950" t="s">
        <v>4850</v>
      </c>
      <c r="AB950" t="s">
        <v>4851</v>
      </c>
      <c r="AC950"/>
      <c r="AD950"/>
      <c r="AE950"/>
      <c r="AF950"/>
      <c r="AG950"/>
      <c r="AH950"/>
      <c r="AI950"/>
      <c r="AJ950"/>
      <c r="AK950"/>
      <c r="AL950"/>
      <c r="AM950"/>
      <c r="AN950"/>
      <c r="AO950" t="s">
        <v>4852</v>
      </c>
      <c r="AP950" t="s">
        <v>4853</v>
      </c>
      <c r="AQ950"/>
      <c r="AR950"/>
      <c r="AS950"/>
      <c r="AT950" t="s">
        <v>491</v>
      </c>
      <c r="AU950">
        <v>2023</v>
      </c>
      <c r="AV950">
        <v>101</v>
      </c>
      <c r="AW950">
        <v>6</v>
      </c>
      <c r="AX950"/>
      <c r="AY950"/>
      <c r="AZ950"/>
      <c r="BA950"/>
      <c r="BB950">
        <v>668</v>
      </c>
      <c r="BC950">
        <v>670</v>
      </c>
      <c r="BD950"/>
      <c r="BE950" t="s">
        <v>6092</v>
      </c>
      <c r="BF950" t="str">
        <f>HYPERLINK("http://dx.doi.org/10.1111/tan.14969","http://dx.doi.org/10.1111/tan.14969")</f>
        <v>http://dx.doi.org/10.1111/tan.14969</v>
      </c>
      <c r="BG950"/>
      <c r="BH950" t="s">
        <v>6093</v>
      </c>
      <c r="BI950"/>
      <c r="BJ950"/>
      <c r="BK950"/>
      <c r="BL950"/>
      <c r="BM950"/>
      <c r="BN950">
        <v>36617635</v>
      </c>
      <c r="BO950"/>
      <c r="BP950"/>
      <c r="BQ950"/>
      <c r="BR950"/>
      <c r="BS950" t="s">
        <v>6094</v>
      </c>
      <c r="BT950" t="str">
        <f>HYPERLINK("https%3A%2F%2Fwww.webofscience.com%2Fwos%2Fwoscc%2Ffull-record%2FWOS:000919397900001","View Full Record in Web of Science")</f>
        <v>View Full Record in Web of Science</v>
      </c>
    </row>
    <row r="951" spans="1:75" customHeight="1" ht="12.75">
      <c r="A951" t="s">
        <v>147</v>
      </c>
      <c r="B951" t="s">
        <v>6095</v>
      </c>
      <c r="C951"/>
      <c r="D951" t="s">
        <v>6096</v>
      </c>
      <c r="E951"/>
      <c r="F951" t="s">
        <v>6097</v>
      </c>
      <c r="G951"/>
      <c r="H951"/>
      <c r="I951" t="s">
        <v>6098</v>
      </c>
      <c r="J951" t="s">
        <v>6099</v>
      </c>
      <c r="K951" t="s">
        <v>6100</v>
      </c>
      <c r="L951"/>
      <c r="M951"/>
      <c r="N951"/>
      <c r="O951" t="s">
        <v>6101</v>
      </c>
      <c r="P951" t="s">
        <v>6102</v>
      </c>
      <c r="Q951" t="s">
        <v>6103</v>
      </c>
      <c r="R951" t="s">
        <v>6104</v>
      </c>
      <c r="S951" t="s">
        <v>6105</v>
      </c>
      <c r="T951"/>
      <c r="U951"/>
      <c r="V951"/>
      <c r="W951"/>
      <c r="X951"/>
      <c r="Y951"/>
      <c r="Z951"/>
      <c r="AA951" t="s">
        <v>6106</v>
      </c>
      <c r="AB951"/>
      <c r="AC951"/>
      <c r="AD951"/>
      <c r="AE951"/>
      <c r="AF951"/>
      <c r="AG951"/>
      <c r="AH951"/>
      <c r="AI951"/>
      <c r="AJ951"/>
      <c r="AK951"/>
      <c r="AL951"/>
      <c r="AM951"/>
      <c r="AN951"/>
      <c r="AO951" t="s">
        <v>6107</v>
      </c>
      <c r="AP951"/>
      <c r="AQ951"/>
      <c r="AR951"/>
      <c r="AS951"/>
      <c r="AT951"/>
      <c r="AU951">
        <v>2020</v>
      </c>
      <c r="AV951"/>
      <c r="AW951"/>
      <c r="AX951"/>
      <c r="AY951"/>
      <c r="AZ951"/>
      <c r="BA951"/>
      <c r="BB951">
        <v>67</v>
      </c>
      <c r="BC951">
        <v>76</v>
      </c>
      <c r="BD951"/>
      <c r="BE951" t="s">
        <v>6108</v>
      </c>
      <c r="BF951" t="str">
        <f>HYPERLINK("http://dx.doi.org/10.17770/sie2020vol1.5079","http://dx.doi.org/10.17770/sie2020vol1.5079")</f>
        <v>http://dx.doi.org/10.17770/sie2020vol1.5079</v>
      </c>
      <c r="BG951"/>
      <c r="BH951"/>
      <c r="BI951"/>
      <c r="BJ951"/>
      <c r="BK951"/>
      <c r="BL951"/>
      <c r="BM951"/>
      <c r="BN951"/>
      <c r="BO951"/>
      <c r="BP951"/>
      <c r="BQ951"/>
      <c r="BR951"/>
      <c r="BS951" t="s">
        <v>6109</v>
      </c>
      <c r="BT951" t="str">
        <f>HYPERLINK("https%3A%2F%2Fwww.webofscience.com%2Fwos%2Fwoscc%2Ffull-record%2FWOS:000835616400005","View Full Record in Web of Science")</f>
        <v>View Full Record in Web of Science</v>
      </c>
    </row>
    <row r="952" spans="1:75" customHeight="1" ht="12.75">
      <c r="A952" t="s">
        <v>72</v>
      </c>
      <c r="B952" t="s">
        <v>6110</v>
      </c>
      <c r="C952"/>
      <c r="D952"/>
      <c r="E952"/>
      <c r="F952" t="s">
        <v>6111</v>
      </c>
      <c r="G952"/>
      <c r="H952"/>
      <c r="I952" t="s">
        <v>6112</v>
      </c>
      <c r="J952" t="s">
        <v>3233</v>
      </c>
      <c r="K952"/>
      <c r="L952"/>
      <c r="M952"/>
      <c r="N952"/>
      <c r="O952"/>
      <c r="P952"/>
      <c r="Q952"/>
      <c r="R952"/>
      <c r="S952"/>
      <c r="T952"/>
      <c r="U952"/>
      <c r="V952"/>
      <c r="W952"/>
      <c r="X952"/>
      <c r="Y952"/>
      <c r="Z952"/>
      <c r="AA952" t="s">
        <v>6113</v>
      </c>
      <c r="AB952"/>
      <c r="AC952"/>
      <c r="AD952"/>
      <c r="AE952"/>
      <c r="AF952"/>
      <c r="AG952"/>
      <c r="AH952"/>
      <c r="AI952"/>
      <c r="AJ952"/>
      <c r="AK952"/>
      <c r="AL952"/>
      <c r="AM952"/>
      <c r="AN952"/>
      <c r="AO952" t="s">
        <v>3236</v>
      </c>
      <c r="AP952" t="s">
        <v>3237</v>
      </c>
      <c r="AQ952"/>
      <c r="AR952"/>
      <c r="AS952"/>
      <c r="AT952"/>
      <c r="AU952">
        <v>2020</v>
      </c>
      <c r="AV952"/>
      <c r="AW952">
        <v>51</v>
      </c>
      <c r="AX952"/>
      <c r="AY952"/>
      <c r="AZ952"/>
      <c r="BA952"/>
      <c r="BB952">
        <v>153</v>
      </c>
      <c r="BC952">
        <v>176</v>
      </c>
      <c r="BD952"/>
      <c r="BE952" t="s">
        <v>6114</v>
      </c>
      <c r="BF952" t="str">
        <f>HYPERLINK("http://dx.doi.org/10.17223/19996195/51/8","http://dx.doi.org/10.17223/19996195/51/8")</f>
        <v>http://dx.doi.org/10.17223/19996195/51/8</v>
      </c>
      <c r="BG952"/>
      <c r="BH952"/>
      <c r="BI952"/>
      <c r="BJ952"/>
      <c r="BK952"/>
      <c r="BL952"/>
      <c r="BM952"/>
      <c r="BN952"/>
      <c r="BO952"/>
      <c r="BP952"/>
      <c r="BQ952"/>
      <c r="BR952"/>
      <c r="BS952" t="s">
        <v>6115</v>
      </c>
      <c r="BT952" t="str">
        <f>HYPERLINK("https%3A%2F%2Fwww.webofscience.com%2Fwos%2Fwoscc%2Ffull-record%2FWOS:000581055000008","View Full Record in Web of Science")</f>
        <v>View Full Record in Web of Science</v>
      </c>
    </row>
    <row r="953" spans="1:75" customHeight="1" ht="12.75">
      <c r="A953" t="s">
        <v>147</v>
      </c>
      <c r="B953" t="s">
        <v>6116</v>
      </c>
      <c r="C953"/>
      <c r="D953" t="s">
        <v>3968</v>
      </c>
      <c r="E953"/>
      <c r="F953" t="s">
        <v>6117</v>
      </c>
      <c r="G953"/>
      <c r="H953"/>
      <c r="I953" t="s">
        <v>6118</v>
      </c>
      <c r="J953" t="s">
        <v>6119</v>
      </c>
      <c r="K953" t="s">
        <v>1669</v>
      </c>
      <c r="L953"/>
      <c r="M953"/>
      <c r="N953"/>
      <c r="O953" t="s">
        <v>6120</v>
      </c>
      <c r="P953" t="s">
        <v>6121</v>
      </c>
      <c r="Q953" t="s">
        <v>746</v>
      </c>
      <c r="R953" t="s">
        <v>6122</v>
      </c>
      <c r="S953"/>
      <c r="T953"/>
      <c r="U953"/>
      <c r="V953"/>
      <c r="W953"/>
      <c r="X953"/>
      <c r="Y953"/>
      <c r="Z953"/>
      <c r="AA953" t="s">
        <v>3403</v>
      </c>
      <c r="AB953" t="s">
        <v>3404</v>
      </c>
      <c r="AC953"/>
      <c r="AD953"/>
      <c r="AE953"/>
      <c r="AF953"/>
      <c r="AG953"/>
      <c r="AH953"/>
      <c r="AI953"/>
      <c r="AJ953"/>
      <c r="AK953"/>
      <c r="AL953"/>
      <c r="AM953"/>
      <c r="AN953"/>
      <c r="AO953" t="s">
        <v>1675</v>
      </c>
      <c r="AP953" t="s">
        <v>1676</v>
      </c>
      <c r="AQ953" t="s">
        <v>6123</v>
      </c>
      <c r="AR953"/>
      <c r="AS953"/>
      <c r="AT953"/>
      <c r="AU953">
        <v>2019</v>
      </c>
      <c r="AV953">
        <v>1129</v>
      </c>
      <c r="AW953"/>
      <c r="AX953"/>
      <c r="AY953"/>
      <c r="AZ953"/>
      <c r="BA953"/>
      <c r="BB953">
        <v>15</v>
      </c>
      <c r="BC953">
        <v>25</v>
      </c>
      <c r="BD953"/>
      <c r="BE953" t="s">
        <v>6124</v>
      </c>
      <c r="BF953" t="str">
        <f>HYPERLINK("http://dx.doi.org/10.1007/978-3-030-36592-9_2","http://dx.doi.org/10.1007/978-3-030-36592-9_2")</f>
        <v>http://dx.doi.org/10.1007/978-3-030-36592-9_2</v>
      </c>
      <c r="BG953"/>
      <c r="BH953"/>
      <c r="BI953"/>
      <c r="BJ953"/>
      <c r="BK953"/>
      <c r="BL953"/>
      <c r="BM953"/>
      <c r="BN953"/>
      <c r="BO953"/>
      <c r="BP953"/>
      <c r="BQ953"/>
      <c r="BR953"/>
      <c r="BS953" t="s">
        <v>6125</v>
      </c>
      <c r="BT953" t="str">
        <f>HYPERLINK("https%3A%2F%2Fwww.webofscience.com%2Fwos%2Fwoscc%2Ffull-record%2FWOS:000651202100002","View Full Record in Web of Science")</f>
        <v>View Full Record in Web of Science</v>
      </c>
    </row>
    <row r="954" spans="1:75" customHeight="1" ht="12.75">
      <c r="A954" t="s">
        <v>72</v>
      </c>
      <c r="B954" t="s">
        <v>5874</v>
      </c>
      <c r="C954"/>
      <c r="D954"/>
      <c r="E954"/>
      <c r="F954" t="s">
        <v>6126</v>
      </c>
      <c r="G954"/>
      <c r="H954"/>
      <c r="I954" t="s">
        <v>6127</v>
      </c>
      <c r="J954" t="s">
        <v>614</v>
      </c>
      <c r="K954"/>
      <c r="L954"/>
      <c r="M954"/>
      <c r="N954"/>
      <c r="O954" t="s">
        <v>6128</v>
      </c>
      <c r="P954" t="s">
        <v>2860</v>
      </c>
      <c r="Q954" t="s">
        <v>2861</v>
      </c>
      <c r="R954"/>
      <c r="S954" t="s">
        <v>2862</v>
      </c>
      <c r="T954"/>
      <c r="U954"/>
      <c r="V954"/>
      <c r="W954"/>
      <c r="X954"/>
      <c r="Y954"/>
      <c r="Z954"/>
      <c r="AA954"/>
      <c r="AB954"/>
      <c r="AC954"/>
      <c r="AD954"/>
      <c r="AE954"/>
      <c r="AF954"/>
      <c r="AG954"/>
      <c r="AH954"/>
      <c r="AI954"/>
      <c r="AJ954"/>
      <c r="AK954"/>
      <c r="AL954"/>
      <c r="AM954"/>
      <c r="AN954"/>
      <c r="AO954" t="s">
        <v>617</v>
      </c>
      <c r="AP954"/>
      <c r="AQ954"/>
      <c r="AR954"/>
      <c r="AS954"/>
      <c r="AT954" t="s">
        <v>198</v>
      </c>
      <c r="AU954">
        <v>2007</v>
      </c>
      <c r="AV954">
        <v>43</v>
      </c>
      <c r="AW954">
        <v>4</v>
      </c>
      <c r="AX954"/>
      <c r="AY954"/>
      <c r="AZ954"/>
      <c r="BA954"/>
      <c r="BB954">
        <v>479</v>
      </c>
      <c r="BC954">
        <v>482</v>
      </c>
      <c r="BD954"/>
      <c r="BE954" t="s">
        <v>6129</v>
      </c>
      <c r="BF954" t="str">
        <f>HYPERLINK("http://dx.doi.org/10.1134/S1023193507040179","http://dx.doi.org/10.1134/S1023193507040179")</f>
        <v>http://dx.doi.org/10.1134/S1023193507040179</v>
      </c>
      <c r="BG954"/>
      <c r="BH954"/>
      <c r="BI954"/>
      <c r="BJ954"/>
      <c r="BK954"/>
      <c r="BL954"/>
      <c r="BM954"/>
      <c r="BN954"/>
      <c r="BO954"/>
      <c r="BP954"/>
      <c r="BQ954"/>
      <c r="BR954"/>
      <c r="BS954" t="s">
        <v>6130</v>
      </c>
      <c r="BT954" t="str">
        <f>HYPERLINK("https%3A%2F%2Fwww.webofscience.com%2Fwos%2Fwoscc%2Ffull-record%2FWOS:000246338500017","View Full Record in Web of Science")</f>
        <v>View Full Record in Web of Science</v>
      </c>
    </row>
    <row r="955" spans="1:75" customHeight="1" ht="12.75">
      <c r="A955" t="s">
        <v>72</v>
      </c>
      <c r="B955" t="s">
        <v>6131</v>
      </c>
      <c r="C955"/>
      <c r="D955"/>
      <c r="E955"/>
      <c r="F955" t="s">
        <v>6131</v>
      </c>
      <c r="G955"/>
      <c r="H955"/>
      <c r="I955" t="s">
        <v>6132</v>
      </c>
      <c r="J955" t="s">
        <v>1905</v>
      </c>
      <c r="K955"/>
      <c r="L955"/>
      <c r="M955"/>
      <c r="N955"/>
      <c r="O955" t="s">
        <v>5870</v>
      </c>
      <c r="P955" t="s">
        <v>5871</v>
      </c>
      <c r="Q955" t="s">
        <v>2563</v>
      </c>
      <c r="R955" t="s">
        <v>2705</v>
      </c>
      <c r="S955"/>
      <c r="T955"/>
      <c r="U955"/>
      <c r="V955"/>
      <c r="W955"/>
      <c r="X955"/>
      <c r="Y955"/>
      <c r="Z955"/>
      <c r="AA955"/>
      <c r="AB955" t="s">
        <v>2399</v>
      </c>
      <c r="AC955"/>
      <c r="AD955"/>
      <c r="AE955"/>
      <c r="AF955"/>
      <c r="AG955"/>
      <c r="AH955"/>
      <c r="AI955"/>
      <c r="AJ955"/>
      <c r="AK955"/>
      <c r="AL955"/>
      <c r="AM955"/>
      <c r="AN955"/>
      <c r="AO955" t="s">
        <v>1906</v>
      </c>
      <c r="AP955"/>
      <c r="AQ955"/>
      <c r="AR955"/>
      <c r="AS955"/>
      <c r="AT955" t="s">
        <v>78</v>
      </c>
      <c r="AU955">
        <v>2005</v>
      </c>
      <c r="AV955">
        <v>31</v>
      </c>
      <c r="AW955">
        <v>3</v>
      </c>
      <c r="AX955"/>
      <c r="AY955"/>
      <c r="AZ955"/>
      <c r="BA955"/>
      <c r="BB955">
        <v>340</v>
      </c>
      <c r="BC955">
        <v>345</v>
      </c>
      <c r="BD955"/>
      <c r="BE955" t="s">
        <v>6133</v>
      </c>
      <c r="BF955" t="str">
        <f>HYPERLINK("http://dx.doi.org/10.1007/s10720-005-0066-0","http://dx.doi.org/10.1007/s10720-005-0066-0")</f>
        <v>http://dx.doi.org/10.1007/s10720-005-0066-0</v>
      </c>
      <c r="BG955"/>
      <c r="BH955"/>
      <c r="BI955"/>
      <c r="BJ955"/>
      <c r="BK955"/>
      <c r="BL955"/>
      <c r="BM955"/>
      <c r="BN955"/>
      <c r="BO955"/>
      <c r="BP955"/>
      <c r="BQ955"/>
      <c r="BR955"/>
      <c r="BS955" t="s">
        <v>6134</v>
      </c>
      <c r="BT955" t="str">
        <f>HYPERLINK("https%3A%2F%2Fwww.webofscience.com%2Fwos%2Fwoscc%2Ffull-record%2FWOS:000230552700012","View Full Record in Web of Science")</f>
        <v>View Full Record in Web of Science</v>
      </c>
    </row>
    <row r="956" spans="1:75" customHeight="1" ht="12.75">
      <c r="A956" t="s">
        <v>72</v>
      </c>
      <c r="B956" t="s">
        <v>4873</v>
      </c>
      <c r="C956"/>
      <c r="D956"/>
      <c r="E956"/>
      <c r="F956" t="s">
        <v>4874</v>
      </c>
      <c r="G956"/>
      <c r="H956"/>
      <c r="I956" t="s">
        <v>6135</v>
      </c>
      <c r="J956" t="s">
        <v>4849</v>
      </c>
      <c r="K956"/>
      <c r="L956"/>
      <c r="M956"/>
      <c r="N956"/>
      <c r="O956"/>
      <c r="P956"/>
      <c r="Q956"/>
      <c r="R956"/>
      <c r="S956"/>
      <c r="T956"/>
      <c r="U956"/>
      <c r="V956"/>
      <c r="W956"/>
      <c r="X956"/>
      <c r="Y956"/>
      <c r="Z956"/>
      <c r="AA956" t="s">
        <v>4850</v>
      </c>
      <c r="AB956" t="s">
        <v>4851</v>
      </c>
      <c r="AC956"/>
      <c r="AD956"/>
      <c r="AE956"/>
      <c r="AF956"/>
      <c r="AG956"/>
      <c r="AH956"/>
      <c r="AI956"/>
      <c r="AJ956"/>
      <c r="AK956"/>
      <c r="AL956"/>
      <c r="AM956"/>
      <c r="AN956"/>
      <c r="AO956" t="s">
        <v>4852</v>
      </c>
      <c r="AP956" t="s">
        <v>4853</v>
      </c>
      <c r="AQ956"/>
      <c r="AR956"/>
      <c r="AS956"/>
      <c r="AT956" t="s">
        <v>125</v>
      </c>
      <c r="AU956">
        <v>2023</v>
      </c>
      <c r="AV956">
        <v>102</v>
      </c>
      <c r="AW956">
        <v>1</v>
      </c>
      <c r="AX956"/>
      <c r="AY956"/>
      <c r="AZ956"/>
      <c r="BA956"/>
      <c r="BB956">
        <v>83</v>
      </c>
      <c r="BC956">
        <v>84</v>
      </c>
      <c r="BD956"/>
      <c r="BE956" t="s">
        <v>6136</v>
      </c>
      <c r="BF956" t="str">
        <f>HYPERLINK("http://dx.doi.org/10.1111/tan.15034","http://dx.doi.org/10.1111/tan.15034")</f>
        <v>http://dx.doi.org/10.1111/tan.15034</v>
      </c>
      <c r="BG956"/>
      <c r="BH956" t="s">
        <v>5539</v>
      </c>
      <c r="BI956"/>
      <c r="BJ956"/>
      <c r="BK956"/>
      <c r="BL956"/>
      <c r="BM956"/>
      <c r="BN956">
        <v>36961294</v>
      </c>
      <c r="BO956"/>
      <c r="BP956"/>
      <c r="BQ956"/>
      <c r="BR956"/>
      <c r="BS956" t="s">
        <v>6137</v>
      </c>
      <c r="BT956" t="str">
        <f>HYPERLINK("https%3A%2F%2Fwww.webofscience.com%2Fwos%2Fwoscc%2Ffull-record%2FWOS:000956066600001","View Full Record in Web of Science")</f>
        <v>View Full Record in Web of Science</v>
      </c>
    </row>
    <row r="957" spans="1:75" customHeight="1" ht="12.75">
      <c r="A957" t="s">
        <v>72</v>
      </c>
      <c r="B957" t="s">
        <v>6138</v>
      </c>
      <c r="C957"/>
      <c r="D957"/>
      <c r="E957"/>
      <c r="F957" t="s">
        <v>6139</v>
      </c>
      <c r="G957"/>
      <c r="H957"/>
      <c r="I957" t="s">
        <v>6140</v>
      </c>
      <c r="J957" t="s">
        <v>335</v>
      </c>
      <c r="K957"/>
      <c r="L957"/>
      <c r="M957"/>
      <c r="N957"/>
      <c r="O957"/>
      <c r="P957"/>
      <c r="Q957"/>
      <c r="R957"/>
      <c r="S957"/>
      <c r="T957"/>
      <c r="U957"/>
      <c r="V957"/>
      <c r="W957"/>
      <c r="X957"/>
      <c r="Y957"/>
      <c r="Z957"/>
      <c r="AA957"/>
      <c r="AB957"/>
      <c r="AC957"/>
      <c r="AD957"/>
      <c r="AE957"/>
      <c r="AF957"/>
      <c r="AG957"/>
      <c r="AH957"/>
      <c r="AI957"/>
      <c r="AJ957"/>
      <c r="AK957"/>
      <c r="AL957"/>
      <c r="AM957"/>
      <c r="AN957"/>
      <c r="AO957" t="s">
        <v>337</v>
      </c>
      <c r="AP957"/>
      <c r="AQ957"/>
      <c r="AR957"/>
      <c r="AS957"/>
      <c r="AT957" t="s">
        <v>338</v>
      </c>
      <c r="AU957">
        <v>2020</v>
      </c>
      <c r="AV957">
        <v>7</v>
      </c>
      <c r="AW957"/>
      <c r="AX957"/>
      <c r="AY957"/>
      <c r="AZ957" t="s">
        <v>339</v>
      </c>
      <c r="BA957"/>
      <c r="BB957">
        <v>251</v>
      </c>
      <c r="BC957">
        <v>261</v>
      </c>
      <c r="BD957"/>
      <c r="BE957"/>
      <c r="BF957"/>
      <c r="BG957"/>
      <c r="BH957"/>
      <c r="BI957"/>
      <c r="BJ957"/>
      <c r="BK957"/>
      <c r="BL957"/>
      <c r="BM957"/>
      <c r="BN957"/>
      <c r="BO957"/>
      <c r="BP957"/>
      <c r="BQ957"/>
      <c r="BR957"/>
      <c r="BS957" t="s">
        <v>6141</v>
      </c>
      <c r="BT957" t="str">
        <f>HYPERLINK("https%3A%2F%2Fwww.webofscience.com%2Fwos%2Fwoscc%2Ffull-record%2FWOS:000583783100022","View Full Record in Web of Science")</f>
        <v>View Full Record in Web of Science</v>
      </c>
    </row>
    <row r="958" spans="1:75" customHeight="1" ht="12.75">
      <c r="A958" t="s">
        <v>72</v>
      </c>
      <c r="B958" t="s">
        <v>6142</v>
      </c>
      <c r="C958"/>
      <c r="D958"/>
      <c r="E958"/>
      <c r="F958" t="s">
        <v>6143</v>
      </c>
      <c r="G958"/>
      <c r="H958"/>
      <c r="I958" t="s">
        <v>6144</v>
      </c>
      <c r="J958" t="s">
        <v>1087</v>
      </c>
      <c r="K958"/>
      <c r="L958"/>
      <c r="M958"/>
      <c r="N958"/>
      <c r="O958" t="s">
        <v>1088</v>
      </c>
      <c r="P958" t="s">
        <v>1089</v>
      </c>
      <c r="Q958" t="s">
        <v>1090</v>
      </c>
      <c r="R958"/>
      <c r="S958"/>
      <c r="T958"/>
      <c r="U958"/>
      <c r="V958"/>
      <c r="W958"/>
      <c r="X958"/>
      <c r="Y958"/>
      <c r="Z958"/>
      <c r="AA958" t="s">
        <v>1091</v>
      </c>
      <c r="AB958" t="s">
        <v>1092</v>
      </c>
      <c r="AC958"/>
      <c r="AD958"/>
      <c r="AE958"/>
      <c r="AF958"/>
      <c r="AG958"/>
      <c r="AH958"/>
      <c r="AI958"/>
      <c r="AJ958"/>
      <c r="AK958"/>
      <c r="AL958"/>
      <c r="AM958"/>
      <c r="AN958"/>
      <c r="AO958" t="s">
        <v>1093</v>
      </c>
      <c r="AP958" t="s">
        <v>1094</v>
      </c>
      <c r="AQ958"/>
      <c r="AR958"/>
      <c r="AS958"/>
      <c r="AT958" t="s">
        <v>171</v>
      </c>
      <c r="AU958">
        <v>2020</v>
      </c>
      <c r="AV958">
        <v>57</v>
      </c>
      <c r="AW958">
        <v>1</v>
      </c>
      <c r="AX958"/>
      <c r="AY958"/>
      <c r="AZ958"/>
      <c r="BA958"/>
      <c r="BB958">
        <v>28</v>
      </c>
      <c r="BC958">
        <v>36</v>
      </c>
      <c r="BD958"/>
      <c r="BE958" t="s">
        <v>6145</v>
      </c>
      <c r="BF958" t="str">
        <f>HYPERLINK("http://dx.doi.org/10.37358/mp.20.1.5309","http://dx.doi.org/10.37358/mp.20.1.5309")</f>
        <v>http://dx.doi.org/10.37358/mp.20.1.5309</v>
      </c>
      <c r="BG958"/>
      <c r="BH958"/>
      <c r="BI958"/>
      <c r="BJ958"/>
      <c r="BK958"/>
      <c r="BL958"/>
      <c r="BM958"/>
      <c r="BN958"/>
      <c r="BO958"/>
      <c r="BP958"/>
      <c r="BQ958"/>
      <c r="BR958"/>
      <c r="BS958" t="s">
        <v>6146</v>
      </c>
      <c r="BT958" t="str">
        <f>HYPERLINK("https%3A%2F%2Fwww.webofscience.com%2Fwos%2Fwoscc%2Ffull-record%2FWOS:000528195000005","View Full Record in Web of Science")</f>
        <v>View Full Record in Web of Science</v>
      </c>
    </row>
    <row r="959" spans="1:75" customHeight="1" ht="12.75">
      <c r="A959" t="s">
        <v>72</v>
      </c>
      <c r="B959" t="s">
        <v>6147</v>
      </c>
      <c r="C959"/>
      <c r="D959"/>
      <c r="E959"/>
      <c r="F959" t="s">
        <v>6148</v>
      </c>
      <c r="G959"/>
      <c r="H959"/>
      <c r="I959" t="s">
        <v>6149</v>
      </c>
      <c r="J959" t="s">
        <v>1608</v>
      </c>
      <c r="K959"/>
      <c r="L959"/>
      <c r="M959"/>
      <c r="N959"/>
      <c r="O959"/>
      <c r="P959"/>
      <c r="Q959"/>
      <c r="R959"/>
      <c r="S959"/>
      <c r="T959"/>
      <c r="U959"/>
      <c r="V959"/>
      <c r="W959"/>
      <c r="X959"/>
      <c r="Y959"/>
      <c r="Z959"/>
      <c r="AA959" t="s">
        <v>1609</v>
      </c>
      <c r="AB959" t="s">
        <v>6150</v>
      </c>
      <c r="AC959"/>
      <c r="AD959"/>
      <c r="AE959"/>
      <c r="AF959"/>
      <c r="AG959"/>
      <c r="AH959"/>
      <c r="AI959"/>
      <c r="AJ959"/>
      <c r="AK959"/>
      <c r="AL959"/>
      <c r="AM959"/>
      <c r="AN959"/>
      <c r="AO959" t="s">
        <v>1611</v>
      </c>
      <c r="AP959" t="s">
        <v>1612</v>
      </c>
      <c r="AQ959"/>
      <c r="AR959"/>
      <c r="AS959"/>
      <c r="AT959"/>
      <c r="AU959">
        <v>2020</v>
      </c>
      <c r="AV959">
        <v>30</v>
      </c>
      <c r="AW959">
        <v>1</v>
      </c>
      <c r="AX959"/>
      <c r="AY959"/>
      <c r="AZ959"/>
      <c r="BA959"/>
      <c r="BB959">
        <v>43</v>
      </c>
      <c r="BC959">
        <v>59</v>
      </c>
      <c r="BD959"/>
      <c r="BE959" t="s">
        <v>6151</v>
      </c>
      <c r="BF959" t="str">
        <f>HYPERLINK("http://dx.doi.org/10.15507/2658-4123.030.202001.043-059","http://dx.doi.org/10.15507/2658-4123.030.202001.043-059")</f>
        <v>http://dx.doi.org/10.15507/2658-4123.030.202001.043-059</v>
      </c>
      <c r="BG959"/>
      <c r="BH959"/>
      <c r="BI959"/>
      <c r="BJ959"/>
      <c r="BK959"/>
      <c r="BL959"/>
      <c r="BM959"/>
      <c r="BN959"/>
      <c r="BO959"/>
      <c r="BP959"/>
      <c r="BQ959"/>
      <c r="BR959"/>
      <c r="BS959" t="s">
        <v>6152</v>
      </c>
      <c r="BT959" t="str">
        <f>HYPERLINK("https%3A%2F%2Fwww.webofscience.com%2Fwos%2Fwoscc%2Ffull-record%2FWOS:000520879000003","View Full Record in Web of Science")</f>
        <v>View Full Record in Web of Science</v>
      </c>
    </row>
    <row r="960" spans="1:75" customHeight="1" ht="12.75">
      <c r="A960" t="s">
        <v>147</v>
      </c>
      <c r="B960" t="s">
        <v>6153</v>
      </c>
      <c r="C960"/>
      <c r="D960"/>
      <c r="E960" t="s">
        <v>175</v>
      </c>
      <c r="F960" t="s">
        <v>6154</v>
      </c>
      <c r="G960"/>
      <c r="H960"/>
      <c r="I960" t="s">
        <v>6155</v>
      </c>
      <c r="J960" t="s">
        <v>6156</v>
      </c>
      <c r="K960" t="s">
        <v>179</v>
      </c>
      <c r="L960"/>
      <c r="M960"/>
      <c r="N960"/>
      <c r="O960" t="s">
        <v>6157</v>
      </c>
      <c r="P960" t="s">
        <v>6158</v>
      </c>
      <c r="Q960" t="s">
        <v>888</v>
      </c>
      <c r="R960"/>
      <c r="S960"/>
      <c r="T960"/>
      <c r="U960"/>
      <c r="V960"/>
      <c r="W960"/>
      <c r="X960"/>
      <c r="Y960"/>
      <c r="Z960"/>
      <c r="AA960" t="s">
        <v>6159</v>
      </c>
      <c r="AB960" t="s">
        <v>5614</v>
      </c>
      <c r="AC960"/>
      <c r="AD960"/>
      <c r="AE960"/>
      <c r="AF960"/>
      <c r="AG960"/>
      <c r="AH960"/>
      <c r="AI960"/>
      <c r="AJ960"/>
      <c r="AK960"/>
      <c r="AL960"/>
      <c r="AM960"/>
      <c r="AN960"/>
      <c r="AO960" t="s">
        <v>187</v>
      </c>
      <c r="AP960" t="s">
        <v>188</v>
      </c>
      <c r="AQ960"/>
      <c r="AR960"/>
      <c r="AS960"/>
      <c r="AT960"/>
      <c r="AU960">
        <v>2019</v>
      </c>
      <c r="AV960">
        <v>1210</v>
      </c>
      <c r="AW960"/>
      <c r="AX960"/>
      <c r="AY960"/>
      <c r="AZ960"/>
      <c r="BA960"/>
      <c r="BB960"/>
      <c r="BC960"/>
      <c r="BD960">
        <v>12150</v>
      </c>
      <c r="BE960" t="s">
        <v>6160</v>
      </c>
      <c r="BF960" t="str">
        <f>HYPERLINK("http://dx.doi.org/10.1088/1742-6596/1210/1/012150","http://dx.doi.org/10.1088/1742-6596/1210/1/012150")</f>
        <v>http://dx.doi.org/10.1088/1742-6596/1210/1/012150</v>
      </c>
      <c r="BG960"/>
      <c r="BH960"/>
      <c r="BI960"/>
      <c r="BJ960"/>
      <c r="BK960"/>
      <c r="BL960"/>
      <c r="BM960"/>
      <c r="BN960"/>
      <c r="BO960"/>
      <c r="BP960"/>
      <c r="BQ960"/>
      <c r="BR960"/>
      <c r="BS960" t="s">
        <v>6161</v>
      </c>
      <c r="BT960" t="str">
        <f>HYPERLINK("https%3A%2F%2Fwww.webofscience.com%2Fwos%2Fwoscc%2Ffull-record%2FWOS:000481604500150","View Full Record in Web of Science")</f>
        <v>View Full Record in Web of Science</v>
      </c>
    </row>
    <row r="961" spans="1:75" customHeight="1" ht="12.75">
      <c r="A961" t="s">
        <v>72</v>
      </c>
      <c r="B961" t="s">
        <v>6162</v>
      </c>
      <c r="C961"/>
      <c r="D961"/>
      <c r="E961"/>
      <c r="F961" t="s">
        <v>6163</v>
      </c>
      <c r="G961"/>
      <c r="H961"/>
      <c r="I961" t="s">
        <v>6164</v>
      </c>
      <c r="J961" t="s">
        <v>244</v>
      </c>
      <c r="K961"/>
      <c r="L961"/>
      <c r="M961"/>
      <c r="N961"/>
      <c r="O961"/>
      <c r="P961"/>
      <c r="Q961"/>
      <c r="R961"/>
      <c r="S961"/>
      <c r="T961"/>
      <c r="U961"/>
      <c r="V961"/>
      <c r="W961"/>
      <c r="X961"/>
      <c r="Y961"/>
      <c r="Z961"/>
      <c r="AA961" t="s">
        <v>6165</v>
      </c>
      <c r="AB961" t="s">
        <v>4796</v>
      </c>
      <c r="AC961"/>
      <c r="AD961"/>
      <c r="AE961"/>
      <c r="AF961"/>
      <c r="AG961"/>
      <c r="AH961"/>
      <c r="AI961"/>
      <c r="AJ961"/>
      <c r="AK961"/>
      <c r="AL961"/>
      <c r="AM961"/>
      <c r="AN961"/>
      <c r="AO961" t="s">
        <v>245</v>
      </c>
      <c r="AP961" t="s">
        <v>246</v>
      </c>
      <c r="AQ961"/>
      <c r="AR961"/>
      <c r="AS961"/>
      <c r="AT961"/>
      <c r="AU961">
        <v>2019</v>
      </c>
      <c r="AV961"/>
      <c r="AW961">
        <v>11</v>
      </c>
      <c r="AX961"/>
      <c r="AY961"/>
      <c r="AZ961"/>
      <c r="BA961"/>
      <c r="BB961">
        <v>4</v>
      </c>
      <c r="BC961">
        <v>11</v>
      </c>
      <c r="BD961"/>
      <c r="BE961" t="s">
        <v>6166</v>
      </c>
      <c r="BF961" t="str">
        <f>HYPERLINK("http://dx.doi.org/10.31166/VoprosyIstorii201911Statyi01","http://dx.doi.org/10.31166/VoprosyIstorii201911Statyi01")</f>
        <v>http://dx.doi.org/10.31166/VoprosyIstorii201911Statyi01</v>
      </c>
      <c r="BG961"/>
      <c r="BH961"/>
      <c r="BI961"/>
      <c r="BJ961"/>
      <c r="BK961"/>
      <c r="BL961"/>
      <c r="BM961"/>
      <c r="BN961"/>
      <c r="BO961"/>
      <c r="BP961"/>
      <c r="BQ961"/>
      <c r="BR961"/>
      <c r="BS961" t="s">
        <v>6167</v>
      </c>
      <c r="BT961" t="str">
        <f>HYPERLINK("https%3A%2F%2Fwww.webofscience.com%2Fwos%2Fwoscc%2Ffull-record%2FWOS:000504079400001","View Full Record in Web of Science")</f>
        <v>View Full Record in Web of Science</v>
      </c>
    </row>
    <row r="962" spans="1:75" customHeight="1" ht="12.75">
      <c r="A962" t="s">
        <v>147</v>
      </c>
      <c r="B962" t="s">
        <v>6168</v>
      </c>
      <c r="C962"/>
      <c r="D962"/>
      <c r="E962" t="s">
        <v>210</v>
      </c>
      <c r="F962" t="s">
        <v>6169</v>
      </c>
      <c r="G962"/>
      <c r="H962"/>
      <c r="I962" t="s">
        <v>6170</v>
      </c>
      <c r="J962" t="s">
        <v>6171</v>
      </c>
      <c r="K962" t="s">
        <v>2589</v>
      </c>
      <c r="L962"/>
      <c r="M962"/>
      <c r="N962"/>
      <c r="O962" t="s">
        <v>2590</v>
      </c>
      <c r="P962" t="s">
        <v>6172</v>
      </c>
      <c r="Q962" t="s">
        <v>6173</v>
      </c>
      <c r="R962"/>
      <c r="S962"/>
      <c r="T962"/>
      <c r="U962"/>
      <c r="V962"/>
      <c r="W962"/>
      <c r="X962"/>
      <c r="Y962"/>
      <c r="Z962"/>
      <c r="AA962"/>
      <c r="AB962"/>
      <c r="AC962"/>
      <c r="AD962"/>
      <c r="AE962"/>
      <c r="AF962"/>
      <c r="AG962"/>
      <c r="AH962"/>
      <c r="AI962"/>
      <c r="AJ962"/>
      <c r="AK962"/>
      <c r="AL962"/>
      <c r="AM962"/>
      <c r="AN962"/>
      <c r="AO962" t="s">
        <v>2593</v>
      </c>
      <c r="AP962"/>
      <c r="AQ962" t="s">
        <v>6174</v>
      </c>
      <c r="AR962"/>
      <c r="AS962"/>
      <c r="AT962"/>
      <c r="AU962">
        <v>2012</v>
      </c>
      <c r="AV962"/>
      <c r="AW962"/>
      <c r="AX962"/>
      <c r="AY962"/>
      <c r="AZ962"/>
      <c r="BA962"/>
      <c r="BB962"/>
      <c r="BC962"/>
      <c r="BD962"/>
      <c r="BE962"/>
      <c r="BF962"/>
      <c r="BG962"/>
      <c r="BH962"/>
      <c r="BI962"/>
      <c r="BJ962"/>
      <c r="BK962"/>
      <c r="BL962"/>
      <c r="BM962"/>
      <c r="BN962"/>
      <c r="BO962"/>
      <c r="BP962"/>
      <c r="BQ962"/>
      <c r="BR962"/>
      <c r="BS962" t="s">
        <v>6175</v>
      </c>
      <c r="BT962" t="str">
        <f>HYPERLINK("https%3A%2F%2Fwww.webofscience.com%2Fwos%2Fwoscc%2Ffull-record%2FWOS:000309341303039","View Full Record in Web of Science")</f>
        <v>View Full Record in Web of Science</v>
      </c>
    </row>
    <row r="963" spans="1:75" customHeight="1" ht="12.75">
      <c r="A963" t="s">
        <v>72</v>
      </c>
      <c r="B963" t="s">
        <v>698</v>
      </c>
      <c r="C963"/>
      <c r="D963"/>
      <c r="E963"/>
      <c r="F963" t="s">
        <v>699</v>
      </c>
      <c r="G963"/>
      <c r="H963"/>
      <c r="I963" t="s">
        <v>6176</v>
      </c>
      <c r="J963" t="s">
        <v>5147</v>
      </c>
      <c r="K963"/>
      <c r="L963"/>
      <c r="M963"/>
      <c r="N963"/>
      <c r="O963"/>
      <c r="P963"/>
      <c r="Q963"/>
      <c r="R963"/>
      <c r="S963"/>
      <c r="T963"/>
      <c r="U963"/>
      <c r="V963"/>
      <c r="W963"/>
      <c r="X963"/>
      <c r="Y963"/>
      <c r="Z963"/>
      <c r="AA963" t="s">
        <v>5148</v>
      </c>
      <c r="AB963"/>
      <c r="AC963"/>
      <c r="AD963"/>
      <c r="AE963"/>
      <c r="AF963"/>
      <c r="AG963"/>
      <c r="AH963"/>
      <c r="AI963"/>
      <c r="AJ963"/>
      <c r="AK963"/>
      <c r="AL963"/>
      <c r="AM963"/>
      <c r="AN963"/>
      <c r="AO963" t="s">
        <v>5149</v>
      </c>
      <c r="AP963" t="s">
        <v>5150</v>
      </c>
      <c r="AQ963"/>
      <c r="AR963"/>
      <c r="AS963"/>
      <c r="AT963" t="s">
        <v>198</v>
      </c>
      <c r="AU963">
        <v>2023</v>
      </c>
      <c r="AV963">
        <v>27</v>
      </c>
      <c r="AW963">
        <v>134</v>
      </c>
      <c r="AX963"/>
      <c r="AY963"/>
      <c r="AZ963"/>
      <c r="BA963"/>
      <c r="BB963"/>
      <c r="BC963"/>
      <c r="BD963" t="s">
        <v>6177</v>
      </c>
      <c r="BE963" t="s">
        <v>6178</v>
      </c>
      <c r="BF963" t="str">
        <f>HYPERLINK("http://dx.doi.org/10.54905/disssi/v27i134/e191ms2989","http://dx.doi.org/10.54905/disssi/v27i134/e191ms2989")</f>
        <v>http://dx.doi.org/10.54905/disssi/v27i134/e191ms2989</v>
      </c>
      <c r="BG963"/>
      <c r="BH963"/>
      <c r="BI963"/>
      <c r="BJ963"/>
      <c r="BK963"/>
      <c r="BL963"/>
      <c r="BM963"/>
      <c r="BN963"/>
      <c r="BO963"/>
      <c r="BP963"/>
      <c r="BQ963"/>
      <c r="BR963"/>
      <c r="BS963" t="s">
        <v>6179</v>
      </c>
      <c r="BT963" t="str">
        <f>HYPERLINK("https%3A%2F%2Fwww.webofscience.com%2Fwos%2Fwoscc%2Ffull-record%2FWOS:000994185800021","View Full Record in Web of Science")</f>
        <v>View Full Record in Web of Science</v>
      </c>
    </row>
    <row r="964" spans="1:75" customHeight="1" ht="12.75">
      <c r="A964" t="s">
        <v>72</v>
      </c>
      <c r="B964" t="s">
        <v>5768</v>
      </c>
      <c r="C964"/>
      <c r="D964"/>
      <c r="E964"/>
      <c r="F964" t="s">
        <v>5769</v>
      </c>
      <c r="G964"/>
      <c r="H964"/>
      <c r="I964" t="s">
        <v>6180</v>
      </c>
      <c r="J964" t="s">
        <v>4849</v>
      </c>
      <c r="K964"/>
      <c r="L964"/>
      <c r="M964"/>
      <c r="N964"/>
      <c r="O964"/>
      <c r="P964"/>
      <c r="Q964"/>
      <c r="R964"/>
      <c r="S964"/>
      <c r="T964"/>
      <c r="U964"/>
      <c r="V964"/>
      <c r="W964"/>
      <c r="X964"/>
      <c r="Y964"/>
      <c r="Z964"/>
      <c r="AA964" t="s">
        <v>4850</v>
      </c>
      <c r="AB964" t="s">
        <v>4851</v>
      </c>
      <c r="AC964"/>
      <c r="AD964"/>
      <c r="AE964"/>
      <c r="AF964"/>
      <c r="AG964"/>
      <c r="AH964"/>
      <c r="AI964"/>
      <c r="AJ964"/>
      <c r="AK964"/>
      <c r="AL964"/>
      <c r="AM964"/>
      <c r="AN964"/>
      <c r="AO964" t="s">
        <v>4852</v>
      </c>
      <c r="AP964" t="s">
        <v>4853</v>
      </c>
      <c r="AQ964"/>
      <c r="AR964"/>
      <c r="AS964"/>
      <c r="AT964" t="s">
        <v>88</v>
      </c>
      <c r="AU964">
        <v>2023</v>
      </c>
      <c r="AV964">
        <v>101</v>
      </c>
      <c r="AW964">
        <v>5</v>
      </c>
      <c r="AX964"/>
      <c r="AY964"/>
      <c r="AZ964"/>
      <c r="BA964"/>
      <c r="BB964">
        <v>542</v>
      </c>
      <c r="BC964">
        <v>543</v>
      </c>
      <c r="BD964"/>
      <c r="BE964" t="s">
        <v>6181</v>
      </c>
      <c r="BF964" t="str">
        <f>HYPERLINK("http://dx.doi.org/10.1111/tan.14946","http://dx.doi.org/10.1111/tan.14946")</f>
        <v>http://dx.doi.org/10.1111/tan.14946</v>
      </c>
      <c r="BG964"/>
      <c r="BH964" t="s">
        <v>4345</v>
      </c>
      <c r="BI964"/>
      <c r="BJ964"/>
      <c r="BK964"/>
      <c r="BL964"/>
      <c r="BM964"/>
      <c r="BN964">
        <v>36544248</v>
      </c>
      <c r="BO964"/>
      <c r="BP964"/>
      <c r="BQ964"/>
      <c r="BR964"/>
      <c r="BS964" t="s">
        <v>6182</v>
      </c>
      <c r="BT964" t="str">
        <f>HYPERLINK("https%3A%2F%2Fwww.webofscience.com%2Fwos%2Fwoscc%2Ffull-record%2FWOS:000904767800001","View Full Record in Web of Science")</f>
        <v>View Full Record in Web of Science</v>
      </c>
    </row>
    <row r="965" spans="1:75" customHeight="1" ht="12.75">
      <c r="A965" t="s">
        <v>72</v>
      </c>
      <c r="B965" t="s">
        <v>6183</v>
      </c>
      <c r="C965"/>
      <c r="D965"/>
      <c r="E965"/>
      <c r="F965" t="s">
        <v>6184</v>
      </c>
      <c r="G965"/>
      <c r="H965"/>
      <c r="I965" t="s">
        <v>6185</v>
      </c>
      <c r="J965" t="s">
        <v>6015</v>
      </c>
      <c r="K965"/>
      <c r="L965"/>
      <c r="M965"/>
      <c r="N965"/>
      <c r="O965"/>
      <c r="P965"/>
      <c r="Q965"/>
      <c r="R965"/>
      <c r="S965"/>
      <c r="T965"/>
      <c r="U965"/>
      <c r="V965"/>
      <c r="W965"/>
      <c r="X965"/>
      <c r="Y965"/>
      <c r="Z965"/>
      <c r="AA965"/>
      <c r="AB965"/>
      <c r="AC965"/>
      <c r="AD965"/>
      <c r="AE965"/>
      <c r="AF965"/>
      <c r="AG965"/>
      <c r="AH965"/>
      <c r="AI965"/>
      <c r="AJ965"/>
      <c r="AK965"/>
      <c r="AL965"/>
      <c r="AM965"/>
      <c r="AN965"/>
      <c r="AO965" t="s">
        <v>6019</v>
      </c>
      <c r="AP965" t="s">
        <v>6020</v>
      </c>
      <c r="AQ965"/>
      <c r="AR965"/>
      <c r="AS965"/>
      <c r="AT965" t="s">
        <v>6021</v>
      </c>
      <c r="AU965">
        <v>2019</v>
      </c>
      <c r="AV965">
        <v>10</v>
      </c>
      <c r="AW965"/>
      <c r="AX965"/>
      <c r="AY965"/>
      <c r="AZ965" t="s">
        <v>339</v>
      </c>
      <c r="BA965"/>
      <c r="BB965">
        <v>962</v>
      </c>
      <c r="BC965">
        <v>968</v>
      </c>
      <c r="BD965"/>
      <c r="BE965" t="s">
        <v>6186</v>
      </c>
      <c r="BF965" t="str">
        <f>HYPERLINK("http://dx.doi.org/10.22055/RALS.2019.15172","http://dx.doi.org/10.22055/RALS.2019.15172")</f>
        <v>http://dx.doi.org/10.22055/RALS.2019.15172</v>
      </c>
      <c r="BG965"/>
      <c r="BH965"/>
      <c r="BI965"/>
      <c r="BJ965"/>
      <c r="BK965"/>
      <c r="BL965"/>
      <c r="BM965"/>
      <c r="BN965"/>
      <c r="BO965"/>
      <c r="BP965"/>
      <c r="BQ965"/>
      <c r="BR965"/>
      <c r="BS965" t="s">
        <v>6187</v>
      </c>
      <c r="BT965" t="str">
        <f>HYPERLINK("https%3A%2F%2Fwww.webofscience.com%2Fwos%2Fwoscc%2Ffull-record%2FWOS:000520842700066","View Full Record in Web of Science")</f>
        <v>View Full Record in Web of Science</v>
      </c>
    </row>
    <row r="966" spans="1:75" customHeight="1" ht="12.75">
      <c r="A966" t="s">
        <v>72</v>
      </c>
      <c r="B966" t="s">
        <v>6188</v>
      </c>
      <c r="C966"/>
      <c r="D966"/>
      <c r="E966"/>
      <c r="F966" t="s">
        <v>6189</v>
      </c>
      <c r="G966"/>
      <c r="H966"/>
      <c r="I966" t="s">
        <v>6190</v>
      </c>
      <c r="J966" t="s">
        <v>5139</v>
      </c>
      <c r="K966"/>
      <c r="L966"/>
      <c r="M966"/>
      <c r="N966"/>
      <c r="O966"/>
      <c r="P966"/>
      <c r="Q966"/>
      <c r="R966"/>
      <c r="S966"/>
      <c r="T966"/>
      <c r="U966"/>
      <c r="V966"/>
      <c r="W966"/>
      <c r="X966"/>
      <c r="Y966"/>
      <c r="Z966"/>
      <c r="AA966"/>
      <c r="AB966"/>
      <c r="AC966"/>
      <c r="AD966"/>
      <c r="AE966"/>
      <c r="AF966"/>
      <c r="AG966"/>
      <c r="AH966"/>
      <c r="AI966"/>
      <c r="AJ966"/>
      <c r="AK966"/>
      <c r="AL966"/>
      <c r="AM966"/>
      <c r="AN966"/>
      <c r="AO966" t="s">
        <v>5142</v>
      </c>
      <c r="AP966" t="s">
        <v>5143</v>
      </c>
      <c r="AQ966"/>
      <c r="AR966"/>
      <c r="AS966"/>
      <c r="AT966" t="s">
        <v>1173</v>
      </c>
      <c r="AU966">
        <v>2017</v>
      </c>
      <c r="AV966">
        <v>13</v>
      </c>
      <c r="AW966">
        <v>8</v>
      </c>
      <c r="AX966"/>
      <c r="AY966"/>
      <c r="AZ966"/>
      <c r="BA966"/>
      <c r="BB966">
        <v>4379</v>
      </c>
      <c r="BC966">
        <v>4391</v>
      </c>
      <c r="BD966"/>
      <c r="BE966" t="s">
        <v>6191</v>
      </c>
      <c r="BF966" t="str">
        <f>HYPERLINK("http://dx.doi.org/10.12973/eurasia.2017.00933a","http://dx.doi.org/10.12973/eurasia.2017.00933a")</f>
        <v>http://dx.doi.org/10.12973/eurasia.2017.00933a</v>
      </c>
      <c r="BG966"/>
      <c r="BH966"/>
      <c r="BI966"/>
      <c r="BJ966"/>
      <c r="BK966"/>
      <c r="BL966"/>
      <c r="BM966"/>
      <c r="BN966"/>
      <c r="BO966"/>
      <c r="BP966"/>
      <c r="BQ966"/>
      <c r="BR966"/>
      <c r="BS966" t="s">
        <v>6192</v>
      </c>
      <c r="BT966" t="str">
        <f>HYPERLINK("https%3A%2F%2Fwww.webofscience.com%2Fwos%2Fwoscc%2Ffull-record%2FWOS:000409067500004","View Full Record in Web of Science")</f>
        <v>View Full Record in Web of Science</v>
      </c>
    </row>
    <row r="967" spans="1:75" customHeight="1" ht="12.75">
      <c r="A967" t="s">
        <v>72</v>
      </c>
      <c r="B967" t="s">
        <v>6193</v>
      </c>
      <c r="C967"/>
      <c r="D967"/>
      <c r="E967"/>
      <c r="F967" t="s">
        <v>6194</v>
      </c>
      <c r="G967"/>
      <c r="H967"/>
      <c r="I967" t="s">
        <v>6195</v>
      </c>
      <c r="J967" t="s">
        <v>5139</v>
      </c>
      <c r="K967"/>
      <c r="L967"/>
      <c r="M967"/>
      <c r="N967"/>
      <c r="O967"/>
      <c r="P967"/>
      <c r="Q967"/>
      <c r="R967"/>
      <c r="S967"/>
      <c r="T967"/>
      <c r="U967"/>
      <c r="V967"/>
      <c r="W967"/>
      <c r="X967"/>
      <c r="Y967"/>
      <c r="Z967"/>
      <c r="AA967" t="s">
        <v>6196</v>
      </c>
      <c r="AB967" t="s">
        <v>6197</v>
      </c>
      <c r="AC967"/>
      <c r="AD967"/>
      <c r="AE967"/>
      <c r="AF967"/>
      <c r="AG967"/>
      <c r="AH967"/>
      <c r="AI967"/>
      <c r="AJ967"/>
      <c r="AK967"/>
      <c r="AL967"/>
      <c r="AM967"/>
      <c r="AN967"/>
      <c r="AO967" t="s">
        <v>5142</v>
      </c>
      <c r="AP967" t="s">
        <v>5143</v>
      </c>
      <c r="AQ967"/>
      <c r="AR967"/>
      <c r="AS967"/>
      <c r="AT967" t="s">
        <v>491</v>
      </c>
      <c r="AU967">
        <v>2017</v>
      </c>
      <c r="AV967">
        <v>13</v>
      </c>
      <c r="AW967">
        <v>6</v>
      </c>
      <c r="AX967"/>
      <c r="AY967"/>
      <c r="AZ967"/>
      <c r="BA967"/>
      <c r="BB967">
        <v>2701</v>
      </c>
      <c r="BC967">
        <v>2720</v>
      </c>
      <c r="BD967"/>
      <c r="BE967" t="s">
        <v>6198</v>
      </c>
      <c r="BF967" t="str">
        <f>HYPERLINK("http://dx.doi.org/10.12973/eurasia.2017.01248a","http://dx.doi.org/10.12973/eurasia.2017.01248a")</f>
        <v>http://dx.doi.org/10.12973/eurasia.2017.01248a</v>
      </c>
      <c r="BG967"/>
      <c r="BH967"/>
      <c r="BI967"/>
      <c r="BJ967"/>
      <c r="BK967"/>
      <c r="BL967"/>
      <c r="BM967"/>
      <c r="BN967"/>
      <c r="BO967"/>
      <c r="BP967"/>
      <c r="BQ967"/>
      <c r="BR967"/>
      <c r="BS967" t="s">
        <v>6199</v>
      </c>
      <c r="BT967" t="str">
        <f>HYPERLINK("https%3A%2F%2Fwww.webofscience.com%2Fwos%2Fwoscc%2Ffull-record%2FWOS:000404604700062","View Full Record in Web of Science")</f>
        <v>View Full Record in Web of Science</v>
      </c>
    </row>
    <row r="968" spans="1:75" customHeight="1" ht="12.75">
      <c r="A968" t="s">
        <v>147</v>
      </c>
      <c r="B968" t="s">
        <v>6200</v>
      </c>
      <c r="C968"/>
      <c r="D968" t="s">
        <v>249</v>
      </c>
      <c r="E968"/>
      <c r="F968" t="s">
        <v>6201</v>
      </c>
      <c r="G968"/>
      <c r="H968"/>
      <c r="I968" t="s">
        <v>6202</v>
      </c>
      <c r="J968" t="s">
        <v>252</v>
      </c>
      <c r="K968" t="s">
        <v>253</v>
      </c>
      <c r="L968"/>
      <c r="M968"/>
      <c r="N968"/>
      <c r="O968" t="s">
        <v>254</v>
      </c>
      <c r="P968" t="s">
        <v>255</v>
      </c>
      <c r="Q968" t="s">
        <v>256</v>
      </c>
      <c r="R968"/>
      <c r="S968" t="s">
        <v>257</v>
      </c>
      <c r="T968"/>
      <c r="U968"/>
      <c r="V968"/>
      <c r="W968"/>
      <c r="X968"/>
      <c r="Y968"/>
      <c r="Z968"/>
      <c r="AA968" t="s">
        <v>6203</v>
      </c>
      <c r="AB968" t="s">
        <v>6204</v>
      </c>
      <c r="AC968"/>
      <c r="AD968"/>
      <c r="AE968"/>
      <c r="AF968"/>
      <c r="AG968"/>
      <c r="AH968"/>
      <c r="AI968"/>
      <c r="AJ968"/>
      <c r="AK968"/>
      <c r="AL968"/>
      <c r="AM968"/>
      <c r="AN968"/>
      <c r="AO968" t="s">
        <v>259</v>
      </c>
      <c r="AP968"/>
      <c r="AQ968"/>
      <c r="AR968"/>
      <c r="AS968"/>
      <c r="AT968"/>
      <c r="AU968">
        <v>2017</v>
      </c>
      <c r="AV968">
        <v>29</v>
      </c>
      <c r="AW968"/>
      <c r="AX968"/>
      <c r="AY968"/>
      <c r="AZ968"/>
      <c r="BA968"/>
      <c r="BB968">
        <v>25</v>
      </c>
      <c r="BC968">
        <v>31</v>
      </c>
      <c r="BD968"/>
      <c r="BE968" t="s">
        <v>6205</v>
      </c>
      <c r="BF968" t="str">
        <f>HYPERLINK("http://dx.doi.org/10.15405/epsbs.2017.08.02.4","http://dx.doi.org/10.15405/epsbs.2017.08.02.4")</f>
        <v>http://dx.doi.org/10.15405/epsbs.2017.08.02.4</v>
      </c>
      <c r="BG968"/>
      <c r="BH968"/>
      <c r="BI968"/>
      <c r="BJ968"/>
      <c r="BK968"/>
      <c r="BL968"/>
      <c r="BM968"/>
      <c r="BN968"/>
      <c r="BO968"/>
      <c r="BP968"/>
      <c r="BQ968"/>
      <c r="BR968"/>
      <c r="BS968" t="s">
        <v>6206</v>
      </c>
      <c r="BT968" t="str">
        <f>HYPERLINK("https%3A%2F%2Fwww.webofscience.com%2Fwos%2Fwoscc%2Ffull-record%2FWOS:000432421300004","View Full Record in Web of Science")</f>
        <v>View Full Record in Web of Science</v>
      </c>
    </row>
    <row r="969" spans="1:75" customHeight="1" ht="12.75">
      <c r="A969" t="s">
        <v>147</v>
      </c>
      <c r="B969" t="s">
        <v>6207</v>
      </c>
      <c r="C969"/>
      <c r="D969"/>
      <c r="E969" t="s">
        <v>175</v>
      </c>
      <c r="F969" t="s">
        <v>6208</v>
      </c>
      <c r="G969"/>
      <c r="H969"/>
      <c r="I969" t="s">
        <v>6209</v>
      </c>
      <c r="J969" t="s">
        <v>2405</v>
      </c>
      <c r="K969" t="s">
        <v>1469</v>
      </c>
      <c r="L969"/>
      <c r="M969"/>
      <c r="N969"/>
      <c r="O969" t="s">
        <v>1619</v>
      </c>
      <c r="P969" t="s">
        <v>2406</v>
      </c>
      <c r="Q969" t="s">
        <v>1542</v>
      </c>
      <c r="R969" t="s">
        <v>2407</v>
      </c>
      <c r="S969"/>
      <c r="T969"/>
      <c r="U969"/>
      <c r="V969"/>
      <c r="W969"/>
      <c r="X969"/>
      <c r="Y969"/>
      <c r="Z969"/>
      <c r="AA969" t="s">
        <v>6210</v>
      </c>
      <c r="AB969" t="s">
        <v>6211</v>
      </c>
      <c r="AC969"/>
      <c r="AD969"/>
      <c r="AE969"/>
      <c r="AF969"/>
      <c r="AG969"/>
      <c r="AH969"/>
      <c r="AI969"/>
      <c r="AJ969"/>
      <c r="AK969"/>
      <c r="AL969"/>
      <c r="AM969"/>
      <c r="AN969"/>
      <c r="AO969" t="s">
        <v>1472</v>
      </c>
      <c r="AP969"/>
      <c r="AQ969"/>
      <c r="AR969"/>
      <c r="AS969"/>
      <c r="AT969"/>
      <c r="AU969">
        <v>2017</v>
      </c>
      <c r="AV969">
        <v>262</v>
      </c>
      <c r="AW969"/>
      <c r="AX969"/>
      <c r="AY969"/>
      <c r="AZ969"/>
      <c r="BA969"/>
      <c r="BB969"/>
      <c r="BC969"/>
      <c r="BD969">
        <v>12024</v>
      </c>
      <c r="BE969" t="s">
        <v>6212</v>
      </c>
      <c r="BF969" t="str">
        <f>HYPERLINK("http://dx.doi.org/10.1088/1757-899X/262/1/012024","http://dx.doi.org/10.1088/1757-899X/262/1/012024")</f>
        <v>http://dx.doi.org/10.1088/1757-899X/262/1/012024</v>
      </c>
      <c r="BG969"/>
      <c r="BH969"/>
      <c r="BI969"/>
      <c r="BJ969"/>
      <c r="BK969"/>
      <c r="BL969"/>
      <c r="BM969"/>
      <c r="BN969"/>
      <c r="BO969"/>
      <c r="BP969"/>
      <c r="BQ969"/>
      <c r="BR969"/>
      <c r="BS969" t="s">
        <v>6213</v>
      </c>
      <c r="BT969" t="str">
        <f>HYPERLINK("https%3A%2F%2Fwww.webofscience.com%2Fwos%2Fwoscc%2Ffull-record%2FWOS:000423728200024","View Full Record in Web of Science")</f>
        <v>View Full Record in Web of Science</v>
      </c>
    </row>
    <row r="970" spans="1:75" customHeight="1" ht="12.75">
      <c r="A970" t="s">
        <v>147</v>
      </c>
      <c r="B970" t="s">
        <v>6214</v>
      </c>
      <c r="C970"/>
      <c r="D970" t="s">
        <v>1876</v>
      </c>
      <c r="E970"/>
      <c r="F970" t="s">
        <v>6215</v>
      </c>
      <c r="G970"/>
      <c r="H970"/>
      <c r="I970" t="s">
        <v>6216</v>
      </c>
      <c r="J970" t="s">
        <v>1879</v>
      </c>
      <c r="K970" t="s">
        <v>1276</v>
      </c>
      <c r="L970"/>
      <c r="M970"/>
      <c r="N970"/>
      <c r="O970" t="s">
        <v>1880</v>
      </c>
      <c r="P970" t="s">
        <v>1881</v>
      </c>
      <c r="Q970" t="s">
        <v>1882</v>
      </c>
      <c r="R970" t="s">
        <v>1883</v>
      </c>
      <c r="S970" t="s">
        <v>1884</v>
      </c>
      <c r="T970"/>
      <c r="U970"/>
      <c r="V970"/>
      <c r="W970"/>
      <c r="X970"/>
      <c r="Y970"/>
      <c r="Z970"/>
      <c r="AA970" t="s">
        <v>6217</v>
      </c>
      <c r="AB970" t="s">
        <v>6218</v>
      </c>
      <c r="AC970"/>
      <c r="AD970"/>
      <c r="AE970"/>
      <c r="AF970"/>
      <c r="AG970"/>
      <c r="AH970"/>
      <c r="AI970"/>
      <c r="AJ970"/>
      <c r="AK970"/>
      <c r="AL970"/>
      <c r="AM970"/>
      <c r="AN970"/>
      <c r="AO970" t="s">
        <v>1282</v>
      </c>
      <c r="AP970"/>
      <c r="AQ970"/>
      <c r="AR970"/>
      <c r="AS970"/>
      <c r="AT970"/>
      <c r="AU970">
        <v>2017</v>
      </c>
      <c r="AV970">
        <v>106</v>
      </c>
      <c r="AW970"/>
      <c r="AX970"/>
      <c r="AY970"/>
      <c r="AZ970"/>
      <c r="BA970"/>
      <c r="BB970"/>
      <c r="BC970"/>
      <c r="BD970">
        <v>8078</v>
      </c>
      <c r="BE970" t="s">
        <v>6219</v>
      </c>
      <c r="BF970" t="str">
        <f>HYPERLINK("http://dx.doi.org/10.1051/matecconf/201710608078","http://dx.doi.org/10.1051/matecconf/201710608078")</f>
        <v>http://dx.doi.org/10.1051/matecconf/201710608078</v>
      </c>
      <c r="BG970"/>
      <c r="BH970"/>
      <c r="BI970"/>
      <c r="BJ970"/>
      <c r="BK970"/>
      <c r="BL970"/>
      <c r="BM970"/>
      <c r="BN970"/>
      <c r="BO970"/>
      <c r="BP970"/>
      <c r="BQ970"/>
      <c r="BR970"/>
      <c r="BS970" t="s">
        <v>6220</v>
      </c>
      <c r="BT970" t="str">
        <f>HYPERLINK("https%3A%2F%2Fwww.webofscience.com%2Fwos%2Fwoscc%2Ffull-record%2FWOS:000426426600263","View Full Record in Web of Science")</f>
        <v>View Full Record in Web of Science</v>
      </c>
    </row>
    <row r="971" spans="1:75" customHeight="1" ht="12.75">
      <c r="A971" t="s">
        <v>147</v>
      </c>
      <c r="B971" t="s">
        <v>5754</v>
      </c>
      <c r="C971"/>
      <c r="D971"/>
      <c r="E971" t="s">
        <v>280</v>
      </c>
      <c r="F971" t="s">
        <v>6221</v>
      </c>
      <c r="G971"/>
      <c r="H971"/>
      <c r="I971" t="s">
        <v>6222</v>
      </c>
      <c r="J971" t="s">
        <v>4146</v>
      </c>
      <c r="K971" t="s">
        <v>284</v>
      </c>
      <c r="L971"/>
      <c r="M971"/>
      <c r="N971"/>
      <c r="O971" t="s">
        <v>4147</v>
      </c>
      <c r="P971" t="s">
        <v>4148</v>
      </c>
      <c r="Q971" t="s">
        <v>287</v>
      </c>
      <c r="R971" t="s">
        <v>4149</v>
      </c>
      <c r="S971"/>
      <c r="T971"/>
      <c r="U971"/>
      <c r="V971"/>
      <c r="W971"/>
      <c r="X971"/>
      <c r="Y971"/>
      <c r="Z971"/>
      <c r="AA971" t="s">
        <v>5757</v>
      </c>
      <c r="AB971" t="s">
        <v>5758</v>
      </c>
      <c r="AC971"/>
      <c r="AD971"/>
      <c r="AE971"/>
      <c r="AF971"/>
      <c r="AG971"/>
      <c r="AH971"/>
      <c r="AI971"/>
      <c r="AJ971"/>
      <c r="AK971"/>
      <c r="AL971"/>
      <c r="AM971"/>
      <c r="AN971"/>
      <c r="AO971" t="s">
        <v>289</v>
      </c>
      <c r="AP971"/>
      <c r="AQ971" t="s">
        <v>4150</v>
      </c>
      <c r="AR971"/>
      <c r="AS971"/>
      <c r="AT971"/>
      <c r="AU971">
        <v>2015</v>
      </c>
      <c r="AV971"/>
      <c r="AW971"/>
      <c r="AX971"/>
      <c r="AY971"/>
      <c r="AZ971"/>
      <c r="BA971"/>
      <c r="BB971">
        <v>639</v>
      </c>
      <c r="BC971">
        <v>646</v>
      </c>
      <c r="BD971"/>
      <c r="BE971"/>
      <c r="BF971"/>
      <c r="BG971"/>
      <c r="BH971"/>
      <c r="BI971"/>
      <c r="BJ971"/>
      <c r="BK971"/>
      <c r="BL971"/>
      <c r="BM971"/>
      <c r="BN971"/>
      <c r="BO971"/>
      <c r="BP971"/>
      <c r="BQ971"/>
      <c r="BR971"/>
      <c r="BS971" t="s">
        <v>6223</v>
      </c>
      <c r="BT971" t="str">
        <f>HYPERLINK("https%3A%2F%2Fwww.webofscience.com%2Fwos%2Fwoscc%2Ffull-record%2FWOS:000378098500079","View Full Record in Web of Science")</f>
        <v>View Full Record in Web of Science</v>
      </c>
    </row>
    <row r="972" spans="1:75" customHeight="1" ht="12.75">
      <c r="A972" t="s">
        <v>72</v>
      </c>
      <c r="B972" t="s">
        <v>6224</v>
      </c>
      <c r="C972"/>
      <c r="D972"/>
      <c r="E972"/>
      <c r="F972" t="s">
        <v>6225</v>
      </c>
      <c r="G972"/>
      <c r="H972"/>
      <c r="I972" t="s">
        <v>6226</v>
      </c>
      <c r="J972" t="s">
        <v>614</v>
      </c>
      <c r="K972"/>
      <c r="L972"/>
      <c r="M972"/>
      <c r="N972"/>
      <c r="O972"/>
      <c r="P972"/>
      <c r="Q972"/>
      <c r="R972"/>
      <c r="S972"/>
      <c r="T972"/>
      <c r="U972"/>
      <c r="V972"/>
      <c r="W972"/>
      <c r="X972"/>
      <c r="Y972"/>
      <c r="Z972"/>
      <c r="AA972" t="s">
        <v>6227</v>
      </c>
      <c r="AB972" t="s">
        <v>1719</v>
      </c>
      <c r="AC972"/>
      <c r="AD972"/>
      <c r="AE972"/>
      <c r="AF972"/>
      <c r="AG972"/>
      <c r="AH972"/>
      <c r="AI972"/>
      <c r="AJ972"/>
      <c r="AK972"/>
      <c r="AL972"/>
      <c r="AM972"/>
      <c r="AN972"/>
      <c r="AO972" t="s">
        <v>617</v>
      </c>
      <c r="AP972" t="s">
        <v>1720</v>
      </c>
      <c r="AQ972"/>
      <c r="AR972"/>
      <c r="AS972"/>
      <c r="AT972" t="s">
        <v>1173</v>
      </c>
      <c r="AU972">
        <v>2019</v>
      </c>
      <c r="AV972">
        <v>55</v>
      </c>
      <c r="AW972">
        <v>8</v>
      </c>
      <c r="AX972"/>
      <c r="AY972"/>
      <c r="AZ972"/>
      <c r="BA972"/>
      <c r="BB972">
        <v>785</v>
      </c>
      <c r="BC972">
        <v>795</v>
      </c>
      <c r="BD972"/>
      <c r="BE972" t="s">
        <v>6228</v>
      </c>
      <c r="BF972" t="str">
        <f>HYPERLINK("http://dx.doi.org/10.1134/S1023193519080111","http://dx.doi.org/10.1134/S1023193519080111")</f>
        <v>http://dx.doi.org/10.1134/S1023193519080111</v>
      </c>
      <c r="BG972"/>
      <c r="BH972"/>
      <c r="BI972"/>
      <c r="BJ972"/>
      <c r="BK972"/>
      <c r="BL972"/>
      <c r="BM972"/>
      <c r="BN972"/>
      <c r="BO972"/>
      <c r="BP972"/>
      <c r="BQ972"/>
      <c r="BR972"/>
      <c r="BS972" t="s">
        <v>6229</v>
      </c>
      <c r="BT972" t="str">
        <f>HYPERLINK("https%3A%2F%2Fwww.webofscience.com%2Fwos%2Fwoscc%2Ffull-record%2FWOS:000487550800008","View Full Record in Web of Science")</f>
        <v>View Full Record in Web of Science</v>
      </c>
    </row>
    <row r="973" spans="1:75" customHeight="1" ht="12.75">
      <c r="A973" t="s">
        <v>72</v>
      </c>
      <c r="B973" t="s">
        <v>6230</v>
      </c>
      <c r="C973"/>
      <c r="D973"/>
      <c r="E973"/>
      <c r="F973" t="s">
        <v>6231</v>
      </c>
      <c r="G973"/>
      <c r="H973"/>
      <c r="I973" t="s">
        <v>6232</v>
      </c>
      <c r="J973" t="s">
        <v>5139</v>
      </c>
      <c r="K973"/>
      <c r="L973"/>
      <c r="M973"/>
      <c r="N973"/>
      <c r="O973"/>
      <c r="P973"/>
      <c r="Q973"/>
      <c r="R973"/>
      <c r="S973"/>
      <c r="T973"/>
      <c r="U973"/>
      <c r="V973"/>
      <c r="W973"/>
      <c r="X973"/>
      <c r="Y973"/>
      <c r="Z973"/>
      <c r="AA973" t="s">
        <v>6233</v>
      </c>
      <c r="AB973" t="s">
        <v>6234</v>
      </c>
      <c r="AC973"/>
      <c r="AD973"/>
      <c r="AE973"/>
      <c r="AF973"/>
      <c r="AG973"/>
      <c r="AH973"/>
      <c r="AI973"/>
      <c r="AJ973"/>
      <c r="AK973"/>
      <c r="AL973"/>
      <c r="AM973"/>
      <c r="AN973"/>
      <c r="AO973" t="s">
        <v>5142</v>
      </c>
      <c r="AP973" t="s">
        <v>5143</v>
      </c>
      <c r="AQ973"/>
      <c r="AR973"/>
      <c r="AS973"/>
      <c r="AT973" t="s">
        <v>1173</v>
      </c>
      <c r="AU973">
        <v>2017</v>
      </c>
      <c r="AV973">
        <v>13</v>
      </c>
      <c r="AW973">
        <v>8</v>
      </c>
      <c r="AX973"/>
      <c r="AY973"/>
      <c r="AZ973"/>
      <c r="BA973"/>
      <c r="BB973">
        <v>5141</v>
      </c>
      <c r="BC973">
        <v>5155</v>
      </c>
      <c r="BD973"/>
      <c r="BE973" t="s">
        <v>6235</v>
      </c>
      <c r="BF973" t="str">
        <f>HYPERLINK("http://dx.doi.org/10.12973/eurasia.2017.00989a","http://dx.doi.org/10.12973/eurasia.2017.00989a")</f>
        <v>http://dx.doi.org/10.12973/eurasia.2017.00989a</v>
      </c>
      <c r="BG973"/>
      <c r="BH973"/>
      <c r="BI973"/>
      <c r="BJ973"/>
      <c r="BK973"/>
      <c r="BL973"/>
      <c r="BM973"/>
      <c r="BN973"/>
      <c r="BO973"/>
      <c r="BP973"/>
      <c r="BQ973"/>
      <c r="BR973"/>
      <c r="BS973" t="s">
        <v>6236</v>
      </c>
      <c r="BT973" t="str">
        <f>HYPERLINK("https%3A%2F%2Fwww.webofscience.com%2Fwos%2Fwoscc%2Ffull-record%2FWOS:000409067500057","View Full Record in Web of Science")</f>
        <v>View Full Record in Web of Science</v>
      </c>
    </row>
    <row r="974" spans="1:75" customHeight="1" ht="12.75">
      <c r="A974" t="s">
        <v>72</v>
      </c>
      <c r="B974" t="s">
        <v>6237</v>
      </c>
      <c r="C974"/>
      <c r="D974"/>
      <c r="E974"/>
      <c r="F974" t="s">
        <v>6238</v>
      </c>
      <c r="G974"/>
      <c r="H974"/>
      <c r="I974" t="s">
        <v>6239</v>
      </c>
      <c r="J974" t="s">
        <v>6240</v>
      </c>
      <c r="K974"/>
      <c r="L974"/>
      <c r="M974"/>
      <c r="N974"/>
      <c r="O974"/>
      <c r="P974"/>
      <c r="Q974"/>
      <c r="R974"/>
      <c r="S974"/>
      <c r="T974"/>
      <c r="U974"/>
      <c r="V974"/>
      <c r="W974"/>
      <c r="X974"/>
      <c r="Y974"/>
      <c r="Z974"/>
      <c r="AA974" t="s">
        <v>5437</v>
      </c>
      <c r="AB974" t="s">
        <v>6241</v>
      </c>
      <c r="AC974"/>
      <c r="AD974"/>
      <c r="AE974"/>
      <c r="AF974"/>
      <c r="AG974"/>
      <c r="AH974"/>
      <c r="AI974"/>
      <c r="AJ974"/>
      <c r="AK974"/>
      <c r="AL974"/>
      <c r="AM974"/>
      <c r="AN974"/>
      <c r="AO974" t="s">
        <v>6242</v>
      </c>
      <c r="AP974" t="s">
        <v>6243</v>
      </c>
      <c r="AQ974"/>
      <c r="AR974"/>
      <c r="AS974"/>
      <c r="AT974" t="s">
        <v>171</v>
      </c>
      <c r="AU974">
        <v>2017</v>
      </c>
      <c r="AV974">
        <v>52</v>
      </c>
      <c r="AW974">
        <v>2</v>
      </c>
      <c r="AX974"/>
      <c r="AY974"/>
      <c r="AZ974"/>
      <c r="BA974"/>
      <c r="BB974">
        <v>200</v>
      </c>
      <c r="BC974">
        <v>211</v>
      </c>
      <c r="BD974"/>
      <c r="BE974" t="s">
        <v>6244</v>
      </c>
      <c r="BF974" t="str">
        <f>HYPERLINK("http://dx.doi.org/10.3103/S0025654417020108","http://dx.doi.org/10.3103/S0025654417020108")</f>
        <v>http://dx.doi.org/10.3103/S0025654417020108</v>
      </c>
      <c r="BG974"/>
      <c r="BH974"/>
      <c r="BI974"/>
      <c r="BJ974"/>
      <c r="BK974"/>
      <c r="BL974"/>
      <c r="BM974"/>
      <c r="BN974"/>
      <c r="BO974"/>
      <c r="BP974"/>
      <c r="BQ974"/>
      <c r="BR974"/>
      <c r="BS974" t="s">
        <v>6245</v>
      </c>
      <c r="BT974" t="str">
        <f>HYPERLINK("https%3A%2F%2Fwww.webofscience.com%2Fwos%2Fwoscc%2Ffull-record%2FWOS:000405488900010","View Full Record in Web of Science")</f>
        <v>View Full Record in Web of Science</v>
      </c>
    </row>
    <row r="975" spans="1:75" customHeight="1" ht="12.75">
      <c r="A975" t="s">
        <v>147</v>
      </c>
      <c r="B975" t="s">
        <v>6246</v>
      </c>
      <c r="C975"/>
      <c r="D975" t="s">
        <v>1272</v>
      </c>
      <c r="E975"/>
      <c r="F975" t="s">
        <v>6247</v>
      </c>
      <c r="G975"/>
      <c r="H975"/>
      <c r="I975" t="s">
        <v>6248</v>
      </c>
      <c r="J975" t="s">
        <v>1275</v>
      </c>
      <c r="K975" t="s">
        <v>1276</v>
      </c>
      <c r="L975"/>
      <c r="M975"/>
      <c r="N975"/>
      <c r="O975" t="s">
        <v>1277</v>
      </c>
      <c r="P975" t="s">
        <v>1278</v>
      </c>
      <c r="Q975" t="s">
        <v>772</v>
      </c>
      <c r="R975" t="s">
        <v>1279</v>
      </c>
      <c r="S975"/>
      <c r="T975"/>
      <c r="U975"/>
      <c r="V975"/>
      <c r="W975"/>
      <c r="X975"/>
      <c r="Y975"/>
      <c r="Z975"/>
      <c r="AA975"/>
      <c r="AB975"/>
      <c r="AC975"/>
      <c r="AD975"/>
      <c r="AE975"/>
      <c r="AF975"/>
      <c r="AG975"/>
      <c r="AH975"/>
      <c r="AI975"/>
      <c r="AJ975"/>
      <c r="AK975"/>
      <c r="AL975"/>
      <c r="AM975"/>
      <c r="AN975"/>
      <c r="AO975" t="s">
        <v>1282</v>
      </c>
      <c r="AP975"/>
      <c r="AQ975"/>
      <c r="AR975"/>
      <c r="AS975"/>
      <c r="AT975"/>
      <c r="AU975">
        <v>2017</v>
      </c>
      <c r="AV975">
        <v>129</v>
      </c>
      <c r="AW975"/>
      <c r="AX975"/>
      <c r="AY975"/>
      <c r="AZ975"/>
      <c r="BA975"/>
      <c r="BB975"/>
      <c r="BC975"/>
      <c r="BD975">
        <v>1023</v>
      </c>
      <c r="BE975" t="s">
        <v>6249</v>
      </c>
      <c r="BF975" t="str">
        <f>HYPERLINK("http://dx.doi.org/10.1051/matecconf/201712901023","http://dx.doi.org/10.1051/matecconf/201712901023")</f>
        <v>http://dx.doi.org/10.1051/matecconf/201712901023</v>
      </c>
      <c r="BG975"/>
      <c r="BH975"/>
      <c r="BI975"/>
      <c r="BJ975"/>
      <c r="BK975"/>
      <c r="BL975"/>
      <c r="BM975"/>
      <c r="BN975"/>
      <c r="BO975"/>
      <c r="BP975"/>
      <c r="BQ975"/>
      <c r="BR975"/>
      <c r="BS975" t="s">
        <v>6250</v>
      </c>
      <c r="BT975" t="str">
        <f>HYPERLINK("https%3A%2F%2Fwww.webofscience.com%2Fwos%2Fwoscc%2Ffull-record%2FWOS:000426431000023","View Full Record in Web of Science")</f>
        <v>View Full Record in Web of Science</v>
      </c>
    </row>
    <row r="976" spans="1:75" customHeight="1" ht="12.75">
      <c r="A976" t="s">
        <v>147</v>
      </c>
      <c r="B976" t="s">
        <v>6251</v>
      </c>
      <c r="C976"/>
      <c r="D976" t="s">
        <v>6252</v>
      </c>
      <c r="E976"/>
      <c r="F976" t="s">
        <v>6253</v>
      </c>
      <c r="G976"/>
      <c r="H976"/>
      <c r="I976" t="s">
        <v>6254</v>
      </c>
      <c r="J976" t="s">
        <v>6255</v>
      </c>
      <c r="K976" t="s">
        <v>907</v>
      </c>
      <c r="L976"/>
      <c r="M976"/>
      <c r="N976"/>
      <c r="O976" t="s">
        <v>6256</v>
      </c>
      <c r="P976" t="s">
        <v>6257</v>
      </c>
      <c r="Q976" t="s">
        <v>806</v>
      </c>
      <c r="R976" t="s">
        <v>6258</v>
      </c>
      <c r="S976"/>
      <c r="T976"/>
      <c r="U976"/>
      <c r="V976"/>
      <c r="W976"/>
      <c r="X976"/>
      <c r="Y976"/>
      <c r="Z976"/>
      <c r="AA976" t="s">
        <v>5648</v>
      </c>
      <c r="AB976" t="s">
        <v>6259</v>
      </c>
      <c r="AC976"/>
      <c r="AD976"/>
      <c r="AE976"/>
      <c r="AF976"/>
      <c r="AG976"/>
      <c r="AH976"/>
      <c r="AI976"/>
      <c r="AJ976"/>
      <c r="AK976"/>
      <c r="AL976"/>
      <c r="AM976"/>
      <c r="AN976"/>
      <c r="AO976" t="s">
        <v>912</v>
      </c>
      <c r="AP976"/>
      <c r="AQ976"/>
      <c r="AR976"/>
      <c r="AS976"/>
      <c r="AT976"/>
      <c r="AU976">
        <v>2015</v>
      </c>
      <c r="AV976">
        <v>106</v>
      </c>
      <c r="AW976"/>
      <c r="AX976"/>
      <c r="AY976"/>
      <c r="AZ976"/>
      <c r="BA976"/>
      <c r="BB976">
        <v>231</v>
      </c>
      <c r="BC976">
        <v>239</v>
      </c>
      <c r="BD976"/>
      <c r="BE976" t="s">
        <v>6260</v>
      </c>
      <c r="BF976" t="str">
        <f>HYPERLINK("http://dx.doi.org/10.1016/j.proeng.2015.06.029","http://dx.doi.org/10.1016/j.proeng.2015.06.029")</f>
        <v>http://dx.doi.org/10.1016/j.proeng.2015.06.029</v>
      </c>
      <c r="BG976"/>
      <c r="BH976"/>
      <c r="BI976"/>
      <c r="BJ976"/>
      <c r="BK976"/>
      <c r="BL976"/>
      <c r="BM976"/>
      <c r="BN976"/>
      <c r="BO976"/>
      <c r="BP976"/>
      <c r="BQ976"/>
      <c r="BR976"/>
      <c r="BS976" t="s">
        <v>6261</v>
      </c>
      <c r="BT976" t="str">
        <f>HYPERLINK("https%3A%2F%2Fwww.webofscience.com%2Fwos%2Fwoscc%2Ffull-record%2FWOS:000381100700028","View Full Record in Web of Science")</f>
        <v>View Full Record in Web of Science</v>
      </c>
    </row>
    <row r="977" spans="1:75" customHeight="1" ht="12.75">
      <c r="A977" t="s">
        <v>72</v>
      </c>
      <c r="B977" t="s">
        <v>6262</v>
      </c>
      <c r="C977"/>
      <c r="D977"/>
      <c r="E977"/>
      <c r="F977" t="s">
        <v>6263</v>
      </c>
      <c r="G977"/>
      <c r="H977"/>
      <c r="I977" t="s">
        <v>6264</v>
      </c>
      <c r="J977" t="s">
        <v>614</v>
      </c>
      <c r="K977"/>
      <c r="L977"/>
      <c r="M977"/>
      <c r="N977"/>
      <c r="O977"/>
      <c r="P977"/>
      <c r="Q977"/>
      <c r="R977"/>
      <c r="S977"/>
      <c r="T977"/>
      <c r="U977"/>
      <c r="V977"/>
      <c r="W977"/>
      <c r="X977"/>
      <c r="Y977"/>
      <c r="Z977"/>
      <c r="AA977" t="s">
        <v>489</v>
      </c>
      <c r="AB977" t="s">
        <v>490</v>
      </c>
      <c r="AC977"/>
      <c r="AD977"/>
      <c r="AE977"/>
      <c r="AF977"/>
      <c r="AG977"/>
      <c r="AH977"/>
      <c r="AI977"/>
      <c r="AJ977"/>
      <c r="AK977"/>
      <c r="AL977"/>
      <c r="AM977"/>
      <c r="AN977"/>
      <c r="AO977" t="s">
        <v>617</v>
      </c>
      <c r="AP977"/>
      <c r="AQ977"/>
      <c r="AR977"/>
      <c r="AS977"/>
      <c r="AT977" t="s">
        <v>1173</v>
      </c>
      <c r="AU977">
        <v>2013</v>
      </c>
      <c r="AV977">
        <v>49</v>
      </c>
      <c r="AW977">
        <v>8</v>
      </c>
      <c r="AX977"/>
      <c r="AY977"/>
      <c r="AZ977"/>
      <c r="BA977"/>
      <c r="BB977">
        <v>769</v>
      </c>
      <c r="BC977">
        <v>775</v>
      </c>
      <c r="BD977"/>
      <c r="BE977" t="s">
        <v>6265</v>
      </c>
      <c r="BF977" t="str">
        <f>HYPERLINK("http://dx.doi.org/10.1134/S1023193513080107","http://dx.doi.org/10.1134/S1023193513080107")</f>
        <v>http://dx.doi.org/10.1134/S1023193513080107</v>
      </c>
      <c r="BG977"/>
      <c r="BH977"/>
      <c r="BI977"/>
      <c r="BJ977"/>
      <c r="BK977"/>
      <c r="BL977"/>
      <c r="BM977"/>
      <c r="BN977"/>
      <c r="BO977"/>
      <c r="BP977"/>
      <c r="BQ977"/>
      <c r="BR977"/>
      <c r="BS977" t="s">
        <v>6266</v>
      </c>
      <c r="BT977" t="str">
        <f>HYPERLINK("https%3A%2F%2Fwww.webofscience.com%2Fwos%2Fwoscc%2Ffull-record%2FWOS:000323258500007","View Full Record in Web of Science")</f>
        <v>View Full Record in Web of Science</v>
      </c>
    </row>
    <row r="978" spans="1:75" customHeight="1" ht="12.75">
      <c r="A978" t="s">
        <v>72</v>
      </c>
      <c r="B978" t="s">
        <v>6267</v>
      </c>
      <c r="C978"/>
      <c r="D978"/>
      <c r="E978"/>
      <c r="F978" t="s">
        <v>6268</v>
      </c>
      <c r="G978"/>
      <c r="H978"/>
      <c r="I978" t="s">
        <v>6269</v>
      </c>
      <c r="J978" t="s">
        <v>3996</v>
      </c>
      <c r="K978"/>
      <c r="L978"/>
      <c r="M978"/>
      <c r="N978"/>
      <c r="O978"/>
      <c r="P978"/>
      <c r="Q978"/>
      <c r="R978"/>
      <c r="S978"/>
      <c r="T978"/>
      <c r="U978"/>
      <c r="V978"/>
      <c r="W978"/>
      <c r="X978"/>
      <c r="Y978"/>
      <c r="Z978"/>
      <c r="AA978" t="s">
        <v>3997</v>
      </c>
      <c r="AB978" t="s">
        <v>3998</v>
      </c>
      <c r="AC978"/>
      <c r="AD978"/>
      <c r="AE978"/>
      <c r="AF978"/>
      <c r="AG978"/>
      <c r="AH978"/>
      <c r="AI978"/>
      <c r="AJ978"/>
      <c r="AK978"/>
      <c r="AL978"/>
      <c r="AM978"/>
      <c r="AN978"/>
      <c r="AO978" t="s">
        <v>3999</v>
      </c>
      <c r="AP978" t="s">
        <v>4000</v>
      </c>
      <c r="AQ978"/>
      <c r="AR978"/>
      <c r="AS978"/>
      <c r="AT978" t="s">
        <v>88</v>
      </c>
      <c r="AU978">
        <v>2012</v>
      </c>
      <c r="AV978">
        <v>153</v>
      </c>
      <c r="AW978">
        <v>1</v>
      </c>
      <c r="AX978"/>
      <c r="AY978"/>
      <c r="AZ978"/>
      <c r="BA978"/>
      <c r="BB978">
        <v>51</v>
      </c>
      <c r="BC978">
        <v>53</v>
      </c>
      <c r="BD978"/>
      <c r="BE978" t="s">
        <v>6270</v>
      </c>
      <c r="BF978" t="str">
        <f>HYPERLINK("http://dx.doi.org/10.1007/s10517-012-1640-9","http://dx.doi.org/10.1007/s10517-012-1640-9")</f>
        <v>http://dx.doi.org/10.1007/s10517-012-1640-9</v>
      </c>
      <c r="BG978"/>
      <c r="BH978"/>
      <c r="BI978"/>
      <c r="BJ978"/>
      <c r="BK978"/>
      <c r="BL978"/>
      <c r="BM978"/>
      <c r="BN978">
        <v>22808492</v>
      </c>
      <c r="BO978"/>
      <c r="BP978"/>
      <c r="BQ978"/>
      <c r="BR978"/>
      <c r="BS978" t="s">
        <v>6271</v>
      </c>
      <c r="BT978" t="str">
        <f>HYPERLINK("https%3A%2F%2Fwww.webofscience.com%2Fwos%2Fwoscc%2Ffull-record%2FWOS:000305517000014","View Full Record in Web of Science")</f>
        <v>View Full Record in Web of Science</v>
      </c>
    </row>
    <row r="979" spans="1:75" customHeight="1" ht="12.75">
      <c r="A979" t="s">
        <v>72</v>
      </c>
      <c r="B979" t="s">
        <v>6272</v>
      </c>
      <c r="C979"/>
      <c r="D979"/>
      <c r="E979"/>
      <c r="F979" t="s">
        <v>6273</v>
      </c>
      <c r="G979"/>
      <c r="H979"/>
      <c r="I979" t="s">
        <v>6274</v>
      </c>
      <c r="J979" t="s">
        <v>4849</v>
      </c>
      <c r="K979"/>
      <c r="L979"/>
      <c r="M979"/>
      <c r="N979"/>
      <c r="O979"/>
      <c r="P979"/>
      <c r="Q979"/>
      <c r="R979"/>
      <c r="S979"/>
      <c r="T979"/>
      <c r="U979"/>
      <c r="V979"/>
      <c r="W979"/>
      <c r="X979"/>
      <c r="Y979"/>
      <c r="Z979"/>
      <c r="AA979" t="s">
        <v>4850</v>
      </c>
      <c r="AB979" t="s">
        <v>4851</v>
      </c>
      <c r="AC979"/>
      <c r="AD979"/>
      <c r="AE979"/>
      <c r="AF979"/>
      <c r="AG979"/>
      <c r="AH979"/>
      <c r="AI979"/>
      <c r="AJ979"/>
      <c r="AK979"/>
      <c r="AL979"/>
      <c r="AM979"/>
      <c r="AN979"/>
      <c r="AO979" t="s">
        <v>4852</v>
      </c>
      <c r="AP979" t="s">
        <v>4853</v>
      </c>
      <c r="AQ979"/>
      <c r="AR979"/>
      <c r="AS979"/>
      <c r="AT979" t="s">
        <v>125</v>
      </c>
      <c r="AU979">
        <v>2023</v>
      </c>
      <c r="AV979">
        <v>102</v>
      </c>
      <c r="AW979">
        <v>1</v>
      </c>
      <c r="AX979"/>
      <c r="AY979"/>
      <c r="AZ979"/>
      <c r="BA979"/>
      <c r="BB979">
        <v>119</v>
      </c>
      <c r="BC979">
        <v>120</v>
      </c>
      <c r="BD979"/>
      <c r="BE979" t="s">
        <v>6275</v>
      </c>
      <c r="BF979" t="str">
        <f>HYPERLINK("http://dx.doi.org/10.1111/tan.15032","http://dx.doi.org/10.1111/tan.15032")</f>
        <v>http://dx.doi.org/10.1111/tan.15032</v>
      </c>
      <c r="BG979"/>
      <c r="BH979" t="s">
        <v>5539</v>
      </c>
      <c r="BI979"/>
      <c r="BJ979"/>
      <c r="BK979"/>
      <c r="BL979"/>
      <c r="BM979"/>
      <c r="BN979">
        <v>36961290</v>
      </c>
      <c r="BO979"/>
      <c r="BP979"/>
      <c r="BQ979"/>
      <c r="BR979"/>
      <c r="BS979" t="s">
        <v>6276</v>
      </c>
      <c r="BT979" t="str">
        <f>HYPERLINK("https%3A%2F%2Fwww.webofscience.com%2Fwos%2Fwoscc%2Ffull-record%2FWOS:000955728700001","View Full Record in Web of Science")</f>
        <v>View Full Record in Web of Science</v>
      </c>
    </row>
    <row r="980" spans="1:75" customHeight="1" ht="12.75">
      <c r="A980" t="s">
        <v>72</v>
      </c>
      <c r="B980" t="s">
        <v>6277</v>
      </c>
      <c r="C980"/>
      <c r="D980"/>
      <c r="E980"/>
      <c r="F980" t="s">
        <v>6278</v>
      </c>
      <c r="G980"/>
      <c r="H980"/>
      <c r="I980" t="s">
        <v>6279</v>
      </c>
      <c r="J980" t="s">
        <v>131</v>
      </c>
      <c r="K980"/>
      <c r="L980"/>
      <c r="M980"/>
      <c r="N980"/>
      <c r="O980"/>
      <c r="P980"/>
      <c r="Q980"/>
      <c r="R980"/>
      <c r="S980"/>
      <c r="T980"/>
      <c r="U980"/>
      <c r="V980"/>
      <c r="W980"/>
      <c r="X980"/>
      <c r="Y980"/>
      <c r="Z980"/>
      <c r="AA980" t="s">
        <v>6280</v>
      </c>
      <c r="AB980" t="s">
        <v>6281</v>
      </c>
      <c r="AC980"/>
      <c r="AD980"/>
      <c r="AE980"/>
      <c r="AF980"/>
      <c r="AG980"/>
      <c r="AH980"/>
      <c r="AI980"/>
      <c r="AJ980"/>
      <c r="AK980"/>
      <c r="AL980"/>
      <c r="AM980"/>
      <c r="AN980"/>
      <c r="AO980" t="s">
        <v>134</v>
      </c>
      <c r="AP980" t="s">
        <v>135</v>
      </c>
      <c r="AQ980"/>
      <c r="AR980"/>
      <c r="AS980"/>
      <c r="AT980"/>
      <c r="AU980">
        <v>2022</v>
      </c>
      <c r="AV980">
        <v>22</v>
      </c>
      <c r="AW980">
        <v>1</v>
      </c>
      <c r="AX980"/>
      <c r="AY980"/>
      <c r="AZ980"/>
      <c r="BA980"/>
      <c r="BB980">
        <v>42</v>
      </c>
      <c r="BC980">
        <v>49</v>
      </c>
      <c r="BD980"/>
      <c r="BE980" t="s">
        <v>6282</v>
      </c>
      <c r="BF980" t="str">
        <f>HYPERLINK("http://dx.doi.org/10.14529/hsm220106","http://dx.doi.org/10.14529/hsm220106")</f>
        <v>http://dx.doi.org/10.14529/hsm220106</v>
      </c>
      <c r="BG980"/>
      <c r="BH980"/>
      <c r="BI980"/>
      <c r="BJ980"/>
      <c r="BK980"/>
      <c r="BL980"/>
      <c r="BM980"/>
      <c r="BN980"/>
      <c r="BO980"/>
      <c r="BP980"/>
      <c r="BQ980"/>
      <c r="BR980"/>
      <c r="BS980" t="s">
        <v>6283</v>
      </c>
      <c r="BT980" t="str">
        <f>HYPERLINK("https%3A%2F%2Fwww.webofscience.com%2Fwos%2Fwoscc%2Ffull-record%2FWOS:000795506200006","View Full Record in Web of Science")</f>
        <v>View Full Record in Web of Science</v>
      </c>
    </row>
    <row r="981" spans="1:75" customHeight="1" ht="12.75">
      <c r="A981" t="s">
        <v>147</v>
      </c>
      <c r="B981" t="s">
        <v>6284</v>
      </c>
      <c r="C981"/>
      <c r="D981"/>
      <c r="E981" t="s">
        <v>210</v>
      </c>
      <c r="F981" t="s">
        <v>6285</v>
      </c>
      <c r="G981"/>
      <c r="H981"/>
      <c r="I981" t="s">
        <v>6286</v>
      </c>
      <c r="J981" t="s">
        <v>571</v>
      </c>
      <c r="K981" t="s">
        <v>362</v>
      </c>
      <c r="L981"/>
      <c r="M981"/>
      <c r="N981"/>
      <c r="O981" t="s">
        <v>572</v>
      </c>
      <c r="P981" t="s">
        <v>573</v>
      </c>
      <c r="Q981" t="s">
        <v>574</v>
      </c>
      <c r="R981" t="s">
        <v>575</v>
      </c>
      <c r="S981" t="s">
        <v>576</v>
      </c>
      <c r="T981"/>
      <c r="U981"/>
      <c r="V981"/>
      <c r="W981"/>
      <c r="X981"/>
      <c r="Y981"/>
      <c r="Z981"/>
      <c r="AA981" t="s">
        <v>6287</v>
      </c>
      <c r="AB981" t="s">
        <v>6288</v>
      </c>
      <c r="AC981"/>
      <c r="AD981"/>
      <c r="AE981"/>
      <c r="AF981"/>
      <c r="AG981"/>
      <c r="AH981"/>
      <c r="AI981"/>
      <c r="AJ981"/>
      <c r="AK981"/>
      <c r="AL981"/>
      <c r="AM981"/>
      <c r="AN981"/>
      <c r="AO981" t="s">
        <v>369</v>
      </c>
      <c r="AP981"/>
      <c r="AQ981" t="s">
        <v>579</v>
      </c>
      <c r="AR981"/>
      <c r="AS981"/>
      <c r="AT981"/>
      <c r="AU981">
        <v>2019</v>
      </c>
      <c r="AV981"/>
      <c r="AW981"/>
      <c r="AX981"/>
      <c r="AY981"/>
      <c r="AZ981"/>
      <c r="BA981"/>
      <c r="BB981">
        <v>255</v>
      </c>
      <c r="BC981">
        <v>262</v>
      </c>
      <c r="BD981"/>
      <c r="BE981"/>
      <c r="BF981"/>
      <c r="BG981"/>
      <c r="BH981"/>
      <c r="BI981"/>
      <c r="BJ981"/>
      <c r="BK981"/>
      <c r="BL981"/>
      <c r="BM981"/>
      <c r="BN981"/>
      <c r="BO981"/>
      <c r="BP981"/>
      <c r="BQ981"/>
      <c r="BR981"/>
      <c r="BS981" t="s">
        <v>6289</v>
      </c>
      <c r="BT981" t="str">
        <f>HYPERLINK("https%3A%2F%2Fwww.webofscience.com%2Fwos%2Fwoscc%2Ffull-record%2FWOS:000469999300036","View Full Record in Web of Science")</f>
        <v>View Full Record in Web of Science</v>
      </c>
    </row>
    <row r="982" spans="1:75" customHeight="1" ht="12.75">
      <c r="A982" t="s">
        <v>72</v>
      </c>
      <c r="B982" t="s">
        <v>6290</v>
      </c>
      <c r="C982"/>
      <c r="D982"/>
      <c r="E982"/>
      <c r="F982" t="s">
        <v>6291</v>
      </c>
      <c r="G982"/>
      <c r="H982"/>
      <c r="I982" t="s">
        <v>6292</v>
      </c>
      <c r="J982" t="s">
        <v>6293</v>
      </c>
      <c r="K982"/>
      <c r="L982"/>
      <c r="M982"/>
      <c r="N982"/>
      <c r="O982"/>
      <c r="P982"/>
      <c r="Q982"/>
      <c r="R982"/>
      <c r="S982"/>
      <c r="T982"/>
      <c r="U982"/>
      <c r="V982"/>
      <c r="W982"/>
      <c r="X982"/>
      <c r="Y982"/>
      <c r="Z982"/>
      <c r="AA982" t="s">
        <v>6294</v>
      </c>
      <c r="AB982" t="s">
        <v>6295</v>
      </c>
      <c r="AC982"/>
      <c r="AD982"/>
      <c r="AE982"/>
      <c r="AF982"/>
      <c r="AG982"/>
      <c r="AH982"/>
      <c r="AI982"/>
      <c r="AJ982"/>
      <c r="AK982"/>
      <c r="AL982"/>
      <c r="AM982"/>
      <c r="AN982"/>
      <c r="AO982"/>
      <c r="AP982" t="s">
        <v>6296</v>
      </c>
      <c r="AQ982"/>
      <c r="AR982"/>
      <c r="AS982"/>
      <c r="AT982" t="s">
        <v>125</v>
      </c>
      <c r="AU982">
        <v>2019</v>
      </c>
      <c r="AV982">
        <v>11</v>
      </c>
      <c r="AW982">
        <v>7</v>
      </c>
      <c r="AX982"/>
      <c r="AY982"/>
      <c r="AZ982"/>
      <c r="BA982"/>
      <c r="BB982"/>
      <c r="BC982"/>
      <c r="BD982">
        <v>624</v>
      </c>
      <c r="BE982" t="s">
        <v>6297</v>
      </c>
      <c r="BF982" t="str">
        <f>HYPERLINK("http://dx.doi.org/10.3390/v11070624","http://dx.doi.org/10.3390/v11070624")</f>
        <v>http://dx.doi.org/10.3390/v11070624</v>
      </c>
      <c r="BG982"/>
      <c r="BH982"/>
      <c r="BI982"/>
      <c r="BJ982"/>
      <c r="BK982"/>
      <c r="BL982"/>
      <c r="BM982"/>
      <c r="BN982">
        <v>31284652</v>
      </c>
      <c r="BO982"/>
      <c r="BP982"/>
      <c r="BQ982"/>
      <c r="BR982"/>
      <c r="BS982" t="s">
        <v>6298</v>
      </c>
      <c r="BT982" t="str">
        <f>HYPERLINK("https%3A%2F%2Fwww.webofscience.com%2Fwos%2Fwoscc%2Ffull-record%2FWOS:000478667800002","View Full Record in Web of Science")</f>
        <v>View Full Record in Web of Science</v>
      </c>
    </row>
    <row r="983" spans="1:75" customHeight="1" ht="12.75">
      <c r="A983" t="s">
        <v>72</v>
      </c>
      <c r="B983" t="s">
        <v>6299</v>
      </c>
      <c r="C983"/>
      <c r="D983"/>
      <c r="E983"/>
      <c r="F983" t="s">
        <v>6300</v>
      </c>
      <c r="G983"/>
      <c r="H983"/>
      <c r="I983" t="s">
        <v>6301</v>
      </c>
      <c r="J983" t="s">
        <v>861</v>
      </c>
      <c r="K983"/>
      <c r="L983"/>
      <c r="M983"/>
      <c r="N983"/>
      <c r="O983"/>
      <c r="P983"/>
      <c r="Q983"/>
      <c r="R983"/>
      <c r="S983"/>
      <c r="T983"/>
      <c r="U983"/>
      <c r="V983"/>
      <c r="W983"/>
      <c r="X983"/>
      <c r="Y983"/>
      <c r="Z983"/>
      <c r="AA983" t="s">
        <v>6302</v>
      </c>
      <c r="AB983" t="s">
        <v>6303</v>
      </c>
      <c r="AC983"/>
      <c r="AD983"/>
      <c r="AE983"/>
      <c r="AF983"/>
      <c r="AG983"/>
      <c r="AH983"/>
      <c r="AI983"/>
      <c r="AJ983"/>
      <c r="AK983"/>
      <c r="AL983"/>
      <c r="AM983"/>
      <c r="AN983"/>
      <c r="AO983" t="s">
        <v>864</v>
      </c>
      <c r="AP983" t="s">
        <v>865</v>
      </c>
      <c r="AQ983"/>
      <c r="AR983"/>
      <c r="AS983"/>
      <c r="AT983"/>
      <c r="AU983">
        <v>2019</v>
      </c>
      <c r="AV983">
        <v>62</v>
      </c>
      <c r="AW983">
        <v>11</v>
      </c>
      <c r="AX983"/>
      <c r="AY983"/>
      <c r="AZ983"/>
      <c r="BA983"/>
      <c r="BB983">
        <v>106</v>
      </c>
      <c r="BC983">
        <v>111</v>
      </c>
      <c r="BD983"/>
      <c r="BE983" t="s">
        <v>6304</v>
      </c>
      <c r="BF983" t="str">
        <f>HYPERLINK("http://dx.doi.org/10.6060/ivkkt.20196211.5979","http://dx.doi.org/10.6060/ivkkt.20196211.5979")</f>
        <v>http://dx.doi.org/10.6060/ivkkt.20196211.5979</v>
      </c>
      <c r="BG983"/>
      <c r="BH983"/>
      <c r="BI983"/>
      <c r="BJ983"/>
      <c r="BK983"/>
      <c r="BL983"/>
      <c r="BM983"/>
      <c r="BN983"/>
      <c r="BO983"/>
      <c r="BP983"/>
      <c r="BQ983"/>
      <c r="BR983"/>
      <c r="BS983" t="s">
        <v>6305</v>
      </c>
      <c r="BT983" t="str">
        <f>HYPERLINK("https%3A%2F%2Fwww.webofscience.com%2Fwos%2Fwoscc%2Ffull-record%2FWOS:000497988300011","View Full Record in Web of Science")</f>
        <v>View Full Record in Web of Science</v>
      </c>
    </row>
    <row r="984" spans="1:75" customHeight="1" ht="12.75">
      <c r="A984" t="s">
        <v>72</v>
      </c>
      <c r="B984" t="s">
        <v>6306</v>
      </c>
      <c r="C984"/>
      <c r="D984"/>
      <c r="E984"/>
      <c r="F984" t="s">
        <v>6306</v>
      </c>
      <c r="G984"/>
      <c r="H984"/>
      <c r="I984" t="s">
        <v>6307</v>
      </c>
      <c r="J984" t="s">
        <v>6308</v>
      </c>
      <c r="K984"/>
      <c r="L984"/>
      <c r="M984"/>
      <c r="N984"/>
      <c r="O984"/>
      <c r="P984"/>
      <c r="Q984"/>
      <c r="R984"/>
      <c r="S984"/>
      <c r="T984"/>
      <c r="U984"/>
      <c r="V984"/>
      <c r="W984"/>
      <c r="X984"/>
      <c r="Y984"/>
      <c r="Z984"/>
      <c r="AA984" t="s">
        <v>6309</v>
      </c>
      <c r="AB984" t="s">
        <v>6310</v>
      </c>
      <c r="AC984"/>
      <c r="AD984"/>
      <c r="AE984"/>
      <c r="AF984"/>
      <c r="AG984"/>
      <c r="AH984"/>
      <c r="AI984"/>
      <c r="AJ984"/>
      <c r="AK984"/>
      <c r="AL984"/>
      <c r="AM984"/>
      <c r="AN984"/>
      <c r="AO984" t="s">
        <v>6311</v>
      </c>
      <c r="AP984"/>
      <c r="AQ984"/>
      <c r="AR984"/>
      <c r="AS984"/>
      <c r="AT984" t="s">
        <v>541</v>
      </c>
      <c r="AU984">
        <v>1997</v>
      </c>
      <c r="AV984">
        <v>352</v>
      </c>
      <c r="AW984">
        <v>1</v>
      </c>
      <c r="AX984"/>
      <c r="AY984"/>
      <c r="AZ984"/>
      <c r="BA984"/>
      <c r="BB984">
        <v>124</v>
      </c>
      <c r="BC984">
        <v>126</v>
      </c>
      <c r="BD984"/>
      <c r="BE984"/>
      <c r="BF984"/>
      <c r="BG984"/>
      <c r="BH984"/>
      <c r="BI984"/>
      <c r="BJ984"/>
      <c r="BK984"/>
      <c r="BL984"/>
      <c r="BM984"/>
      <c r="BN984">
        <v>9102096</v>
      </c>
      <c r="BO984"/>
      <c r="BP984"/>
      <c r="BQ984"/>
      <c r="BR984"/>
      <c r="BS984" t="s">
        <v>6312</v>
      </c>
      <c r="BT984" t="str">
        <f>HYPERLINK("https%3A%2F%2Fwww.webofscience.com%2Fwos%2Fwoscc%2Ffull-record%2FWOS:A1997WP64600032","View Full Record in Web of Science")</f>
        <v>View Full Record in Web of Science</v>
      </c>
    </row>
    <row r="985" spans="1:75" customHeight="1" ht="12.75">
      <c r="A985" t="s">
        <v>147</v>
      </c>
      <c r="B985" t="s">
        <v>6313</v>
      </c>
      <c r="C985"/>
      <c r="D985"/>
      <c r="E985" t="s">
        <v>1465</v>
      </c>
      <c r="F985" t="s">
        <v>6314</v>
      </c>
      <c r="G985"/>
      <c r="H985"/>
      <c r="I985" t="s">
        <v>6315</v>
      </c>
      <c r="J985" t="s">
        <v>1468</v>
      </c>
      <c r="K985" t="s">
        <v>1469</v>
      </c>
      <c r="L985"/>
      <c r="M985"/>
      <c r="N985"/>
      <c r="O985" t="s">
        <v>1277</v>
      </c>
      <c r="P985" t="s">
        <v>771</v>
      </c>
      <c r="Q985" t="s">
        <v>1470</v>
      </c>
      <c r="R985" t="s">
        <v>1471</v>
      </c>
      <c r="S985"/>
      <c r="T985"/>
      <c r="U985"/>
      <c r="V985"/>
      <c r="W985"/>
      <c r="X985"/>
      <c r="Y985"/>
      <c r="Z985"/>
      <c r="AA985"/>
      <c r="AB985" t="s">
        <v>6316</v>
      </c>
      <c r="AC985"/>
      <c r="AD985"/>
      <c r="AE985"/>
      <c r="AF985"/>
      <c r="AG985"/>
      <c r="AH985"/>
      <c r="AI985"/>
      <c r="AJ985"/>
      <c r="AK985"/>
      <c r="AL985"/>
      <c r="AM985"/>
      <c r="AN985"/>
      <c r="AO985" t="s">
        <v>1472</v>
      </c>
      <c r="AP985"/>
      <c r="AQ985"/>
      <c r="AR985"/>
      <c r="AS985"/>
      <c r="AT985"/>
      <c r="AU985">
        <v>2020</v>
      </c>
      <c r="AV985">
        <v>971</v>
      </c>
      <c r="AW985"/>
      <c r="AX985"/>
      <c r="AY985"/>
      <c r="AZ985"/>
      <c r="BA985"/>
      <c r="BB985"/>
      <c r="BC985"/>
      <c r="BD985">
        <v>22047</v>
      </c>
      <c r="BE985" t="s">
        <v>6317</v>
      </c>
      <c r="BF985" t="str">
        <f>HYPERLINK("http://dx.doi.org/10.1088/1757-899X/971/2/022047","http://dx.doi.org/10.1088/1757-899X/971/2/022047")</f>
        <v>http://dx.doi.org/10.1088/1757-899X/971/2/022047</v>
      </c>
      <c r="BG985"/>
      <c r="BH985"/>
      <c r="BI985"/>
      <c r="BJ985"/>
      <c r="BK985"/>
      <c r="BL985"/>
      <c r="BM985"/>
      <c r="BN985"/>
      <c r="BO985"/>
      <c r="BP985"/>
      <c r="BQ985"/>
      <c r="BR985"/>
      <c r="BS985" t="s">
        <v>6318</v>
      </c>
      <c r="BT985" t="str">
        <f>HYPERLINK("https%3A%2F%2Fwww.webofscience.com%2Fwos%2Fwoscc%2Ffull-record%2FWOS:000646359100047","View Full Record in Web of Science")</f>
        <v>View Full Record in Web of Science</v>
      </c>
    </row>
    <row r="986" spans="1:75" customHeight="1" ht="12.75">
      <c r="A986" t="s">
        <v>72</v>
      </c>
      <c r="B986" t="s">
        <v>6319</v>
      </c>
      <c r="C986"/>
      <c r="D986"/>
      <c r="E986"/>
      <c r="F986" t="s">
        <v>6320</v>
      </c>
      <c r="G986"/>
      <c r="H986"/>
      <c r="I986" t="s">
        <v>6321</v>
      </c>
      <c r="J986" t="s">
        <v>6322</v>
      </c>
      <c r="K986"/>
      <c r="L986"/>
      <c r="M986"/>
      <c r="N986"/>
      <c r="O986"/>
      <c r="P986"/>
      <c r="Q986"/>
      <c r="R986"/>
      <c r="S986"/>
      <c r="T986"/>
      <c r="U986"/>
      <c r="V986"/>
      <c r="W986"/>
      <c r="X986"/>
      <c r="Y986"/>
      <c r="Z986"/>
      <c r="AA986" t="s">
        <v>6323</v>
      </c>
      <c r="AB986" t="s">
        <v>6324</v>
      </c>
      <c r="AC986"/>
      <c r="AD986"/>
      <c r="AE986"/>
      <c r="AF986"/>
      <c r="AG986"/>
      <c r="AH986"/>
      <c r="AI986"/>
      <c r="AJ986"/>
      <c r="AK986"/>
      <c r="AL986"/>
      <c r="AM986"/>
      <c r="AN986"/>
      <c r="AO986"/>
      <c r="AP986" t="s">
        <v>6325</v>
      </c>
      <c r="AQ986"/>
      <c r="AR986"/>
      <c r="AS986"/>
      <c r="AT986" t="s">
        <v>198</v>
      </c>
      <c r="AU986">
        <v>2021</v>
      </c>
      <c r="AV986">
        <v>13</v>
      </c>
      <c r="AW986">
        <v>7</v>
      </c>
      <c r="AX986"/>
      <c r="AY986"/>
      <c r="AZ986"/>
      <c r="BA986"/>
      <c r="BB986"/>
      <c r="BC986"/>
      <c r="BD986">
        <v>1101</v>
      </c>
      <c r="BE986" t="s">
        <v>6326</v>
      </c>
      <c r="BF986" t="str">
        <f>HYPERLINK("http://dx.doi.org/10.3390/polym13071101","http://dx.doi.org/10.3390/polym13071101")</f>
        <v>http://dx.doi.org/10.3390/polym13071101</v>
      </c>
      <c r="BG986"/>
      <c r="BH986"/>
      <c r="BI986"/>
      <c r="BJ986"/>
      <c r="BK986"/>
      <c r="BL986"/>
      <c r="BM986"/>
      <c r="BN986">
        <v>33808356</v>
      </c>
      <c r="BO986"/>
      <c r="BP986"/>
      <c r="BQ986"/>
      <c r="BR986"/>
      <c r="BS986" t="s">
        <v>6327</v>
      </c>
      <c r="BT986" t="str">
        <f>HYPERLINK("https%3A%2F%2Fwww.webofscience.com%2Fwos%2Fwoscc%2Ffull-record%2FWOS:000638769200001","View Full Record in Web of Science")</f>
        <v>View Full Record in Web of Science</v>
      </c>
    </row>
    <row r="987" spans="1:75" customHeight="1" ht="12.75">
      <c r="A987" t="s">
        <v>147</v>
      </c>
      <c r="B987" t="s">
        <v>6328</v>
      </c>
      <c r="C987"/>
      <c r="D987" t="s">
        <v>249</v>
      </c>
      <c r="E987"/>
      <c r="F987" t="s">
        <v>6329</v>
      </c>
      <c r="G987"/>
      <c r="H987"/>
      <c r="I987" t="s">
        <v>6330</v>
      </c>
      <c r="J987" t="s">
        <v>1371</v>
      </c>
      <c r="K987"/>
      <c r="L987"/>
      <c r="M987"/>
      <c r="N987"/>
      <c r="O987" t="s">
        <v>1372</v>
      </c>
      <c r="P987" t="s">
        <v>1373</v>
      </c>
      <c r="Q987" t="s">
        <v>256</v>
      </c>
      <c r="R987"/>
      <c r="S987" t="s">
        <v>257</v>
      </c>
      <c r="T987"/>
      <c r="U987"/>
      <c r="V987"/>
      <c r="W987"/>
      <c r="X987"/>
      <c r="Y987"/>
      <c r="Z987"/>
      <c r="AA987"/>
      <c r="AB987"/>
      <c r="AC987"/>
      <c r="AD987"/>
      <c r="AE987"/>
      <c r="AF987"/>
      <c r="AG987"/>
      <c r="AH987"/>
      <c r="AI987"/>
      <c r="AJ987"/>
      <c r="AK987"/>
      <c r="AL987"/>
      <c r="AM987"/>
      <c r="AN987"/>
      <c r="AO987"/>
      <c r="AP987"/>
      <c r="AQ987" t="s">
        <v>1374</v>
      </c>
      <c r="AR987"/>
      <c r="AS987"/>
      <c r="AT987"/>
      <c r="AU987">
        <v>2019</v>
      </c>
      <c r="AV987"/>
      <c r="AW987"/>
      <c r="AX987"/>
      <c r="AY987"/>
      <c r="AZ987"/>
      <c r="BA987"/>
      <c r="BB987">
        <v>1069</v>
      </c>
      <c r="BC987">
        <v>1080</v>
      </c>
      <c r="BD987"/>
      <c r="BE987" t="s">
        <v>6331</v>
      </c>
      <c r="BF987" t="str">
        <f>HYPERLINK("http://dx.doi.org/10.3897/ap.1.e1014","http://dx.doi.org/10.3897/ap.1.e1014")</f>
        <v>http://dx.doi.org/10.3897/ap.1.e1014</v>
      </c>
      <c r="BG987"/>
      <c r="BH987"/>
      <c r="BI987"/>
      <c r="BJ987"/>
      <c r="BK987"/>
      <c r="BL987"/>
      <c r="BM987"/>
      <c r="BN987"/>
      <c r="BO987"/>
      <c r="BP987"/>
      <c r="BQ987"/>
      <c r="BR987"/>
      <c r="BS987" t="s">
        <v>6332</v>
      </c>
      <c r="BT987" t="str">
        <f>HYPERLINK("https%3A%2F%2Fwww.webofscience.com%2Fwos%2Fwoscc%2Ffull-record%2FWOS:000520005200105","View Full Record in Web of Science")</f>
        <v>View Full Record in Web of Science</v>
      </c>
    </row>
    <row r="988" spans="1:75" customHeight="1" ht="12.75">
      <c r="A988" t="s">
        <v>147</v>
      </c>
      <c r="B988" t="s">
        <v>6333</v>
      </c>
      <c r="C988"/>
      <c r="D988"/>
      <c r="E988" t="s">
        <v>280</v>
      </c>
      <c r="F988" t="s">
        <v>6334</v>
      </c>
      <c r="G988"/>
      <c r="H988"/>
      <c r="I988" t="s">
        <v>6335</v>
      </c>
      <c r="J988" t="s">
        <v>6336</v>
      </c>
      <c r="K988" t="s">
        <v>284</v>
      </c>
      <c r="L988"/>
      <c r="M988"/>
      <c r="N988"/>
      <c r="O988" t="s">
        <v>2575</v>
      </c>
      <c r="P988" t="s">
        <v>2576</v>
      </c>
      <c r="Q988" t="s">
        <v>287</v>
      </c>
      <c r="R988" t="s">
        <v>4476</v>
      </c>
      <c r="S988"/>
      <c r="T988"/>
      <c r="U988"/>
      <c r="V988"/>
      <c r="W988"/>
      <c r="X988"/>
      <c r="Y988"/>
      <c r="Z988"/>
      <c r="AA988" t="s">
        <v>6337</v>
      </c>
      <c r="AB988" t="s">
        <v>6338</v>
      </c>
      <c r="AC988"/>
      <c r="AD988"/>
      <c r="AE988"/>
      <c r="AF988"/>
      <c r="AG988"/>
      <c r="AH988"/>
      <c r="AI988"/>
      <c r="AJ988"/>
      <c r="AK988"/>
      <c r="AL988"/>
      <c r="AM988"/>
      <c r="AN988"/>
      <c r="AO988" t="s">
        <v>289</v>
      </c>
      <c r="AP988"/>
      <c r="AQ988" t="s">
        <v>6339</v>
      </c>
      <c r="AR988"/>
      <c r="AS988"/>
      <c r="AT988"/>
      <c r="AU988">
        <v>2016</v>
      </c>
      <c r="AV988"/>
      <c r="AW988"/>
      <c r="AX988"/>
      <c r="AY988"/>
      <c r="AZ988"/>
      <c r="BA988"/>
      <c r="BB988">
        <v>277</v>
      </c>
      <c r="BC988">
        <v>286</v>
      </c>
      <c r="BD988"/>
      <c r="BE988"/>
      <c r="BF988"/>
      <c r="BG988"/>
      <c r="BH988"/>
      <c r="BI988"/>
      <c r="BJ988"/>
      <c r="BK988"/>
      <c r="BL988"/>
      <c r="BM988"/>
      <c r="BN988"/>
      <c r="BO988"/>
      <c r="BP988"/>
      <c r="BQ988"/>
      <c r="BR988"/>
      <c r="BS988" t="s">
        <v>6340</v>
      </c>
      <c r="BT988" t="str">
        <f>HYPERLINK("https%3A%2F%2Fwww.webofscience.com%2Fwos%2Fwoscc%2Ffull-record%2FWOS:000395727400036","View Full Record in Web of Science")</f>
        <v>View Full Record in Web of Science</v>
      </c>
    </row>
    <row r="989" spans="1:75" customHeight="1" ht="12.75">
      <c r="A989" t="s">
        <v>147</v>
      </c>
      <c r="B989" t="s">
        <v>6341</v>
      </c>
      <c r="C989"/>
      <c r="D989" t="s">
        <v>6342</v>
      </c>
      <c r="E989"/>
      <c r="F989" t="s">
        <v>6343</v>
      </c>
      <c r="G989"/>
      <c r="H989"/>
      <c r="I989" t="s">
        <v>6344</v>
      </c>
      <c r="J989" t="s">
        <v>6345</v>
      </c>
      <c r="K989" t="s">
        <v>253</v>
      </c>
      <c r="L989"/>
      <c r="M989"/>
      <c r="N989"/>
      <c r="O989" t="s">
        <v>6346</v>
      </c>
      <c r="P989" t="s">
        <v>6347</v>
      </c>
      <c r="Q989" t="s">
        <v>6348</v>
      </c>
      <c r="R989"/>
      <c r="S989" t="s">
        <v>6349</v>
      </c>
      <c r="T989"/>
      <c r="U989"/>
      <c r="V989"/>
      <c r="W989"/>
      <c r="X989"/>
      <c r="Y989"/>
      <c r="Z989"/>
      <c r="AA989" t="s">
        <v>6350</v>
      </c>
      <c r="AB989" t="s">
        <v>5141</v>
      </c>
      <c r="AC989"/>
      <c r="AD989"/>
      <c r="AE989"/>
      <c r="AF989"/>
      <c r="AG989"/>
      <c r="AH989"/>
      <c r="AI989"/>
      <c r="AJ989"/>
      <c r="AK989"/>
      <c r="AL989"/>
      <c r="AM989"/>
      <c r="AN989"/>
      <c r="AO989"/>
      <c r="AP989" t="s">
        <v>259</v>
      </c>
      <c r="AQ989"/>
      <c r="AR989"/>
      <c r="AS989"/>
      <c r="AT989"/>
      <c r="AU989">
        <v>2020</v>
      </c>
      <c r="AV989">
        <v>98</v>
      </c>
      <c r="AW989"/>
      <c r="AX989"/>
      <c r="AY989"/>
      <c r="AZ989"/>
      <c r="BA989"/>
      <c r="BB989">
        <v>344</v>
      </c>
      <c r="BC989">
        <v>358</v>
      </c>
      <c r="BD989"/>
      <c r="BE989" t="s">
        <v>6351</v>
      </c>
      <c r="BF989" t="str">
        <f>HYPERLINK("http://dx.doi.org/10.15405/epsbs.2020.12.03.36","http://dx.doi.org/10.15405/epsbs.2020.12.03.36")</f>
        <v>http://dx.doi.org/10.15405/epsbs.2020.12.03.36</v>
      </c>
      <c r="BG989"/>
      <c r="BH989"/>
      <c r="BI989"/>
      <c r="BJ989"/>
      <c r="BK989"/>
      <c r="BL989"/>
      <c r="BM989"/>
      <c r="BN989"/>
      <c r="BO989"/>
      <c r="BP989"/>
      <c r="BQ989"/>
      <c r="BR989"/>
      <c r="BS989" t="s">
        <v>6352</v>
      </c>
      <c r="BT989" t="str">
        <f>HYPERLINK("https%3A%2F%2Fwww.webofscience.com%2Fwos%2Fwoscc%2Ffull-record%2FWOS:000758194100036","View Full Record in Web of Science")</f>
        <v>View Full Record in Web of Science</v>
      </c>
    </row>
    <row r="990" spans="1:75" customHeight="1" ht="12.75">
      <c r="A990" t="s">
        <v>72</v>
      </c>
      <c r="B990" t="s">
        <v>6353</v>
      </c>
      <c r="C990"/>
      <c r="D990"/>
      <c r="E990"/>
      <c r="F990" t="s">
        <v>6354</v>
      </c>
      <c r="G990"/>
      <c r="H990"/>
      <c r="I990" t="s">
        <v>6355</v>
      </c>
      <c r="J990" t="s">
        <v>4849</v>
      </c>
      <c r="K990"/>
      <c r="L990"/>
      <c r="M990"/>
      <c r="N990"/>
      <c r="O990"/>
      <c r="P990"/>
      <c r="Q990"/>
      <c r="R990"/>
      <c r="S990"/>
      <c r="T990"/>
      <c r="U990"/>
      <c r="V990"/>
      <c r="W990"/>
      <c r="X990"/>
      <c r="Y990"/>
      <c r="Z990"/>
      <c r="AA990" t="s">
        <v>4850</v>
      </c>
      <c r="AB990" t="s">
        <v>4851</v>
      </c>
      <c r="AC990"/>
      <c r="AD990"/>
      <c r="AE990"/>
      <c r="AF990"/>
      <c r="AG990"/>
      <c r="AH990"/>
      <c r="AI990"/>
      <c r="AJ990"/>
      <c r="AK990"/>
      <c r="AL990"/>
      <c r="AM990"/>
      <c r="AN990"/>
      <c r="AO990" t="s">
        <v>4852</v>
      </c>
      <c r="AP990" t="s">
        <v>4853</v>
      </c>
      <c r="AQ990"/>
      <c r="AR990"/>
      <c r="AS990"/>
      <c r="AT990" t="s">
        <v>491</v>
      </c>
      <c r="AU990">
        <v>2023</v>
      </c>
      <c r="AV990">
        <v>101</v>
      </c>
      <c r="AW990">
        <v>6</v>
      </c>
      <c r="AX990"/>
      <c r="AY990"/>
      <c r="AZ990"/>
      <c r="BA990"/>
      <c r="BB990">
        <v>691</v>
      </c>
      <c r="BC990">
        <v>692</v>
      </c>
      <c r="BD990"/>
      <c r="BE990" t="s">
        <v>6356</v>
      </c>
      <c r="BF990" t="str">
        <f>HYPERLINK("http://dx.doi.org/10.1111/tan.14967","http://dx.doi.org/10.1111/tan.14967")</f>
        <v>http://dx.doi.org/10.1111/tan.14967</v>
      </c>
      <c r="BG990"/>
      <c r="BH990" t="s">
        <v>6093</v>
      </c>
      <c r="BI990"/>
      <c r="BJ990"/>
      <c r="BK990"/>
      <c r="BL990"/>
      <c r="BM990"/>
      <c r="BN990">
        <v>36617676</v>
      </c>
      <c r="BO990"/>
      <c r="BP990"/>
      <c r="BQ990"/>
      <c r="BR990"/>
      <c r="BS990" t="s">
        <v>6357</v>
      </c>
      <c r="BT990" t="str">
        <f>HYPERLINK("https%3A%2F%2Fwww.webofscience.com%2Fwos%2Fwoscc%2Ffull-record%2FWOS:000913829400001","View Full Record in Web of Science")</f>
        <v>View Full Record in Web of Science</v>
      </c>
    </row>
    <row r="991" spans="1:75" customHeight="1" ht="12.75">
      <c r="A991" t="s">
        <v>72</v>
      </c>
      <c r="B991" t="s">
        <v>6358</v>
      </c>
      <c r="C991"/>
      <c r="D991"/>
      <c r="E991"/>
      <c r="F991" t="s">
        <v>6358</v>
      </c>
      <c r="G991"/>
      <c r="H991"/>
      <c r="I991" t="s">
        <v>6359</v>
      </c>
      <c r="J991" t="s">
        <v>6308</v>
      </c>
      <c r="K991"/>
      <c r="L991"/>
      <c r="M991"/>
      <c r="N991"/>
      <c r="O991"/>
      <c r="P991"/>
      <c r="Q991"/>
      <c r="R991"/>
      <c r="S991"/>
      <c r="T991"/>
      <c r="U991"/>
      <c r="V991"/>
      <c r="W991"/>
      <c r="X991"/>
      <c r="Y991"/>
      <c r="Z991"/>
      <c r="AA991" t="s">
        <v>6360</v>
      </c>
      <c r="AB991" t="s">
        <v>6361</v>
      </c>
      <c r="AC991"/>
      <c r="AD991"/>
      <c r="AE991"/>
      <c r="AF991"/>
      <c r="AG991"/>
      <c r="AH991"/>
      <c r="AI991"/>
      <c r="AJ991"/>
      <c r="AK991"/>
      <c r="AL991"/>
      <c r="AM991"/>
      <c r="AN991"/>
      <c r="AO991" t="s">
        <v>6311</v>
      </c>
      <c r="AP991"/>
      <c r="AQ991"/>
      <c r="AR991"/>
      <c r="AS991"/>
      <c r="AT991" t="s">
        <v>403</v>
      </c>
      <c r="AU991">
        <v>1996</v>
      </c>
      <c r="AV991">
        <v>351</v>
      </c>
      <c r="AW991">
        <v>4</v>
      </c>
      <c r="AX991"/>
      <c r="AY991"/>
      <c r="AZ991"/>
      <c r="BA991"/>
      <c r="BB991">
        <v>565</v>
      </c>
      <c r="BC991">
        <v>566</v>
      </c>
      <c r="BD991"/>
      <c r="BE991"/>
      <c r="BF991"/>
      <c r="BG991"/>
      <c r="BH991"/>
      <c r="BI991"/>
      <c r="BJ991"/>
      <c r="BK991"/>
      <c r="BL991"/>
      <c r="BM991"/>
      <c r="BN991"/>
      <c r="BO991"/>
      <c r="BP991"/>
      <c r="BQ991"/>
      <c r="BR991"/>
      <c r="BS991" t="s">
        <v>6362</v>
      </c>
      <c r="BT991" t="str">
        <f>HYPERLINK("https%3A%2F%2Fwww.webofscience.com%2Fwos%2Fwoscc%2Ffull-record%2FWOS:A1996WM80200035","View Full Record in Web of Science")</f>
        <v>View Full Record in Web of Science</v>
      </c>
    </row>
    <row r="992" spans="1:75" customHeight="1" ht="12.75">
      <c r="A992" t="s">
        <v>72</v>
      </c>
      <c r="B992" t="s">
        <v>6363</v>
      </c>
      <c r="C992"/>
      <c r="D992"/>
      <c r="E992"/>
      <c r="F992" t="s">
        <v>6364</v>
      </c>
      <c r="G992"/>
      <c r="H992"/>
      <c r="I992" t="s">
        <v>6365</v>
      </c>
      <c r="J992" t="s">
        <v>2653</v>
      </c>
      <c r="K992"/>
      <c r="L992"/>
      <c r="M992"/>
      <c r="N992"/>
      <c r="O992"/>
      <c r="P992"/>
      <c r="Q992"/>
      <c r="R992"/>
      <c r="S992"/>
      <c r="T992"/>
      <c r="U992"/>
      <c r="V992"/>
      <c r="W992"/>
      <c r="X992"/>
      <c r="Y992"/>
      <c r="Z992"/>
      <c r="AA992" t="s">
        <v>6366</v>
      </c>
      <c r="AB992" t="s">
        <v>6367</v>
      </c>
      <c r="AC992"/>
      <c r="AD992"/>
      <c r="AE992"/>
      <c r="AF992"/>
      <c r="AG992"/>
      <c r="AH992"/>
      <c r="AI992"/>
      <c r="AJ992"/>
      <c r="AK992"/>
      <c r="AL992"/>
      <c r="AM992"/>
      <c r="AN992"/>
      <c r="AO992" t="s">
        <v>2656</v>
      </c>
      <c r="AP992" t="s">
        <v>2657</v>
      </c>
      <c r="AQ992"/>
      <c r="AR992"/>
      <c r="AS992"/>
      <c r="AT992"/>
      <c r="AU992">
        <v>2020</v>
      </c>
      <c r="AV992">
        <v>22</v>
      </c>
      <c r="AW992">
        <v>2</v>
      </c>
      <c r="AX992"/>
      <c r="AY992"/>
      <c r="AZ992"/>
      <c r="BA992"/>
      <c r="BB992">
        <v>288</v>
      </c>
      <c r="BC992">
        <v>300</v>
      </c>
      <c r="BD992"/>
      <c r="BE992" t="s">
        <v>6368</v>
      </c>
      <c r="BF992" t="str">
        <f>HYPERLINK("http://dx.doi.org/10.15826/izv2.2020.22.2.038","http://dx.doi.org/10.15826/izv2.2020.22.2.038")</f>
        <v>http://dx.doi.org/10.15826/izv2.2020.22.2.038</v>
      </c>
      <c r="BG992"/>
      <c r="BH992"/>
      <c r="BI992"/>
      <c r="BJ992"/>
      <c r="BK992"/>
      <c r="BL992"/>
      <c r="BM992"/>
      <c r="BN992"/>
      <c r="BO992"/>
      <c r="BP992"/>
      <c r="BQ992"/>
      <c r="BR992"/>
      <c r="BS992" t="s">
        <v>6369</v>
      </c>
      <c r="BT992" t="str">
        <f>HYPERLINK("https%3A%2F%2Fwww.webofscience.com%2Fwos%2Fwoscc%2Ffull-record%2FWOS:000545469200019","View Full Record in Web of Science")</f>
        <v>View Full Record in Web of Science</v>
      </c>
    </row>
    <row r="993" spans="1:75" customHeight="1" ht="12.75">
      <c r="A993" t="s">
        <v>72</v>
      </c>
      <c r="B993" t="s">
        <v>6370</v>
      </c>
      <c r="C993"/>
      <c r="D993"/>
      <c r="E993"/>
      <c r="F993" t="s">
        <v>6371</v>
      </c>
      <c r="G993"/>
      <c r="H993"/>
      <c r="I993" t="s">
        <v>6372</v>
      </c>
      <c r="J993" t="s">
        <v>6373</v>
      </c>
      <c r="K993"/>
      <c r="L993"/>
      <c r="M993"/>
      <c r="N993"/>
      <c r="O993"/>
      <c r="P993"/>
      <c r="Q993"/>
      <c r="R993"/>
      <c r="S993"/>
      <c r="T993"/>
      <c r="U993"/>
      <c r="V993"/>
      <c r="W993"/>
      <c r="X993"/>
      <c r="Y993"/>
      <c r="Z993"/>
      <c r="AA993"/>
      <c r="AB993"/>
      <c r="AC993"/>
      <c r="AD993"/>
      <c r="AE993"/>
      <c r="AF993"/>
      <c r="AG993"/>
      <c r="AH993"/>
      <c r="AI993"/>
      <c r="AJ993"/>
      <c r="AK993"/>
      <c r="AL993"/>
      <c r="AM993"/>
      <c r="AN993"/>
      <c r="AO993" t="s">
        <v>6374</v>
      </c>
      <c r="AP993"/>
      <c r="AQ993"/>
      <c r="AR993"/>
      <c r="AS993"/>
      <c r="AT993" t="s">
        <v>6375</v>
      </c>
      <c r="AU993">
        <v>2022</v>
      </c>
      <c r="AV993">
        <v>10</v>
      </c>
      <c r="AW993"/>
      <c r="AX993"/>
      <c r="AY993"/>
      <c r="AZ993"/>
      <c r="BA993"/>
      <c r="BB993"/>
      <c r="BC993"/>
      <c r="BD993">
        <v>943447</v>
      </c>
      <c r="BE993" t="s">
        <v>6376</v>
      </c>
      <c r="BF993" t="str">
        <f>HYPERLINK("http://dx.doi.org/10.3389/fenrg.2022.943447","http://dx.doi.org/10.3389/fenrg.2022.943447")</f>
        <v>http://dx.doi.org/10.3389/fenrg.2022.943447</v>
      </c>
      <c r="BG993"/>
      <c r="BH993"/>
      <c r="BI993"/>
      <c r="BJ993"/>
      <c r="BK993"/>
      <c r="BL993"/>
      <c r="BM993"/>
      <c r="BN993"/>
      <c r="BO993"/>
      <c r="BP993"/>
      <c r="BQ993"/>
      <c r="BR993"/>
      <c r="BS993" t="s">
        <v>6377</v>
      </c>
      <c r="BT993" t="str">
        <f>HYPERLINK("https%3A%2F%2Fwww.webofscience.com%2Fwos%2Fwoscc%2Ffull-record%2FWOS:000843654400001","View Full Record in Web of Science")</f>
        <v>View Full Record in Web of Science</v>
      </c>
    </row>
    <row r="994" spans="1:75" customHeight="1" ht="12.75">
      <c r="A994" t="s">
        <v>72</v>
      </c>
      <c r="B994" t="s">
        <v>378</v>
      </c>
      <c r="C994"/>
      <c r="D994"/>
      <c r="E994"/>
      <c r="F994" t="s">
        <v>2100</v>
      </c>
      <c r="G994"/>
      <c r="H994"/>
      <c r="I994" t="s">
        <v>6378</v>
      </c>
      <c r="J994" t="s">
        <v>6379</v>
      </c>
      <c r="K994"/>
      <c r="L994"/>
      <c r="M994"/>
      <c r="N994"/>
      <c r="O994"/>
      <c r="P994"/>
      <c r="Q994"/>
      <c r="R994"/>
      <c r="S994"/>
      <c r="T994"/>
      <c r="U994"/>
      <c r="V994"/>
      <c r="W994"/>
      <c r="X994"/>
      <c r="Y994"/>
      <c r="Z994"/>
      <c r="AA994" t="s">
        <v>553</v>
      </c>
      <c r="AB994" t="s">
        <v>554</v>
      </c>
      <c r="AC994"/>
      <c r="AD994"/>
      <c r="AE994"/>
      <c r="AF994"/>
      <c r="AG994"/>
      <c r="AH994"/>
      <c r="AI994"/>
      <c r="AJ994"/>
      <c r="AK994"/>
      <c r="AL994"/>
      <c r="AM994"/>
      <c r="AN994"/>
      <c r="AO994" t="s">
        <v>6380</v>
      </c>
      <c r="AP994" t="s">
        <v>6381</v>
      </c>
      <c r="AQ994"/>
      <c r="AR994"/>
      <c r="AS994"/>
      <c r="AT994" t="s">
        <v>541</v>
      </c>
      <c r="AU994">
        <v>2022</v>
      </c>
      <c r="AV994">
        <v>11</v>
      </c>
      <c r="AW994">
        <v>1</v>
      </c>
      <c r="AX994"/>
      <c r="AY994"/>
      <c r="AZ994"/>
      <c r="BA994"/>
      <c r="BB994"/>
      <c r="BC994"/>
      <c r="BD994">
        <v>23</v>
      </c>
      <c r="BE994" t="s">
        <v>6382</v>
      </c>
      <c r="BF994" t="str">
        <f>HYPERLINK("http://dx.doi.org/10.4103/jehp.jehp_413_21","http://dx.doi.org/10.4103/jehp.jehp_413_21")</f>
        <v>http://dx.doi.org/10.4103/jehp.jehp_413_21</v>
      </c>
      <c r="BG994"/>
      <c r="BH994"/>
      <c r="BI994"/>
      <c r="BJ994"/>
      <c r="BK994"/>
      <c r="BL994"/>
      <c r="BM994"/>
      <c r="BN994">
        <v>35281404</v>
      </c>
      <c r="BO994"/>
      <c r="BP994"/>
      <c r="BQ994"/>
      <c r="BR994"/>
      <c r="BS994" t="s">
        <v>6383</v>
      </c>
      <c r="BT994" t="str">
        <f>HYPERLINK("https%3A%2F%2Fwww.webofscience.com%2Fwos%2Fwoscc%2Ffull-record%2FWOS:000766948600023","View Full Record in Web of Science")</f>
        <v>View Full Record in Web of Science</v>
      </c>
    </row>
    <row r="995" spans="1:75" customHeight="1" ht="12.75">
      <c r="A995" t="s">
        <v>147</v>
      </c>
      <c r="B995" t="s">
        <v>6384</v>
      </c>
      <c r="C995"/>
      <c r="D995" t="s">
        <v>2517</v>
      </c>
      <c r="E995"/>
      <c r="F995" t="s">
        <v>6385</v>
      </c>
      <c r="G995"/>
      <c r="H995"/>
      <c r="I995" t="s">
        <v>6386</v>
      </c>
      <c r="J995" t="s">
        <v>6387</v>
      </c>
      <c r="K995" t="s">
        <v>2521</v>
      </c>
      <c r="L995"/>
      <c r="M995"/>
      <c r="N995"/>
      <c r="O995" t="s">
        <v>6388</v>
      </c>
      <c r="P995" t="s">
        <v>6389</v>
      </c>
      <c r="Q995" t="s">
        <v>2524</v>
      </c>
      <c r="R995" t="s">
        <v>6390</v>
      </c>
      <c r="S995"/>
      <c r="T995"/>
      <c r="U995"/>
      <c r="V995"/>
      <c r="W995"/>
      <c r="X995"/>
      <c r="Y995"/>
      <c r="Z995"/>
      <c r="AA995" t="s">
        <v>6391</v>
      </c>
      <c r="AB995" t="s">
        <v>6392</v>
      </c>
      <c r="AC995"/>
      <c r="AD995"/>
      <c r="AE995"/>
      <c r="AF995"/>
      <c r="AG995"/>
      <c r="AH995"/>
      <c r="AI995"/>
      <c r="AJ995"/>
      <c r="AK995"/>
      <c r="AL995"/>
      <c r="AM995"/>
      <c r="AN995"/>
      <c r="AO995" t="s">
        <v>2527</v>
      </c>
      <c r="AP995"/>
      <c r="AQ995"/>
      <c r="AR995"/>
      <c r="AS995"/>
      <c r="AT995"/>
      <c r="AU995">
        <v>2016</v>
      </c>
      <c r="AV995"/>
      <c r="AW995"/>
      <c r="AX995"/>
      <c r="AY995"/>
      <c r="AZ995"/>
      <c r="BA995"/>
      <c r="BB995">
        <v>1072</v>
      </c>
      <c r="BC995">
        <v>1076</v>
      </c>
      <c r="BD995"/>
      <c r="BE995"/>
      <c r="BF995"/>
      <c r="BG995"/>
      <c r="BH995"/>
      <c r="BI995"/>
      <c r="BJ995"/>
      <c r="BK995"/>
      <c r="BL995"/>
      <c r="BM995"/>
      <c r="BN995"/>
      <c r="BO995"/>
      <c r="BP995"/>
      <c r="BQ995"/>
      <c r="BR995"/>
      <c r="BS995" t="s">
        <v>6393</v>
      </c>
      <c r="BT995" t="str">
        <f>HYPERLINK("https%3A%2F%2Fwww.webofscience.com%2Fwos%2Fwoscc%2Ffull-record%2FWOS:000390059500167","View Full Record in Web of Science")</f>
        <v>View Full Record in Web of Science</v>
      </c>
    </row>
    <row r="996" spans="1:75" customHeight="1" ht="12.75">
      <c r="A996" t="s">
        <v>72</v>
      </c>
      <c r="B996" t="s">
        <v>6394</v>
      </c>
      <c r="C996"/>
      <c r="D996"/>
      <c r="E996"/>
      <c r="F996" t="s">
        <v>6395</v>
      </c>
      <c r="G996"/>
      <c r="H996"/>
      <c r="I996" t="s">
        <v>6396</v>
      </c>
      <c r="J996" t="s">
        <v>409</v>
      </c>
      <c r="K996"/>
      <c r="L996"/>
      <c r="M996"/>
      <c r="N996"/>
      <c r="O996"/>
      <c r="P996"/>
      <c r="Q996"/>
      <c r="R996"/>
      <c r="S996"/>
      <c r="T996"/>
      <c r="U996"/>
      <c r="V996"/>
      <c r="W996"/>
      <c r="X996"/>
      <c r="Y996"/>
      <c r="Z996"/>
      <c r="AA996" t="s">
        <v>6397</v>
      </c>
      <c r="AB996" t="s">
        <v>6398</v>
      </c>
      <c r="AC996"/>
      <c r="AD996"/>
      <c r="AE996"/>
      <c r="AF996"/>
      <c r="AG996"/>
      <c r="AH996"/>
      <c r="AI996"/>
      <c r="AJ996"/>
      <c r="AK996"/>
      <c r="AL996"/>
      <c r="AM996"/>
      <c r="AN996"/>
      <c r="AO996" t="s">
        <v>412</v>
      </c>
      <c r="AP996" t="s">
        <v>413</v>
      </c>
      <c r="AQ996"/>
      <c r="AR996"/>
      <c r="AS996"/>
      <c r="AT996" t="s">
        <v>655</v>
      </c>
      <c r="AU996">
        <v>2015</v>
      </c>
      <c r="AV996">
        <v>88</v>
      </c>
      <c r="AW996">
        <v>2</v>
      </c>
      <c r="AX996"/>
      <c r="AY996"/>
      <c r="AZ996"/>
      <c r="BA996"/>
      <c r="BB996">
        <v>208</v>
      </c>
      <c r="BC996">
        <v>215</v>
      </c>
      <c r="BD996"/>
      <c r="BE996" t="s">
        <v>6399</v>
      </c>
      <c r="BF996" t="str">
        <f>HYPERLINK("http://dx.doi.org/10.1134/S1070427215020044","http://dx.doi.org/10.1134/S1070427215020044")</f>
        <v>http://dx.doi.org/10.1134/S1070427215020044</v>
      </c>
      <c r="BG996"/>
      <c r="BH996"/>
      <c r="BI996"/>
      <c r="BJ996"/>
      <c r="BK996"/>
      <c r="BL996"/>
      <c r="BM996"/>
      <c r="BN996"/>
      <c r="BO996"/>
      <c r="BP996"/>
      <c r="BQ996"/>
      <c r="BR996"/>
      <c r="BS996" t="s">
        <v>6400</v>
      </c>
      <c r="BT996" t="str">
        <f>HYPERLINK("https%3A%2F%2Fwww.webofscience.com%2Fwos%2Fwoscc%2Ffull-record%2FWOS:000355184300004","View Full Record in Web of Science")</f>
        <v>View Full Record in Web of Science</v>
      </c>
    </row>
    <row r="997" spans="1:75" customHeight="1" ht="12.75">
      <c r="A997" t="s">
        <v>72</v>
      </c>
      <c r="B997" t="s">
        <v>6401</v>
      </c>
      <c r="C997"/>
      <c r="D997"/>
      <c r="E997"/>
      <c r="F997" t="s">
        <v>6402</v>
      </c>
      <c r="G997"/>
      <c r="H997"/>
      <c r="I997" t="s">
        <v>6403</v>
      </c>
      <c r="J997" t="s">
        <v>6404</v>
      </c>
      <c r="K997"/>
      <c r="L997"/>
      <c r="M997"/>
      <c r="N997"/>
      <c r="O997"/>
      <c r="P997"/>
      <c r="Q997"/>
      <c r="R997"/>
      <c r="S997"/>
      <c r="T997"/>
      <c r="U997"/>
      <c r="V997"/>
      <c r="W997"/>
      <c r="X997"/>
      <c r="Y997"/>
      <c r="Z997"/>
      <c r="AA997" t="s">
        <v>6405</v>
      </c>
      <c r="AB997" t="s">
        <v>6406</v>
      </c>
      <c r="AC997"/>
      <c r="AD997"/>
      <c r="AE997"/>
      <c r="AF997"/>
      <c r="AG997"/>
      <c r="AH997"/>
      <c r="AI997"/>
      <c r="AJ997"/>
      <c r="AK997"/>
      <c r="AL997"/>
      <c r="AM997"/>
      <c r="AN997"/>
      <c r="AO997" t="s">
        <v>6407</v>
      </c>
      <c r="AP997" t="s">
        <v>6408</v>
      </c>
      <c r="AQ997"/>
      <c r="AR997"/>
      <c r="AS997"/>
      <c r="AT997" t="s">
        <v>1167</v>
      </c>
      <c r="AU997">
        <v>2022</v>
      </c>
      <c r="AV997">
        <v>13</v>
      </c>
      <c r="AW997">
        <v>4</v>
      </c>
      <c r="AX997"/>
      <c r="AY997"/>
      <c r="AZ997"/>
      <c r="BA997"/>
      <c r="BB997">
        <v>684</v>
      </c>
      <c r="BC997">
        <v>694</v>
      </c>
      <c r="BD997"/>
      <c r="BE997" t="s">
        <v>6409</v>
      </c>
      <c r="BF997" t="str">
        <f>HYPERLINK("http://dx.doi.org/10.1111/ijag.16578","http://dx.doi.org/10.1111/ijag.16578")</f>
        <v>http://dx.doi.org/10.1111/ijag.16578</v>
      </c>
      <c r="BG997"/>
      <c r="BH997" t="s">
        <v>90</v>
      </c>
      <c r="BI997"/>
      <c r="BJ997"/>
      <c r="BK997"/>
      <c r="BL997"/>
      <c r="BM997"/>
      <c r="BN997"/>
      <c r="BO997"/>
      <c r="BP997"/>
      <c r="BQ997"/>
      <c r="BR997"/>
      <c r="BS997" t="s">
        <v>6410</v>
      </c>
      <c r="BT997" t="str">
        <f>HYPERLINK("https%3A%2F%2Fwww.webofscience.com%2Fwos%2Fwoscc%2Ffull-record%2FWOS:000780783500001","View Full Record in Web of Science")</f>
        <v>View Full Record in Web of Science</v>
      </c>
    </row>
    <row r="998" spans="1:75" customHeight="1" ht="12.75">
      <c r="A998" t="s">
        <v>147</v>
      </c>
      <c r="B998" t="s">
        <v>6411</v>
      </c>
      <c r="C998"/>
      <c r="D998" t="s">
        <v>1062</v>
      </c>
      <c r="E998"/>
      <c r="F998" t="s">
        <v>6412</v>
      </c>
      <c r="G998"/>
      <c r="H998"/>
      <c r="I998" t="s">
        <v>6413</v>
      </c>
      <c r="J998" t="s">
        <v>1065</v>
      </c>
      <c r="K998" t="s">
        <v>253</v>
      </c>
      <c r="L998"/>
      <c r="M998"/>
      <c r="N998"/>
      <c r="O998" t="s">
        <v>1066</v>
      </c>
      <c r="P998" t="s">
        <v>1067</v>
      </c>
      <c r="Q998" t="s">
        <v>1068</v>
      </c>
      <c r="R998" t="s">
        <v>1069</v>
      </c>
      <c r="S998" t="s">
        <v>1070</v>
      </c>
      <c r="T998"/>
      <c r="U998"/>
      <c r="V998"/>
      <c r="W998"/>
      <c r="X998"/>
      <c r="Y998"/>
      <c r="Z998"/>
      <c r="AA998"/>
      <c r="AB998"/>
      <c r="AC998"/>
      <c r="AD998"/>
      <c r="AE998"/>
      <c r="AF998"/>
      <c r="AG998"/>
      <c r="AH998"/>
      <c r="AI998"/>
      <c r="AJ998"/>
      <c r="AK998"/>
      <c r="AL998"/>
      <c r="AM998"/>
      <c r="AN998"/>
      <c r="AO998"/>
      <c r="AP998" t="s">
        <v>259</v>
      </c>
      <c r="AQ998" t="s">
        <v>1071</v>
      </c>
      <c r="AR998"/>
      <c r="AS998"/>
      <c r="AT998"/>
      <c r="AU998">
        <v>2021</v>
      </c>
      <c r="AV998">
        <v>114</v>
      </c>
      <c r="AW998"/>
      <c r="AX998"/>
      <c r="AY998"/>
      <c r="AZ998"/>
      <c r="BA998"/>
      <c r="BB998">
        <v>366</v>
      </c>
      <c r="BC998">
        <v>372</v>
      </c>
      <c r="BD998"/>
      <c r="BE998" t="s">
        <v>6414</v>
      </c>
      <c r="BF998" t="str">
        <f>HYPERLINK("http://dx.doi.org/10.15405/epsbs.2021.07.02.43","http://dx.doi.org/10.15405/epsbs.2021.07.02.43")</f>
        <v>http://dx.doi.org/10.15405/epsbs.2021.07.02.43</v>
      </c>
      <c r="BG998"/>
      <c r="BH998"/>
      <c r="BI998"/>
      <c r="BJ998"/>
      <c r="BK998"/>
      <c r="BL998"/>
      <c r="BM998"/>
      <c r="BN998"/>
      <c r="BO998"/>
      <c r="BP998"/>
      <c r="BQ998"/>
      <c r="BR998"/>
      <c r="BS998" t="s">
        <v>6415</v>
      </c>
      <c r="BT998" t="str">
        <f>HYPERLINK("https%3A%2F%2Fwww.webofscience.com%2Fwos%2Fwoscc%2Ffull-record%2FWOS:000771919100043","View Full Record in Web of Science")</f>
        <v>View Full Record in Web of Science</v>
      </c>
    </row>
    <row r="999" spans="1:75" customHeight="1" ht="12.75">
      <c r="A999" t="s">
        <v>72</v>
      </c>
      <c r="B999" t="s">
        <v>6416</v>
      </c>
      <c r="C999"/>
      <c r="D999"/>
      <c r="E999"/>
      <c r="F999" t="s">
        <v>6417</v>
      </c>
      <c r="G999"/>
      <c r="H999"/>
      <c r="I999" t="s">
        <v>6418</v>
      </c>
      <c r="J999" t="s">
        <v>6419</v>
      </c>
      <c r="K999"/>
      <c r="L999"/>
      <c r="M999"/>
      <c r="N999"/>
      <c r="O999"/>
      <c r="P999"/>
      <c r="Q999"/>
      <c r="R999"/>
      <c r="S999"/>
      <c r="T999"/>
      <c r="U999"/>
      <c r="V999"/>
      <c r="W999"/>
      <c r="X999"/>
      <c r="Y999"/>
      <c r="Z999"/>
      <c r="AA999" t="s">
        <v>6420</v>
      </c>
      <c r="AB999" t="s">
        <v>6421</v>
      </c>
      <c r="AC999"/>
      <c r="AD999"/>
      <c r="AE999"/>
      <c r="AF999"/>
      <c r="AG999"/>
      <c r="AH999"/>
      <c r="AI999"/>
      <c r="AJ999"/>
      <c r="AK999"/>
      <c r="AL999"/>
      <c r="AM999"/>
      <c r="AN999"/>
      <c r="AO999" t="s">
        <v>6422</v>
      </c>
      <c r="AP999" t="s">
        <v>6423</v>
      </c>
      <c r="AQ999"/>
      <c r="AR999"/>
      <c r="AS999"/>
      <c r="AT999" t="s">
        <v>403</v>
      </c>
      <c r="AU999">
        <v>2012</v>
      </c>
      <c r="AV999">
        <v>38</v>
      </c>
      <c r="AW999">
        <v>7</v>
      </c>
      <c r="AX999"/>
      <c r="AY999"/>
      <c r="AZ999"/>
      <c r="BA999"/>
      <c r="BB999">
        <v>697</v>
      </c>
      <c r="BC999">
        <v>701</v>
      </c>
      <c r="BD999"/>
      <c r="BE999" t="s">
        <v>6424</v>
      </c>
      <c r="BF999" t="str">
        <f>HYPERLINK("http://dx.doi.org/10.1134/S1068162012070230","http://dx.doi.org/10.1134/S1068162012070230")</f>
        <v>http://dx.doi.org/10.1134/S1068162012070230</v>
      </c>
      <c r="BG999"/>
      <c r="BH999"/>
      <c r="BI999"/>
      <c r="BJ999"/>
      <c r="BK999"/>
      <c r="BL999"/>
      <c r="BM999"/>
      <c r="BN999"/>
      <c r="BO999"/>
      <c r="BP999"/>
      <c r="BQ999"/>
      <c r="BR999"/>
      <c r="BS999" t="s">
        <v>6425</v>
      </c>
      <c r="BT999" t="str">
        <f>HYPERLINK("https%3A%2F%2Fwww.webofscience.com%2Fwos%2Fwoscc%2Ffull-record%2FWOS:000312062700003","View Full Record in Web of Science")</f>
        <v>View Full Record in Web of Science</v>
      </c>
    </row>
    <row r="1000" spans="1:75" customHeight="1" ht="12.75">
      <c r="A1000" t="s">
        <v>72</v>
      </c>
      <c r="B1000" t="s">
        <v>6426</v>
      </c>
      <c r="C1000"/>
      <c r="D1000"/>
      <c r="E1000"/>
      <c r="F1000" t="s">
        <v>6427</v>
      </c>
      <c r="G1000"/>
      <c r="H1000"/>
      <c r="I1000" t="s">
        <v>6428</v>
      </c>
      <c r="J1000" t="s">
        <v>4849</v>
      </c>
      <c r="K1000"/>
      <c r="L1000"/>
      <c r="M1000"/>
      <c r="N1000"/>
      <c r="O1000"/>
      <c r="P1000"/>
      <c r="Q1000"/>
      <c r="R1000"/>
      <c r="S1000"/>
      <c r="T1000"/>
      <c r="U1000"/>
      <c r="V1000"/>
      <c r="W1000"/>
      <c r="X1000"/>
      <c r="Y1000"/>
      <c r="Z1000"/>
      <c r="AA1000" t="s">
        <v>4850</v>
      </c>
      <c r="AB1000" t="s">
        <v>4851</v>
      </c>
      <c r="AC1000"/>
      <c r="AD1000"/>
      <c r="AE1000"/>
      <c r="AF1000"/>
      <c r="AG1000"/>
      <c r="AH1000"/>
      <c r="AI1000"/>
      <c r="AJ1000"/>
      <c r="AK1000"/>
      <c r="AL1000"/>
      <c r="AM1000"/>
      <c r="AN1000"/>
      <c r="AO1000" t="s">
        <v>4852</v>
      </c>
      <c r="AP1000" t="s">
        <v>4853</v>
      </c>
      <c r="AQ1000"/>
      <c r="AR1000"/>
      <c r="AS1000"/>
      <c r="AT1000" t="s">
        <v>1173</v>
      </c>
      <c r="AU1000">
        <v>2022</v>
      </c>
      <c r="AV1000">
        <v>100</v>
      </c>
      <c r="AW1000">
        <v>2</v>
      </c>
      <c r="AX1000"/>
      <c r="AY1000"/>
      <c r="AZ1000"/>
      <c r="BA1000"/>
      <c r="BB1000">
        <v>174</v>
      </c>
      <c r="BC1000">
        <v>176</v>
      </c>
      <c r="BD1000"/>
      <c r="BE1000" t="s">
        <v>6429</v>
      </c>
      <c r="BF1000" t="str">
        <f>HYPERLINK("http://dx.doi.org/10.1111/tan.14639","http://dx.doi.org/10.1111/tan.14639")</f>
        <v>http://dx.doi.org/10.1111/tan.14639</v>
      </c>
      <c r="BG1000"/>
      <c r="BH1000" t="s">
        <v>2052</v>
      </c>
      <c r="BI1000"/>
      <c r="BJ1000"/>
      <c r="BK1000"/>
      <c r="BL1000"/>
      <c r="BM1000"/>
      <c r="BN1000">
        <v>35437912</v>
      </c>
      <c r="BO1000"/>
      <c r="BP1000"/>
      <c r="BQ1000"/>
      <c r="BR1000"/>
      <c r="BS1000" t="s">
        <v>6430</v>
      </c>
      <c r="BT1000" t="str">
        <f>HYPERLINK("https%3A%2F%2Fwww.webofscience.com%2Fwos%2Fwoscc%2Ffull-record%2FWOS:000785894900001","View Full Record in Web of Science")</f>
        <v>View Full Record in Web of Science</v>
      </c>
    </row>
    <row r="1001" spans="1:75" customHeight="1" ht="12.75">
      <c r="A1001" t="s">
        <v>72</v>
      </c>
      <c r="B1001" t="s">
        <v>6431</v>
      </c>
      <c r="C1001"/>
      <c r="D1001"/>
      <c r="E1001"/>
      <c r="F1001" t="s">
        <v>6432</v>
      </c>
      <c r="G1001"/>
      <c r="H1001"/>
      <c r="I1001" t="s">
        <v>6433</v>
      </c>
      <c r="J1001" t="s">
        <v>166</v>
      </c>
      <c r="K1001"/>
      <c r="L1001"/>
      <c r="M1001"/>
      <c r="N1001"/>
      <c r="O1001"/>
      <c r="P1001"/>
      <c r="Q1001"/>
      <c r="R1001"/>
      <c r="S1001"/>
      <c r="T1001"/>
      <c r="U1001"/>
      <c r="V1001"/>
      <c r="W1001"/>
      <c r="X1001"/>
      <c r="Y1001"/>
      <c r="Z1001"/>
      <c r="AA1001"/>
      <c r="AB1001" t="s">
        <v>6434</v>
      </c>
      <c r="AC1001"/>
      <c r="AD1001"/>
      <c r="AE1001"/>
      <c r="AF1001"/>
      <c r="AG1001"/>
      <c r="AH1001"/>
      <c r="AI1001"/>
      <c r="AJ1001"/>
      <c r="AK1001"/>
      <c r="AL1001"/>
      <c r="AM1001"/>
      <c r="AN1001"/>
      <c r="AO1001" t="s">
        <v>169</v>
      </c>
      <c r="AP1001" t="s">
        <v>170</v>
      </c>
      <c r="AQ1001"/>
      <c r="AR1001"/>
      <c r="AS1001"/>
      <c r="AT1001" t="s">
        <v>491</v>
      </c>
      <c r="AU1001">
        <v>2021</v>
      </c>
      <c r="AV1001">
        <v>10</v>
      </c>
      <c r="AW1001">
        <v>2</v>
      </c>
      <c r="AX1001"/>
      <c r="AY1001"/>
      <c r="AZ1001"/>
      <c r="BA1001"/>
      <c r="BB1001">
        <v>358</v>
      </c>
      <c r="BC1001">
        <v>374</v>
      </c>
      <c r="BD1001"/>
      <c r="BE1001" t="s">
        <v>6435</v>
      </c>
      <c r="BF1001" t="str">
        <f>HYPERLINK("http://dx.doi.org/10.13187/ejced.2021.2.358","http://dx.doi.org/10.13187/ejced.2021.2.358")</f>
        <v>http://dx.doi.org/10.13187/ejced.2021.2.358</v>
      </c>
      <c r="BG1001"/>
      <c r="BH1001"/>
      <c r="BI1001"/>
      <c r="BJ1001"/>
      <c r="BK1001"/>
      <c r="BL1001"/>
      <c r="BM1001"/>
      <c r="BN1001"/>
      <c r="BO1001"/>
      <c r="BP1001"/>
      <c r="BQ1001"/>
      <c r="BR1001"/>
      <c r="BS1001" t="s">
        <v>6436</v>
      </c>
      <c r="BT1001" t="str">
        <f>HYPERLINK("https%3A%2F%2Fwww.webofscience.com%2Fwos%2Fwoscc%2Ffull-record%2FWOS:000669658200007","View Full Record in Web of Science")</f>
        <v>View Full Record in Web of Science</v>
      </c>
    </row>
    <row r="1002" spans="1:75" customHeight="1" ht="12.75" s="2" customFormat="1">
      <c r="A1002" s="1" t="s">
        <v>72</v>
      </c>
      <c r="B1002" s="1" t="s">
        <v>6437</v>
      </c>
      <c r="C1002" s="1"/>
      <c r="D1002" s="1"/>
      <c r="E1002" s="1"/>
      <c r="F1002" s="1" t="s">
        <v>6438</v>
      </c>
      <c r="G1002" s="1"/>
      <c r="H1002" s="1"/>
      <c r="I1002" s="1" t="s">
        <v>6439</v>
      </c>
      <c r="J1002" s="1" t="s">
        <v>409</v>
      </c>
      <c r="K1002" s="1"/>
      <c r="L1002" s="1"/>
      <c r="M1002" s="1"/>
      <c r="N1002" s="1"/>
      <c r="O1002" s="1"/>
      <c r="P1002" s="1"/>
      <c r="Q1002" s="1"/>
      <c r="R1002" s="1"/>
      <c r="S1002" s="1"/>
      <c r="T1002" s="1"/>
      <c r="U1002" s="1"/>
      <c r="V1002" s="1"/>
      <c r="W1002" s="1"/>
      <c r="X1002" s="1"/>
      <c r="Y1002" s="1"/>
      <c r="Z1002" s="1"/>
      <c r="AA1002" s="1" t="s">
        <v>6440</v>
      </c>
      <c r="AB1002" s="1" t="s">
        <v>6441</v>
      </c>
      <c r="AC1002" s="1"/>
      <c r="AD1002" s="1"/>
      <c r="AE1002" s="1"/>
      <c r="AF1002" s="1"/>
      <c r="AG1002" s="1"/>
      <c r="AH1002" s="1"/>
      <c r="AI1002" s="1"/>
      <c r="AJ1002" s="1"/>
      <c r="AK1002" s="1"/>
      <c r="AL1002" s="1"/>
      <c r="AM1002" s="1"/>
      <c r="AN1002" s="1"/>
      <c r="AO1002" s="1" t="s">
        <v>412</v>
      </c>
      <c r="AP1002" s="1" t="s">
        <v>413</v>
      </c>
      <c r="AQ1002" s="1"/>
      <c r="AR1002" s="1"/>
      <c r="AS1002" s="1"/>
      <c r="AT1002" s="1" t="s">
        <v>171</v>
      </c>
      <c r="AU1002" s="1">
        <v>2021</v>
      </c>
      <c r="AV1002" s="1">
        <v>94</v>
      </c>
      <c r="AW1002" s="1">
        <v>3</v>
      </c>
      <c r="AX1002" s="1"/>
      <c r="AY1002" s="1"/>
      <c r="AZ1002" s="1"/>
      <c r="BA1002" s="1"/>
      <c r="BB1002" s="1">
        <v>323</v>
      </c>
      <c r="BC1002" s="1">
        <v>329</v>
      </c>
      <c r="BD1002" s="1"/>
      <c r="BE1002" s="1" t="s">
        <v>6442</v>
      </c>
      <c r="BF1002" s="1" t="str">
        <f>HYPERLINK("http://dx.doi.org/10.1134/S1070427221030083","http://dx.doi.org/10.1134/S1070427221030083")</f>
        <v>http://dx.doi.org/10.1134/S1070427221030083</v>
      </c>
      <c r="BG1002" s="1"/>
      <c r="BH1002" s="1"/>
      <c r="BI1002" s="1"/>
      <c r="BJ1002" s="1"/>
      <c r="BK1002" s="1"/>
      <c r="BL1002" s="1"/>
      <c r="BM1002" s="1"/>
      <c r="BN1002" s="1"/>
      <c r="BO1002" s="1"/>
      <c r="BP1002" s="1"/>
      <c r="BQ1002" s="1"/>
      <c r="BR1002" s="1"/>
      <c r="BS1002" s="1" t="s">
        <v>6443</v>
      </c>
      <c r="BT1002" s="1" t="str">
        <f>HYPERLINK("https%3A%2F%2Fwww.webofscience.com%2Fwos%2Fwoscc%2Ffull-record%2FWOS:000653905200008","View Full Record in Web of Science")</f>
        <v>View Full Record in Web of Science</v>
      </c>
      <c r="BU1002" s="1"/>
      <c r="BV1002" s="1"/>
      <c r="BW1002" s="1"/>
    </row>
    <row r="1003" spans="1:75" customHeight="1" ht="12.75">
      <c r="A1003" s="1" t="s">
        <v>147</v>
      </c>
      <c r="B1003" s="1" t="s">
        <v>6444</v>
      </c>
      <c r="C1003" s="1"/>
      <c r="D1003" s="1"/>
      <c r="E1003" s="1" t="s">
        <v>1465</v>
      </c>
      <c r="F1003" s="1" t="s">
        <v>6445</v>
      </c>
      <c r="G1003" s="1"/>
      <c r="H1003" s="1"/>
      <c r="I1003" s="1" t="s">
        <v>6446</v>
      </c>
      <c r="J1003" s="1" t="s">
        <v>1468</v>
      </c>
      <c r="K1003" s="1" t="s">
        <v>1469</v>
      </c>
      <c r="L1003" s="1"/>
      <c r="M1003" s="1"/>
      <c r="N1003" s="1"/>
      <c r="O1003" s="1" t="s">
        <v>1277</v>
      </c>
      <c r="P1003" s="1" t="s">
        <v>771</v>
      </c>
      <c r="Q1003" s="1" t="s">
        <v>1470</v>
      </c>
      <c r="R1003" s="1" t="s">
        <v>1471</v>
      </c>
      <c r="S1003" s="1"/>
      <c r="T1003" s="1"/>
      <c r="U1003" s="1"/>
      <c r="V1003" s="1"/>
      <c r="W1003" s="1"/>
      <c r="X1003" s="1"/>
      <c r="Y1003" s="1"/>
      <c r="Z1003" s="1"/>
      <c r="AA1003" s="1" t="s">
        <v>6447</v>
      </c>
      <c r="AB1003" s="1" t="s">
        <v>1533</v>
      </c>
      <c r="AC1003" s="1"/>
      <c r="AD1003" s="1"/>
      <c r="AE1003" s="1"/>
      <c r="AF1003" s="1"/>
      <c r="AG1003" s="1"/>
      <c r="AH1003" s="1"/>
      <c r="AI1003" s="1"/>
      <c r="AJ1003" s="1"/>
      <c r="AK1003" s="1"/>
      <c r="AL1003" s="1"/>
      <c r="AM1003" s="1"/>
      <c r="AN1003" s="1"/>
      <c r="AO1003" s="1" t="s">
        <v>1472</v>
      </c>
      <c r="AP1003" s="1"/>
      <c r="AQ1003" s="1"/>
      <c r="AR1003" s="1"/>
      <c r="AS1003" s="1"/>
      <c r="AT1003" s="1"/>
      <c r="AU1003" s="1">
        <v>2020</v>
      </c>
      <c r="AV1003" s="1">
        <v>971</v>
      </c>
      <c r="AW1003" s="1"/>
      <c r="AX1003" s="1"/>
      <c r="AY1003" s="1"/>
      <c r="AZ1003" s="1"/>
      <c r="BA1003" s="1"/>
      <c r="BB1003" s="1"/>
      <c r="BC1003" s="1"/>
      <c r="BD1003" s="1">
        <v>32059</v>
      </c>
      <c r="BE1003" s="1" t="s">
        <v>6448</v>
      </c>
      <c r="BF1003" s="1" t="str">
        <f>HYPERLINK("http://dx.doi.org/10.1088/1757-899X/971/3/032059","http://dx.doi.org/10.1088/1757-899X/971/3/032059")</f>
        <v>http://dx.doi.org/10.1088/1757-899X/971/3/032059</v>
      </c>
      <c r="BG1003" s="1"/>
      <c r="BH1003" s="1"/>
      <c r="BI1003" s="1"/>
      <c r="BJ1003" s="1"/>
      <c r="BK1003" s="1"/>
      <c r="BL1003" s="1"/>
      <c r="BM1003" s="1"/>
      <c r="BN1003" s="1"/>
      <c r="BO1003" s="1"/>
      <c r="BP1003" s="1"/>
      <c r="BQ1003" s="1"/>
      <c r="BR1003" s="1"/>
      <c r="BS1003" s="1" t="s">
        <v>6449</v>
      </c>
      <c r="BT1003" s="1" t="str">
        <f>HYPERLINK("https%3A%2F%2Fwww.webofscience.com%2Fwos%2Fwoscc%2Ffull-record%2FWOS:000646359100160","View Full Record in Web of Science")</f>
        <v>View Full Record in Web of Science</v>
      </c>
      <c r="BU1003" s="1"/>
      <c r="BV1003" s="1"/>
      <c r="BW1003" s="1"/>
    </row>
    <row r="1004" spans="1:75" customHeight="1" ht="12.75">
      <c r="A1004" s="1" t="s">
        <v>72</v>
      </c>
      <c r="B1004" s="1" t="s">
        <v>6272</v>
      </c>
      <c r="C1004" s="1"/>
      <c r="D1004" s="1"/>
      <c r="E1004" s="1"/>
      <c r="F1004" s="1" t="s">
        <v>6273</v>
      </c>
      <c r="G1004" s="1"/>
      <c r="H1004" s="1"/>
      <c r="I1004" s="1" t="s">
        <v>6450</v>
      </c>
      <c r="J1004" s="1" t="s">
        <v>4849</v>
      </c>
      <c r="K1004" s="1"/>
      <c r="L1004" s="1"/>
      <c r="M1004" s="1"/>
      <c r="N1004" s="1"/>
      <c r="O1004" s="1"/>
      <c r="P1004" s="1"/>
      <c r="Q1004" s="1"/>
      <c r="R1004" s="1"/>
      <c r="S1004" s="1"/>
      <c r="T1004" s="1"/>
      <c r="U1004" s="1"/>
      <c r="V1004" s="1"/>
      <c r="W1004" s="1"/>
      <c r="X1004" s="1"/>
      <c r="Y1004" s="1"/>
      <c r="Z1004" s="1"/>
      <c r="AA1004" s="1" t="s">
        <v>4850</v>
      </c>
      <c r="AB1004" s="1" t="s">
        <v>4851</v>
      </c>
      <c r="AC1004" s="1"/>
      <c r="AD1004" s="1"/>
      <c r="AE1004" s="1"/>
      <c r="AF1004" s="1"/>
      <c r="AG1004" s="1"/>
      <c r="AH1004" s="1"/>
      <c r="AI1004" s="1"/>
      <c r="AJ1004" s="1"/>
      <c r="AK1004" s="1"/>
      <c r="AL1004" s="1"/>
      <c r="AM1004" s="1"/>
      <c r="AN1004" s="1"/>
      <c r="AO1004" s="1" t="s">
        <v>4852</v>
      </c>
      <c r="AP1004" s="1" t="s">
        <v>4853</v>
      </c>
      <c r="AQ1004" s="1"/>
      <c r="AR1004" s="1"/>
      <c r="AS1004" s="1"/>
      <c r="AT1004" s="1" t="s">
        <v>491</v>
      </c>
      <c r="AU1004" s="1">
        <v>2023</v>
      </c>
      <c r="AV1004" s="1">
        <v>101</v>
      </c>
      <c r="AW1004" s="1">
        <v>6</v>
      </c>
      <c r="AX1004" s="1"/>
      <c r="AY1004" s="1"/>
      <c r="AZ1004" s="1"/>
      <c r="BA1004" s="1"/>
      <c r="BB1004" s="1">
        <v>708</v>
      </c>
      <c r="BC1004" s="1">
        <v>709</v>
      </c>
      <c r="BD1004" s="1"/>
      <c r="BE1004" s="1" t="s">
        <v>6451</v>
      </c>
      <c r="BF1004" s="1" t="str">
        <f>HYPERLINK("http://dx.doi.org/10.1111/tan.14968","http://dx.doi.org/10.1111/tan.14968")</f>
        <v>http://dx.doi.org/10.1111/tan.14968</v>
      </c>
      <c r="BG1004" s="1"/>
      <c r="BH1004" s="1" t="s">
        <v>6093</v>
      </c>
      <c r="BI1004" s="1"/>
      <c r="BJ1004" s="1"/>
      <c r="BK1004" s="1"/>
      <c r="BL1004" s="1"/>
      <c r="BM1004" s="1"/>
      <c r="BN1004" s="1">
        <v>36617701</v>
      </c>
      <c r="BO1004" s="1"/>
      <c r="BP1004" s="1"/>
      <c r="BQ1004" s="1"/>
      <c r="BR1004" s="1"/>
      <c r="BS1004" s="1" t="s">
        <v>6452</v>
      </c>
      <c r="BT1004" s="1" t="str">
        <f>HYPERLINK("https%3A%2F%2Fwww.webofscience.com%2Fwos%2Fwoscc%2Ffull-record%2FWOS:000914027400001","View Full Record in Web of Science")</f>
        <v>View Full Record in Web of Science</v>
      </c>
      <c r="BU1004" s="1"/>
      <c r="BV1004" s="1"/>
      <c r="BW1004" s="1"/>
    </row>
    <row r="1005" spans="1:75" customHeight="1" ht="12.75">
      <c r="A1005" s="1" t="s">
        <v>72</v>
      </c>
      <c r="B1005" s="1" t="s">
        <v>6453</v>
      </c>
      <c r="C1005" s="1"/>
      <c r="D1005" s="1"/>
      <c r="E1005" s="1"/>
      <c r="F1005" s="1" t="s">
        <v>6454</v>
      </c>
      <c r="G1005" s="1"/>
      <c r="H1005" s="1"/>
      <c r="I1005" s="1" t="s">
        <v>6455</v>
      </c>
      <c r="J1005" s="1" t="s">
        <v>95</v>
      </c>
      <c r="K1005" s="1"/>
      <c r="L1005" s="1"/>
      <c r="M1005" s="1"/>
      <c r="N1005" s="1"/>
      <c r="O1005" s="1"/>
      <c r="P1005" s="1"/>
      <c r="Q1005" s="1"/>
      <c r="R1005" s="1"/>
      <c r="S1005" s="1"/>
      <c r="T1005" s="1"/>
      <c r="U1005" s="1"/>
      <c r="V1005" s="1"/>
      <c r="W1005" s="1"/>
      <c r="X1005" s="1"/>
      <c r="Y1005" s="1"/>
      <c r="Z1005" s="1"/>
      <c r="AA1005" s="1" t="s">
        <v>6456</v>
      </c>
      <c r="AB1005" s="1" t="s">
        <v>6457</v>
      </c>
      <c r="AC1005" s="1"/>
      <c r="AD1005" s="1"/>
      <c r="AE1005" s="1"/>
      <c r="AF1005" s="1"/>
      <c r="AG1005" s="1"/>
      <c r="AH1005" s="1"/>
      <c r="AI1005" s="1"/>
      <c r="AJ1005" s="1"/>
      <c r="AK1005" s="1"/>
      <c r="AL1005" s="1"/>
      <c r="AM1005" s="1"/>
      <c r="AN1005" s="1"/>
      <c r="AO1005" s="1" t="s">
        <v>98</v>
      </c>
      <c r="AP1005" s="1" t="s">
        <v>99</v>
      </c>
      <c r="AQ1005" s="1"/>
      <c r="AR1005" s="1"/>
      <c r="AS1005" s="1"/>
      <c r="AT1005" s="1"/>
      <c r="AU1005" s="1">
        <v>2020</v>
      </c>
      <c r="AV1005" s="1"/>
      <c r="AW1005" s="1">
        <v>1</v>
      </c>
      <c r="AX1005" s="1"/>
      <c r="AY1005" s="1"/>
      <c r="AZ1005" s="1"/>
      <c r="BA1005" s="1"/>
      <c r="BB1005" s="1">
        <v>136</v>
      </c>
      <c r="BC1005" s="1">
        <v>143</v>
      </c>
      <c r="BD1005" s="1"/>
      <c r="BE1005" s="1" t="s">
        <v>6458</v>
      </c>
      <c r="BF1005" s="1" t="str">
        <f>HYPERLINK("http://dx.doi.org/10.25750/1995-4301-2020-1-136-143","http://dx.doi.org/10.25750/1995-4301-2020-1-136-143")</f>
        <v>http://dx.doi.org/10.25750/1995-4301-2020-1-136-143</v>
      </c>
      <c r="BG1005" s="1"/>
      <c r="BH1005" s="1"/>
      <c r="BI1005" s="1"/>
      <c r="BJ1005" s="1"/>
      <c r="BK1005" s="1"/>
      <c r="BL1005" s="1"/>
      <c r="BM1005" s="1"/>
      <c r="BN1005" s="1"/>
      <c r="BO1005" s="1"/>
      <c r="BP1005" s="1"/>
      <c r="BQ1005" s="1"/>
      <c r="BR1005" s="1"/>
      <c r="BS1005" s="1" t="s">
        <v>6459</v>
      </c>
      <c r="BT1005" s="1" t="str">
        <f>HYPERLINK("https%3A%2F%2Fwww.webofscience.com%2Fwos%2Fwoscc%2Ffull-record%2FWOS:000522789400020","View Full Record in Web of Science")</f>
        <v>View Full Record in Web of Science</v>
      </c>
      <c r="BU1005" s="1"/>
      <c r="BV1005" s="1"/>
      <c r="BW1005" s="1"/>
    </row>
    <row r="1006" spans="1:75" customHeight="1" ht="12.75">
      <c r="A1006" s="1" t="s">
        <v>72</v>
      </c>
      <c r="B1006" s="1" t="s">
        <v>6460</v>
      </c>
      <c r="C1006" s="1"/>
      <c r="D1006" s="1"/>
      <c r="E1006" s="1"/>
      <c r="F1006" s="1" t="s">
        <v>6461</v>
      </c>
      <c r="G1006" s="1"/>
      <c r="H1006" s="1"/>
      <c r="I1006" s="1" t="s">
        <v>6462</v>
      </c>
      <c r="J1006" s="1" t="s">
        <v>6463</v>
      </c>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t="s">
        <v>6464</v>
      </c>
      <c r="AP1006" s="1"/>
      <c r="AQ1006" s="1"/>
      <c r="AR1006" s="1"/>
      <c r="AS1006" s="1"/>
      <c r="AT1006" s="1"/>
      <c r="AU1006" s="1">
        <v>2023</v>
      </c>
      <c r="AV1006" s="1">
        <v>67</v>
      </c>
      <c r="AW1006" s="1"/>
      <c r="AX1006" s="1"/>
      <c r="AY1006" s="1"/>
      <c r="AZ1006" s="1"/>
      <c r="BA1006" s="1"/>
      <c r="BB1006" s="1">
        <v>277</v>
      </c>
      <c r="BC1006" s="1">
        <v>292</v>
      </c>
      <c r="BD1006" s="1"/>
      <c r="BE1006" s="1" t="s">
        <v>6465</v>
      </c>
      <c r="BF1006" s="1" t="str">
        <f>HYPERLINK("http://dx.doi.org/10.37816/2073-9567-2023-67-277-292","http://dx.doi.org/10.37816/2073-9567-2023-67-277-292")</f>
        <v>http://dx.doi.org/10.37816/2073-9567-2023-67-277-292</v>
      </c>
      <c r="BG1006" s="1"/>
      <c r="BH1006" s="1"/>
      <c r="BI1006" s="1"/>
      <c r="BJ1006" s="1"/>
      <c r="BK1006" s="1"/>
      <c r="BL1006" s="1"/>
      <c r="BM1006" s="1"/>
      <c r="BN1006" s="1"/>
      <c r="BO1006" s="1"/>
      <c r="BP1006" s="1"/>
      <c r="BQ1006" s="1"/>
      <c r="BR1006" s="1"/>
      <c r="BS1006" s="1" t="s">
        <v>6466</v>
      </c>
      <c r="BT1006" s="1" t="str">
        <f>HYPERLINK("https%3A%2F%2Fwww.webofscience.com%2Fwos%2Fwoscc%2Ffull-record%2FWOS:000996372300018","View Full Record in Web of Science")</f>
        <v>View Full Record in Web of Science</v>
      </c>
      <c r="BU1006" s="1"/>
      <c r="BV1006" s="1"/>
      <c r="BW1006" s="1"/>
    </row>
    <row r="1007" spans="1:75" customHeight="1" ht="12.75">
      <c r="A1007" s="1" t="s">
        <v>72</v>
      </c>
      <c r="B1007" s="1" t="s">
        <v>6467</v>
      </c>
      <c r="C1007" s="1"/>
      <c r="D1007" s="1"/>
      <c r="E1007" s="1"/>
      <c r="F1007" s="1" t="s">
        <v>6468</v>
      </c>
      <c r="G1007" s="1"/>
      <c r="H1007" s="1"/>
      <c r="I1007" s="1" t="s">
        <v>6469</v>
      </c>
      <c r="J1007" s="1" t="s">
        <v>95</v>
      </c>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t="s">
        <v>98</v>
      </c>
      <c r="AP1007" s="1" t="s">
        <v>99</v>
      </c>
      <c r="AQ1007" s="1"/>
      <c r="AR1007" s="1"/>
      <c r="AS1007" s="1"/>
      <c r="AT1007" s="1"/>
      <c r="AU1007" s="1">
        <v>2022</v>
      </c>
      <c r="AV1007" s="1"/>
      <c r="AW1007" s="1">
        <v>3</v>
      </c>
      <c r="AX1007" s="1"/>
      <c r="AY1007" s="1"/>
      <c r="AZ1007" s="1"/>
      <c r="BA1007" s="1"/>
      <c r="BB1007" s="1">
        <v>166</v>
      </c>
      <c r="BC1007" s="1">
        <v>174</v>
      </c>
      <c r="BD1007" s="1"/>
      <c r="BE1007" s="1" t="s">
        <v>6470</v>
      </c>
      <c r="BF1007" s="1" t="str">
        <f>HYPERLINK("http://dx.doi.org/10.25750/1995-4301-2022-3-166-174","http://dx.doi.org/10.25750/1995-4301-2022-3-166-174")</f>
        <v>http://dx.doi.org/10.25750/1995-4301-2022-3-166-174</v>
      </c>
      <c r="BG1007" s="1"/>
      <c r="BH1007" s="1"/>
      <c r="BI1007" s="1"/>
      <c r="BJ1007" s="1"/>
      <c r="BK1007" s="1"/>
      <c r="BL1007" s="1"/>
      <c r="BM1007" s="1"/>
      <c r="BN1007" s="1"/>
      <c r="BO1007" s="1"/>
      <c r="BP1007" s="1"/>
      <c r="BQ1007" s="1"/>
      <c r="BR1007" s="1"/>
      <c r="BS1007" s="1" t="s">
        <v>6471</v>
      </c>
      <c r="BT1007" s="1" t="str">
        <f>HYPERLINK("https%3A%2F%2Fwww.webofscience.com%2Fwos%2Fwoscc%2Ffull-record%2FWOS:000885393200021","View Full Record in Web of Science")</f>
        <v>View Full Record in Web of Science</v>
      </c>
      <c r="BU1007" s="1"/>
      <c r="BV1007" s="1"/>
      <c r="BW1007" s="1"/>
    </row>
    <row r="1008" spans="1:75" customHeight="1" ht="12.75">
      <c r="A1008" s="1" t="s">
        <v>72</v>
      </c>
      <c r="B1008" s="1" t="s">
        <v>378</v>
      </c>
      <c r="C1008" s="1"/>
      <c r="D1008" s="1"/>
      <c r="E1008" s="1"/>
      <c r="F1008" s="1" t="s">
        <v>2100</v>
      </c>
      <c r="G1008" s="1"/>
      <c r="H1008" s="1"/>
      <c r="I1008" s="1" t="s">
        <v>6472</v>
      </c>
      <c r="J1008" s="1" t="s">
        <v>5086</v>
      </c>
      <c r="K1008" s="1"/>
      <c r="L1008" s="1"/>
      <c r="M1008" s="1"/>
      <c r="N1008" s="1"/>
      <c r="O1008" s="1"/>
      <c r="P1008" s="1"/>
      <c r="Q1008" s="1"/>
      <c r="R1008" s="1"/>
      <c r="S1008" s="1"/>
      <c r="T1008" s="1"/>
      <c r="U1008" s="1"/>
      <c r="V1008" s="1"/>
      <c r="W1008" s="1"/>
      <c r="X1008" s="1"/>
      <c r="Y1008" s="1"/>
      <c r="Z1008" s="1"/>
      <c r="AA1008" s="1" t="s">
        <v>553</v>
      </c>
      <c r="AB1008" s="1" t="s">
        <v>554</v>
      </c>
      <c r="AC1008" s="1"/>
      <c r="AD1008" s="1"/>
      <c r="AE1008" s="1"/>
      <c r="AF1008" s="1"/>
      <c r="AG1008" s="1"/>
      <c r="AH1008" s="1"/>
      <c r="AI1008" s="1"/>
      <c r="AJ1008" s="1"/>
      <c r="AK1008" s="1"/>
      <c r="AL1008" s="1"/>
      <c r="AM1008" s="1"/>
      <c r="AN1008" s="1"/>
      <c r="AO1008" s="1" t="s">
        <v>5087</v>
      </c>
      <c r="AP1008" s="1" t="s">
        <v>5088</v>
      </c>
      <c r="AQ1008" s="1"/>
      <c r="AR1008" s="1"/>
      <c r="AS1008" s="1"/>
      <c r="AT1008" s="1" t="s">
        <v>403</v>
      </c>
      <c r="AU1008" s="1">
        <v>2021</v>
      </c>
      <c r="AV1008" s="1">
        <v>9</v>
      </c>
      <c r="AW1008" s="1">
        <v>12</v>
      </c>
      <c r="AX1008" s="1"/>
      <c r="AY1008" s="1"/>
      <c r="AZ1008" s="1"/>
      <c r="BA1008" s="1"/>
      <c r="BB1008" s="1">
        <v>15054</v>
      </c>
      <c r="BC1008" s="1">
        <v>15059</v>
      </c>
      <c r="BD1008" s="1"/>
      <c r="BE1008" s="1" t="s">
        <v>6473</v>
      </c>
      <c r="BF1008" s="1" t="str">
        <f>HYPERLINK("http://dx.doi.org/10.22038/IJP.2021.58495.4571","http://dx.doi.org/10.22038/IJP.2021.58495.4571")</f>
        <v>http://dx.doi.org/10.22038/IJP.2021.58495.4571</v>
      </c>
      <c r="BG1008" s="1"/>
      <c r="BH1008" s="1"/>
      <c r="BI1008" s="1"/>
      <c r="BJ1008" s="1"/>
      <c r="BK1008" s="1"/>
      <c r="BL1008" s="1"/>
      <c r="BM1008" s="1"/>
      <c r="BN1008" s="1"/>
      <c r="BO1008" s="1"/>
      <c r="BP1008" s="1"/>
      <c r="BQ1008" s="1"/>
      <c r="BR1008" s="1"/>
      <c r="BS1008" s="1" t="s">
        <v>6474</v>
      </c>
      <c r="BT1008" s="1" t="str">
        <f>HYPERLINK("https%3A%2F%2Fwww.webofscience.com%2Fwos%2Fwoscc%2Ffull-record%2FWOS:000733418900013","View Full Record in Web of Science")</f>
        <v>View Full Record in Web of Science</v>
      </c>
      <c r="BU1008" s="1"/>
      <c r="BV1008" s="1"/>
      <c r="BW1008" s="1"/>
    </row>
    <row r="1009" spans="1:75" customHeight="1" ht="12.75">
      <c r="A1009" s="1" t="s">
        <v>72</v>
      </c>
      <c r="B1009" s="1" t="s">
        <v>6475</v>
      </c>
      <c r="C1009" s="1"/>
      <c r="D1009" s="1"/>
      <c r="E1009" s="1"/>
      <c r="F1009" s="1" t="s">
        <v>6476</v>
      </c>
      <c r="G1009" s="1"/>
      <c r="H1009" s="1"/>
      <c r="I1009" s="1" t="s">
        <v>6477</v>
      </c>
      <c r="J1009" s="1" t="s">
        <v>166</v>
      </c>
      <c r="K1009" s="1"/>
      <c r="L1009" s="1"/>
      <c r="M1009" s="1"/>
      <c r="N1009" s="1"/>
      <c r="O1009" s="1"/>
      <c r="P1009" s="1"/>
      <c r="Q1009" s="1"/>
      <c r="R1009" s="1"/>
      <c r="S1009" s="1"/>
      <c r="T1009" s="1"/>
      <c r="U1009" s="1"/>
      <c r="V1009" s="1"/>
      <c r="W1009" s="1"/>
      <c r="X1009" s="1"/>
      <c r="Y1009" s="1"/>
      <c r="Z1009" s="1"/>
      <c r="AA1009" s="1" t="s">
        <v>6478</v>
      </c>
      <c r="AB1009" s="1" t="s">
        <v>6479</v>
      </c>
      <c r="AC1009" s="1"/>
      <c r="AD1009" s="1"/>
      <c r="AE1009" s="1"/>
      <c r="AF1009" s="1"/>
      <c r="AG1009" s="1"/>
      <c r="AH1009" s="1"/>
      <c r="AI1009" s="1"/>
      <c r="AJ1009" s="1"/>
      <c r="AK1009" s="1"/>
      <c r="AL1009" s="1"/>
      <c r="AM1009" s="1"/>
      <c r="AN1009" s="1"/>
      <c r="AO1009" s="1" t="s">
        <v>169</v>
      </c>
      <c r="AP1009" s="1" t="s">
        <v>170</v>
      </c>
      <c r="AQ1009" s="1"/>
      <c r="AR1009" s="1"/>
      <c r="AS1009" s="1"/>
      <c r="AT1009" s="1" t="s">
        <v>171</v>
      </c>
      <c r="AU1009" s="1">
        <v>2019</v>
      </c>
      <c r="AV1009" s="1">
        <v>8</v>
      </c>
      <c r="AW1009" s="1">
        <v>1</v>
      </c>
      <c r="AX1009" s="1"/>
      <c r="AY1009" s="1"/>
      <c r="AZ1009" s="1"/>
      <c r="BA1009" s="1"/>
      <c r="BB1009" s="1">
        <v>187</v>
      </c>
      <c r="BC1009" s="1">
        <v>200</v>
      </c>
      <c r="BD1009" s="1"/>
      <c r="BE1009" s="1" t="s">
        <v>6480</v>
      </c>
      <c r="BF1009" s="1" t="str">
        <f>HYPERLINK("http://dx.doi.org/10.13187/ejced.2019.1.187","http://dx.doi.org/10.13187/ejced.2019.1.187")</f>
        <v>http://dx.doi.org/10.13187/ejced.2019.1.187</v>
      </c>
      <c r="BG1009" s="1"/>
      <c r="BH1009" s="1"/>
      <c r="BI1009" s="1"/>
      <c r="BJ1009" s="1"/>
      <c r="BK1009" s="1"/>
      <c r="BL1009" s="1"/>
      <c r="BM1009" s="1"/>
      <c r="BN1009" s="1"/>
      <c r="BO1009" s="1"/>
      <c r="BP1009" s="1"/>
      <c r="BQ1009" s="1"/>
      <c r="BR1009" s="1"/>
      <c r="BS1009" s="1" t="s">
        <v>6481</v>
      </c>
      <c r="BT1009" s="1" t="str">
        <f>HYPERLINK("https%3A%2F%2Fwww.webofscience.com%2Fwos%2Fwoscc%2Ffull-record%2FWOS:000462498700014","View Full Record in Web of Science")</f>
        <v>View Full Record in Web of Science</v>
      </c>
      <c r="BU1009" s="1"/>
      <c r="BV1009" s="1"/>
      <c r="BW1009" s="1"/>
    </row>
    <row r="1010" spans="1:75" customHeight="1" ht="12.75">
      <c r="A1010" s="1" t="s">
        <v>72</v>
      </c>
      <c r="B1010" s="1" t="s">
        <v>6482</v>
      </c>
      <c r="C1010" s="1"/>
      <c r="D1010" s="1"/>
      <c r="E1010" s="1"/>
      <c r="F1010" s="1" t="s">
        <v>6483</v>
      </c>
      <c r="G1010" s="1"/>
      <c r="H1010" s="1"/>
      <c r="I1010" s="1" t="s">
        <v>6484</v>
      </c>
      <c r="J1010" s="1" t="s">
        <v>244</v>
      </c>
      <c r="K1010" s="1"/>
      <c r="L1010" s="1"/>
      <c r="M1010" s="1"/>
      <c r="N1010" s="1"/>
      <c r="O1010" s="1"/>
      <c r="P1010" s="1"/>
      <c r="Q1010" s="1"/>
      <c r="R1010" s="1"/>
      <c r="S1010" s="1"/>
      <c r="T1010" s="1"/>
      <c r="U1010" s="1"/>
      <c r="V1010" s="1"/>
      <c r="W1010" s="1"/>
      <c r="X1010" s="1"/>
      <c r="Y1010" s="1"/>
      <c r="Z1010" s="1"/>
      <c r="AA1010" s="1" t="s">
        <v>6485</v>
      </c>
      <c r="AB1010" s="1" t="s">
        <v>6486</v>
      </c>
      <c r="AC1010" s="1"/>
      <c r="AD1010" s="1"/>
      <c r="AE1010" s="1"/>
      <c r="AF1010" s="1"/>
      <c r="AG1010" s="1"/>
      <c r="AH1010" s="1"/>
      <c r="AI1010" s="1"/>
      <c r="AJ1010" s="1"/>
      <c r="AK1010" s="1"/>
      <c r="AL1010" s="1"/>
      <c r="AM1010" s="1"/>
      <c r="AN1010" s="1"/>
      <c r="AO1010" s="1" t="s">
        <v>245</v>
      </c>
      <c r="AP1010" s="1" t="s">
        <v>246</v>
      </c>
      <c r="AQ1010" s="1"/>
      <c r="AR1010" s="1"/>
      <c r="AS1010" s="1"/>
      <c r="AT1010" s="1"/>
      <c r="AU1010" s="1">
        <v>2022</v>
      </c>
      <c r="AV1010" s="1">
        <v>6</v>
      </c>
      <c r="AW1010" s="1">
        <v>1</v>
      </c>
      <c r="AX1010" s="1"/>
      <c r="AY1010" s="1"/>
      <c r="AZ1010" s="1"/>
      <c r="BA1010" s="1"/>
      <c r="BB1010" s="1">
        <v>223</v>
      </c>
      <c r="BC1010" s="1">
        <v>230</v>
      </c>
      <c r="BD1010" s="1"/>
      <c r="BE1010" s="1" t="s">
        <v>6487</v>
      </c>
      <c r="BF1010" s="1" t="str">
        <f>HYPERLINK("http://dx.doi.org/10.31166/VoprosyIstorii202206Statyi23","http://dx.doi.org/10.31166/VoprosyIstorii202206Statyi23")</f>
        <v>http://dx.doi.org/10.31166/VoprosyIstorii202206Statyi23</v>
      </c>
      <c r="BG1010" s="1"/>
      <c r="BH1010" s="1"/>
      <c r="BI1010" s="1"/>
      <c r="BJ1010" s="1"/>
      <c r="BK1010" s="1"/>
      <c r="BL1010" s="1"/>
      <c r="BM1010" s="1"/>
      <c r="BN1010" s="1"/>
      <c r="BO1010" s="1"/>
      <c r="BP1010" s="1"/>
      <c r="BQ1010" s="1"/>
      <c r="BR1010" s="1"/>
      <c r="BS1010" s="1" t="s">
        <v>6488</v>
      </c>
      <c r="BT1010" s="1" t="str">
        <f>HYPERLINK("https%3A%2F%2Fwww.webofscience.com%2Fwos%2Fwoscc%2Ffull-record%2FWOS:000814316500021","View Full Record in Web of Science")</f>
        <v>View Full Record in Web of Science</v>
      </c>
      <c r="BU1010" s="1"/>
      <c r="BV1010" s="1"/>
      <c r="BW1010" s="1"/>
    </row>
    <row r="1011" spans="1:75" customHeight="1" ht="12.75">
      <c r="A1011" s="1" t="s">
        <v>72</v>
      </c>
      <c r="B1011" s="1" t="s">
        <v>1777</v>
      </c>
      <c r="C1011" s="1"/>
      <c r="D1011" s="1"/>
      <c r="E1011" s="1"/>
      <c r="F1011" s="1" t="s">
        <v>1778</v>
      </c>
      <c r="G1011" s="1"/>
      <c r="H1011" s="1"/>
      <c r="I1011" s="1" t="s">
        <v>6489</v>
      </c>
      <c r="J1011" s="1" t="s">
        <v>1780</v>
      </c>
      <c r="K1011" s="1"/>
      <c r="L1011" s="1"/>
      <c r="M1011" s="1"/>
      <c r="N1011" s="1"/>
      <c r="O1011" s="1"/>
      <c r="P1011" s="1"/>
      <c r="Q1011" s="1"/>
      <c r="R1011" s="1"/>
      <c r="S1011" s="1"/>
      <c r="T1011" s="1"/>
      <c r="U1011" s="1"/>
      <c r="V1011" s="1"/>
      <c r="W1011" s="1"/>
      <c r="X1011" s="1"/>
      <c r="Y1011" s="1"/>
      <c r="Z1011" s="1"/>
      <c r="AA1011" s="1" t="s">
        <v>1781</v>
      </c>
      <c r="AB1011" s="1" t="s">
        <v>1782</v>
      </c>
      <c r="AC1011" s="1"/>
      <c r="AD1011" s="1"/>
      <c r="AE1011" s="1"/>
      <c r="AF1011" s="1"/>
      <c r="AG1011" s="1"/>
      <c r="AH1011" s="1"/>
      <c r="AI1011" s="1"/>
      <c r="AJ1011" s="1"/>
      <c r="AK1011" s="1"/>
      <c r="AL1011" s="1"/>
      <c r="AM1011" s="1"/>
      <c r="AN1011" s="1"/>
      <c r="AO1011" s="1" t="s">
        <v>1783</v>
      </c>
      <c r="AP1011" s="1"/>
      <c r="AQ1011" s="1"/>
      <c r="AR1011" s="1"/>
      <c r="AS1011" s="1"/>
      <c r="AT1011" s="1" t="s">
        <v>3477</v>
      </c>
      <c r="AU1011" s="1">
        <v>2019</v>
      </c>
      <c r="AV1011" s="1"/>
      <c r="AW1011" s="1">
        <v>6</v>
      </c>
      <c r="AX1011" s="1"/>
      <c r="AY1011" s="1"/>
      <c r="AZ1011" s="1"/>
      <c r="BA1011" s="1"/>
      <c r="BB1011" s="1">
        <v>161</v>
      </c>
      <c r="BC1011" s="1">
        <v>171</v>
      </c>
      <c r="BD1011" s="1"/>
      <c r="BE1011" s="1" t="s">
        <v>6490</v>
      </c>
      <c r="BF1011" s="1" t="str">
        <f>HYPERLINK("http://dx.doi.org/10.15211/soveurope62019161171","http://dx.doi.org/10.15211/soveurope62019161171")</f>
        <v>http://dx.doi.org/10.15211/soveurope62019161171</v>
      </c>
      <c r="BG1011" s="1"/>
      <c r="BH1011" s="1"/>
      <c r="BI1011" s="1"/>
      <c r="BJ1011" s="1"/>
      <c r="BK1011" s="1"/>
      <c r="BL1011" s="1"/>
      <c r="BM1011" s="1"/>
      <c r="BN1011" s="1"/>
      <c r="BO1011" s="1"/>
      <c r="BP1011" s="1"/>
      <c r="BQ1011" s="1"/>
      <c r="BR1011" s="1"/>
      <c r="BS1011" s="1" t="s">
        <v>6491</v>
      </c>
      <c r="BT1011" s="1" t="str">
        <f>HYPERLINK("https%3A%2F%2Fwww.webofscience.com%2Fwos%2Fwoscc%2Ffull-record%2FWOS:000553160200016","View Full Record in Web of Science")</f>
        <v>View Full Record in Web of Science</v>
      </c>
      <c r="BU1011" s="1"/>
      <c r="BV1011" s="1"/>
      <c r="BW1011" s="1"/>
    </row>
    <row r="1012" spans="1:75" customHeight="1" ht="12.75">
      <c r="A1012" s="1" t="s">
        <v>72</v>
      </c>
      <c r="B1012" s="1" t="s">
        <v>6492</v>
      </c>
      <c r="C1012" s="1"/>
      <c r="D1012" s="1"/>
      <c r="E1012" s="1"/>
      <c r="F1012" s="1" t="s">
        <v>6493</v>
      </c>
      <c r="G1012" s="1"/>
      <c r="H1012" s="1"/>
      <c r="I1012" s="1" t="s">
        <v>6494</v>
      </c>
      <c r="J1012" s="1" t="s">
        <v>6495</v>
      </c>
      <c r="K1012" s="1"/>
      <c r="L1012" s="1"/>
      <c r="M1012" s="1"/>
      <c r="N1012" s="1"/>
      <c r="O1012" s="1"/>
      <c r="P1012" s="1"/>
      <c r="Q1012" s="1"/>
      <c r="R1012" s="1"/>
      <c r="S1012" s="1"/>
      <c r="T1012" s="1"/>
      <c r="U1012" s="1"/>
      <c r="V1012" s="1"/>
      <c r="W1012" s="1"/>
      <c r="X1012" s="1"/>
      <c r="Y1012" s="1"/>
      <c r="Z1012" s="1"/>
      <c r="AA1012" s="1" t="s">
        <v>6496</v>
      </c>
      <c r="AB1012" s="1" t="s">
        <v>6497</v>
      </c>
      <c r="AC1012" s="1"/>
      <c r="AD1012" s="1"/>
      <c r="AE1012" s="1"/>
      <c r="AF1012" s="1"/>
      <c r="AG1012" s="1"/>
      <c r="AH1012" s="1"/>
      <c r="AI1012" s="1"/>
      <c r="AJ1012" s="1"/>
      <c r="AK1012" s="1"/>
      <c r="AL1012" s="1"/>
      <c r="AM1012" s="1"/>
      <c r="AN1012" s="1"/>
      <c r="AO1012" s="1"/>
      <c r="AP1012" s="1" t="s">
        <v>6498</v>
      </c>
      <c r="AQ1012" s="1"/>
      <c r="AR1012" s="1"/>
      <c r="AS1012" s="1"/>
      <c r="AT1012" s="1" t="s">
        <v>541</v>
      </c>
      <c r="AU1012" s="1">
        <v>2023</v>
      </c>
      <c r="AV1012" s="1">
        <v>9</v>
      </c>
      <c r="AW1012" s="1">
        <v>1</v>
      </c>
      <c r="AX1012" s="1"/>
      <c r="AY1012" s="1"/>
      <c r="AZ1012" s="1"/>
      <c r="BA1012" s="1"/>
      <c r="BB1012" s="1"/>
      <c r="BC1012" s="1"/>
      <c r="BD1012" s="1">
        <v>45</v>
      </c>
      <c r="BE1012" s="1" t="s">
        <v>6499</v>
      </c>
      <c r="BF1012" s="1" t="str">
        <f>HYPERLINK("http://dx.doi.org/10.3390/gels9010045","http://dx.doi.org/10.3390/gels9010045")</f>
        <v>http://dx.doi.org/10.3390/gels9010045</v>
      </c>
      <c r="BG1012" s="1"/>
      <c r="BH1012" s="1"/>
      <c r="BI1012" s="1"/>
      <c r="BJ1012" s="1"/>
      <c r="BK1012" s="1"/>
      <c r="BL1012" s="1"/>
      <c r="BM1012" s="1"/>
      <c r="BN1012" s="1">
        <v>36661811</v>
      </c>
      <c r="BO1012" s="1"/>
      <c r="BP1012" s="1"/>
      <c r="BQ1012" s="1"/>
      <c r="BR1012" s="1"/>
      <c r="BS1012" s="1" t="s">
        <v>6500</v>
      </c>
      <c r="BT1012" s="1" t="str">
        <f>HYPERLINK("https%3A%2F%2Fwww.webofscience.com%2Fwos%2Fwoscc%2Ffull-record%2FWOS:000917468800001","View Full Record in Web of Science")</f>
        <v>View Full Record in Web of Science</v>
      </c>
      <c r="BU1012" s="1"/>
      <c r="BV1012" s="1"/>
      <c r="BW1012" s="1"/>
    </row>
    <row r="1013" spans="1:75" customHeight="1" ht="12.75">
      <c r="A1013" s="1" t="s">
        <v>72</v>
      </c>
      <c r="B1013" s="1" t="s">
        <v>6501</v>
      </c>
      <c r="C1013" s="1"/>
      <c r="D1013" s="1"/>
      <c r="E1013" s="1"/>
      <c r="F1013" s="1" t="s">
        <v>6502</v>
      </c>
      <c r="G1013" s="1"/>
      <c r="H1013" s="1"/>
      <c r="I1013" s="1" t="s">
        <v>6503</v>
      </c>
      <c r="J1013" s="1" t="s">
        <v>95</v>
      </c>
      <c r="K1013" s="1"/>
      <c r="L1013" s="1"/>
      <c r="M1013" s="1"/>
      <c r="N1013" s="1"/>
      <c r="O1013" s="1"/>
      <c r="P1013" s="1"/>
      <c r="Q1013" s="1"/>
      <c r="R1013" s="1"/>
      <c r="S1013" s="1"/>
      <c r="T1013" s="1"/>
      <c r="U1013" s="1"/>
      <c r="V1013" s="1"/>
      <c r="W1013" s="1"/>
      <c r="X1013" s="1"/>
      <c r="Y1013" s="1"/>
      <c r="Z1013" s="1"/>
      <c r="AA1013" s="1" t="s">
        <v>6456</v>
      </c>
      <c r="AB1013" s="1" t="s">
        <v>6457</v>
      </c>
      <c r="AC1013" s="1"/>
      <c r="AD1013" s="1"/>
      <c r="AE1013" s="1"/>
      <c r="AF1013" s="1"/>
      <c r="AG1013" s="1"/>
      <c r="AH1013" s="1"/>
      <c r="AI1013" s="1"/>
      <c r="AJ1013" s="1"/>
      <c r="AK1013" s="1"/>
      <c r="AL1013" s="1"/>
      <c r="AM1013" s="1"/>
      <c r="AN1013" s="1"/>
      <c r="AO1013" s="1" t="s">
        <v>98</v>
      </c>
      <c r="AP1013" s="1" t="s">
        <v>99</v>
      </c>
      <c r="AQ1013" s="1"/>
      <c r="AR1013" s="1"/>
      <c r="AS1013" s="1"/>
      <c r="AT1013" s="1"/>
      <c r="AU1013" s="1">
        <v>2020</v>
      </c>
      <c r="AV1013" s="1"/>
      <c r="AW1013" s="1">
        <v>4</v>
      </c>
      <c r="AX1013" s="1"/>
      <c r="AY1013" s="1"/>
      <c r="AZ1013" s="1"/>
      <c r="BA1013" s="1"/>
      <c r="BB1013" s="1">
        <v>22</v>
      </c>
      <c r="BC1013" s="1">
        <v>29</v>
      </c>
      <c r="BD1013" s="1"/>
      <c r="BE1013" s="1" t="s">
        <v>6504</v>
      </c>
      <c r="BF1013" s="1" t="str">
        <f>HYPERLINK("http://dx.doi.org/10.25750/1995-4301-2020-4-022-029","http://dx.doi.org/10.25750/1995-4301-2020-4-022-029")</f>
        <v>http://dx.doi.org/10.25750/1995-4301-2020-4-022-029</v>
      </c>
      <c r="BG1013" s="1"/>
      <c r="BH1013" s="1"/>
      <c r="BI1013" s="1"/>
      <c r="BJ1013" s="1"/>
      <c r="BK1013" s="1"/>
      <c r="BL1013" s="1"/>
      <c r="BM1013" s="1"/>
      <c r="BN1013" s="1"/>
      <c r="BO1013" s="1"/>
      <c r="BP1013" s="1"/>
      <c r="BQ1013" s="1"/>
      <c r="BR1013" s="1"/>
      <c r="BS1013" s="1" t="s">
        <v>6505</v>
      </c>
      <c r="BT1013" s="1" t="str">
        <f>HYPERLINK("https%3A%2F%2Fwww.webofscience.com%2Fwos%2Fwoscc%2Ffull-record%2FWOS:000597810500003","View Full Record in Web of Science")</f>
        <v>View Full Record in Web of Science</v>
      </c>
      <c r="BU1013" s="1"/>
      <c r="BV1013" s="1"/>
      <c r="BW1013" s="1"/>
    </row>
    <row r="1014" spans="1:75" customHeight="1" ht="12.75">
      <c r="A1014" s="1" t="s">
        <v>72</v>
      </c>
      <c r="B1014" s="1" t="s">
        <v>6506</v>
      </c>
      <c r="C1014" s="1"/>
      <c r="D1014" s="1"/>
      <c r="E1014" s="1"/>
      <c r="F1014" s="1" t="s">
        <v>6507</v>
      </c>
      <c r="G1014" s="1"/>
      <c r="H1014" s="1"/>
      <c r="I1014" s="1" t="s">
        <v>6508</v>
      </c>
      <c r="J1014" s="1" t="s">
        <v>325</v>
      </c>
      <c r="K1014" s="1"/>
      <c r="L1014" s="1"/>
      <c r="M1014" s="1"/>
      <c r="N1014" s="1"/>
      <c r="O1014" s="1"/>
      <c r="P1014" s="1"/>
      <c r="Q1014" s="1"/>
      <c r="R1014" s="1"/>
      <c r="S1014" s="1"/>
      <c r="T1014" s="1"/>
      <c r="U1014" s="1"/>
      <c r="V1014" s="1"/>
      <c r="W1014" s="1"/>
      <c r="X1014" s="1"/>
      <c r="Y1014" s="1"/>
      <c r="Z1014" s="1"/>
      <c r="AA1014" s="1" t="s">
        <v>6509</v>
      </c>
      <c r="AB1014" s="1" t="s">
        <v>6510</v>
      </c>
      <c r="AC1014" s="1"/>
      <c r="AD1014" s="1"/>
      <c r="AE1014" s="1"/>
      <c r="AF1014" s="1"/>
      <c r="AG1014" s="1"/>
      <c r="AH1014" s="1"/>
      <c r="AI1014" s="1"/>
      <c r="AJ1014" s="1"/>
      <c r="AK1014" s="1"/>
      <c r="AL1014" s="1"/>
      <c r="AM1014" s="1"/>
      <c r="AN1014" s="1"/>
      <c r="AO1014" s="1" t="s">
        <v>328</v>
      </c>
      <c r="AP1014" s="1" t="s">
        <v>329</v>
      </c>
      <c r="AQ1014" s="1"/>
      <c r="AR1014" s="1"/>
      <c r="AS1014" s="1"/>
      <c r="AT1014" s="1"/>
      <c r="AU1014" s="1">
        <v>2020</v>
      </c>
      <c r="AV1014" s="1">
        <v>14</v>
      </c>
      <c r="AW1014" s="1">
        <v>2</v>
      </c>
      <c r="AX1014" s="1"/>
      <c r="AY1014" s="1"/>
      <c r="AZ1014" s="1"/>
      <c r="BA1014" s="1"/>
      <c r="BB1014" s="1">
        <v>455</v>
      </c>
      <c r="BC1014" s="1">
        <v>470</v>
      </c>
      <c r="BD1014" s="1"/>
      <c r="BE1014" s="1" t="s">
        <v>6511</v>
      </c>
      <c r="BF1014" s="1" t="str">
        <f>HYPERLINK("http://dx.doi.org/10.24874/IJQR14.02-08","http://dx.doi.org/10.24874/IJQR14.02-08")</f>
        <v>http://dx.doi.org/10.24874/IJQR14.02-08</v>
      </c>
      <c r="BG1014" s="1"/>
      <c r="BH1014" s="1"/>
      <c r="BI1014" s="1"/>
      <c r="BJ1014" s="1"/>
      <c r="BK1014" s="1"/>
      <c r="BL1014" s="1"/>
      <c r="BM1014" s="1"/>
      <c r="BN1014" s="1"/>
      <c r="BO1014" s="1"/>
      <c r="BP1014" s="1"/>
      <c r="BQ1014" s="1"/>
      <c r="BR1014" s="1"/>
      <c r="BS1014" s="1" t="s">
        <v>6512</v>
      </c>
      <c r="BT1014" s="1" t="str">
        <f>HYPERLINK("https%3A%2F%2Fwww.webofscience.com%2Fwos%2Fwoscc%2Ffull-record%2FWOS:000531047700008","View Full Record in Web of Science")</f>
        <v>View Full Record in Web of Science</v>
      </c>
      <c r="BU1014" s="1"/>
      <c r="BV1014" s="1"/>
      <c r="BW1014" s="1"/>
    </row>
    <row r="1015" spans="1:75" customHeight="1" ht="12.75">
      <c r="A1015" s="1" t="s">
        <v>72</v>
      </c>
      <c r="B1015" s="1" t="s">
        <v>6513</v>
      </c>
      <c r="C1015" s="1"/>
      <c r="D1015" s="1"/>
      <c r="E1015" s="1"/>
      <c r="F1015" s="1" t="s">
        <v>6514</v>
      </c>
      <c r="G1015" s="1"/>
      <c r="H1015" s="1"/>
      <c r="I1015" s="1" t="s">
        <v>6515</v>
      </c>
      <c r="J1015" s="1" t="s">
        <v>166</v>
      </c>
      <c r="K1015" s="1"/>
      <c r="L1015" s="1"/>
      <c r="M1015" s="1"/>
      <c r="N1015" s="1"/>
      <c r="O1015" s="1"/>
      <c r="P1015" s="1"/>
      <c r="Q1015" s="1"/>
      <c r="R1015" s="1"/>
      <c r="S1015" s="1"/>
      <c r="T1015" s="1"/>
      <c r="U1015" s="1"/>
      <c r="V1015" s="1"/>
      <c r="W1015" s="1"/>
      <c r="X1015" s="1"/>
      <c r="Y1015" s="1"/>
      <c r="Z1015" s="1"/>
      <c r="AA1015" s="1"/>
      <c r="AB1015" s="1" t="s">
        <v>6516</v>
      </c>
      <c r="AC1015" s="1"/>
      <c r="AD1015" s="1"/>
      <c r="AE1015" s="1"/>
      <c r="AF1015" s="1"/>
      <c r="AG1015" s="1"/>
      <c r="AH1015" s="1"/>
      <c r="AI1015" s="1"/>
      <c r="AJ1015" s="1"/>
      <c r="AK1015" s="1"/>
      <c r="AL1015" s="1"/>
      <c r="AM1015" s="1"/>
      <c r="AN1015" s="1"/>
      <c r="AO1015" s="1" t="s">
        <v>169</v>
      </c>
      <c r="AP1015" s="1" t="s">
        <v>170</v>
      </c>
      <c r="AQ1015" s="1"/>
      <c r="AR1015" s="1"/>
      <c r="AS1015" s="1"/>
      <c r="AT1015" s="1" t="s">
        <v>171</v>
      </c>
      <c r="AU1015" s="1">
        <v>2023</v>
      </c>
      <c r="AV1015" s="1">
        <v>12</v>
      </c>
      <c r="AW1015" s="1">
        <v>1</v>
      </c>
      <c r="AX1015" s="1"/>
      <c r="AY1015" s="1"/>
      <c r="AZ1015" s="1"/>
      <c r="BA1015" s="1"/>
      <c r="BB1015" s="1">
        <v>188</v>
      </c>
      <c r="BC1015" s="1">
        <v>203</v>
      </c>
      <c r="BD1015" s="1"/>
      <c r="BE1015" s="1" t="s">
        <v>6517</v>
      </c>
      <c r="BF1015" s="1" t="str">
        <f>HYPERLINK("http://dx.doi.org/10.13187/ejced.2023.1.188","http://dx.doi.org/10.13187/ejced.2023.1.188")</f>
        <v>http://dx.doi.org/10.13187/ejced.2023.1.188</v>
      </c>
      <c r="BG1015" s="1"/>
      <c r="BH1015" s="1"/>
      <c r="BI1015" s="1"/>
      <c r="BJ1015" s="1"/>
      <c r="BK1015" s="1"/>
      <c r="BL1015" s="1"/>
      <c r="BM1015" s="1"/>
      <c r="BN1015" s="1"/>
      <c r="BO1015" s="1"/>
      <c r="BP1015" s="1"/>
      <c r="BQ1015" s="1"/>
      <c r="BR1015" s="1"/>
      <c r="BS1015" s="1" t="s">
        <v>6518</v>
      </c>
      <c r="BT1015" s="1" t="str">
        <f>HYPERLINK("https%3A%2F%2Fwww.webofscience.com%2Fwos%2Fwoscc%2Ffull-record%2FWOS:000961369300015","View Full Record in Web of Science")</f>
        <v>View Full Record in Web of Science</v>
      </c>
      <c r="BU1015" s="1"/>
      <c r="BV1015" s="1"/>
      <c r="BW1015" s="1"/>
    </row>
    <row r="1016" spans="1:75" customHeight="1" ht="12.75">
      <c r="A1016" s="1" t="s">
        <v>72</v>
      </c>
      <c r="B1016" s="1" t="s">
        <v>6519</v>
      </c>
      <c r="C1016" s="1"/>
      <c r="D1016" s="1"/>
      <c r="E1016" s="1"/>
      <c r="F1016" s="1" t="s">
        <v>6520</v>
      </c>
      <c r="G1016" s="1"/>
      <c r="H1016" s="1"/>
      <c r="I1016" s="1" t="s">
        <v>6521</v>
      </c>
      <c r="J1016" s="1" t="s">
        <v>166</v>
      </c>
      <c r="K1016" s="1"/>
      <c r="L1016" s="1"/>
      <c r="M1016" s="1"/>
      <c r="N1016" s="1"/>
      <c r="O1016" s="1"/>
      <c r="P1016" s="1"/>
      <c r="Q1016" s="1"/>
      <c r="R1016" s="1"/>
      <c r="S1016" s="1"/>
      <c r="T1016" s="1"/>
      <c r="U1016" s="1"/>
      <c r="V1016" s="1"/>
      <c r="W1016" s="1"/>
      <c r="X1016" s="1"/>
      <c r="Y1016" s="1"/>
      <c r="Z1016" s="1"/>
      <c r="AA1016" s="1" t="s">
        <v>2077</v>
      </c>
      <c r="AB1016" s="1" t="s">
        <v>6522</v>
      </c>
      <c r="AC1016" s="1"/>
      <c r="AD1016" s="1"/>
      <c r="AE1016" s="1"/>
      <c r="AF1016" s="1"/>
      <c r="AG1016" s="1"/>
      <c r="AH1016" s="1"/>
      <c r="AI1016" s="1"/>
      <c r="AJ1016" s="1"/>
      <c r="AK1016" s="1"/>
      <c r="AL1016" s="1"/>
      <c r="AM1016" s="1"/>
      <c r="AN1016" s="1"/>
      <c r="AO1016" s="1" t="s">
        <v>169</v>
      </c>
      <c r="AP1016" s="1" t="s">
        <v>170</v>
      </c>
      <c r="AQ1016" s="1"/>
      <c r="AR1016" s="1"/>
      <c r="AS1016" s="1"/>
      <c r="AT1016" s="1" t="s">
        <v>403</v>
      </c>
      <c r="AU1016" s="1">
        <v>2022</v>
      </c>
      <c r="AV1016" s="1">
        <v>11</v>
      </c>
      <c r="AW1016" s="1">
        <v>4</v>
      </c>
      <c r="AX1016" s="1"/>
      <c r="AY1016" s="1"/>
      <c r="AZ1016" s="1"/>
      <c r="BA1016" s="1"/>
      <c r="BB1016" s="1">
        <v>1147</v>
      </c>
      <c r="BC1016" s="1">
        <v>1163</v>
      </c>
      <c r="BD1016" s="1"/>
      <c r="BE1016" s="1" t="s">
        <v>6523</v>
      </c>
      <c r="BF1016" s="1" t="str">
        <f>HYPERLINK("http://dx.doi.org/10.13187/ejced.2022.4.1147","http://dx.doi.org/10.13187/ejced.2022.4.1147")</f>
        <v>http://dx.doi.org/10.13187/ejced.2022.4.1147</v>
      </c>
      <c r="BG1016" s="1"/>
      <c r="BH1016" s="1"/>
      <c r="BI1016" s="1"/>
      <c r="BJ1016" s="1"/>
      <c r="BK1016" s="1"/>
      <c r="BL1016" s="1"/>
      <c r="BM1016" s="1"/>
      <c r="BN1016" s="1"/>
      <c r="BO1016" s="1"/>
      <c r="BP1016" s="1"/>
      <c r="BQ1016" s="1"/>
      <c r="BR1016" s="1"/>
      <c r="BS1016" s="1" t="s">
        <v>6524</v>
      </c>
      <c r="BT1016" s="1" t="str">
        <f>HYPERLINK("https%3A%2F%2Fwww.webofscience.com%2Fwos%2Fwoscc%2Ffull-record%2FWOS:000914876300009","View Full Record in Web of Science")</f>
        <v>View Full Record in Web of Science</v>
      </c>
      <c r="BU1016" s="1"/>
      <c r="BV1016" s="1"/>
      <c r="BW1016" s="1"/>
    </row>
    <row r="1017" spans="1:75" customHeight="1" ht="12.75">
      <c r="A1017" s="1" t="s">
        <v>72</v>
      </c>
      <c r="B1017" s="1" t="s">
        <v>6525</v>
      </c>
      <c r="C1017" s="1"/>
      <c r="D1017" s="1"/>
      <c r="E1017" s="1"/>
      <c r="F1017" s="1" t="s">
        <v>6526</v>
      </c>
      <c r="G1017" s="1"/>
      <c r="H1017" s="1"/>
      <c r="I1017" s="1" t="s">
        <v>6527</v>
      </c>
      <c r="J1017" s="1" t="s">
        <v>166</v>
      </c>
      <c r="K1017" s="1"/>
      <c r="L1017" s="1"/>
      <c r="M1017" s="1"/>
      <c r="N1017" s="1"/>
      <c r="O1017" s="1"/>
      <c r="P1017" s="1"/>
      <c r="Q1017" s="1"/>
      <c r="R1017" s="1"/>
      <c r="S1017" s="1"/>
      <c r="T1017" s="1"/>
      <c r="U1017" s="1"/>
      <c r="V1017" s="1"/>
      <c r="W1017" s="1"/>
      <c r="X1017" s="1"/>
      <c r="Y1017" s="1"/>
      <c r="Z1017" s="1"/>
      <c r="AA1017" s="1"/>
      <c r="AB1017" s="1" t="s">
        <v>6516</v>
      </c>
      <c r="AC1017" s="1"/>
      <c r="AD1017" s="1"/>
      <c r="AE1017" s="1"/>
      <c r="AF1017" s="1"/>
      <c r="AG1017" s="1"/>
      <c r="AH1017" s="1"/>
      <c r="AI1017" s="1"/>
      <c r="AJ1017" s="1"/>
      <c r="AK1017" s="1"/>
      <c r="AL1017" s="1"/>
      <c r="AM1017" s="1"/>
      <c r="AN1017" s="1"/>
      <c r="AO1017" s="1" t="s">
        <v>169</v>
      </c>
      <c r="AP1017" s="1" t="s">
        <v>170</v>
      </c>
      <c r="AQ1017" s="1"/>
      <c r="AR1017" s="1"/>
      <c r="AS1017" s="1"/>
      <c r="AT1017" s="1" t="s">
        <v>403</v>
      </c>
      <c r="AU1017" s="1">
        <v>2021</v>
      </c>
      <c r="AV1017" s="1">
        <v>10</v>
      </c>
      <c r="AW1017" s="1">
        <v>4</v>
      </c>
      <c r="AX1017" s="1"/>
      <c r="AY1017" s="1"/>
      <c r="AZ1017" s="1"/>
      <c r="BA1017" s="1"/>
      <c r="BB1017" s="1">
        <v>987</v>
      </c>
      <c r="BC1017" s="1">
        <v>1002</v>
      </c>
      <c r="BD1017" s="1"/>
      <c r="BE1017" s="1" t="s">
        <v>6528</v>
      </c>
      <c r="BF1017" s="1" t="str">
        <f>HYPERLINK("http://dx.doi.org/10.13187/ejced.2021.4.987","http://dx.doi.org/10.13187/ejced.2021.4.987")</f>
        <v>http://dx.doi.org/10.13187/ejced.2021.4.987</v>
      </c>
      <c r="BG1017" s="1"/>
      <c r="BH1017" s="1"/>
      <c r="BI1017" s="1"/>
      <c r="BJ1017" s="1"/>
      <c r="BK1017" s="1"/>
      <c r="BL1017" s="1"/>
      <c r="BM1017" s="1"/>
      <c r="BN1017" s="1"/>
      <c r="BO1017" s="1"/>
      <c r="BP1017" s="1"/>
      <c r="BQ1017" s="1"/>
      <c r="BR1017" s="1"/>
      <c r="BS1017" s="1" t="s">
        <v>6529</v>
      </c>
      <c r="BT1017" s="1" t="str">
        <f>HYPERLINK("https%3A%2F%2Fwww.webofscience.com%2Fwos%2Fwoscc%2Ffull-record%2FWOS:000739150200013","View Full Record in Web of Science")</f>
        <v>View Full Record in Web of Science</v>
      </c>
      <c r="BU1017" s="1"/>
      <c r="BV1017" s="1"/>
      <c r="BW1017" s="1"/>
    </row>
    <row r="1018" spans="1:75" customHeight="1" ht="12.75">
      <c r="A1018" s="1" t="s">
        <v>72</v>
      </c>
      <c r="B1018" s="1" t="s">
        <v>6530</v>
      </c>
      <c r="C1018" s="1"/>
      <c r="D1018" s="1"/>
      <c r="E1018" s="1"/>
      <c r="F1018" s="1" t="s">
        <v>6531</v>
      </c>
      <c r="G1018" s="1"/>
      <c r="H1018" s="1"/>
      <c r="I1018" s="1" t="s">
        <v>6532</v>
      </c>
      <c r="J1018" s="1" t="s">
        <v>409</v>
      </c>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t="s">
        <v>412</v>
      </c>
      <c r="AP1018" s="1"/>
      <c r="AQ1018" s="1"/>
      <c r="AR1018" s="1"/>
      <c r="AS1018" s="1"/>
      <c r="AT1018" s="1" t="s">
        <v>1167</v>
      </c>
      <c r="AU1018" s="1">
        <v>2010</v>
      </c>
      <c r="AV1018" s="1">
        <v>83</v>
      </c>
      <c r="AW1018" s="1">
        <v>10</v>
      </c>
      <c r="AX1018" s="1"/>
      <c r="AY1018" s="1"/>
      <c r="AZ1018" s="1"/>
      <c r="BA1018" s="1"/>
      <c r="BB1018" s="1">
        <v>1886</v>
      </c>
      <c r="BC1018" s="1">
        <v>1888</v>
      </c>
      <c r="BD1018" s="1"/>
      <c r="BE1018" s="1" t="s">
        <v>6533</v>
      </c>
      <c r="BF1018" s="1" t="str">
        <f>HYPERLINK("http://dx.doi.org/10.1134/S1070427210100290","http://dx.doi.org/10.1134/S1070427210100290")</f>
        <v>http://dx.doi.org/10.1134/S1070427210100290</v>
      </c>
      <c r="BG1018" s="1"/>
      <c r="BH1018" s="1"/>
      <c r="BI1018" s="1"/>
      <c r="BJ1018" s="1"/>
      <c r="BK1018" s="1"/>
      <c r="BL1018" s="1"/>
      <c r="BM1018" s="1"/>
      <c r="BN1018" s="1"/>
      <c r="BO1018" s="1"/>
      <c r="BP1018" s="1"/>
      <c r="BQ1018" s="1"/>
      <c r="BR1018" s="1"/>
      <c r="BS1018" s="1" t="s">
        <v>6534</v>
      </c>
      <c r="BT1018" s="1" t="str">
        <f>HYPERLINK("https%3A%2F%2Fwww.webofscience.com%2Fwos%2Fwoscc%2Ffull-record%2FWOS:000284652000029","View Full Record in Web of Science")</f>
        <v>View Full Record in Web of Science</v>
      </c>
      <c r="BU1018" s="1"/>
      <c r="BV1018" s="1"/>
      <c r="BW1018" s="1"/>
    </row>
    <row r="1019" spans="1:75" customHeight="1" ht="12.75">
      <c r="A1019" s="1" t="s">
        <v>72</v>
      </c>
      <c r="B1019" s="1" t="s">
        <v>6535</v>
      </c>
      <c r="C1019" s="1"/>
      <c r="D1019" s="1"/>
      <c r="E1019" s="1"/>
      <c r="F1019" s="1" t="s">
        <v>6536</v>
      </c>
      <c r="G1019" s="1"/>
      <c r="H1019" s="1"/>
      <c r="I1019" s="1" t="s">
        <v>6537</v>
      </c>
      <c r="J1019" s="1" t="s">
        <v>6538</v>
      </c>
      <c r="K1019" s="1"/>
      <c r="L1019" s="1"/>
      <c r="M1019" s="1"/>
      <c r="N1019" s="1"/>
      <c r="O1019" s="1"/>
      <c r="P1019" s="1"/>
      <c r="Q1019" s="1"/>
      <c r="R1019" s="1"/>
      <c r="S1019" s="1"/>
      <c r="T1019" s="1"/>
      <c r="U1019" s="1"/>
      <c r="V1019" s="1"/>
      <c r="W1019" s="1"/>
      <c r="X1019" s="1"/>
      <c r="Y1019" s="1"/>
      <c r="Z1019" s="1"/>
      <c r="AA1019" s="1" t="s">
        <v>6539</v>
      </c>
      <c r="AB1019" s="1" t="s">
        <v>6540</v>
      </c>
      <c r="AC1019" s="1"/>
      <c r="AD1019" s="1"/>
      <c r="AE1019" s="1"/>
      <c r="AF1019" s="1"/>
      <c r="AG1019" s="1"/>
      <c r="AH1019" s="1"/>
      <c r="AI1019" s="1"/>
      <c r="AJ1019" s="1"/>
      <c r="AK1019" s="1"/>
      <c r="AL1019" s="1"/>
      <c r="AM1019" s="1"/>
      <c r="AN1019" s="1"/>
      <c r="AO1019" s="1" t="s">
        <v>6541</v>
      </c>
      <c r="AP1019" s="1" t="s">
        <v>6542</v>
      </c>
      <c r="AQ1019" s="1"/>
      <c r="AR1019" s="1"/>
      <c r="AS1019" s="1"/>
      <c r="AT1019" s="1"/>
      <c r="AU1019" s="1">
        <v>2021</v>
      </c>
      <c r="AV1019" s="1">
        <v>7</v>
      </c>
      <c r="AW1019" s="1"/>
      <c r="AX1019" s="1"/>
      <c r="AY1019" s="1"/>
      <c r="AZ1019" s="1">
        <v>2</v>
      </c>
      <c r="BA1019" s="1"/>
      <c r="BB1019" s="1"/>
      <c r="BC1019" s="1"/>
      <c r="BD1019" s="1" t="s">
        <v>6543</v>
      </c>
      <c r="BE1019" s="1" t="s">
        <v>6544</v>
      </c>
      <c r="BF1019" s="1" t="str">
        <f>HYPERLINK("http://dx.doi.org/10.29051/el.v7iesp.2.15150","http://dx.doi.org/10.29051/el.v7iesp.2.15150")</f>
        <v>http://dx.doi.org/10.29051/el.v7iesp.2.15150</v>
      </c>
      <c r="BG1019" s="1"/>
      <c r="BH1019" s="1"/>
      <c r="BI1019" s="1"/>
      <c r="BJ1019" s="1"/>
      <c r="BK1019" s="1"/>
      <c r="BL1019" s="1"/>
      <c r="BM1019" s="1"/>
      <c r="BN1019" s="1"/>
      <c r="BO1019" s="1"/>
      <c r="BP1019" s="1"/>
      <c r="BQ1019" s="1"/>
      <c r="BR1019" s="1"/>
      <c r="BS1019" s="1" t="s">
        <v>6545</v>
      </c>
      <c r="BT1019" s="1" t="str">
        <f>HYPERLINK("https%3A%2F%2Fwww.webofscience.com%2Fwos%2Fwoscc%2Ffull-record%2FWOS:000659373500022","View Full Record in Web of Science")</f>
        <v>View Full Record in Web of Science</v>
      </c>
      <c r="BU1019" s="1"/>
      <c r="BV1019" s="1"/>
      <c r="BW1019" s="1"/>
    </row>
    <row r="1020" spans="1:75" customHeight="1" ht="12.75">
      <c r="A1020" s="1" t="s">
        <v>72</v>
      </c>
      <c r="B1020" s="1" t="s">
        <v>6546</v>
      </c>
      <c r="C1020" s="1"/>
      <c r="D1020" s="1"/>
      <c r="E1020" s="1"/>
      <c r="F1020" s="1" t="s">
        <v>6547</v>
      </c>
      <c r="G1020" s="1"/>
      <c r="H1020" s="1"/>
      <c r="I1020" s="1" t="s">
        <v>6548</v>
      </c>
      <c r="J1020" s="1" t="s">
        <v>6549</v>
      </c>
      <c r="K1020" s="1"/>
      <c r="L1020" s="1"/>
      <c r="M1020" s="1"/>
      <c r="N1020" s="1"/>
      <c r="O1020" s="1"/>
      <c r="P1020" s="1"/>
      <c r="Q1020" s="1"/>
      <c r="R1020" s="1"/>
      <c r="S1020" s="1"/>
      <c r="T1020" s="1"/>
      <c r="U1020" s="1"/>
      <c r="V1020" s="1"/>
      <c r="W1020" s="1"/>
      <c r="X1020" s="1"/>
      <c r="Y1020" s="1"/>
      <c r="Z1020" s="1"/>
      <c r="AA1020" s="1" t="s">
        <v>6550</v>
      </c>
      <c r="AB1020" s="1" t="s">
        <v>6551</v>
      </c>
      <c r="AC1020" s="1"/>
      <c r="AD1020" s="1"/>
      <c r="AE1020" s="1"/>
      <c r="AF1020" s="1"/>
      <c r="AG1020" s="1"/>
      <c r="AH1020" s="1"/>
      <c r="AI1020" s="1"/>
      <c r="AJ1020" s="1"/>
      <c r="AK1020" s="1"/>
      <c r="AL1020" s="1"/>
      <c r="AM1020" s="1"/>
      <c r="AN1020" s="1"/>
      <c r="AO1020" s="1" t="s">
        <v>6552</v>
      </c>
      <c r="AP1020" s="1"/>
      <c r="AQ1020" s="1"/>
      <c r="AR1020" s="1"/>
      <c r="AS1020" s="1"/>
      <c r="AT1020" s="1"/>
      <c r="AU1020" s="1">
        <v>2008</v>
      </c>
      <c r="AV1020" s="1"/>
      <c r="AW1020" s="1">
        <v>1</v>
      </c>
      <c r="AX1020" s="1"/>
      <c r="AY1020" s="1"/>
      <c r="AZ1020" s="1"/>
      <c r="BA1020" s="1"/>
      <c r="BB1020" s="1">
        <v>65</v>
      </c>
      <c r="BC1020" s="1">
        <v>70</v>
      </c>
      <c r="BD1020" s="1"/>
      <c r="BE1020" s="1"/>
      <c r="BF1020" s="1"/>
      <c r="BG1020" s="1"/>
      <c r="BH1020" s="1"/>
      <c r="BI1020" s="1"/>
      <c r="BJ1020" s="1"/>
      <c r="BK1020" s="1"/>
      <c r="BL1020" s="1"/>
      <c r="BM1020" s="1"/>
      <c r="BN1020" s="1"/>
      <c r="BO1020" s="1"/>
      <c r="BP1020" s="1"/>
      <c r="BQ1020" s="1"/>
      <c r="BR1020" s="1"/>
      <c r="BS1020" s="1" t="s">
        <v>6553</v>
      </c>
      <c r="BT1020" s="1" t="str">
        <f>HYPERLINK("https%3A%2F%2Fwww.webofscience.com%2Fwos%2Fwoscc%2Ffull-record%2FWOS:000254496200012","View Full Record in Web of Science")</f>
        <v>View Full Record in Web of Science</v>
      </c>
      <c r="BU1020" s="1"/>
      <c r="BV1020" s="1"/>
      <c r="BW1020" s="1"/>
    </row>
    <row r="1021" spans="1:75" customHeight="1" ht="12.75">
      <c r="A1021" s="1" t="s">
        <v>72</v>
      </c>
      <c r="B1021" s="1" t="s">
        <v>6554</v>
      </c>
      <c r="C1021" s="1"/>
      <c r="D1021" s="1"/>
      <c r="E1021" s="1"/>
      <c r="F1021" s="1" t="s">
        <v>6555</v>
      </c>
      <c r="G1021" s="1"/>
      <c r="H1021" s="1"/>
      <c r="I1021" s="1" t="s">
        <v>6556</v>
      </c>
      <c r="J1021" s="1" t="s">
        <v>4849</v>
      </c>
      <c r="K1021" s="1"/>
      <c r="L1021" s="1"/>
      <c r="M1021" s="1"/>
      <c r="N1021" s="1"/>
      <c r="O1021" s="1"/>
      <c r="P1021" s="1"/>
      <c r="Q1021" s="1"/>
      <c r="R1021" s="1"/>
      <c r="S1021" s="1"/>
      <c r="T1021" s="1"/>
      <c r="U1021" s="1"/>
      <c r="V1021" s="1"/>
      <c r="W1021" s="1"/>
      <c r="X1021" s="1"/>
      <c r="Y1021" s="1"/>
      <c r="Z1021" s="1"/>
      <c r="AA1021" s="1" t="s">
        <v>4850</v>
      </c>
      <c r="AB1021" s="1" t="s">
        <v>6557</v>
      </c>
      <c r="AC1021" s="1"/>
      <c r="AD1021" s="1"/>
      <c r="AE1021" s="1"/>
      <c r="AF1021" s="1"/>
      <c r="AG1021" s="1"/>
      <c r="AH1021" s="1"/>
      <c r="AI1021" s="1"/>
      <c r="AJ1021" s="1"/>
      <c r="AK1021" s="1"/>
      <c r="AL1021" s="1"/>
      <c r="AM1021" s="1"/>
      <c r="AN1021" s="1"/>
      <c r="AO1021" s="1" t="s">
        <v>4852</v>
      </c>
      <c r="AP1021" s="1" t="s">
        <v>4853</v>
      </c>
      <c r="AQ1021" s="1"/>
      <c r="AR1021" s="1"/>
      <c r="AS1021" s="1"/>
      <c r="AT1021" s="1" t="s">
        <v>491</v>
      </c>
      <c r="AU1021" s="1">
        <v>2023</v>
      </c>
      <c r="AV1021" s="1">
        <v>101</v>
      </c>
      <c r="AW1021" s="1">
        <v>6</v>
      </c>
      <c r="AX1021" s="1"/>
      <c r="AY1021" s="1"/>
      <c r="AZ1021" s="1"/>
      <c r="BA1021" s="1"/>
      <c r="BB1021" s="1">
        <v>623</v>
      </c>
      <c r="BC1021" s="1">
        <v>633</v>
      </c>
      <c r="BD1021" s="1"/>
      <c r="BE1021" s="1" t="s">
        <v>6558</v>
      </c>
      <c r="BF1021" s="1" t="str">
        <f>HYPERLINK("http://dx.doi.org/10.1111/tan.15007","http://dx.doi.org/10.1111/tan.15007")</f>
        <v>http://dx.doi.org/10.1111/tan.15007</v>
      </c>
      <c r="BG1021" s="1"/>
      <c r="BH1021" s="1" t="s">
        <v>5539</v>
      </c>
      <c r="BI1021" s="1"/>
      <c r="BJ1021" s="1"/>
      <c r="BK1021" s="1"/>
      <c r="BL1021" s="1"/>
      <c r="BM1021" s="1"/>
      <c r="BN1021" s="1">
        <v>36825428</v>
      </c>
      <c r="BO1021" s="1"/>
      <c r="BP1021" s="1"/>
      <c r="BQ1021" s="1"/>
      <c r="BR1021" s="1"/>
      <c r="BS1021" s="1" t="s">
        <v>6559</v>
      </c>
      <c r="BT1021" s="1" t="str">
        <f>HYPERLINK("https%3A%2F%2Fwww.webofscience.com%2Fwos%2Fwoscc%2Ffull-record%2FWOS:000943276600001","View Full Record in Web of Science")</f>
        <v>View Full Record in Web of Science</v>
      </c>
      <c r="BU1021" s="1"/>
      <c r="BV1021" s="1"/>
      <c r="BW1021" s="1"/>
    </row>
    <row r="1022" spans="1:75" customHeight="1" ht="12.75">
      <c r="A1022" s="1" t="s">
        <v>72</v>
      </c>
      <c r="B1022" s="1" t="s">
        <v>6560</v>
      </c>
      <c r="C1022" s="1"/>
      <c r="D1022" s="1"/>
      <c r="E1022" s="1"/>
      <c r="F1022" s="1" t="s">
        <v>6561</v>
      </c>
      <c r="G1022" s="1"/>
      <c r="H1022" s="1"/>
      <c r="I1022" s="1" t="s">
        <v>6562</v>
      </c>
      <c r="J1022" s="1" t="s">
        <v>95</v>
      </c>
      <c r="K1022" s="1"/>
      <c r="L1022" s="1"/>
      <c r="M1022" s="1"/>
      <c r="N1022" s="1"/>
      <c r="O1022" s="1"/>
      <c r="P1022" s="1"/>
      <c r="Q1022" s="1"/>
      <c r="R1022" s="1"/>
      <c r="S1022" s="1"/>
      <c r="T1022" s="1"/>
      <c r="U1022" s="1"/>
      <c r="V1022" s="1"/>
      <c r="W1022" s="1"/>
      <c r="X1022" s="1"/>
      <c r="Y1022" s="1"/>
      <c r="Z1022" s="1"/>
      <c r="AA1022" s="1" t="s">
        <v>6280</v>
      </c>
      <c r="AB1022" s="1" t="s">
        <v>6281</v>
      </c>
      <c r="AC1022" s="1"/>
      <c r="AD1022" s="1"/>
      <c r="AE1022" s="1"/>
      <c r="AF1022" s="1"/>
      <c r="AG1022" s="1"/>
      <c r="AH1022" s="1"/>
      <c r="AI1022" s="1"/>
      <c r="AJ1022" s="1"/>
      <c r="AK1022" s="1"/>
      <c r="AL1022" s="1"/>
      <c r="AM1022" s="1"/>
      <c r="AN1022" s="1"/>
      <c r="AO1022" s="1" t="s">
        <v>98</v>
      </c>
      <c r="AP1022" s="1" t="s">
        <v>99</v>
      </c>
      <c r="AQ1022" s="1"/>
      <c r="AR1022" s="1"/>
      <c r="AS1022" s="1"/>
      <c r="AT1022" s="1"/>
      <c r="AU1022" s="1">
        <v>2022</v>
      </c>
      <c r="AV1022" s="1"/>
      <c r="AW1022" s="1">
        <v>4</v>
      </c>
      <c r="AX1022" s="1"/>
      <c r="AY1022" s="1"/>
      <c r="AZ1022" s="1"/>
      <c r="BA1022" s="1"/>
      <c r="BB1022" s="1">
        <v>232</v>
      </c>
      <c r="BC1022" s="1">
        <v>237</v>
      </c>
      <c r="BD1022" s="1"/>
      <c r="BE1022" s="1" t="s">
        <v>6563</v>
      </c>
      <c r="BF1022" s="1" t="str">
        <f>HYPERLINK("http://dx.doi.org/10.25750/1995-4301-2022-4-232-239","http://dx.doi.org/10.25750/1995-4301-2022-4-232-239")</f>
        <v>http://dx.doi.org/10.25750/1995-4301-2022-4-232-239</v>
      </c>
      <c r="BG1022" s="1"/>
      <c r="BH1022" s="1"/>
      <c r="BI1022" s="1"/>
      <c r="BJ1022" s="1"/>
      <c r="BK1022" s="1"/>
      <c r="BL1022" s="1"/>
      <c r="BM1022" s="1"/>
      <c r="BN1022" s="1"/>
      <c r="BO1022" s="1"/>
      <c r="BP1022" s="1"/>
      <c r="BQ1022" s="1"/>
      <c r="BR1022" s="1"/>
      <c r="BS1022" s="1" t="s">
        <v>6564</v>
      </c>
      <c r="BT1022" s="1" t="str">
        <f>HYPERLINK("https%3A%2F%2Fwww.webofscience.com%2Fwos%2Fwoscc%2Ffull-record%2FWOS:000929704700031","View Full Record in Web of Science")</f>
        <v>View Full Record in Web of Science</v>
      </c>
      <c r="BU1022" s="1"/>
      <c r="BV1022" s="1"/>
      <c r="BW1022" s="1"/>
    </row>
    <row r="1023" spans="1:75" customHeight="1" ht="12.75">
      <c r="A1023" s="1" t="s">
        <v>72</v>
      </c>
      <c r="B1023" s="1" t="s">
        <v>6565</v>
      </c>
      <c r="C1023" s="1"/>
      <c r="D1023" s="1"/>
      <c r="E1023" s="1"/>
      <c r="F1023" s="1" t="s">
        <v>6566</v>
      </c>
      <c r="G1023" s="1"/>
      <c r="H1023" s="1"/>
      <c r="I1023" s="1" t="s">
        <v>6567</v>
      </c>
      <c r="J1023" s="1" t="s">
        <v>244</v>
      </c>
      <c r="K1023" s="1"/>
      <c r="L1023" s="1"/>
      <c r="M1023" s="1"/>
      <c r="N1023" s="1"/>
      <c r="O1023" s="1"/>
      <c r="P1023" s="1"/>
      <c r="Q1023" s="1"/>
      <c r="R1023" s="1"/>
      <c r="S1023" s="1"/>
      <c r="T1023" s="1"/>
      <c r="U1023" s="1"/>
      <c r="V1023" s="1"/>
      <c r="W1023" s="1"/>
      <c r="X1023" s="1"/>
      <c r="Y1023" s="1"/>
      <c r="Z1023" s="1"/>
      <c r="AA1023" s="1" t="s">
        <v>6568</v>
      </c>
      <c r="AB1023" s="1" t="s">
        <v>2966</v>
      </c>
      <c r="AC1023" s="1"/>
      <c r="AD1023" s="1"/>
      <c r="AE1023" s="1"/>
      <c r="AF1023" s="1"/>
      <c r="AG1023" s="1"/>
      <c r="AH1023" s="1"/>
      <c r="AI1023" s="1"/>
      <c r="AJ1023" s="1"/>
      <c r="AK1023" s="1"/>
      <c r="AL1023" s="1"/>
      <c r="AM1023" s="1"/>
      <c r="AN1023" s="1"/>
      <c r="AO1023" s="1" t="s">
        <v>245</v>
      </c>
      <c r="AP1023" s="1" t="s">
        <v>246</v>
      </c>
      <c r="AQ1023" s="1"/>
      <c r="AR1023" s="1"/>
      <c r="AS1023" s="1"/>
      <c r="AT1023" s="1"/>
      <c r="AU1023" s="1">
        <v>2019</v>
      </c>
      <c r="AV1023" s="1"/>
      <c r="AW1023" s="1">
        <v>11</v>
      </c>
      <c r="AX1023" s="1"/>
      <c r="AY1023" s="1"/>
      <c r="AZ1023" s="1"/>
      <c r="BA1023" s="1"/>
      <c r="BB1023" s="1">
        <v>102</v>
      </c>
      <c r="BC1023" s="1">
        <v>111</v>
      </c>
      <c r="BD1023" s="1"/>
      <c r="BE1023" s="1" t="s">
        <v>6569</v>
      </c>
      <c r="BF1023" s="1" t="str">
        <f>HYPERLINK("http://dx.doi.org/10.31166/VoprosyIstorii201911Statyi11","http://dx.doi.org/10.31166/VoprosyIstorii201911Statyi11")</f>
        <v>http://dx.doi.org/10.31166/VoprosyIstorii201911Statyi11</v>
      </c>
      <c r="BG1023" s="1"/>
      <c r="BH1023" s="1"/>
      <c r="BI1023" s="1"/>
      <c r="BJ1023" s="1"/>
      <c r="BK1023" s="1"/>
      <c r="BL1023" s="1"/>
      <c r="BM1023" s="1"/>
      <c r="BN1023" s="1"/>
      <c r="BO1023" s="1"/>
      <c r="BP1023" s="1"/>
      <c r="BQ1023" s="1"/>
      <c r="BR1023" s="1"/>
      <c r="BS1023" s="1" t="s">
        <v>6570</v>
      </c>
      <c r="BT1023" s="1" t="str">
        <f>HYPERLINK("https%3A%2F%2Fwww.webofscience.com%2Fwos%2Fwoscc%2Ffull-record%2FWOS:000504079400009","View Full Record in Web of Science")</f>
        <v>View Full Record in Web of Science</v>
      </c>
      <c r="BU1023" s="1"/>
      <c r="BV1023" s="1"/>
      <c r="BW1023" s="1"/>
    </row>
    <row r="1024" spans="1:75" customHeight="1" ht="12.75">
      <c r="A1024" s="1" t="s">
        <v>72</v>
      </c>
      <c r="B1024" s="1" t="s">
        <v>6571</v>
      </c>
      <c r="C1024" s="1"/>
      <c r="D1024" s="1"/>
      <c r="E1024" s="1"/>
      <c r="F1024" s="1" t="s">
        <v>6572</v>
      </c>
      <c r="G1024" s="1"/>
      <c r="H1024" s="1"/>
      <c r="I1024" s="1" t="s">
        <v>6573</v>
      </c>
      <c r="J1024" s="1" t="s">
        <v>716</v>
      </c>
      <c r="K1024" s="1"/>
      <c r="L1024" s="1"/>
      <c r="M1024" s="1"/>
      <c r="N1024" s="1"/>
      <c r="O1024" s="1"/>
      <c r="P1024" s="1"/>
      <c r="Q1024" s="1"/>
      <c r="R1024" s="1"/>
      <c r="S1024" s="1"/>
      <c r="T1024" s="1"/>
      <c r="U1024" s="1"/>
      <c r="V1024" s="1"/>
      <c r="W1024" s="1"/>
      <c r="X1024" s="1"/>
      <c r="Y1024" s="1"/>
      <c r="Z1024" s="1"/>
      <c r="AA1024" s="1" t="s">
        <v>6574</v>
      </c>
      <c r="AB1024" s="1" t="s">
        <v>6575</v>
      </c>
      <c r="AC1024" s="1"/>
      <c r="AD1024" s="1"/>
      <c r="AE1024" s="1"/>
      <c r="AF1024" s="1"/>
      <c r="AG1024" s="1"/>
      <c r="AH1024" s="1"/>
      <c r="AI1024" s="1"/>
      <c r="AJ1024" s="1"/>
      <c r="AK1024" s="1"/>
      <c r="AL1024" s="1"/>
      <c r="AM1024" s="1"/>
      <c r="AN1024" s="1"/>
      <c r="AO1024" s="1" t="s">
        <v>719</v>
      </c>
      <c r="AP1024" s="1" t="s">
        <v>720</v>
      </c>
      <c r="AQ1024" s="1"/>
      <c r="AR1024" s="1"/>
      <c r="AS1024" s="1"/>
      <c r="AT1024" s="1" t="s">
        <v>88</v>
      </c>
      <c r="AU1024" s="1">
        <v>2018</v>
      </c>
      <c r="AV1024" s="1"/>
      <c r="AW1024" s="1">
        <v>430</v>
      </c>
      <c r="AX1024" s="1"/>
      <c r="AY1024" s="1"/>
      <c r="AZ1024" s="1"/>
      <c r="BA1024" s="1"/>
      <c r="BB1024" s="1">
        <v>213</v>
      </c>
      <c r="BC1024" s="1">
        <v>218</v>
      </c>
      <c r="BD1024" s="1"/>
      <c r="BE1024" s="1" t="s">
        <v>6576</v>
      </c>
      <c r="BF1024" s="1" t="str">
        <f>HYPERLINK("http://dx.doi.org/10.17223/15617793/430/29","http://dx.doi.org/10.17223/15617793/430/29")</f>
        <v>http://dx.doi.org/10.17223/15617793/430/29</v>
      </c>
      <c r="BG1024" s="1"/>
      <c r="BH1024" s="1"/>
      <c r="BI1024" s="1"/>
      <c r="BJ1024" s="1"/>
      <c r="BK1024" s="1"/>
      <c r="BL1024" s="1"/>
      <c r="BM1024" s="1"/>
      <c r="BN1024" s="1"/>
      <c r="BO1024" s="1"/>
      <c r="BP1024" s="1"/>
      <c r="BQ1024" s="1"/>
      <c r="BR1024" s="1"/>
      <c r="BS1024" s="1" t="s">
        <v>6577</v>
      </c>
      <c r="BT1024" s="1" t="str">
        <f>HYPERLINK("https%3A%2F%2Fwww.webofscience.com%2Fwos%2Fwoscc%2Ffull-record%2FWOS:000438858600029","View Full Record in Web of Science")</f>
        <v>View Full Record in Web of Science</v>
      </c>
      <c r="BU1024" s="1"/>
      <c r="BV1024" s="1"/>
      <c r="BW1024" s="1"/>
    </row>
    <row r="1025" spans="1:75" customHeight="1" ht="12.75">
      <c r="A1025" s="1" t="s">
        <v>72</v>
      </c>
      <c r="B1025" s="1" t="s">
        <v>6578</v>
      </c>
      <c r="C1025" s="1"/>
      <c r="D1025" s="1"/>
      <c r="E1025" s="1"/>
      <c r="F1025" s="1" t="s">
        <v>6579</v>
      </c>
      <c r="G1025" s="1"/>
      <c r="H1025" s="1"/>
      <c r="I1025" s="1" t="s">
        <v>6580</v>
      </c>
      <c r="J1025" s="1" t="s">
        <v>4849</v>
      </c>
      <c r="K1025" s="1"/>
      <c r="L1025" s="1"/>
      <c r="M1025" s="1"/>
      <c r="N1025" s="1"/>
      <c r="O1025" s="1"/>
      <c r="P1025" s="1"/>
      <c r="Q1025" s="1"/>
      <c r="R1025" s="1"/>
      <c r="S1025" s="1"/>
      <c r="T1025" s="1"/>
      <c r="U1025" s="1"/>
      <c r="V1025" s="1"/>
      <c r="W1025" s="1"/>
      <c r="X1025" s="1"/>
      <c r="Y1025" s="1"/>
      <c r="Z1025" s="1"/>
      <c r="AA1025" s="1" t="s">
        <v>4850</v>
      </c>
      <c r="AB1025" s="1" t="s">
        <v>4851</v>
      </c>
      <c r="AC1025" s="1"/>
      <c r="AD1025" s="1"/>
      <c r="AE1025" s="1"/>
      <c r="AF1025" s="1"/>
      <c r="AG1025" s="1"/>
      <c r="AH1025" s="1"/>
      <c r="AI1025" s="1"/>
      <c r="AJ1025" s="1"/>
      <c r="AK1025" s="1"/>
      <c r="AL1025" s="1"/>
      <c r="AM1025" s="1"/>
      <c r="AN1025" s="1"/>
      <c r="AO1025" s="1" t="s">
        <v>4852</v>
      </c>
      <c r="AP1025" s="1" t="s">
        <v>4853</v>
      </c>
      <c r="AQ1025" s="1"/>
      <c r="AR1025" s="1"/>
      <c r="AS1025" s="1"/>
      <c r="AT1025" s="1" t="s">
        <v>491</v>
      </c>
      <c r="AU1025" s="1">
        <v>2022</v>
      </c>
      <c r="AV1025" s="1">
        <v>99</v>
      </c>
      <c r="AW1025" s="1">
        <v>6</v>
      </c>
      <c r="AX1025" s="1"/>
      <c r="AY1025" s="1"/>
      <c r="AZ1025" s="1"/>
      <c r="BA1025" s="1"/>
      <c r="BB1025" s="1">
        <v>619</v>
      </c>
      <c r="BC1025" s="1">
        <v>621</v>
      </c>
      <c r="BD1025" s="1" t="s">
        <v>6581</v>
      </c>
      <c r="BE1025" s="1" t="s">
        <v>6582</v>
      </c>
      <c r="BF1025" s="1" t="str">
        <f>HYPERLINK("http://dx.doi.org/10.1111/tan.14559","http://dx.doi.org/10.1111/tan.14559")</f>
        <v>http://dx.doi.org/10.1111/tan.14559</v>
      </c>
      <c r="BG1025" s="1"/>
      <c r="BH1025" s="1" t="s">
        <v>6583</v>
      </c>
      <c r="BI1025" s="1"/>
      <c r="BJ1025" s="1"/>
      <c r="BK1025" s="1"/>
      <c r="BL1025" s="1"/>
      <c r="BM1025" s="1"/>
      <c r="BN1025" s="1">
        <v>35064643</v>
      </c>
      <c r="BO1025" s="1"/>
      <c r="BP1025" s="1"/>
      <c r="BQ1025" s="1"/>
      <c r="BR1025" s="1"/>
      <c r="BS1025" s="1" t="s">
        <v>6584</v>
      </c>
      <c r="BT1025" s="1" t="str">
        <f>HYPERLINK("https%3A%2F%2Fwww.webofscience.com%2Fwos%2Fwoscc%2Ffull-record%2FWOS:000749651400001","View Full Record in Web of Science")</f>
        <v>View Full Record in Web of Science</v>
      </c>
      <c r="BU1025" s="1"/>
      <c r="BV1025" s="1"/>
      <c r="BW1025" s="1"/>
    </row>
    <row r="1026" spans="1:75" customHeight="1" ht="12.75">
      <c r="A1026" s="1" t="s">
        <v>72</v>
      </c>
      <c r="B1026" s="1" t="s">
        <v>6585</v>
      </c>
      <c r="C1026" s="1"/>
      <c r="D1026" s="1"/>
      <c r="E1026" s="1"/>
      <c r="F1026" s="1" t="s">
        <v>6586</v>
      </c>
      <c r="G1026" s="1"/>
      <c r="H1026" s="1"/>
      <c r="I1026" s="1" t="s">
        <v>6587</v>
      </c>
      <c r="J1026" s="1" t="s">
        <v>95</v>
      </c>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t="s">
        <v>98</v>
      </c>
      <c r="AP1026" s="1" t="s">
        <v>99</v>
      </c>
      <c r="AQ1026" s="1"/>
      <c r="AR1026" s="1"/>
      <c r="AS1026" s="1"/>
      <c r="AT1026" s="1"/>
      <c r="AU1026" s="1">
        <v>2022</v>
      </c>
      <c r="AV1026" s="1"/>
      <c r="AW1026" s="1">
        <v>4</v>
      </c>
      <c r="AX1026" s="1"/>
      <c r="AY1026" s="1"/>
      <c r="AZ1026" s="1"/>
      <c r="BA1026" s="1"/>
      <c r="BB1026" s="1">
        <v>88</v>
      </c>
      <c r="BC1026" s="1">
        <v>95</v>
      </c>
      <c r="BD1026" s="1"/>
      <c r="BE1026" s="1" t="s">
        <v>6588</v>
      </c>
      <c r="BF1026" s="1" t="str">
        <f>HYPERLINK("http://dx.doi.org/10.25750/1995-4301-2022-4-088-095","http://dx.doi.org/10.25750/1995-4301-2022-4-088-095")</f>
        <v>http://dx.doi.org/10.25750/1995-4301-2022-4-088-095</v>
      </c>
      <c r="BG1026" s="1"/>
      <c r="BH1026" s="1"/>
      <c r="BI1026" s="1"/>
      <c r="BJ1026" s="1"/>
      <c r="BK1026" s="1"/>
      <c r="BL1026" s="1"/>
      <c r="BM1026" s="1"/>
      <c r="BN1026" s="1"/>
      <c r="BO1026" s="1"/>
      <c r="BP1026" s="1"/>
      <c r="BQ1026" s="1"/>
      <c r="BR1026" s="1"/>
      <c r="BS1026" s="1" t="s">
        <v>6589</v>
      </c>
      <c r="BT1026" s="1" t="str">
        <f>HYPERLINK("https%3A%2F%2Fwww.webofscience.com%2Fwos%2Fwoscc%2Ffull-record%2FWOS:000929704700012","View Full Record in Web of Science")</f>
        <v>View Full Record in Web of Science</v>
      </c>
      <c r="BU1026" s="1"/>
      <c r="BV1026" s="1"/>
      <c r="BW1026" s="1"/>
    </row>
    <row r="1027" spans="1:75" customHeight="1" ht="12.75">
      <c r="A1027" s="1" t="s">
        <v>72</v>
      </c>
      <c r="B1027" s="1" t="s">
        <v>6590</v>
      </c>
      <c r="C1027" s="1"/>
      <c r="D1027" s="1"/>
      <c r="E1027" s="1"/>
      <c r="F1027" s="1" t="s">
        <v>6591</v>
      </c>
      <c r="G1027" s="1"/>
      <c r="H1027" s="1"/>
      <c r="I1027" s="1" t="s">
        <v>6592</v>
      </c>
      <c r="J1027" s="1" t="s">
        <v>166</v>
      </c>
      <c r="K1027" s="1"/>
      <c r="L1027" s="1"/>
      <c r="M1027" s="1"/>
      <c r="N1027" s="1"/>
      <c r="O1027" s="1"/>
      <c r="P1027" s="1"/>
      <c r="Q1027" s="1"/>
      <c r="R1027" s="1"/>
      <c r="S1027" s="1"/>
      <c r="T1027" s="1"/>
      <c r="U1027" s="1"/>
      <c r="V1027" s="1"/>
      <c r="W1027" s="1"/>
      <c r="X1027" s="1"/>
      <c r="Y1027" s="1"/>
      <c r="Z1027" s="1"/>
      <c r="AA1027" s="1" t="s">
        <v>6593</v>
      </c>
      <c r="AB1027" s="1" t="s">
        <v>6594</v>
      </c>
      <c r="AC1027" s="1"/>
      <c r="AD1027" s="1"/>
      <c r="AE1027" s="1"/>
      <c r="AF1027" s="1"/>
      <c r="AG1027" s="1"/>
      <c r="AH1027" s="1"/>
      <c r="AI1027" s="1"/>
      <c r="AJ1027" s="1"/>
      <c r="AK1027" s="1"/>
      <c r="AL1027" s="1"/>
      <c r="AM1027" s="1"/>
      <c r="AN1027" s="1"/>
      <c r="AO1027" s="1" t="s">
        <v>169</v>
      </c>
      <c r="AP1027" s="1" t="s">
        <v>170</v>
      </c>
      <c r="AQ1027" s="1"/>
      <c r="AR1027" s="1"/>
      <c r="AS1027" s="1"/>
      <c r="AT1027" s="1" t="s">
        <v>491</v>
      </c>
      <c r="AU1027" s="1">
        <v>2021</v>
      </c>
      <c r="AV1027" s="1">
        <v>10</v>
      </c>
      <c r="AW1027" s="1">
        <v>2</v>
      </c>
      <c r="AX1027" s="1"/>
      <c r="AY1027" s="1"/>
      <c r="AZ1027" s="1"/>
      <c r="BA1027" s="1"/>
      <c r="BB1027" s="1">
        <v>462</v>
      </c>
      <c r="BC1027" s="1">
        <v>475</v>
      </c>
      <c r="BD1027" s="1"/>
      <c r="BE1027" s="1" t="s">
        <v>6595</v>
      </c>
      <c r="BF1027" s="1" t="str">
        <f>HYPERLINK("http://dx.doi.org/10.13187/ejced.2021.2.462","http://dx.doi.org/10.13187/ejced.2021.2.462")</f>
        <v>http://dx.doi.org/10.13187/ejced.2021.2.462</v>
      </c>
      <c r="BG1027" s="1"/>
      <c r="BH1027" s="1"/>
      <c r="BI1027" s="1"/>
      <c r="BJ1027" s="1"/>
      <c r="BK1027" s="1"/>
      <c r="BL1027" s="1"/>
      <c r="BM1027" s="1"/>
      <c r="BN1027" s="1"/>
      <c r="BO1027" s="1"/>
      <c r="BP1027" s="1"/>
      <c r="BQ1027" s="1"/>
      <c r="BR1027" s="1"/>
      <c r="BS1027" s="1" t="s">
        <v>6596</v>
      </c>
      <c r="BT1027" s="1" t="str">
        <f>HYPERLINK("https%3A%2F%2Fwww.webofscience.com%2Fwos%2Fwoscc%2Ffull-record%2FWOS:000669658200014","View Full Record in Web of Science")</f>
        <v>View Full Record in Web of Science</v>
      </c>
      <c r="BU1027" s="1"/>
      <c r="BV1027" s="1"/>
      <c r="BW1027" s="1"/>
    </row>
    <row r="1028" spans="1:75" customHeight="1" ht="12.75">
      <c r="A1028" s="1" t="s">
        <v>72</v>
      </c>
      <c r="B1028" s="1" t="s">
        <v>6597</v>
      </c>
      <c r="C1028" s="1"/>
      <c r="D1028" s="1"/>
      <c r="E1028" s="1"/>
      <c r="F1028" s="1" t="s">
        <v>6598</v>
      </c>
      <c r="G1028" s="1"/>
      <c r="H1028" s="1"/>
      <c r="I1028" s="1" t="s">
        <v>6599</v>
      </c>
      <c r="J1028" s="1" t="s">
        <v>6600</v>
      </c>
      <c r="K1028" s="1"/>
      <c r="L1028" s="1"/>
      <c r="M1028" s="1"/>
      <c r="N1028" s="1"/>
      <c r="O1028" s="1"/>
      <c r="P1028" s="1"/>
      <c r="Q1028" s="1"/>
      <c r="R1028" s="1"/>
      <c r="S1028" s="1"/>
      <c r="T1028" s="1"/>
      <c r="U1028" s="1"/>
      <c r="V1028" s="1"/>
      <c r="W1028" s="1"/>
      <c r="X1028" s="1"/>
      <c r="Y1028" s="1"/>
      <c r="Z1028" s="1"/>
      <c r="AA1028" s="1" t="s">
        <v>6601</v>
      </c>
      <c r="AB1028" s="1" t="s">
        <v>6602</v>
      </c>
      <c r="AC1028" s="1"/>
      <c r="AD1028" s="1"/>
      <c r="AE1028" s="1"/>
      <c r="AF1028" s="1"/>
      <c r="AG1028" s="1"/>
      <c r="AH1028" s="1"/>
      <c r="AI1028" s="1"/>
      <c r="AJ1028" s="1"/>
      <c r="AK1028" s="1"/>
      <c r="AL1028" s="1"/>
      <c r="AM1028" s="1"/>
      <c r="AN1028" s="1"/>
      <c r="AO1028" s="1" t="s">
        <v>6603</v>
      </c>
      <c r="AP1028" s="1" t="s">
        <v>6604</v>
      </c>
      <c r="AQ1028" s="1"/>
      <c r="AR1028" s="1"/>
      <c r="AS1028" s="1"/>
      <c r="AT1028" s="1" t="s">
        <v>338</v>
      </c>
      <c r="AU1028" s="1">
        <v>2019</v>
      </c>
      <c r="AV1028" s="1">
        <v>9</v>
      </c>
      <c r="AW1028" s="1" t="s">
        <v>1639</v>
      </c>
      <c r="AX1028" s="1"/>
      <c r="AY1028" s="1"/>
      <c r="AZ1028" s="1"/>
      <c r="BA1028" s="1"/>
      <c r="BB1028" s="1">
        <v>437</v>
      </c>
      <c r="BC1028" s="1">
        <v>448</v>
      </c>
      <c r="BD1028" s="1"/>
      <c r="BE1028" s="1" t="s">
        <v>6605</v>
      </c>
      <c r="BF1028" s="1" t="str">
        <f>HYPERLINK("http://dx.doi.org/10.15789/2220-7619-2019-3-4-437-448","http://dx.doi.org/10.15789/2220-7619-2019-3-4-437-448")</f>
        <v>http://dx.doi.org/10.15789/2220-7619-2019-3-4-437-448</v>
      </c>
      <c r="BG1028" s="1"/>
      <c r="BH1028" s="1"/>
      <c r="BI1028" s="1"/>
      <c r="BJ1028" s="1"/>
      <c r="BK1028" s="1"/>
      <c r="BL1028" s="1"/>
      <c r="BM1028" s="1"/>
      <c r="BN1028" s="1"/>
      <c r="BO1028" s="1"/>
      <c r="BP1028" s="1"/>
      <c r="BQ1028" s="1"/>
      <c r="BR1028" s="1"/>
      <c r="BS1028" s="1" t="s">
        <v>6606</v>
      </c>
      <c r="BT1028" s="1" t="str">
        <f>HYPERLINK("https%3A%2F%2Fwww.webofscience.com%2Fwos%2Fwoscc%2Ffull-record%2FWOS:000497425100002","View Full Record in Web of Science")</f>
        <v>View Full Record in Web of Science</v>
      </c>
      <c r="BU1028" s="1"/>
      <c r="BV1028" s="1"/>
      <c r="BW1028" s="1"/>
    </row>
    <row r="1029" spans="1:75" customHeight="1" ht="12.75">
      <c r="A1029" s="1" t="s">
        <v>72</v>
      </c>
      <c r="B1029" s="1" t="s">
        <v>6607</v>
      </c>
      <c r="C1029" s="1"/>
      <c r="D1029" s="1"/>
      <c r="E1029" s="1"/>
      <c r="F1029" s="1" t="s">
        <v>6608</v>
      </c>
      <c r="G1029" s="1"/>
      <c r="H1029" s="1"/>
      <c r="I1029" s="1" t="s">
        <v>6609</v>
      </c>
      <c r="J1029" s="1" t="s">
        <v>6610</v>
      </c>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t="s">
        <v>6611</v>
      </c>
      <c r="AQ1029" s="1"/>
      <c r="AR1029" s="1"/>
      <c r="AS1029" s="1"/>
      <c r="AT1029" s="1"/>
      <c r="AU1029" s="1">
        <v>2019</v>
      </c>
      <c r="AV1029" s="1"/>
      <c r="AW1029" s="1">
        <v>1</v>
      </c>
      <c r="AX1029" s="1"/>
      <c r="AY1029" s="1"/>
      <c r="AZ1029" s="1"/>
      <c r="BA1029" s="1"/>
      <c r="BB1029" s="1">
        <v>75</v>
      </c>
      <c r="BC1029" s="1">
        <v>94</v>
      </c>
      <c r="BD1029" s="1"/>
      <c r="BE1029" s="1" t="s">
        <v>6612</v>
      </c>
      <c r="BF1029" s="1" t="str">
        <f>HYPERLINK("http://dx.doi.org/10.25178/nit.2019.1.6","http://dx.doi.org/10.25178/nit.2019.1.6")</f>
        <v>http://dx.doi.org/10.25178/nit.2019.1.6</v>
      </c>
      <c r="BG1029" s="1"/>
      <c r="BH1029" s="1"/>
      <c r="BI1029" s="1"/>
      <c r="BJ1029" s="1"/>
      <c r="BK1029" s="1"/>
      <c r="BL1029" s="1"/>
      <c r="BM1029" s="1"/>
      <c r="BN1029" s="1"/>
      <c r="BO1029" s="1"/>
      <c r="BP1029" s="1"/>
      <c r="BQ1029" s="1"/>
      <c r="BR1029" s="1"/>
      <c r="BS1029" s="1" t="s">
        <v>6613</v>
      </c>
      <c r="BT1029" s="1" t="str">
        <f>HYPERLINK("https%3A%2F%2Fwww.webofscience.com%2Fwos%2Fwoscc%2Ffull-record%2FWOS:000993913200006","View Full Record in Web of Science")</f>
        <v>View Full Record in Web of Science</v>
      </c>
      <c r="BU1029" s="1"/>
      <c r="BV1029" s="1"/>
      <c r="BW1029" s="1"/>
    </row>
    <row r="1030" spans="1:75" customHeight="1" ht="12.75">
      <c r="A1030" s="1" t="s">
        <v>72</v>
      </c>
      <c r="B1030" s="1" t="s">
        <v>6614</v>
      </c>
      <c r="C1030" s="1"/>
      <c r="D1030" s="1"/>
      <c r="E1030" s="1"/>
      <c r="F1030" s="1" t="s">
        <v>6615</v>
      </c>
      <c r="G1030" s="1"/>
      <c r="H1030" s="1"/>
      <c r="I1030" s="1" t="s">
        <v>6616</v>
      </c>
      <c r="J1030" s="1" t="s">
        <v>6617</v>
      </c>
      <c r="K1030" s="1"/>
      <c r="L1030" s="1"/>
      <c r="M1030" s="1"/>
      <c r="N1030" s="1"/>
      <c r="O1030" s="1"/>
      <c r="P1030" s="1"/>
      <c r="Q1030" s="1"/>
      <c r="R1030" s="1"/>
      <c r="S1030" s="1"/>
      <c r="T1030" s="1"/>
      <c r="U1030" s="1"/>
      <c r="V1030" s="1"/>
      <c r="W1030" s="1"/>
      <c r="X1030" s="1"/>
      <c r="Y1030" s="1"/>
      <c r="Z1030" s="1"/>
      <c r="AA1030" s="1" t="s">
        <v>6618</v>
      </c>
      <c r="AB1030" s="1" t="s">
        <v>6619</v>
      </c>
      <c r="AC1030" s="1"/>
      <c r="AD1030" s="1"/>
      <c r="AE1030" s="1"/>
      <c r="AF1030" s="1"/>
      <c r="AG1030" s="1"/>
      <c r="AH1030" s="1"/>
      <c r="AI1030" s="1"/>
      <c r="AJ1030" s="1"/>
      <c r="AK1030" s="1"/>
      <c r="AL1030" s="1"/>
      <c r="AM1030" s="1"/>
      <c r="AN1030" s="1"/>
      <c r="AO1030" s="1" t="s">
        <v>6620</v>
      </c>
      <c r="AP1030" s="1" t="s">
        <v>6621</v>
      </c>
      <c r="AQ1030" s="1"/>
      <c r="AR1030" s="1"/>
      <c r="AS1030" s="1"/>
      <c r="AT1030" s="1"/>
      <c r="AU1030" s="1">
        <v>2019</v>
      </c>
      <c r="AV1030" s="1">
        <v>8</v>
      </c>
      <c r="AW1030" s="1">
        <v>2</v>
      </c>
      <c r="AX1030" s="1"/>
      <c r="AY1030" s="1"/>
      <c r="AZ1030" s="1"/>
      <c r="BA1030" s="1"/>
      <c r="BB1030" s="1">
        <v>438</v>
      </c>
      <c r="BC1030" s="1">
        <v>446</v>
      </c>
      <c r="BD1030" s="1"/>
      <c r="BE1030" s="1" t="s">
        <v>6622</v>
      </c>
      <c r="BF1030" s="1" t="str">
        <f>HYPERLINK("http://dx.doi.org/10.17150/2308-6203.2019.8(2).438-446","http://dx.doi.org/10.17150/2308-6203.2019.8(2).438-446")</f>
        <v>http://dx.doi.org/10.17150/2308-6203.2019.8(2).438-446</v>
      </c>
      <c r="BG1030" s="1"/>
      <c r="BH1030" s="1"/>
      <c r="BI1030" s="1"/>
      <c r="BJ1030" s="1"/>
      <c r="BK1030" s="1"/>
      <c r="BL1030" s="1"/>
      <c r="BM1030" s="1"/>
      <c r="BN1030" s="1"/>
      <c r="BO1030" s="1"/>
      <c r="BP1030" s="1"/>
      <c r="BQ1030" s="1"/>
      <c r="BR1030" s="1"/>
      <c r="BS1030" s="1" t="s">
        <v>6623</v>
      </c>
      <c r="BT1030" s="1" t="str">
        <f>HYPERLINK("https%3A%2F%2Fwww.webofscience.com%2Fwos%2Fwoscc%2Ffull-record%2FWOS:000468390900016","View Full Record in Web of Science")</f>
        <v>View Full Record in Web of Science</v>
      </c>
      <c r="BU1030" s="1"/>
      <c r="BV1030" s="1"/>
      <c r="BW1030" s="1"/>
    </row>
    <row r="1031" spans="1:75" customHeight="1" ht="12.75">
      <c r="A1031" s="1" t="s">
        <v>72</v>
      </c>
      <c r="B1031" s="1" t="s">
        <v>6624</v>
      </c>
      <c r="C1031" s="1"/>
      <c r="D1031" s="1"/>
      <c r="E1031" s="1"/>
      <c r="F1031" s="1" t="s">
        <v>6625</v>
      </c>
      <c r="G1031" s="1"/>
      <c r="H1031" s="1"/>
      <c r="I1031" s="1" t="s">
        <v>6626</v>
      </c>
      <c r="J1031" s="1" t="s">
        <v>4849</v>
      </c>
      <c r="K1031" s="1"/>
      <c r="L1031" s="1"/>
      <c r="M1031" s="1"/>
      <c r="N1031" s="1"/>
      <c r="O1031" s="1"/>
      <c r="P1031" s="1"/>
      <c r="Q1031" s="1"/>
      <c r="R1031" s="1"/>
      <c r="S1031" s="1"/>
      <c r="T1031" s="1"/>
      <c r="U1031" s="1"/>
      <c r="V1031" s="1"/>
      <c r="W1031" s="1"/>
      <c r="X1031" s="1"/>
      <c r="Y1031" s="1"/>
      <c r="Z1031" s="1"/>
      <c r="AA1031" s="1" t="s">
        <v>4850</v>
      </c>
      <c r="AB1031" s="1" t="s">
        <v>4851</v>
      </c>
      <c r="AC1031" s="1"/>
      <c r="AD1031" s="1"/>
      <c r="AE1031" s="1"/>
      <c r="AF1031" s="1"/>
      <c r="AG1031" s="1"/>
      <c r="AH1031" s="1"/>
      <c r="AI1031" s="1"/>
      <c r="AJ1031" s="1"/>
      <c r="AK1031" s="1"/>
      <c r="AL1031" s="1"/>
      <c r="AM1031" s="1"/>
      <c r="AN1031" s="1"/>
      <c r="AO1031" s="1" t="s">
        <v>4852</v>
      </c>
      <c r="AP1031" s="1" t="s">
        <v>4853</v>
      </c>
      <c r="AQ1031" s="1"/>
      <c r="AR1031" s="1"/>
      <c r="AS1031" s="1"/>
      <c r="AT1031" s="1" t="s">
        <v>491</v>
      </c>
      <c r="AU1031" s="1">
        <v>2023</v>
      </c>
      <c r="AV1031" s="1">
        <v>101</v>
      </c>
      <c r="AW1031" s="1">
        <v>6</v>
      </c>
      <c r="AX1031" s="1"/>
      <c r="AY1031" s="1"/>
      <c r="AZ1031" s="1"/>
      <c r="BA1031" s="1"/>
      <c r="BB1031" s="1">
        <v>704</v>
      </c>
      <c r="BC1031" s="1">
        <v>705</v>
      </c>
      <c r="BD1031" s="1"/>
      <c r="BE1031" s="1" t="s">
        <v>6627</v>
      </c>
      <c r="BF1031" s="1" t="str">
        <f>HYPERLINK("http://dx.doi.org/10.1111/tan.14965","http://dx.doi.org/10.1111/tan.14965")</f>
        <v>http://dx.doi.org/10.1111/tan.14965</v>
      </c>
      <c r="BG1031" s="1"/>
      <c r="BH1031" s="1" t="s">
        <v>6093</v>
      </c>
      <c r="BI1031" s="1"/>
      <c r="BJ1031" s="1"/>
      <c r="BK1031" s="1"/>
      <c r="BL1031" s="1"/>
      <c r="BM1031" s="1"/>
      <c r="BN1031" s="1">
        <v>36604157</v>
      </c>
      <c r="BO1031" s="1"/>
      <c r="BP1031" s="1"/>
      <c r="BQ1031" s="1"/>
      <c r="BR1031" s="1"/>
      <c r="BS1031" s="1" t="s">
        <v>6628</v>
      </c>
      <c r="BT1031" s="1" t="str">
        <f>HYPERLINK("https%3A%2F%2Fwww.webofscience.com%2Fwos%2Fwoscc%2Ffull-record%2FWOS:000911908900001","View Full Record in Web of Science")</f>
        <v>View Full Record in Web of Science</v>
      </c>
      <c r="BU1031" s="1"/>
      <c r="BV1031" s="1"/>
      <c r="BW1031" s="1"/>
    </row>
    <row r="1032" spans="1:75" customHeight="1" ht="12.75">
      <c r="A1032" s="1" t="s">
        <v>72</v>
      </c>
      <c r="B1032" s="1" t="s">
        <v>6629</v>
      </c>
      <c r="C1032" s="1"/>
      <c r="D1032" s="1"/>
      <c r="E1032" s="1"/>
      <c r="F1032" s="1" t="s">
        <v>6630</v>
      </c>
      <c r="G1032" s="1"/>
      <c r="H1032" s="1"/>
      <c r="I1032" s="1" t="s">
        <v>6631</v>
      </c>
      <c r="J1032" s="1" t="s">
        <v>4849</v>
      </c>
      <c r="K1032" s="1"/>
      <c r="L1032" s="1"/>
      <c r="M1032" s="1"/>
      <c r="N1032" s="1"/>
      <c r="O1032" s="1"/>
      <c r="P1032" s="1"/>
      <c r="Q1032" s="1"/>
      <c r="R1032" s="1"/>
      <c r="S1032" s="1"/>
      <c r="T1032" s="1"/>
      <c r="U1032" s="1"/>
      <c r="V1032" s="1"/>
      <c r="W1032" s="1"/>
      <c r="X1032" s="1"/>
      <c r="Y1032" s="1"/>
      <c r="Z1032" s="1"/>
      <c r="AA1032" s="1" t="s">
        <v>4850</v>
      </c>
      <c r="AB1032" s="1" t="s">
        <v>6632</v>
      </c>
      <c r="AC1032" s="1"/>
      <c r="AD1032" s="1"/>
      <c r="AE1032" s="1"/>
      <c r="AF1032" s="1"/>
      <c r="AG1032" s="1"/>
      <c r="AH1032" s="1"/>
      <c r="AI1032" s="1"/>
      <c r="AJ1032" s="1"/>
      <c r="AK1032" s="1"/>
      <c r="AL1032" s="1"/>
      <c r="AM1032" s="1"/>
      <c r="AN1032" s="1"/>
      <c r="AO1032" s="1" t="s">
        <v>4852</v>
      </c>
      <c r="AP1032" s="1" t="s">
        <v>4853</v>
      </c>
      <c r="AQ1032" s="1"/>
      <c r="AR1032" s="1"/>
      <c r="AS1032" s="1"/>
      <c r="AT1032" s="1" t="s">
        <v>491</v>
      </c>
      <c r="AU1032" s="1">
        <v>2023</v>
      </c>
      <c r="AV1032" s="1">
        <v>101</v>
      </c>
      <c r="AW1032" s="1">
        <v>6</v>
      </c>
      <c r="AX1032" s="1"/>
      <c r="AY1032" s="1"/>
      <c r="AZ1032" s="1"/>
      <c r="BA1032" s="1"/>
      <c r="BB1032" s="1">
        <v>670</v>
      </c>
      <c r="BC1032" s="1">
        <v>671</v>
      </c>
      <c r="BD1032" s="1"/>
      <c r="BE1032" s="1" t="s">
        <v>6633</v>
      </c>
      <c r="BF1032" s="1" t="str">
        <f>HYPERLINK("http://dx.doi.org/10.1111/tan.14962","http://dx.doi.org/10.1111/tan.14962")</f>
        <v>http://dx.doi.org/10.1111/tan.14962</v>
      </c>
      <c r="BG1032" s="1"/>
      <c r="BH1032" s="1" t="s">
        <v>6093</v>
      </c>
      <c r="BI1032" s="1"/>
      <c r="BJ1032" s="1"/>
      <c r="BK1032" s="1"/>
      <c r="BL1032" s="1"/>
      <c r="BM1032" s="1"/>
      <c r="BN1032" s="1">
        <v>36593647</v>
      </c>
      <c r="BO1032" s="1"/>
      <c r="BP1032" s="1"/>
      <c r="BQ1032" s="1"/>
      <c r="BR1032" s="1"/>
      <c r="BS1032" s="1" t="s">
        <v>6634</v>
      </c>
      <c r="BT1032" s="1" t="str">
        <f>HYPERLINK("https%3A%2F%2Fwww.webofscience.com%2Fwos%2Fwoscc%2Ffull-record%2FWOS:000908076200001","View Full Record in Web of Science")</f>
        <v>View Full Record in Web of Science</v>
      </c>
      <c r="BU1032" s="1"/>
      <c r="BV1032" s="1"/>
      <c r="BW1032" s="1"/>
    </row>
    <row r="1033" spans="1:75" customHeight="1" ht="12.75">
      <c r="A1033" s="1" t="s">
        <v>72</v>
      </c>
      <c r="B1033" s="1" t="s">
        <v>6635</v>
      </c>
      <c r="C1033" s="1"/>
      <c r="D1033" s="1"/>
      <c r="E1033" s="1"/>
      <c r="F1033" s="1" t="s">
        <v>6636</v>
      </c>
      <c r="G1033" s="1"/>
      <c r="H1033" s="1"/>
      <c r="I1033" s="1" t="s">
        <v>6637</v>
      </c>
      <c r="J1033" s="1" t="s">
        <v>95</v>
      </c>
      <c r="K1033" s="1"/>
      <c r="L1033" s="1"/>
      <c r="M1033" s="1"/>
      <c r="N1033" s="1"/>
      <c r="O1033" s="1"/>
      <c r="P1033" s="1"/>
      <c r="Q1033" s="1"/>
      <c r="R1033" s="1"/>
      <c r="S1033" s="1"/>
      <c r="T1033" s="1"/>
      <c r="U1033" s="1"/>
      <c r="V1033" s="1"/>
      <c r="W1033" s="1"/>
      <c r="X1033" s="1"/>
      <c r="Y1033" s="1"/>
      <c r="Z1033" s="1"/>
      <c r="AA1033" s="1" t="s">
        <v>5529</v>
      </c>
      <c r="AB1033" s="1" t="s">
        <v>5530</v>
      </c>
      <c r="AC1033" s="1"/>
      <c r="AD1033" s="1"/>
      <c r="AE1033" s="1"/>
      <c r="AF1033" s="1"/>
      <c r="AG1033" s="1"/>
      <c r="AH1033" s="1"/>
      <c r="AI1033" s="1"/>
      <c r="AJ1033" s="1"/>
      <c r="AK1033" s="1"/>
      <c r="AL1033" s="1"/>
      <c r="AM1033" s="1"/>
      <c r="AN1033" s="1"/>
      <c r="AO1033" s="1" t="s">
        <v>98</v>
      </c>
      <c r="AP1033" s="1" t="s">
        <v>99</v>
      </c>
      <c r="AQ1033" s="1"/>
      <c r="AR1033" s="1"/>
      <c r="AS1033" s="1"/>
      <c r="AT1033" s="1"/>
      <c r="AU1033" s="1">
        <v>2021</v>
      </c>
      <c r="AV1033" s="1"/>
      <c r="AW1033" s="1">
        <v>4</v>
      </c>
      <c r="AX1033" s="1"/>
      <c r="AY1033" s="1"/>
      <c r="AZ1033" s="1"/>
      <c r="BA1033" s="1"/>
      <c r="BB1033" s="1">
        <v>241</v>
      </c>
      <c r="BC1033" s="1">
        <v>242</v>
      </c>
      <c r="BD1033" s="1"/>
      <c r="BE1033" s="1"/>
      <c r="BF1033" s="1"/>
      <c r="BG1033" s="1"/>
      <c r="BH1033" s="1"/>
      <c r="BI1033" s="1"/>
      <c r="BJ1033" s="1"/>
      <c r="BK1033" s="1"/>
      <c r="BL1033" s="1"/>
      <c r="BM1033" s="1"/>
      <c r="BN1033" s="1"/>
      <c r="BO1033" s="1"/>
      <c r="BP1033" s="1"/>
      <c r="BQ1033" s="1"/>
      <c r="BR1033" s="1"/>
      <c r="BS1033" s="1" t="s">
        <v>6638</v>
      </c>
      <c r="BT1033" s="1" t="str">
        <f>HYPERLINK("https%3A%2F%2Fwww.webofscience.com%2Fwos%2Fwoscc%2Ffull-record%2FWOS:000755154100036","View Full Record in Web of Science")</f>
        <v>View Full Record in Web of Science</v>
      </c>
      <c r="BU1033" s="1"/>
      <c r="BV1033" s="1"/>
      <c r="BW1033" s="1"/>
    </row>
    <row r="1034" spans="1:75" customHeight="1" ht="12.75">
      <c r="A1034" s="1" t="s">
        <v>72</v>
      </c>
      <c r="B1034" s="1" t="s">
        <v>6639</v>
      </c>
      <c r="C1034" s="1"/>
      <c r="D1034" s="1"/>
      <c r="E1034" s="1"/>
      <c r="F1034" s="1" t="s">
        <v>6640</v>
      </c>
      <c r="G1034" s="1"/>
      <c r="H1034" s="1"/>
      <c r="I1034" s="1" t="s">
        <v>6641</v>
      </c>
      <c r="J1034" s="1" t="s">
        <v>793</v>
      </c>
      <c r="K1034" s="1"/>
      <c r="L1034" s="1"/>
      <c r="M1034" s="1"/>
      <c r="N1034" s="1"/>
      <c r="O1034" s="1"/>
      <c r="P1034" s="1"/>
      <c r="Q1034" s="1"/>
      <c r="R1034" s="1"/>
      <c r="S1034" s="1"/>
      <c r="T1034" s="1"/>
      <c r="U1034" s="1"/>
      <c r="V1034" s="1"/>
      <c r="W1034" s="1"/>
      <c r="X1034" s="1"/>
      <c r="Y1034" s="1"/>
      <c r="Z1034" s="1"/>
      <c r="AA1034" s="1" t="s">
        <v>6642</v>
      </c>
      <c r="AB1034" s="1" t="s">
        <v>6643</v>
      </c>
      <c r="AC1034" s="1"/>
      <c r="AD1034" s="1"/>
      <c r="AE1034" s="1"/>
      <c r="AF1034" s="1"/>
      <c r="AG1034" s="1"/>
      <c r="AH1034" s="1"/>
      <c r="AI1034" s="1"/>
      <c r="AJ1034" s="1"/>
      <c r="AK1034" s="1"/>
      <c r="AL1034" s="1"/>
      <c r="AM1034" s="1"/>
      <c r="AN1034" s="1"/>
      <c r="AO1034" s="1" t="s">
        <v>795</v>
      </c>
      <c r="AP1034" s="1" t="s">
        <v>796</v>
      </c>
      <c r="AQ1034" s="1"/>
      <c r="AR1034" s="1"/>
      <c r="AS1034" s="1"/>
      <c r="AT1034" s="1" t="s">
        <v>830</v>
      </c>
      <c r="AU1034" s="1">
        <v>2015</v>
      </c>
      <c r="AV1034" s="1">
        <v>8</v>
      </c>
      <c r="AW1034" s="1">
        <v>5</v>
      </c>
      <c r="AX1034" s="1"/>
      <c r="AY1034" s="1"/>
      <c r="AZ1034" s="1"/>
      <c r="BA1034" s="1"/>
      <c r="BB1034" s="1">
        <v>541</v>
      </c>
      <c r="BC1034" s="1">
        <v>549</v>
      </c>
      <c r="BD1034" s="1"/>
      <c r="BE1034" s="1" t="s">
        <v>6644</v>
      </c>
      <c r="BF1034" s="1" t="str">
        <f>HYPERLINK("http://dx.doi.org/10.1134/S1995425515050121","http://dx.doi.org/10.1134/S1995425515050121")</f>
        <v>http://dx.doi.org/10.1134/S1995425515050121</v>
      </c>
      <c r="BG1034" s="1"/>
      <c r="BH1034" s="1"/>
      <c r="BI1034" s="1"/>
      <c r="BJ1034" s="1"/>
      <c r="BK1034" s="1"/>
      <c r="BL1034" s="1"/>
      <c r="BM1034" s="1"/>
      <c r="BN1034" s="1"/>
      <c r="BO1034" s="1"/>
      <c r="BP1034" s="1"/>
      <c r="BQ1034" s="1"/>
      <c r="BR1034" s="1"/>
      <c r="BS1034" s="1" t="s">
        <v>6645</v>
      </c>
      <c r="BT1034" s="1" t="str">
        <f>HYPERLINK("https%3A%2F%2Fwww.webofscience.com%2Fwos%2Fwoscc%2Ffull-record%2FWOS:000363241200001","View Full Record in Web of Science")</f>
        <v>View Full Record in Web of Science</v>
      </c>
      <c r="BU1034" s="1"/>
      <c r="BV1034" s="1"/>
      <c r="BW1034" s="1"/>
    </row>
    <row r="1035" spans="1:75" customHeight="1" ht="12.75">
      <c r="A1035" s="1" t="s">
        <v>72</v>
      </c>
      <c r="B1035" s="1" t="s">
        <v>378</v>
      </c>
      <c r="C1035" s="1"/>
      <c r="D1035" s="1"/>
      <c r="E1035" s="1"/>
      <c r="F1035" s="1" t="s">
        <v>2100</v>
      </c>
      <c r="G1035" s="1"/>
      <c r="H1035" s="1"/>
      <c r="I1035" s="1" t="s">
        <v>6646</v>
      </c>
      <c r="J1035" s="1" t="s">
        <v>5086</v>
      </c>
      <c r="K1035" s="1"/>
      <c r="L1035" s="1"/>
      <c r="M1035" s="1"/>
      <c r="N1035" s="1"/>
      <c r="O1035" s="1"/>
      <c r="P1035" s="1"/>
      <c r="Q1035" s="1"/>
      <c r="R1035" s="1"/>
      <c r="S1035" s="1"/>
      <c r="T1035" s="1"/>
      <c r="U1035" s="1"/>
      <c r="V1035" s="1"/>
      <c r="W1035" s="1"/>
      <c r="X1035" s="1"/>
      <c r="Y1035" s="1"/>
      <c r="Z1035" s="1"/>
      <c r="AA1035" s="1" t="s">
        <v>553</v>
      </c>
      <c r="AB1035" s="1" t="s">
        <v>554</v>
      </c>
      <c r="AC1035" s="1"/>
      <c r="AD1035" s="1"/>
      <c r="AE1035" s="1"/>
      <c r="AF1035" s="1"/>
      <c r="AG1035" s="1"/>
      <c r="AH1035" s="1"/>
      <c r="AI1035" s="1"/>
      <c r="AJ1035" s="1"/>
      <c r="AK1035" s="1"/>
      <c r="AL1035" s="1"/>
      <c r="AM1035" s="1"/>
      <c r="AN1035" s="1"/>
      <c r="AO1035" s="1" t="s">
        <v>5087</v>
      </c>
      <c r="AP1035" s="1" t="s">
        <v>5088</v>
      </c>
      <c r="AQ1035" s="1"/>
      <c r="AR1035" s="1"/>
      <c r="AS1035" s="1"/>
      <c r="AT1035" s="1" t="s">
        <v>491</v>
      </c>
      <c r="AU1035" s="1">
        <v>2021</v>
      </c>
      <c r="AV1035" s="1">
        <v>9</v>
      </c>
      <c r="AW1035" s="1">
        <v>6</v>
      </c>
      <c r="AX1035" s="1"/>
      <c r="AY1035" s="1"/>
      <c r="AZ1035" s="1"/>
      <c r="BA1035" s="1"/>
      <c r="BB1035" s="1">
        <v>13773</v>
      </c>
      <c r="BC1035" s="1">
        <v>13779</v>
      </c>
      <c r="BD1035" s="1"/>
      <c r="BE1035" s="1" t="s">
        <v>6647</v>
      </c>
      <c r="BF1035" s="1" t="str">
        <f>HYPERLINK("http://dx.doi.org/10.22038/ijp.2021.57347.4500","http://dx.doi.org/10.22038/ijp.2021.57347.4500")</f>
        <v>http://dx.doi.org/10.22038/ijp.2021.57347.4500</v>
      </c>
      <c r="BG1035" s="1"/>
      <c r="BH1035" s="1"/>
      <c r="BI1035" s="1"/>
      <c r="BJ1035" s="1"/>
      <c r="BK1035" s="1"/>
      <c r="BL1035" s="1"/>
      <c r="BM1035" s="1"/>
      <c r="BN1035" s="1"/>
      <c r="BO1035" s="1"/>
      <c r="BP1035" s="1"/>
      <c r="BQ1035" s="1"/>
      <c r="BR1035" s="1"/>
      <c r="BS1035" s="1" t="s">
        <v>6648</v>
      </c>
      <c r="BT1035" s="1" t="str">
        <f>HYPERLINK("https%3A%2F%2Fwww.webofscience.com%2Fwos%2Fwoscc%2Ffull-record%2FWOS:000652648300023","View Full Record in Web of Science")</f>
        <v>View Full Record in Web of Science</v>
      </c>
      <c r="BU1035" s="1"/>
      <c r="BV1035" s="1"/>
      <c r="BW1035" s="1"/>
    </row>
    <row r="1036" spans="1:75" customHeight="1" ht="12.75">
      <c r="A1036" s="1" t="s">
        <v>72</v>
      </c>
      <c r="B1036" s="1" t="s">
        <v>6649</v>
      </c>
      <c r="C1036" s="1"/>
      <c r="D1036" s="1"/>
      <c r="E1036" s="1"/>
      <c r="F1036" s="1" t="s">
        <v>6649</v>
      </c>
      <c r="G1036" s="1"/>
      <c r="H1036" s="1"/>
      <c r="I1036" s="1" t="s">
        <v>6650</v>
      </c>
      <c r="J1036" s="1" t="s">
        <v>6308</v>
      </c>
      <c r="K1036" s="1"/>
      <c r="L1036" s="1"/>
      <c r="M1036" s="1"/>
      <c r="N1036" s="1"/>
      <c r="O1036" s="1"/>
      <c r="P1036" s="1"/>
      <c r="Q1036" s="1"/>
      <c r="R1036" s="1"/>
      <c r="S1036" s="1"/>
      <c r="T1036" s="1"/>
      <c r="U1036" s="1"/>
      <c r="V1036" s="1"/>
      <c r="W1036" s="1"/>
      <c r="X1036" s="1"/>
      <c r="Y1036" s="1"/>
      <c r="Z1036" s="1"/>
      <c r="AA1036" s="1" t="s">
        <v>5066</v>
      </c>
      <c r="AB1036" s="1" t="s">
        <v>5067</v>
      </c>
      <c r="AC1036" s="1"/>
      <c r="AD1036" s="1"/>
      <c r="AE1036" s="1"/>
      <c r="AF1036" s="1"/>
      <c r="AG1036" s="1"/>
      <c r="AH1036" s="1"/>
      <c r="AI1036" s="1"/>
      <c r="AJ1036" s="1"/>
      <c r="AK1036" s="1"/>
      <c r="AL1036" s="1"/>
      <c r="AM1036" s="1"/>
      <c r="AN1036" s="1"/>
      <c r="AO1036" s="1" t="s">
        <v>6311</v>
      </c>
      <c r="AP1036" s="1"/>
      <c r="AQ1036" s="1"/>
      <c r="AR1036" s="1"/>
      <c r="AS1036" s="1"/>
      <c r="AT1036" s="1" t="s">
        <v>655</v>
      </c>
      <c r="AU1036" s="1">
        <v>1998</v>
      </c>
      <c r="AV1036" s="1">
        <v>358</v>
      </c>
      <c r="AW1036" s="1">
        <v>5</v>
      </c>
      <c r="AX1036" s="1"/>
      <c r="AY1036" s="1"/>
      <c r="AZ1036" s="1"/>
      <c r="BA1036" s="1"/>
      <c r="BB1036" s="1">
        <v>695</v>
      </c>
      <c r="BC1036" s="1">
        <v>698</v>
      </c>
      <c r="BD1036" s="1"/>
      <c r="BE1036" s="1"/>
      <c r="BF1036" s="1"/>
      <c r="BG1036" s="1"/>
      <c r="BH1036" s="1"/>
      <c r="BI1036" s="1"/>
      <c r="BJ1036" s="1"/>
      <c r="BK1036" s="1"/>
      <c r="BL1036" s="1"/>
      <c r="BM1036" s="1"/>
      <c r="BN1036" s="1">
        <v>9541808</v>
      </c>
      <c r="BO1036" s="1"/>
      <c r="BP1036" s="1"/>
      <c r="BQ1036" s="1"/>
      <c r="BR1036" s="1"/>
      <c r="BS1036" s="1" t="s">
        <v>6651</v>
      </c>
      <c r="BT1036" s="1" t="str">
        <f>HYPERLINK("https%3A%2F%2Fwww.webofscience.com%2Fwos%2Fwoscc%2Ffull-record%2FWOS:000072655200032","View Full Record in Web of Science")</f>
        <v>View Full Record in Web of Science</v>
      </c>
      <c r="BU1036" s="1"/>
      <c r="BV1036" s="1"/>
      <c r="BW1036" s="1"/>
    </row>
    <row r="1037" spans="1:75" customHeight="1" ht="12.75">
      <c r="A1037" s="1" t="s">
        <v>72</v>
      </c>
      <c r="B1037" s="1" t="s">
        <v>6652</v>
      </c>
      <c r="C1037" s="1"/>
      <c r="D1037" s="1"/>
      <c r="E1037" s="1"/>
      <c r="F1037" s="1" t="s">
        <v>6653</v>
      </c>
      <c r="G1037" s="1"/>
      <c r="H1037" s="1"/>
      <c r="I1037" s="1" t="s">
        <v>6654</v>
      </c>
      <c r="J1037" s="1" t="s">
        <v>325</v>
      </c>
      <c r="K1037" s="1"/>
      <c r="L1037" s="1"/>
      <c r="M1037" s="1"/>
      <c r="N1037" s="1"/>
      <c r="O1037" s="1"/>
      <c r="P1037" s="1"/>
      <c r="Q1037" s="1"/>
      <c r="R1037" s="1"/>
      <c r="S1037" s="1"/>
      <c r="T1037" s="1"/>
      <c r="U1037" s="1"/>
      <c r="V1037" s="1"/>
      <c r="W1037" s="1"/>
      <c r="X1037" s="1"/>
      <c r="Y1037" s="1"/>
      <c r="Z1037" s="1"/>
      <c r="AA1037" s="1" t="s">
        <v>238</v>
      </c>
      <c r="AB1037" s="1" t="s">
        <v>239</v>
      </c>
      <c r="AC1037" s="1"/>
      <c r="AD1037" s="1"/>
      <c r="AE1037" s="1"/>
      <c r="AF1037" s="1"/>
      <c r="AG1037" s="1"/>
      <c r="AH1037" s="1"/>
      <c r="AI1037" s="1"/>
      <c r="AJ1037" s="1"/>
      <c r="AK1037" s="1"/>
      <c r="AL1037" s="1"/>
      <c r="AM1037" s="1"/>
      <c r="AN1037" s="1"/>
      <c r="AO1037" s="1" t="s">
        <v>328</v>
      </c>
      <c r="AP1037" s="1" t="s">
        <v>329</v>
      </c>
      <c r="AQ1037" s="1"/>
      <c r="AR1037" s="1"/>
      <c r="AS1037" s="1"/>
      <c r="AT1037" s="1"/>
      <c r="AU1037" s="1">
        <v>2022</v>
      </c>
      <c r="AV1037" s="1">
        <v>16</v>
      </c>
      <c r="AW1037" s="1">
        <v>3</v>
      </c>
      <c r="AX1037" s="1"/>
      <c r="AY1037" s="1"/>
      <c r="AZ1037" s="1"/>
      <c r="BA1037" s="1"/>
      <c r="BB1037" s="1">
        <v>939</v>
      </c>
      <c r="BC1037" s="1">
        <v>954</v>
      </c>
      <c r="BD1037" s="1"/>
      <c r="BE1037" s="1" t="s">
        <v>6655</v>
      </c>
      <c r="BF1037" s="1" t="str">
        <f>HYPERLINK("http://dx.doi.org/10.24874/IJQR16.03-19","http://dx.doi.org/10.24874/IJQR16.03-19")</f>
        <v>http://dx.doi.org/10.24874/IJQR16.03-19</v>
      </c>
      <c r="BG1037" s="1"/>
      <c r="BH1037" s="1"/>
      <c r="BI1037" s="1"/>
      <c r="BJ1037" s="1"/>
      <c r="BK1037" s="1"/>
      <c r="BL1037" s="1"/>
      <c r="BM1037" s="1"/>
      <c r="BN1037" s="1"/>
      <c r="BO1037" s="1"/>
      <c r="BP1037" s="1"/>
      <c r="BQ1037" s="1"/>
      <c r="BR1037" s="1"/>
      <c r="BS1037" s="1" t="s">
        <v>6656</v>
      </c>
      <c r="BT1037" s="1" t="str">
        <f>HYPERLINK("https%3A%2F%2Fwww.webofscience.com%2Fwos%2Fwoscc%2Ffull-record%2FWOS:000891388900001","View Full Record in Web of Science")</f>
        <v>View Full Record in Web of Science</v>
      </c>
      <c r="BU1037" s="1"/>
      <c r="BV1037" s="1"/>
      <c r="BW1037" s="1"/>
    </row>
    <row r="1038" spans="1:75" customHeight="1" ht="12.75">
      <c r="A1038" s="1" t="s">
        <v>72</v>
      </c>
      <c r="B1038" s="1" t="s">
        <v>6657</v>
      </c>
      <c r="C1038" s="1"/>
      <c r="D1038" s="1"/>
      <c r="E1038" s="1"/>
      <c r="F1038" s="1" t="s">
        <v>6658</v>
      </c>
      <c r="G1038" s="1"/>
      <c r="H1038" s="1"/>
      <c r="I1038" s="1" t="s">
        <v>6659</v>
      </c>
      <c r="J1038" s="1" t="s">
        <v>6660</v>
      </c>
      <c r="K1038" s="1"/>
      <c r="L1038" s="1"/>
      <c r="M1038" s="1"/>
      <c r="N1038" s="1"/>
      <c r="O1038" s="1"/>
      <c r="P1038" s="1"/>
      <c r="Q1038" s="1"/>
      <c r="R1038" s="1"/>
      <c r="S1038" s="1"/>
      <c r="T1038" s="1"/>
      <c r="U1038" s="1"/>
      <c r="V1038" s="1"/>
      <c r="W1038" s="1"/>
      <c r="X1038" s="1"/>
      <c r="Y1038" s="1"/>
      <c r="Z1038" s="1"/>
      <c r="AA1038" s="1" t="s">
        <v>6661</v>
      </c>
      <c r="AB1038" s="1" t="s">
        <v>6662</v>
      </c>
      <c r="AC1038" s="1"/>
      <c r="AD1038" s="1"/>
      <c r="AE1038" s="1"/>
      <c r="AF1038" s="1"/>
      <c r="AG1038" s="1"/>
      <c r="AH1038" s="1"/>
      <c r="AI1038" s="1"/>
      <c r="AJ1038" s="1"/>
      <c r="AK1038" s="1"/>
      <c r="AL1038" s="1"/>
      <c r="AM1038" s="1"/>
      <c r="AN1038" s="1"/>
      <c r="AO1038" s="1"/>
      <c r="AP1038" s="1" t="s">
        <v>6663</v>
      </c>
      <c r="AQ1038" s="1"/>
      <c r="AR1038" s="1"/>
      <c r="AS1038" s="1"/>
      <c r="AT1038" s="1" t="s">
        <v>1167</v>
      </c>
      <c r="AU1038" s="1">
        <v>2021</v>
      </c>
      <c r="AV1038" s="1">
        <v>13</v>
      </c>
      <c r="AW1038" s="1">
        <v>10</v>
      </c>
      <c r="AX1038" s="1"/>
      <c r="AY1038" s="1"/>
      <c r="AZ1038" s="1"/>
      <c r="BA1038" s="1"/>
      <c r="BB1038" s="1"/>
      <c r="BC1038" s="1"/>
      <c r="BD1038" s="1">
        <v>1869</v>
      </c>
      <c r="BE1038" s="1" t="s">
        <v>6664</v>
      </c>
      <c r="BF1038" s="1" t="str">
        <f>HYPERLINK("http://dx.doi.org/10.3390/sym13101869","http://dx.doi.org/10.3390/sym13101869")</f>
        <v>http://dx.doi.org/10.3390/sym13101869</v>
      </c>
      <c r="BG1038" s="1"/>
      <c r="BH1038" s="1"/>
      <c r="BI1038" s="1"/>
      <c r="BJ1038" s="1"/>
      <c r="BK1038" s="1"/>
      <c r="BL1038" s="1"/>
      <c r="BM1038" s="1"/>
      <c r="BN1038" s="1"/>
      <c r="BO1038" s="1"/>
      <c r="BP1038" s="1"/>
      <c r="BQ1038" s="1"/>
      <c r="BR1038" s="1"/>
      <c r="BS1038" s="1" t="s">
        <v>6665</v>
      </c>
      <c r="BT1038" s="1" t="str">
        <f>HYPERLINK("https%3A%2F%2Fwww.webofscience.com%2Fwos%2Fwoscc%2Ffull-record%2FWOS:000717100900001","View Full Record in Web of Science")</f>
        <v>View Full Record in Web of Science</v>
      </c>
      <c r="BU1038" s="1"/>
      <c r="BV1038" s="1"/>
      <c r="BW1038" s="1"/>
    </row>
    <row r="1039" spans="1:75" customHeight="1" ht="12.75">
      <c r="A1039" s="1" t="s">
        <v>72</v>
      </c>
      <c r="B1039" s="1" t="s">
        <v>6590</v>
      </c>
      <c r="C1039" s="1"/>
      <c r="D1039" s="1"/>
      <c r="E1039" s="1"/>
      <c r="F1039" s="1" t="s">
        <v>6591</v>
      </c>
      <c r="G1039" s="1"/>
      <c r="H1039" s="1"/>
      <c r="I1039" s="1" t="s">
        <v>6666</v>
      </c>
      <c r="J1039" s="1" t="s">
        <v>166</v>
      </c>
      <c r="K1039" s="1"/>
      <c r="L1039" s="1"/>
      <c r="M1039" s="1"/>
      <c r="N1039" s="1"/>
      <c r="O1039" s="1"/>
      <c r="P1039" s="1"/>
      <c r="Q1039" s="1"/>
      <c r="R1039" s="1"/>
      <c r="S1039" s="1"/>
      <c r="T1039" s="1"/>
      <c r="U1039" s="1"/>
      <c r="V1039" s="1"/>
      <c r="W1039" s="1"/>
      <c r="X1039" s="1"/>
      <c r="Y1039" s="1"/>
      <c r="Z1039" s="1"/>
      <c r="AA1039" s="1" t="s">
        <v>6593</v>
      </c>
      <c r="AB1039" s="1" t="s">
        <v>6594</v>
      </c>
      <c r="AC1039" s="1"/>
      <c r="AD1039" s="1"/>
      <c r="AE1039" s="1"/>
      <c r="AF1039" s="1"/>
      <c r="AG1039" s="1"/>
      <c r="AH1039" s="1"/>
      <c r="AI1039" s="1"/>
      <c r="AJ1039" s="1"/>
      <c r="AK1039" s="1"/>
      <c r="AL1039" s="1"/>
      <c r="AM1039" s="1"/>
      <c r="AN1039" s="1"/>
      <c r="AO1039" s="1" t="s">
        <v>169</v>
      </c>
      <c r="AP1039" s="1" t="s">
        <v>170</v>
      </c>
      <c r="AQ1039" s="1"/>
      <c r="AR1039" s="1"/>
      <c r="AS1039" s="1"/>
      <c r="AT1039" s="1" t="s">
        <v>830</v>
      </c>
      <c r="AU1039" s="1">
        <v>2020</v>
      </c>
      <c r="AV1039" s="1">
        <v>9</v>
      </c>
      <c r="AW1039" s="1">
        <v>3</v>
      </c>
      <c r="AX1039" s="1"/>
      <c r="AY1039" s="1"/>
      <c r="AZ1039" s="1"/>
      <c r="BA1039" s="1"/>
      <c r="BB1039" s="1">
        <v>603</v>
      </c>
      <c r="BC1039" s="1">
        <v>620</v>
      </c>
      <c r="BD1039" s="1"/>
      <c r="BE1039" s="1" t="s">
        <v>6667</v>
      </c>
      <c r="BF1039" s="1" t="str">
        <f>HYPERLINK("http://dx.doi.org/10.13187/ejced.2020.3.603","http://dx.doi.org/10.13187/ejced.2020.3.603")</f>
        <v>http://dx.doi.org/10.13187/ejced.2020.3.603</v>
      </c>
      <c r="BG1039" s="1"/>
      <c r="BH1039" s="1"/>
      <c r="BI1039" s="1"/>
      <c r="BJ1039" s="1"/>
      <c r="BK1039" s="1"/>
      <c r="BL1039" s="1"/>
      <c r="BM1039" s="1"/>
      <c r="BN1039" s="1"/>
      <c r="BO1039" s="1"/>
      <c r="BP1039" s="1"/>
      <c r="BQ1039" s="1"/>
      <c r="BR1039" s="1"/>
      <c r="BS1039" s="1" t="s">
        <v>6668</v>
      </c>
      <c r="BT1039" s="1" t="str">
        <f>HYPERLINK("https%3A%2F%2Fwww.webofscience.com%2Fwos%2Fwoscc%2Ffull-record%2FWOS:000567722400011","View Full Record in Web of Science")</f>
        <v>View Full Record in Web of Science</v>
      </c>
      <c r="BU1039" s="1"/>
      <c r="BV1039" s="1"/>
      <c r="BW1039" s="1"/>
    </row>
    <row r="1040" spans="1:75" customHeight="1" ht="12.75">
      <c r="A1040" s="1" t="s">
        <v>72</v>
      </c>
      <c r="B1040" s="1" t="s">
        <v>6669</v>
      </c>
      <c r="C1040" s="1"/>
      <c r="D1040" s="1"/>
      <c r="E1040" s="1"/>
      <c r="F1040" s="1" t="s">
        <v>6670</v>
      </c>
      <c r="G1040" s="1"/>
      <c r="H1040" s="1"/>
      <c r="I1040" s="1" t="s">
        <v>6671</v>
      </c>
      <c r="J1040" s="1" t="s">
        <v>2478</v>
      </c>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t="s">
        <v>2479</v>
      </c>
      <c r="AP1040" s="1"/>
      <c r="AQ1040" s="1"/>
      <c r="AR1040" s="1"/>
      <c r="AS1040" s="1"/>
      <c r="AT1040" s="1"/>
      <c r="AU1040" s="1">
        <v>2019</v>
      </c>
      <c r="AV1040" s="1">
        <v>16</v>
      </c>
      <c r="AW1040" s="1"/>
      <c r="AX1040" s="1"/>
      <c r="AY1040" s="1"/>
      <c r="AZ1040" s="1"/>
      <c r="BA1040" s="1"/>
      <c r="BB1040" s="1">
        <v>1547</v>
      </c>
      <c r="BC1040" s="1">
        <v>1552</v>
      </c>
      <c r="BD1040" s="1"/>
      <c r="BE1040" s="1" t="s">
        <v>6672</v>
      </c>
      <c r="BF1040" s="1" t="str">
        <f>HYPERLINK("http://dx.doi.org/10.33048/semi.2019.16.105","http://dx.doi.org/10.33048/semi.2019.16.105")</f>
        <v>http://dx.doi.org/10.33048/semi.2019.16.105</v>
      </c>
      <c r="BG1040" s="1"/>
      <c r="BH1040" s="1"/>
      <c r="BI1040" s="1"/>
      <c r="BJ1040" s="1"/>
      <c r="BK1040" s="1"/>
      <c r="BL1040" s="1"/>
      <c r="BM1040" s="1"/>
      <c r="BN1040" s="1"/>
      <c r="BO1040" s="1"/>
      <c r="BP1040" s="1"/>
      <c r="BQ1040" s="1"/>
      <c r="BR1040" s="1"/>
      <c r="BS1040" s="1" t="s">
        <v>6673</v>
      </c>
      <c r="BT1040" s="1" t="str">
        <f>HYPERLINK("https%3A%2F%2Fwww.webofscience.com%2Fwos%2Fwoscc%2Ffull-record%2FWOS:000492154000001","View Full Record in Web of Science")</f>
        <v>View Full Record in Web of Science</v>
      </c>
      <c r="BU1040" s="1"/>
      <c r="BV1040" s="1"/>
      <c r="BW1040" s="1"/>
    </row>
    <row r="1041" spans="1:75" customHeight="1" ht="12.75">
      <c r="A1041" s="1" t="s">
        <v>72</v>
      </c>
      <c r="B1041" s="1" t="s">
        <v>5535</v>
      </c>
      <c r="C1041" s="1"/>
      <c r="D1041" s="1"/>
      <c r="E1041" s="1"/>
      <c r="F1041" s="1" t="s">
        <v>5536</v>
      </c>
      <c r="G1041" s="1"/>
      <c r="H1041" s="1"/>
      <c r="I1041" s="1" t="s">
        <v>6674</v>
      </c>
      <c r="J1041" s="1" t="s">
        <v>4849</v>
      </c>
      <c r="K1041" s="1"/>
      <c r="L1041" s="1"/>
      <c r="M1041" s="1"/>
      <c r="N1041" s="1"/>
      <c r="O1041" s="1"/>
      <c r="P1041" s="1"/>
      <c r="Q1041" s="1"/>
      <c r="R1041" s="1"/>
      <c r="S1041" s="1"/>
      <c r="T1041" s="1"/>
      <c r="U1041" s="1"/>
      <c r="V1041" s="1"/>
      <c r="W1041" s="1"/>
      <c r="X1041" s="1"/>
      <c r="Y1041" s="1"/>
      <c r="Z1041" s="1"/>
      <c r="AA1041" s="1" t="s">
        <v>4850</v>
      </c>
      <c r="AB1041" s="1" t="s">
        <v>4851</v>
      </c>
      <c r="AC1041" s="1"/>
      <c r="AD1041" s="1"/>
      <c r="AE1041" s="1"/>
      <c r="AF1041" s="1"/>
      <c r="AG1041" s="1"/>
      <c r="AH1041" s="1"/>
      <c r="AI1041" s="1"/>
      <c r="AJ1041" s="1"/>
      <c r="AK1041" s="1"/>
      <c r="AL1041" s="1"/>
      <c r="AM1041" s="1"/>
      <c r="AN1041" s="1"/>
      <c r="AO1041" s="1" t="s">
        <v>4852</v>
      </c>
      <c r="AP1041" s="1" t="s">
        <v>4853</v>
      </c>
      <c r="AQ1041" s="1"/>
      <c r="AR1041" s="1"/>
      <c r="AS1041" s="1"/>
      <c r="AT1041" s="1" t="s">
        <v>491</v>
      </c>
      <c r="AU1041" s="1">
        <v>2023</v>
      </c>
      <c r="AV1041" s="1">
        <v>101</v>
      </c>
      <c r="AW1041" s="1">
        <v>6</v>
      </c>
      <c r="AX1041" s="1"/>
      <c r="AY1041" s="1"/>
      <c r="AZ1041" s="1"/>
      <c r="BA1041" s="1"/>
      <c r="BB1041" s="1">
        <v>707</v>
      </c>
      <c r="BC1041" s="1">
        <v>708</v>
      </c>
      <c r="BD1041" s="1"/>
      <c r="BE1041" s="1" t="s">
        <v>6675</v>
      </c>
      <c r="BF1041" s="1" t="str">
        <f>HYPERLINK("http://dx.doi.org/10.1111/tan.14960","http://dx.doi.org/10.1111/tan.14960")</f>
        <v>http://dx.doi.org/10.1111/tan.14960</v>
      </c>
      <c r="BG1041" s="1"/>
      <c r="BH1041" s="1" t="s">
        <v>6093</v>
      </c>
      <c r="BI1041" s="1"/>
      <c r="BJ1041" s="1"/>
      <c r="BK1041" s="1"/>
      <c r="BL1041" s="1"/>
      <c r="BM1041" s="1"/>
      <c r="BN1041" s="1">
        <v>36593600</v>
      </c>
      <c r="BO1041" s="1"/>
      <c r="BP1041" s="1"/>
      <c r="BQ1041" s="1"/>
      <c r="BR1041" s="1"/>
      <c r="BS1041" s="1" t="s">
        <v>6676</v>
      </c>
      <c r="BT1041" s="1" t="str">
        <f>HYPERLINK("https%3A%2F%2Fwww.webofscience.com%2Fwos%2Fwoscc%2Ffull-record%2FWOS:000908688000001","View Full Record in Web of Science")</f>
        <v>View Full Record in Web of Science</v>
      </c>
      <c r="BU1041" s="1"/>
      <c r="BV1041" s="1"/>
      <c r="BW1041" s="1"/>
    </row>
    <row r="1042" spans="1:75" customHeight="1" ht="12.75">
      <c r="A1042" s="1" t="s">
        <v>72</v>
      </c>
      <c r="B1042" s="1" t="s">
        <v>698</v>
      </c>
      <c r="C1042" s="1"/>
      <c r="D1042" s="1"/>
      <c r="E1042" s="1"/>
      <c r="F1042" s="1" t="s">
        <v>699</v>
      </c>
      <c r="G1042" s="1"/>
      <c r="H1042" s="1"/>
      <c r="I1042" s="1" t="s">
        <v>6677</v>
      </c>
      <c r="J1042" s="1" t="s">
        <v>6678</v>
      </c>
      <c r="K1042" s="1"/>
      <c r="L1042" s="1"/>
      <c r="M1042" s="1"/>
      <c r="N1042" s="1"/>
      <c r="O1042" s="1"/>
      <c r="P1042" s="1"/>
      <c r="Q1042" s="1"/>
      <c r="R1042" s="1"/>
      <c r="S1042" s="1"/>
      <c r="T1042" s="1"/>
      <c r="U1042" s="1"/>
      <c r="V1042" s="1"/>
      <c r="W1042" s="1"/>
      <c r="X1042" s="1"/>
      <c r="Y1042" s="1"/>
      <c r="Z1042" s="1"/>
      <c r="AA1042" s="1" t="s">
        <v>553</v>
      </c>
      <c r="AB1042" s="1" t="s">
        <v>554</v>
      </c>
      <c r="AC1042" s="1"/>
      <c r="AD1042" s="1"/>
      <c r="AE1042" s="1"/>
      <c r="AF1042" s="1"/>
      <c r="AG1042" s="1"/>
      <c r="AH1042" s="1"/>
      <c r="AI1042" s="1"/>
      <c r="AJ1042" s="1"/>
      <c r="AK1042" s="1"/>
      <c r="AL1042" s="1"/>
      <c r="AM1042" s="1"/>
      <c r="AN1042" s="1"/>
      <c r="AO1042" s="1" t="s">
        <v>6679</v>
      </c>
      <c r="AP1042" s="1"/>
      <c r="AQ1042" s="1"/>
      <c r="AR1042" s="1"/>
      <c r="AS1042" s="1"/>
      <c r="AT1042" s="1"/>
      <c r="AU1042" s="1">
        <v>2021</v>
      </c>
      <c r="AV1042" s="1">
        <v>12</v>
      </c>
      <c r="AW1042" s="1">
        <v>2</v>
      </c>
      <c r="AX1042" s="1"/>
      <c r="AY1042" s="1"/>
      <c r="AZ1042" s="1"/>
      <c r="BA1042" s="1"/>
      <c r="BB1042" s="1">
        <v>79</v>
      </c>
      <c r="BC1042" s="1">
        <v>82</v>
      </c>
      <c r="BD1042" s="1"/>
      <c r="BE1042" s="1" t="s">
        <v>6680</v>
      </c>
      <c r="BF1042" s="1" t="str">
        <f>HYPERLINK("http://dx.doi.org/10.51847/1A2QGmzKEo","http://dx.doi.org/10.51847/1A2QGmzKEo")</f>
        <v>http://dx.doi.org/10.51847/1A2QGmzKEo</v>
      </c>
      <c r="BG1042" s="1"/>
      <c r="BH1042" s="1"/>
      <c r="BI1042" s="1"/>
      <c r="BJ1042" s="1"/>
      <c r="BK1042" s="1"/>
      <c r="BL1042" s="1"/>
      <c r="BM1042" s="1"/>
      <c r="BN1042" s="1"/>
      <c r="BO1042" s="1"/>
      <c r="BP1042" s="1"/>
      <c r="BQ1042" s="1"/>
      <c r="BR1042" s="1"/>
      <c r="BS1042" s="1" t="s">
        <v>6681</v>
      </c>
      <c r="BT1042" s="1" t="str">
        <f>HYPERLINK("https%3A%2F%2Fwww.webofscience.com%2Fwos%2Fwoscc%2Ffull-record%2FWOS:000685660400001","View Full Record in Web of Science")</f>
        <v>View Full Record in Web of Science</v>
      </c>
      <c r="BU1042" s="1"/>
      <c r="BV1042" s="1"/>
      <c r="BW1042" s="1"/>
    </row>
    <row r="1043" spans="1:75" customHeight="1" ht="12.75">
      <c r="A1043" s="1" t="s">
        <v>147</v>
      </c>
      <c r="B1043" s="1" t="s">
        <v>6444</v>
      </c>
      <c r="C1043" s="1"/>
      <c r="D1043" s="1"/>
      <c r="E1043" s="1" t="s">
        <v>1465</v>
      </c>
      <c r="F1043" s="1" t="s">
        <v>6445</v>
      </c>
      <c r="G1043" s="1"/>
      <c r="H1043" s="1"/>
      <c r="I1043" s="1" t="s">
        <v>6682</v>
      </c>
      <c r="J1043" s="1" t="s">
        <v>1468</v>
      </c>
      <c r="K1043" s="1" t="s">
        <v>1469</v>
      </c>
      <c r="L1043" s="1"/>
      <c r="M1043" s="1"/>
      <c r="N1043" s="1"/>
      <c r="O1043" s="1" t="s">
        <v>1277</v>
      </c>
      <c r="P1043" s="1" t="s">
        <v>771</v>
      </c>
      <c r="Q1043" s="1" t="s">
        <v>1470</v>
      </c>
      <c r="R1043" s="1" t="s">
        <v>1471</v>
      </c>
      <c r="S1043" s="1"/>
      <c r="T1043" s="1"/>
      <c r="U1043" s="1"/>
      <c r="V1043" s="1"/>
      <c r="W1043" s="1"/>
      <c r="X1043" s="1"/>
      <c r="Y1043" s="1"/>
      <c r="Z1043" s="1"/>
      <c r="AA1043" s="1" t="s">
        <v>6447</v>
      </c>
      <c r="AB1043" s="1" t="s">
        <v>1533</v>
      </c>
      <c r="AC1043" s="1"/>
      <c r="AD1043" s="1"/>
      <c r="AE1043" s="1"/>
      <c r="AF1043" s="1"/>
      <c r="AG1043" s="1"/>
      <c r="AH1043" s="1"/>
      <c r="AI1043" s="1"/>
      <c r="AJ1043" s="1"/>
      <c r="AK1043" s="1"/>
      <c r="AL1043" s="1"/>
      <c r="AM1043" s="1"/>
      <c r="AN1043" s="1"/>
      <c r="AO1043" s="1" t="s">
        <v>1472</v>
      </c>
      <c r="AP1043" s="1"/>
      <c r="AQ1043" s="1"/>
      <c r="AR1043" s="1"/>
      <c r="AS1043" s="1"/>
      <c r="AT1043" s="1"/>
      <c r="AU1043" s="1">
        <v>2020</v>
      </c>
      <c r="AV1043" s="1">
        <v>971</v>
      </c>
      <c r="AW1043" s="1"/>
      <c r="AX1043" s="1"/>
      <c r="AY1043" s="1"/>
      <c r="AZ1043" s="1"/>
      <c r="BA1043" s="1"/>
      <c r="BB1043" s="1"/>
      <c r="BC1043" s="1"/>
      <c r="BD1043" s="1">
        <v>32060</v>
      </c>
      <c r="BE1043" s="1" t="s">
        <v>6683</v>
      </c>
      <c r="BF1043" s="1" t="str">
        <f>HYPERLINK("http://dx.doi.org/10.1088/1757-899X/971/3/032060","http://dx.doi.org/10.1088/1757-899X/971/3/032060")</f>
        <v>http://dx.doi.org/10.1088/1757-899X/971/3/032060</v>
      </c>
      <c r="BG1043" s="1"/>
      <c r="BH1043" s="1"/>
      <c r="BI1043" s="1"/>
      <c r="BJ1043" s="1"/>
      <c r="BK1043" s="1"/>
      <c r="BL1043" s="1"/>
      <c r="BM1043" s="1"/>
      <c r="BN1043" s="1"/>
      <c r="BO1043" s="1"/>
      <c r="BP1043" s="1"/>
      <c r="BQ1043" s="1"/>
      <c r="BR1043" s="1"/>
      <c r="BS1043" s="1" t="s">
        <v>6684</v>
      </c>
      <c r="BT1043" s="1" t="str">
        <f>HYPERLINK("https%3A%2F%2Fwww.webofscience.com%2Fwos%2Fwoscc%2Ffull-record%2FWOS:000646359100161","View Full Record in Web of Science")</f>
        <v>View Full Record in Web of Science</v>
      </c>
      <c r="BU1043" s="1"/>
      <c r="BV1043" s="1"/>
      <c r="BW1043" s="1"/>
    </row>
    <row r="1044" spans="1:75" customHeight="1" ht="12.75">
      <c r="A1044" s="1" t="s">
        <v>72</v>
      </c>
      <c r="B1044" s="1" t="s">
        <v>6578</v>
      </c>
      <c r="C1044" s="1"/>
      <c r="D1044" s="1"/>
      <c r="E1044" s="1"/>
      <c r="F1044" s="1" t="s">
        <v>6579</v>
      </c>
      <c r="G1044" s="1"/>
      <c r="H1044" s="1"/>
      <c r="I1044" s="1" t="s">
        <v>6685</v>
      </c>
      <c r="J1044" s="1" t="s">
        <v>4849</v>
      </c>
      <c r="K1044" s="1"/>
      <c r="L1044" s="1"/>
      <c r="M1044" s="1"/>
      <c r="N1044" s="1"/>
      <c r="O1044" s="1"/>
      <c r="P1044" s="1"/>
      <c r="Q1044" s="1"/>
      <c r="R1044" s="1"/>
      <c r="S1044" s="1"/>
      <c r="T1044" s="1"/>
      <c r="U1044" s="1"/>
      <c r="V1044" s="1"/>
      <c r="W1044" s="1"/>
      <c r="X1044" s="1"/>
      <c r="Y1044" s="1"/>
      <c r="Z1044" s="1"/>
      <c r="AA1044" s="1" t="s">
        <v>4850</v>
      </c>
      <c r="AB1044" s="1" t="s">
        <v>4851</v>
      </c>
      <c r="AC1044" s="1"/>
      <c r="AD1044" s="1"/>
      <c r="AE1044" s="1"/>
      <c r="AF1044" s="1"/>
      <c r="AG1044" s="1"/>
      <c r="AH1044" s="1"/>
      <c r="AI1044" s="1"/>
      <c r="AJ1044" s="1"/>
      <c r="AK1044" s="1"/>
      <c r="AL1044" s="1"/>
      <c r="AM1044" s="1"/>
      <c r="AN1044" s="1"/>
      <c r="AO1044" s="1" t="s">
        <v>4852</v>
      </c>
      <c r="AP1044" s="1" t="s">
        <v>4853</v>
      </c>
      <c r="AQ1044" s="1"/>
      <c r="AR1044" s="1"/>
      <c r="AS1044" s="1"/>
      <c r="AT1044" s="1" t="s">
        <v>1173</v>
      </c>
      <c r="AU1044" s="1">
        <v>2022</v>
      </c>
      <c r="AV1044" s="1">
        <v>100</v>
      </c>
      <c r="AW1044" s="1">
        <v>2</v>
      </c>
      <c r="AX1044" s="1"/>
      <c r="AY1044" s="1"/>
      <c r="AZ1044" s="1"/>
      <c r="BA1044" s="1"/>
      <c r="BB1044" s="1">
        <v>165</v>
      </c>
      <c r="BC1044" s="1">
        <v>166</v>
      </c>
      <c r="BD1044" s="1">
        <v>14617</v>
      </c>
      <c r="BE1044" s="1" t="s">
        <v>6686</v>
      </c>
      <c r="BF1044" s="1" t="str">
        <f>HYPERLINK("http://dx.doi.org/10.1111/tan.14617","http://dx.doi.org/10.1111/tan.14617")</f>
        <v>http://dx.doi.org/10.1111/tan.14617</v>
      </c>
      <c r="BG1044" s="1"/>
      <c r="BH1044" s="1" t="s">
        <v>2052</v>
      </c>
      <c r="BI1044" s="1"/>
      <c r="BJ1044" s="1"/>
      <c r="BK1044" s="1"/>
      <c r="BL1044" s="1"/>
      <c r="BM1044" s="1"/>
      <c r="BN1044" s="1">
        <v>35347873</v>
      </c>
      <c r="BO1044" s="1"/>
      <c r="BP1044" s="1"/>
      <c r="BQ1044" s="1"/>
      <c r="BR1044" s="1"/>
      <c r="BS1044" s="1" t="s">
        <v>6687</v>
      </c>
      <c r="BT1044" s="1" t="str">
        <f>HYPERLINK("https%3A%2F%2Fwww.webofscience.com%2Fwos%2Fwoscc%2Ffull-record%2FWOS:000777103700001","View Full Record in Web of Science")</f>
        <v>View Full Record in Web of Science</v>
      </c>
      <c r="BU1044" s="1"/>
      <c r="BV1044" s="1"/>
      <c r="BW1044" s="1"/>
    </row>
    <row r="1045" spans="1:75" customHeight="1" ht="12.75">
      <c r="A1045" s="1" t="s">
        <v>72</v>
      </c>
      <c r="B1045" s="1" t="s">
        <v>6688</v>
      </c>
      <c r="C1045" s="1"/>
      <c r="D1045" s="1"/>
      <c r="E1045" s="1"/>
      <c r="F1045" s="1" t="s">
        <v>6689</v>
      </c>
      <c r="G1045" s="1"/>
      <c r="H1045" s="1"/>
      <c r="I1045" s="1" t="s">
        <v>6690</v>
      </c>
      <c r="J1045" s="1" t="s">
        <v>6691</v>
      </c>
      <c r="K1045" s="1"/>
      <c r="L1045" s="1"/>
      <c r="M1045" s="1"/>
      <c r="N1045" s="1"/>
      <c r="O1045" s="1"/>
      <c r="P1045" s="1"/>
      <c r="Q1045" s="1"/>
      <c r="R1045" s="1"/>
      <c r="S1045" s="1"/>
      <c r="T1045" s="1"/>
      <c r="U1045" s="1"/>
      <c r="V1045" s="1"/>
      <c r="W1045" s="1"/>
      <c r="X1045" s="1"/>
      <c r="Y1045" s="1"/>
      <c r="Z1045" s="1"/>
      <c r="AA1045" s="1" t="s">
        <v>6692</v>
      </c>
      <c r="AB1045" s="1" t="s">
        <v>6693</v>
      </c>
      <c r="AC1045" s="1"/>
      <c r="AD1045" s="1"/>
      <c r="AE1045" s="1"/>
      <c r="AF1045" s="1"/>
      <c r="AG1045" s="1"/>
      <c r="AH1045" s="1"/>
      <c r="AI1045" s="1"/>
      <c r="AJ1045" s="1"/>
      <c r="AK1045" s="1"/>
      <c r="AL1045" s="1"/>
      <c r="AM1045" s="1"/>
      <c r="AN1045" s="1"/>
      <c r="AO1045" s="1" t="s">
        <v>6694</v>
      </c>
      <c r="AP1045" s="1" t="s">
        <v>6695</v>
      </c>
      <c r="AQ1045" s="1"/>
      <c r="AR1045" s="1"/>
      <c r="AS1045" s="1"/>
      <c r="AT1045" s="1" t="s">
        <v>198</v>
      </c>
      <c r="AU1045" s="1">
        <v>2022</v>
      </c>
      <c r="AV1045" s="1">
        <v>52</v>
      </c>
      <c r="AW1045" s="1">
        <v>4</v>
      </c>
      <c r="AX1045" s="1"/>
      <c r="AY1045" s="1"/>
      <c r="AZ1045" s="1"/>
      <c r="BA1045" s="1"/>
      <c r="BB1045" s="1">
        <v>743</v>
      </c>
      <c r="BC1045" s="1">
        <v>753</v>
      </c>
      <c r="BD1045" s="1"/>
      <c r="BE1045" s="1" t="s">
        <v>6696</v>
      </c>
      <c r="BF1045" s="1" t="str">
        <f>HYPERLINK("http://dx.doi.org/10.1007/s10800-022-01667-0","http://dx.doi.org/10.1007/s10800-022-01667-0")</f>
        <v>http://dx.doi.org/10.1007/s10800-022-01667-0</v>
      </c>
      <c r="BG1045" s="1"/>
      <c r="BH1045" s="1" t="s">
        <v>6583</v>
      </c>
      <c r="BI1045" s="1"/>
      <c r="BJ1045" s="1"/>
      <c r="BK1045" s="1"/>
      <c r="BL1045" s="1"/>
      <c r="BM1045" s="1"/>
      <c r="BN1045" s="1"/>
      <c r="BO1045" s="1"/>
      <c r="BP1045" s="1"/>
      <c r="BQ1045" s="1"/>
      <c r="BR1045" s="1"/>
      <c r="BS1045" s="1" t="s">
        <v>6697</v>
      </c>
      <c r="BT1045" s="1" t="str">
        <f>HYPERLINK("https%3A%2F%2Fwww.webofscience.com%2Fwos%2Fwoscc%2Ffull-record%2FWOS:000740198900003","View Full Record in Web of Science")</f>
        <v>View Full Record in Web of Science</v>
      </c>
      <c r="BU1045" s="1"/>
      <c r="BV1045" s="1"/>
      <c r="BW1045" s="1"/>
    </row>
    <row r="1046" spans="1:75" customHeight="1" ht="12.75">
      <c r="A1046" s="1" t="s">
        <v>72</v>
      </c>
      <c r="B1046" s="1" t="s">
        <v>6698</v>
      </c>
      <c r="C1046" s="1"/>
      <c r="D1046" s="1"/>
      <c r="E1046" s="1"/>
      <c r="F1046" s="1" t="s">
        <v>6699</v>
      </c>
      <c r="G1046" s="1"/>
      <c r="H1046" s="1"/>
      <c r="I1046" s="1" t="s">
        <v>6700</v>
      </c>
      <c r="J1046" s="1" t="s">
        <v>244</v>
      </c>
      <c r="K1046" s="1"/>
      <c r="L1046" s="1"/>
      <c r="M1046" s="1"/>
      <c r="N1046" s="1"/>
      <c r="O1046" s="1"/>
      <c r="P1046" s="1"/>
      <c r="Q1046" s="1"/>
      <c r="R1046" s="1"/>
      <c r="S1046" s="1"/>
      <c r="T1046" s="1"/>
      <c r="U1046" s="1"/>
      <c r="V1046" s="1"/>
      <c r="W1046" s="1"/>
      <c r="X1046" s="1"/>
      <c r="Y1046" s="1"/>
      <c r="Z1046" s="1"/>
      <c r="AA1046" s="1" t="s">
        <v>6701</v>
      </c>
      <c r="AB1046" s="1" t="s">
        <v>4796</v>
      </c>
      <c r="AC1046" s="1"/>
      <c r="AD1046" s="1"/>
      <c r="AE1046" s="1"/>
      <c r="AF1046" s="1"/>
      <c r="AG1046" s="1"/>
      <c r="AH1046" s="1"/>
      <c r="AI1046" s="1"/>
      <c r="AJ1046" s="1"/>
      <c r="AK1046" s="1"/>
      <c r="AL1046" s="1"/>
      <c r="AM1046" s="1"/>
      <c r="AN1046" s="1"/>
      <c r="AO1046" s="1" t="s">
        <v>245</v>
      </c>
      <c r="AP1046" s="1" t="s">
        <v>246</v>
      </c>
      <c r="AQ1046" s="1"/>
      <c r="AR1046" s="1"/>
      <c r="AS1046" s="1"/>
      <c r="AT1046" s="1"/>
      <c r="AU1046" s="1">
        <v>2021</v>
      </c>
      <c r="AV1046" s="1">
        <v>11</v>
      </c>
      <c r="AW1046" s="1">
        <v>2</v>
      </c>
      <c r="AX1046" s="1"/>
      <c r="AY1046" s="1"/>
      <c r="AZ1046" s="1"/>
      <c r="BA1046" s="1"/>
      <c r="BB1046" s="1">
        <v>260</v>
      </c>
      <c r="BC1046" s="1">
        <v>265</v>
      </c>
      <c r="BD1046" s="1"/>
      <c r="BE1046" s="1" t="s">
        <v>6702</v>
      </c>
      <c r="BF1046" s="1" t="str">
        <f>HYPERLINK("http://dx.doi.org/10.31166/VoprosyIstorii202111Statyi33","http://dx.doi.org/10.31166/VoprosyIstorii202111Statyi33")</f>
        <v>http://dx.doi.org/10.31166/VoprosyIstorii202111Statyi33</v>
      </c>
      <c r="BG1046" s="1"/>
      <c r="BH1046" s="1"/>
      <c r="BI1046" s="1"/>
      <c r="BJ1046" s="1"/>
      <c r="BK1046" s="1"/>
      <c r="BL1046" s="1"/>
      <c r="BM1046" s="1"/>
      <c r="BN1046" s="1"/>
      <c r="BO1046" s="1"/>
      <c r="BP1046" s="1"/>
      <c r="BQ1046" s="1"/>
      <c r="BR1046" s="1"/>
      <c r="BS1046" s="1" t="s">
        <v>6703</v>
      </c>
      <c r="BT1046" s="1" t="str">
        <f>HYPERLINK("https%3A%2F%2Fwww.webofscience.com%2Fwos%2Fwoscc%2Ffull-record%2FWOS:000729818300025","View Full Record in Web of Science")</f>
        <v>View Full Record in Web of Science</v>
      </c>
      <c r="BU1046" s="1"/>
      <c r="BV1046" s="1"/>
      <c r="BW1046" s="1"/>
    </row>
    <row r="1047" spans="1:75" customHeight="1" ht="12.75">
      <c r="A1047" s="1" t="s">
        <v>72</v>
      </c>
      <c r="B1047" s="1" t="s">
        <v>6704</v>
      </c>
      <c r="C1047" s="1"/>
      <c r="D1047" s="1"/>
      <c r="E1047" s="1"/>
      <c r="F1047" s="1" t="s">
        <v>6705</v>
      </c>
      <c r="G1047" s="1"/>
      <c r="H1047" s="1"/>
      <c r="I1047" s="1" t="s">
        <v>6706</v>
      </c>
      <c r="J1047" s="1" t="s">
        <v>325</v>
      </c>
      <c r="K1047" s="1"/>
      <c r="L1047" s="1"/>
      <c r="M1047" s="1"/>
      <c r="N1047" s="1"/>
      <c r="O1047" s="1"/>
      <c r="P1047" s="1"/>
      <c r="Q1047" s="1"/>
      <c r="R1047" s="1"/>
      <c r="S1047" s="1"/>
      <c r="T1047" s="1"/>
      <c r="U1047" s="1"/>
      <c r="V1047" s="1"/>
      <c r="W1047" s="1"/>
      <c r="X1047" s="1"/>
      <c r="Y1047" s="1"/>
      <c r="Z1047" s="1"/>
      <c r="AA1047" s="1" t="s">
        <v>6707</v>
      </c>
      <c r="AB1047" s="1"/>
      <c r="AC1047" s="1"/>
      <c r="AD1047" s="1"/>
      <c r="AE1047" s="1"/>
      <c r="AF1047" s="1"/>
      <c r="AG1047" s="1"/>
      <c r="AH1047" s="1"/>
      <c r="AI1047" s="1"/>
      <c r="AJ1047" s="1"/>
      <c r="AK1047" s="1"/>
      <c r="AL1047" s="1"/>
      <c r="AM1047" s="1"/>
      <c r="AN1047" s="1"/>
      <c r="AO1047" s="1" t="s">
        <v>328</v>
      </c>
      <c r="AP1047" s="1" t="s">
        <v>329</v>
      </c>
      <c r="AQ1047" s="1"/>
      <c r="AR1047" s="1"/>
      <c r="AS1047" s="1"/>
      <c r="AT1047" s="1"/>
      <c r="AU1047" s="1">
        <v>2021</v>
      </c>
      <c r="AV1047" s="1">
        <v>15</v>
      </c>
      <c r="AW1047" s="1">
        <v>2</v>
      </c>
      <c r="AX1047" s="1"/>
      <c r="AY1047" s="1"/>
      <c r="AZ1047" s="1"/>
      <c r="BA1047" s="1"/>
      <c r="BB1047" s="1">
        <v>451</v>
      </c>
      <c r="BC1047" s="1">
        <v>468</v>
      </c>
      <c r="BD1047" s="1"/>
      <c r="BE1047" s="1" t="s">
        <v>6708</v>
      </c>
      <c r="BF1047" s="1" t="str">
        <f>HYPERLINK("http://dx.doi.org/10.24874/IJQR15.02-06","http://dx.doi.org/10.24874/IJQR15.02-06")</f>
        <v>http://dx.doi.org/10.24874/IJQR15.02-06</v>
      </c>
      <c r="BG1047" s="1"/>
      <c r="BH1047" s="1"/>
      <c r="BI1047" s="1"/>
      <c r="BJ1047" s="1"/>
      <c r="BK1047" s="1"/>
      <c r="BL1047" s="1"/>
      <c r="BM1047" s="1"/>
      <c r="BN1047" s="1"/>
      <c r="BO1047" s="1"/>
      <c r="BP1047" s="1"/>
      <c r="BQ1047" s="1"/>
      <c r="BR1047" s="1"/>
      <c r="BS1047" s="1" t="s">
        <v>6709</v>
      </c>
      <c r="BT1047" s="1" t="str">
        <f>HYPERLINK("https%3A%2F%2Fwww.webofscience.com%2Fwos%2Fwoscc%2Ffull-record%2FWOS:000655011600006","View Full Record in Web of Science")</f>
        <v>View Full Record in Web of Science</v>
      </c>
      <c r="BU1047" s="1"/>
      <c r="BV1047" s="1"/>
      <c r="BW1047" s="1"/>
    </row>
    <row r="1048" spans="1:75" customHeight="1" ht="12.75">
      <c r="A1048" s="1" t="s">
        <v>147</v>
      </c>
      <c r="B1048" s="1" t="s">
        <v>6710</v>
      </c>
      <c r="C1048" s="1"/>
      <c r="D1048" s="1" t="s">
        <v>6711</v>
      </c>
      <c r="E1048" s="1"/>
      <c r="F1048" s="1" t="s">
        <v>6712</v>
      </c>
      <c r="G1048" s="1"/>
      <c r="H1048" s="1"/>
      <c r="I1048" s="1" t="s">
        <v>6713</v>
      </c>
      <c r="J1048" s="1" t="s">
        <v>6714</v>
      </c>
      <c r="K1048" s="1" t="s">
        <v>1767</v>
      </c>
      <c r="L1048" s="1"/>
      <c r="M1048" s="1"/>
      <c r="N1048" s="1"/>
      <c r="O1048" s="1" t="s">
        <v>6715</v>
      </c>
      <c r="P1048" s="1">
        <v>2019</v>
      </c>
      <c r="Q1048" s="1" t="s">
        <v>6348</v>
      </c>
      <c r="R1048" s="1"/>
      <c r="S1048" s="1" t="s">
        <v>6349</v>
      </c>
      <c r="T1048" s="1"/>
      <c r="U1048" s="1"/>
      <c r="V1048" s="1"/>
      <c r="W1048" s="1"/>
      <c r="X1048" s="1"/>
      <c r="Y1048" s="1"/>
      <c r="Z1048" s="1"/>
      <c r="AA1048" s="1" t="s">
        <v>6716</v>
      </c>
      <c r="AB1048" s="1" t="s">
        <v>6717</v>
      </c>
      <c r="AC1048" s="1"/>
      <c r="AD1048" s="1"/>
      <c r="AE1048" s="1"/>
      <c r="AF1048" s="1"/>
      <c r="AG1048" s="1"/>
      <c r="AH1048" s="1"/>
      <c r="AI1048" s="1"/>
      <c r="AJ1048" s="1"/>
      <c r="AK1048" s="1"/>
      <c r="AL1048" s="1"/>
      <c r="AM1048" s="1"/>
      <c r="AN1048" s="1"/>
      <c r="AO1048" s="1" t="s">
        <v>1772</v>
      </c>
      <c r="AP1048" s="1" t="s">
        <v>1773</v>
      </c>
      <c r="AQ1048" s="1" t="s">
        <v>6718</v>
      </c>
      <c r="AR1048" s="1"/>
      <c r="AS1048" s="1"/>
      <c r="AT1048" s="1"/>
      <c r="AU1048" s="1">
        <v>2020</v>
      </c>
      <c r="AV1048" s="1">
        <v>95</v>
      </c>
      <c r="AW1048" s="1"/>
      <c r="AX1048" s="1"/>
      <c r="AY1048" s="1"/>
      <c r="AZ1048" s="1"/>
      <c r="BA1048" s="1"/>
      <c r="BB1048" s="1">
        <v>187</v>
      </c>
      <c r="BC1048" s="1">
        <v>194</v>
      </c>
      <c r="BD1048" s="1"/>
      <c r="BE1048" s="1" t="s">
        <v>6719</v>
      </c>
      <c r="BF1048" s="1" t="str">
        <f>HYPERLINK("http://dx.doi.org/10.1007/978-3-030-34983-7_19","http://dx.doi.org/10.1007/978-3-030-34983-7_19")</f>
        <v>http://dx.doi.org/10.1007/978-3-030-34983-7_19</v>
      </c>
      <c r="BG1048" s="1"/>
      <c r="BH1048" s="1"/>
      <c r="BI1048" s="1"/>
      <c r="BJ1048" s="1"/>
      <c r="BK1048" s="1"/>
      <c r="BL1048" s="1"/>
      <c r="BM1048" s="1"/>
      <c r="BN1048" s="1"/>
      <c r="BO1048" s="1"/>
      <c r="BP1048" s="1"/>
      <c r="BQ1048" s="1"/>
      <c r="BR1048" s="1"/>
      <c r="BS1048" s="1" t="s">
        <v>6720</v>
      </c>
      <c r="BT1048" s="1" t="str">
        <f>HYPERLINK("https%3A%2F%2Fwww.webofscience.com%2Fwos%2Fwoscc%2Ffull-record%2FWOS:000613140000019","View Full Record in Web of Science")</f>
        <v>View Full Record in Web of Science</v>
      </c>
      <c r="BU1048" s="1"/>
      <c r="BV1048" s="1"/>
      <c r="BW1048" s="1"/>
    </row>
    <row r="1049" spans="1:75" customHeight="1" ht="12.75">
      <c r="A1049" s="1" t="s">
        <v>147</v>
      </c>
      <c r="B1049" s="1" t="s">
        <v>6721</v>
      </c>
      <c r="C1049" s="1"/>
      <c r="D1049" s="1" t="s">
        <v>5560</v>
      </c>
      <c r="E1049" s="1"/>
      <c r="F1049" s="1" t="s">
        <v>6722</v>
      </c>
      <c r="G1049" s="1"/>
      <c r="H1049" s="1"/>
      <c r="I1049" s="1" t="s">
        <v>6723</v>
      </c>
      <c r="J1049" s="1" t="s">
        <v>5563</v>
      </c>
      <c r="K1049" s="1" t="s">
        <v>1236</v>
      </c>
      <c r="L1049" s="1"/>
      <c r="M1049" s="1"/>
      <c r="N1049" s="1"/>
      <c r="O1049" s="1" t="s">
        <v>5564</v>
      </c>
      <c r="P1049" s="1" t="s">
        <v>5565</v>
      </c>
      <c r="Q1049" s="1" t="s">
        <v>5566</v>
      </c>
      <c r="R1049" s="1"/>
      <c r="S1049" s="1" t="s">
        <v>5567</v>
      </c>
      <c r="T1049" s="1"/>
      <c r="U1049" s="1"/>
      <c r="V1049" s="1"/>
      <c r="W1049" s="1"/>
      <c r="X1049" s="1"/>
      <c r="Y1049" s="1"/>
      <c r="Z1049" s="1"/>
      <c r="AA1049" s="1" t="s">
        <v>6724</v>
      </c>
      <c r="AB1049" s="1"/>
      <c r="AC1049" s="1"/>
      <c r="AD1049" s="1"/>
      <c r="AE1049" s="1"/>
      <c r="AF1049" s="1"/>
      <c r="AG1049" s="1"/>
      <c r="AH1049" s="1"/>
      <c r="AI1049" s="1"/>
      <c r="AJ1049" s="1"/>
      <c r="AK1049" s="1"/>
      <c r="AL1049" s="1"/>
      <c r="AM1049" s="1"/>
      <c r="AN1049" s="1"/>
      <c r="AO1049" s="1" t="s">
        <v>1240</v>
      </c>
      <c r="AP1049" s="1"/>
      <c r="AQ1049" s="1"/>
      <c r="AR1049" s="1"/>
      <c r="AS1049" s="1"/>
      <c r="AT1049" s="1"/>
      <c r="AU1049" s="1">
        <v>2020</v>
      </c>
      <c r="AV1049" s="1">
        <v>210</v>
      </c>
      <c r="AW1049" s="1"/>
      <c r="AX1049" s="1"/>
      <c r="AY1049" s="1"/>
      <c r="AZ1049" s="1"/>
      <c r="BA1049" s="1"/>
      <c r="BB1049" s="1"/>
      <c r="BC1049" s="1"/>
      <c r="BD1049" s="1">
        <v>16021</v>
      </c>
      <c r="BE1049" s="1" t="s">
        <v>6725</v>
      </c>
      <c r="BF1049" s="1" t="str">
        <f>HYPERLINK("http://dx.doi.org/10.1051/e3sconf/202021016021","http://dx.doi.org/10.1051/e3sconf/202021016021")</f>
        <v>http://dx.doi.org/10.1051/e3sconf/202021016021</v>
      </c>
      <c r="BG1049" s="1"/>
      <c r="BH1049" s="1"/>
      <c r="BI1049" s="1"/>
      <c r="BJ1049" s="1"/>
      <c r="BK1049" s="1"/>
      <c r="BL1049" s="1"/>
      <c r="BM1049" s="1"/>
      <c r="BN1049" s="1"/>
      <c r="BO1049" s="1"/>
      <c r="BP1049" s="1"/>
      <c r="BQ1049" s="1"/>
      <c r="BR1049" s="1"/>
      <c r="BS1049" s="1" t="s">
        <v>6726</v>
      </c>
      <c r="BT1049" s="1" t="str">
        <f>HYPERLINK("https%3A%2F%2Fwww.webofscience.com%2Fwos%2Fwoscc%2Ffull-record%2FWOS:000659867302022","View Full Record in Web of Science")</f>
        <v>View Full Record in Web of Science</v>
      </c>
      <c r="BU1049" s="1"/>
      <c r="BV1049" s="1"/>
      <c r="BW1049" s="1"/>
    </row>
    <row r="1050" spans="1:75" customHeight="1" ht="12.75">
      <c r="A1050" s="1" t="s">
        <v>72</v>
      </c>
      <c r="B1050" s="1" t="s">
        <v>6501</v>
      </c>
      <c r="C1050" s="1"/>
      <c r="D1050" s="1"/>
      <c r="E1050" s="1"/>
      <c r="F1050" s="1" t="s">
        <v>6502</v>
      </c>
      <c r="G1050" s="1"/>
      <c r="H1050" s="1"/>
      <c r="I1050" s="1" t="s">
        <v>6727</v>
      </c>
      <c r="J1050" s="1" t="s">
        <v>6728</v>
      </c>
      <c r="K1050" s="1"/>
      <c r="L1050" s="1"/>
      <c r="M1050" s="1"/>
      <c r="N1050" s="1"/>
      <c r="O1050" s="1"/>
      <c r="P1050" s="1"/>
      <c r="Q1050" s="1"/>
      <c r="R1050" s="1"/>
      <c r="S1050" s="1"/>
      <c r="T1050" s="1"/>
      <c r="U1050" s="1"/>
      <c r="V1050" s="1"/>
      <c r="W1050" s="1"/>
      <c r="X1050" s="1"/>
      <c r="Y1050" s="1"/>
      <c r="Z1050" s="1"/>
      <c r="AA1050" s="1" t="s">
        <v>6729</v>
      </c>
      <c r="AB1050" s="1" t="s">
        <v>6730</v>
      </c>
      <c r="AC1050" s="1"/>
      <c r="AD1050" s="1"/>
      <c r="AE1050" s="1"/>
      <c r="AF1050" s="1"/>
      <c r="AG1050" s="1"/>
      <c r="AH1050" s="1"/>
      <c r="AI1050" s="1"/>
      <c r="AJ1050" s="1"/>
      <c r="AK1050" s="1"/>
      <c r="AL1050" s="1"/>
      <c r="AM1050" s="1"/>
      <c r="AN1050" s="1"/>
      <c r="AO1050" s="1" t="s">
        <v>6731</v>
      </c>
      <c r="AP1050" s="1" t="s">
        <v>6732</v>
      </c>
      <c r="AQ1050" s="1"/>
      <c r="AR1050" s="1"/>
      <c r="AS1050" s="1"/>
      <c r="AT1050" s="1" t="s">
        <v>6733</v>
      </c>
      <c r="AU1050" s="1">
        <v>2019</v>
      </c>
      <c r="AV1050" s="1">
        <v>166</v>
      </c>
      <c r="AW1050" s="1">
        <v>10</v>
      </c>
      <c r="AX1050" s="1"/>
      <c r="AY1050" s="1"/>
      <c r="AZ1050" s="1"/>
      <c r="BA1050" s="1"/>
      <c r="BB1050" s="1" t="s">
        <v>6734</v>
      </c>
      <c r="BC1050" s="1" t="s">
        <v>6735</v>
      </c>
      <c r="BD1050" s="1"/>
      <c r="BE1050" s="1" t="s">
        <v>6736</v>
      </c>
      <c r="BF1050" s="1" t="str">
        <f>HYPERLINK("http://dx.doi.org/10.1149/2.0561910jes","http://dx.doi.org/10.1149/2.0561910jes")</f>
        <v>http://dx.doi.org/10.1149/2.0561910jes</v>
      </c>
      <c r="BG1050" s="1"/>
      <c r="BH1050" s="1"/>
      <c r="BI1050" s="1"/>
      <c r="BJ1050" s="1"/>
      <c r="BK1050" s="1"/>
      <c r="BL1050" s="1"/>
      <c r="BM1050" s="1"/>
      <c r="BN1050" s="1"/>
      <c r="BO1050" s="1"/>
      <c r="BP1050" s="1"/>
      <c r="BQ1050" s="1"/>
      <c r="BR1050" s="1"/>
      <c r="BS1050" s="1" t="s">
        <v>6737</v>
      </c>
      <c r="BT1050" s="1" t="str">
        <f>HYPERLINK("https%3A%2F%2Fwww.webofscience.com%2Fwos%2Fwoscc%2Ffull-record%2FWOS:000470231700001","View Full Record in Web of Science")</f>
        <v>View Full Record in Web of Science</v>
      </c>
      <c r="BU1050" s="1"/>
      <c r="BV1050" s="1"/>
      <c r="BW1050" s="1"/>
    </row>
    <row r="1051" spans="1:75" customHeight="1" ht="12.75">
      <c r="A1051" s="1" t="s">
        <v>72</v>
      </c>
      <c r="B1051" s="1" t="s">
        <v>6738</v>
      </c>
      <c r="C1051" s="1"/>
      <c r="D1051" s="1"/>
      <c r="E1051" s="1"/>
      <c r="F1051" s="1" t="s">
        <v>6739</v>
      </c>
      <c r="G1051" s="1"/>
      <c r="H1051" s="1"/>
      <c r="I1051" s="1" t="s">
        <v>6740</v>
      </c>
      <c r="J1051" s="1" t="s">
        <v>3150</v>
      </c>
      <c r="K1051" s="1"/>
      <c r="L1051" s="1"/>
      <c r="M1051" s="1"/>
      <c r="N1051" s="1"/>
      <c r="O1051" s="1"/>
      <c r="P1051" s="1"/>
      <c r="Q1051" s="1"/>
      <c r="R1051" s="1"/>
      <c r="S1051" s="1"/>
      <c r="T1051" s="1"/>
      <c r="U1051" s="1"/>
      <c r="V1051" s="1"/>
      <c r="W1051" s="1"/>
      <c r="X1051" s="1"/>
      <c r="Y1051" s="1"/>
      <c r="Z1051" s="1"/>
      <c r="AA1051" s="1" t="s">
        <v>615</v>
      </c>
      <c r="AB1051" s="1" t="s">
        <v>616</v>
      </c>
      <c r="AC1051" s="1"/>
      <c r="AD1051" s="1"/>
      <c r="AE1051" s="1"/>
      <c r="AF1051" s="1"/>
      <c r="AG1051" s="1"/>
      <c r="AH1051" s="1"/>
      <c r="AI1051" s="1"/>
      <c r="AJ1051" s="1"/>
      <c r="AK1051" s="1"/>
      <c r="AL1051" s="1"/>
      <c r="AM1051" s="1"/>
      <c r="AN1051" s="1"/>
      <c r="AO1051" s="1" t="s">
        <v>3151</v>
      </c>
      <c r="AP1051" s="1"/>
      <c r="AQ1051" s="1"/>
      <c r="AR1051" s="1"/>
      <c r="AS1051" s="1"/>
      <c r="AT1051" s="1" t="s">
        <v>1167</v>
      </c>
      <c r="AU1051" s="1">
        <v>2011</v>
      </c>
      <c r="AV1051" s="1">
        <v>52</v>
      </c>
      <c r="AW1051" s="1">
        <v>5</v>
      </c>
      <c r="AX1051" s="1"/>
      <c r="AY1051" s="1"/>
      <c r="AZ1051" s="1"/>
      <c r="BA1051" s="1"/>
      <c r="BB1051" s="1">
        <v>433</v>
      </c>
      <c r="BC1051" s="1">
        <v>436</v>
      </c>
      <c r="BD1051" s="1"/>
      <c r="BE1051" s="1" t="s">
        <v>6741</v>
      </c>
      <c r="BF1051" s="1" t="str">
        <f>HYPERLINK("http://dx.doi.org/10.3103/S106782121105004X","http://dx.doi.org/10.3103/S106782121105004X")</f>
        <v>http://dx.doi.org/10.3103/S106782121105004X</v>
      </c>
      <c r="BG1051" s="1"/>
      <c r="BH1051" s="1"/>
      <c r="BI1051" s="1"/>
      <c r="BJ1051" s="1"/>
      <c r="BK1051" s="1"/>
      <c r="BL1051" s="1"/>
      <c r="BM1051" s="1"/>
      <c r="BN1051" s="1"/>
      <c r="BO1051" s="1"/>
      <c r="BP1051" s="1"/>
      <c r="BQ1051" s="1"/>
      <c r="BR1051" s="1"/>
      <c r="BS1051" s="1" t="s">
        <v>6742</v>
      </c>
      <c r="BT1051" s="1" t="str">
        <f>HYPERLINK("https%3A%2F%2Fwww.webofscience.com%2Fwos%2Fwoscc%2Ffull-record%2FWOS:000296792700008","View Full Record in Web of Science")</f>
        <v>View Full Record in Web of Science</v>
      </c>
      <c r="BU1051" s="1"/>
      <c r="BV1051" s="1"/>
      <c r="BW1051" s="1"/>
    </row>
    <row r="1052" spans="1:75" customHeight="1" ht="12.75">
      <c r="A1052" s="1" t="s">
        <v>147</v>
      </c>
      <c r="B1052" s="1" t="s">
        <v>6743</v>
      </c>
      <c r="C1052" s="1"/>
      <c r="D1052" s="1" t="s">
        <v>5560</v>
      </c>
      <c r="E1052" s="1"/>
      <c r="F1052" s="1" t="s">
        <v>6744</v>
      </c>
      <c r="G1052" s="1"/>
      <c r="H1052" s="1"/>
      <c r="I1052" s="1" t="s">
        <v>6745</v>
      </c>
      <c r="J1052" s="1" t="s">
        <v>5563</v>
      </c>
      <c r="K1052" s="1" t="s">
        <v>1236</v>
      </c>
      <c r="L1052" s="1"/>
      <c r="M1052" s="1"/>
      <c r="N1052" s="1"/>
      <c r="O1052" s="1" t="s">
        <v>5564</v>
      </c>
      <c r="P1052" s="1" t="s">
        <v>5565</v>
      </c>
      <c r="Q1052" s="1" t="s">
        <v>5566</v>
      </c>
      <c r="R1052" s="1"/>
      <c r="S1052" s="1" t="s">
        <v>5567</v>
      </c>
      <c r="T1052" s="1"/>
      <c r="U1052" s="1"/>
      <c r="V1052" s="1"/>
      <c r="W1052" s="1"/>
      <c r="X1052" s="1"/>
      <c r="Y1052" s="1"/>
      <c r="Z1052" s="1"/>
      <c r="AA1052" s="1"/>
      <c r="AB1052" s="1" t="s">
        <v>6746</v>
      </c>
      <c r="AC1052" s="1"/>
      <c r="AD1052" s="1"/>
      <c r="AE1052" s="1"/>
      <c r="AF1052" s="1"/>
      <c r="AG1052" s="1"/>
      <c r="AH1052" s="1"/>
      <c r="AI1052" s="1"/>
      <c r="AJ1052" s="1"/>
      <c r="AK1052" s="1"/>
      <c r="AL1052" s="1"/>
      <c r="AM1052" s="1"/>
      <c r="AN1052" s="1"/>
      <c r="AO1052" s="1" t="s">
        <v>1240</v>
      </c>
      <c r="AP1052" s="1"/>
      <c r="AQ1052" s="1"/>
      <c r="AR1052" s="1"/>
      <c r="AS1052" s="1"/>
      <c r="AT1052" s="1"/>
      <c r="AU1052" s="1">
        <v>2020</v>
      </c>
      <c r="AV1052" s="1">
        <v>210</v>
      </c>
      <c r="AW1052" s="1"/>
      <c r="AX1052" s="1"/>
      <c r="AY1052" s="1"/>
      <c r="AZ1052" s="1"/>
      <c r="BA1052" s="1"/>
      <c r="BB1052" s="1"/>
      <c r="BC1052" s="1"/>
      <c r="BD1052" s="1">
        <v>10007</v>
      </c>
      <c r="BE1052" s="1" t="s">
        <v>6747</v>
      </c>
      <c r="BF1052" s="1" t="str">
        <f>HYPERLINK("http://dx.doi.org/10.1051/e3sconf/202021010007","http://dx.doi.org/10.1051/e3sconf/202021010007")</f>
        <v>http://dx.doi.org/10.1051/e3sconf/202021010007</v>
      </c>
      <c r="BG1052" s="1"/>
      <c r="BH1052" s="1"/>
      <c r="BI1052" s="1"/>
      <c r="BJ1052" s="1"/>
      <c r="BK1052" s="1"/>
      <c r="BL1052" s="1"/>
      <c r="BM1052" s="1"/>
      <c r="BN1052" s="1"/>
      <c r="BO1052" s="1"/>
      <c r="BP1052" s="1"/>
      <c r="BQ1052" s="1"/>
      <c r="BR1052" s="1"/>
      <c r="BS1052" s="1" t="s">
        <v>6748</v>
      </c>
      <c r="BT1052" s="1" t="str">
        <f>HYPERLINK("https%3A%2F%2Fwww.webofscience.com%2Fwos%2Fwoscc%2Ffull-record%2FWOS:000659867301032","View Full Record in Web of Science")</f>
        <v>View Full Record in Web of Science</v>
      </c>
      <c r="BU1052" s="1"/>
      <c r="BV1052" s="1"/>
      <c r="BW1052" s="1"/>
    </row>
    <row r="1053" spans="1:75" customHeight="1" ht="12.75">
      <c r="A1053" s="1" t="s">
        <v>147</v>
      </c>
      <c r="B1053" s="1" t="s">
        <v>6749</v>
      </c>
      <c r="C1053" s="1"/>
      <c r="D1053" s="1"/>
      <c r="E1053" s="1" t="s">
        <v>175</v>
      </c>
      <c r="F1053" s="1" t="s">
        <v>6750</v>
      </c>
      <c r="G1053" s="1"/>
      <c r="H1053" s="1"/>
      <c r="I1053" s="1" t="s">
        <v>6751</v>
      </c>
      <c r="J1053" s="1" t="s">
        <v>2671</v>
      </c>
      <c r="K1053" s="1" t="s">
        <v>1576</v>
      </c>
      <c r="L1053" s="1"/>
      <c r="M1053" s="1"/>
      <c r="N1053" s="1"/>
      <c r="O1053" s="1" t="s">
        <v>2672</v>
      </c>
      <c r="P1053" s="1" t="s">
        <v>2673</v>
      </c>
      <c r="Q1053" s="1" t="s">
        <v>2674</v>
      </c>
      <c r="R1053" s="1"/>
      <c r="S1053" s="1" t="s">
        <v>2675</v>
      </c>
      <c r="T1053" s="1"/>
      <c r="U1053" s="1"/>
      <c r="V1053" s="1"/>
      <c r="W1053" s="1"/>
      <c r="X1053" s="1"/>
      <c r="Y1053" s="1"/>
      <c r="Z1053" s="1"/>
      <c r="AA1053" s="1" t="s">
        <v>6752</v>
      </c>
      <c r="AB1053" s="1" t="s">
        <v>6753</v>
      </c>
      <c r="AC1053" s="1"/>
      <c r="AD1053" s="1"/>
      <c r="AE1053" s="1"/>
      <c r="AF1053" s="1"/>
      <c r="AG1053" s="1"/>
      <c r="AH1053" s="1"/>
      <c r="AI1053" s="1"/>
      <c r="AJ1053" s="1"/>
      <c r="AK1053" s="1"/>
      <c r="AL1053" s="1"/>
      <c r="AM1053" s="1"/>
      <c r="AN1053" s="1"/>
      <c r="AO1053" s="1" t="s">
        <v>1581</v>
      </c>
      <c r="AP1053" s="1"/>
      <c r="AQ1053" s="1"/>
      <c r="AR1053" s="1"/>
      <c r="AS1053" s="1"/>
      <c r="AT1053" s="1"/>
      <c r="AU1053" s="1">
        <v>2017</v>
      </c>
      <c r="AV1053" s="1">
        <v>90</v>
      </c>
      <c r="AW1053" s="1"/>
      <c r="AX1053" s="1"/>
      <c r="AY1053" s="1"/>
      <c r="AZ1053" s="1"/>
      <c r="BA1053" s="1"/>
      <c r="BB1053" s="1"/>
      <c r="BC1053" s="1"/>
      <c r="BD1053" s="1">
        <v>12125</v>
      </c>
      <c r="BE1053" s="1" t="s">
        <v>6754</v>
      </c>
      <c r="BF1053" s="1" t="str">
        <f>HYPERLINK("http://dx.doi.org/10.1088/1755-1315/90/1/012125","http://dx.doi.org/10.1088/1755-1315/90/1/012125")</f>
        <v>http://dx.doi.org/10.1088/1755-1315/90/1/012125</v>
      </c>
      <c r="BG1053" s="1"/>
      <c r="BH1053" s="1"/>
      <c r="BI1053" s="1"/>
      <c r="BJ1053" s="1"/>
      <c r="BK1053" s="1"/>
      <c r="BL1053" s="1"/>
      <c r="BM1053" s="1"/>
      <c r="BN1053" s="1"/>
      <c r="BO1053" s="1"/>
      <c r="BP1053" s="1"/>
      <c r="BQ1053" s="1"/>
      <c r="BR1053" s="1"/>
      <c r="BS1053" s="1" t="s">
        <v>6755</v>
      </c>
      <c r="BT1053" s="1" t="str">
        <f>HYPERLINK("https%3A%2F%2Fwww.webofscience.com%2Fwos%2Fwoscc%2Ffull-record%2FWOS:000419816700125","View Full Record in Web of Science")</f>
        <v>View Full Record in Web of Science</v>
      </c>
      <c r="BU1053" s="1"/>
      <c r="BV1053" s="1"/>
      <c r="BW1053" s="1"/>
    </row>
    <row r="1054" spans="1:75" customHeight="1" ht="12.75">
      <c r="A1054" s="1" t="s">
        <v>72</v>
      </c>
      <c r="B1054" s="1" t="s">
        <v>6756</v>
      </c>
      <c r="C1054" s="1"/>
      <c r="D1054" s="1"/>
      <c r="E1054" s="1"/>
      <c r="F1054" s="1" t="s">
        <v>6757</v>
      </c>
      <c r="G1054" s="1"/>
      <c r="H1054" s="1"/>
      <c r="I1054" s="1" t="s">
        <v>6758</v>
      </c>
      <c r="J1054" s="1" t="s">
        <v>95</v>
      </c>
      <c r="K1054" s="1"/>
      <c r="L1054" s="1"/>
      <c r="M1054" s="1"/>
      <c r="N1054" s="1"/>
      <c r="O1054" s="1"/>
      <c r="P1054" s="1"/>
      <c r="Q1054" s="1"/>
      <c r="R1054" s="1"/>
      <c r="S1054" s="1"/>
      <c r="T1054" s="1"/>
      <c r="U1054" s="1"/>
      <c r="V1054" s="1"/>
      <c r="W1054" s="1"/>
      <c r="X1054" s="1"/>
      <c r="Y1054" s="1"/>
      <c r="Z1054" s="1"/>
      <c r="AA1054" s="1"/>
      <c r="AB1054" s="1" t="s">
        <v>6759</v>
      </c>
      <c r="AC1054" s="1"/>
      <c r="AD1054" s="1"/>
      <c r="AE1054" s="1"/>
      <c r="AF1054" s="1"/>
      <c r="AG1054" s="1"/>
      <c r="AH1054" s="1"/>
      <c r="AI1054" s="1"/>
      <c r="AJ1054" s="1"/>
      <c r="AK1054" s="1"/>
      <c r="AL1054" s="1"/>
      <c r="AM1054" s="1"/>
      <c r="AN1054" s="1"/>
      <c r="AO1054" s="1" t="s">
        <v>98</v>
      </c>
      <c r="AP1054" s="1" t="s">
        <v>99</v>
      </c>
      <c r="AQ1054" s="1"/>
      <c r="AR1054" s="1"/>
      <c r="AS1054" s="1"/>
      <c r="AT1054" s="1"/>
      <c r="AU1054" s="1">
        <v>2022</v>
      </c>
      <c r="AV1054" s="1"/>
      <c r="AW1054" s="1">
        <v>3</v>
      </c>
      <c r="AX1054" s="1"/>
      <c r="AY1054" s="1"/>
      <c r="AZ1054" s="1"/>
      <c r="BA1054" s="1"/>
      <c r="BB1054" s="1">
        <v>110</v>
      </c>
      <c r="BC1054" s="1">
        <v>117</v>
      </c>
      <c r="BD1054" s="1"/>
      <c r="BE1054" s="1" t="s">
        <v>6760</v>
      </c>
      <c r="BF1054" s="1" t="str">
        <f>HYPERLINK("http://dx.doi.org/10.25750/1995-4301-2022-3-110-117","http://dx.doi.org/10.25750/1995-4301-2022-3-110-117")</f>
        <v>http://dx.doi.org/10.25750/1995-4301-2022-3-110-117</v>
      </c>
      <c r="BG1054" s="1"/>
      <c r="BH1054" s="1"/>
      <c r="BI1054" s="1"/>
      <c r="BJ1054" s="1"/>
      <c r="BK1054" s="1"/>
      <c r="BL1054" s="1"/>
      <c r="BM1054" s="1"/>
      <c r="BN1054" s="1"/>
      <c r="BO1054" s="1"/>
      <c r="BP1054" s="1"/>
      <c r="BQ1054" s="1"/>
      <c r="BR1054" s="1"/>
      <c r="BS1054" s="1" t="s">
        <v>6761</v>
      </c>
      <c r="BT1054" s="1" t="str">
        <f>HYPERLINK("https%3A%2F%2Fwww.webofscience.com%2Fwos%2Fwoscc%2Ffull-record%2FWOS:000885393200014","View Full Record in Web of Science")</f>
        <v>View Full Record in Web of Science</v>
      </c>
      <c r="BU1054" s="1"/>
      <c r="BV1054" s="1"/>
      <c r="BW1054" s="1"/>
    </row>
    <row r="1055" spans="1:75" customHeight="1" ht="12.75">
      <c r="A1055" s="1" t="s">
        <v>72</v>
      </c>
      <c r="B1055" s="1" t="s">
        <v>6762</v>
      </c>
      <c r="C1055" s="1"/>
      <c r="D1055" s="1"/>
      <c r="E1055" s="1"/>
      <c r="F1055" s="1" t="s">
        <v>6763</v>
      </c>
      <c r="G1055" s="1"/>
      <c r="H1055" s="1"/>
      <c r="I1055" s="1" t="s">
        <v>6764</v>
      </c>
      <c r="J1055" s="1" t="s">
        <v>1652</v>
      </c>
      <c r="K1055" s="1"/>
      <c r="L1055" s="1"/>
      <c r="M1055" s="1"/>
      <c r="N1055" s="1"/>
      <c r="O1055" s="1"/>
      <c r="P1055" s="1"/>
      <c r="Q1055" s="1"/>
      <c r="R1055" s="1"/>
      <c r="S1055" s="1"/>
      <c r="T1055" s="1"/>
      <c r="U1055" s="1"/>
      <c r="V1055" s="1"/>
      <c r="W1055" s="1"/>
      <c r="X1055" s="1"/>
      <c r="Y1055" s="1"/>
      <c r="Z1055" s="1"/>
      <c r="AA1055" s="1" t="s">
        <v>6765</v>
      </c>
      <c r="AB1055" s="1" t="s">
        <v>6766</v>
      </c>
      <c r="AC1055" s="1"/>
      <c r="AD1055" s="1"/>
      <c r="AE1055" s="1"/>
      <c r="AF1055" s="1"/>
      <c r="AG1055" s="1"/>
      <c r="AH1055" s="1"/>
      <c r="AI1055" s="1"/>
      <c r="AJ1055" s="1"/>
      <c r="AK1055" s="1"/>
      <c r="AL1055" s="1"/>
      <c r="AM1055" s="1"/>
      <c r="AN1055" s="1"/>
      <c r="AO1055" s="1" t="s">
        <v>1653</v>
      </c>
      <c r="AP1055" s="1"/>
      <c r="AQ1055" s="1"/>
      <c r="AR1055" s="1"/>
      <c r="AS1055" s="1"/>
      <c r="AT1055" s="1" t="s">
        <v>830</v>
      </c>
      <c r="AU1055" s="1">
        <v>2021</v>
      </c>
      <c r="AV1055" s="1">
        <v>15</v>
      </c>
      <c r="AW1055" s="1">
        <v>9</v>
      </c>
      <c r="AX1055" s="1"/>
      <c r="AY1055" s="1"/>
      <c r="AZ1055" s="1"/>
      <c r="BA1055" s="1"/>
      <c r="BB1055" s="1">
        <v>2651</v>
      </c>
      <c r="BC1055" s="1">
        <v>2655</v>
      </c>
      <c r="BD1055" s="1"/>
      <c r="BE1055" s="1" t="s">
        <v>6767</v>
      </c>
      <c r="BF1055" s="1" t="str">
        <f>HYPERLINK("http://dx.doi.org/10.53350/pjmhs211592651","http://dx.doi.org/10.53350/pjmhs211592651")</f>
        <v>http://dx.doi.org/10.53350/pjmhs211592651</v>
      </c>
      <c r="BG1055" s="1"/>
      <c r="BH1055" s="1"/>
      <c r="BI1055" s="1"/>
      <c r="BJ1055" s="1"/>
      <c r="BK1055" s="1"/>
      <c r="BL1055" s="1"/>
      <c r="BM1055" s="1"/>
      <c r="BN1055" s="1"/>
      <c r="BO1055" s="1"/>
      <c r="BP1055" s="1"/>
      <c r="BQ1055" s="1"/>
      <c r="BR1055" s="1"/>
      <c r="BS1055" s="1" t="s">
        <v>6768</v>
      </c>
      <c r="BT1055" s="1" t="str">
        <f>HYPERLINK("https%3A%2F%2Fwww.webofscience.com%2Fwos%2Fwoscc%2Ffull-record%2FWOS:000729254000003","View Full Record in Web of Science")</f>
        <v>View Full Record in Web of Science</v>
      </c>
      <c r="BU1055" s="1"/>
      <c r="BV1055" s="1"/>
      <c r="BW1055" s="1"/>
    </row>
    <row r="1056" spans="1:75" customHeight="1" ht="12.75">
      <c r="A1056" s="1" t="s">
        <v>72</v>
      </c>
      <c r="B1056" s="1" t="s">
        <v>6769</v>
      </c>
      <c r="C1056" s="1"/>
      <c r="D1056" s="1"/>
      <c r="E1056" s="1"/>
      <c r="F1056" s="1" t="s">
        <v>6770</v>
      </c>
      <c r="G1056" s="1"/>
      <c r="H1056" s="1"/>
      <c r="I1056" s="1" t="s">
        <v>6771</v>
      </c>
      <c r="J1056" s="1" t="s">
        <v>166</v>
      </c>
      <c r="K1056" s="1"/>
      <c r="L1056" s="1"/>
      <c r="M1056" s="1"/>
      <c r="N1056" s="1"/>
      <c r="O1056" s="1"/>
      <c r="P1056" s="1"/>
      <c r="Q1056" s="1"/>
      <c r="R1056" s="1"/>
      <c r="S1056" s="1"/>
      <c r="T1056" s="1"/>
      <c r="U1056" s="1"/>
      <c r="V1056" s="1"/>
      <c r="W1056" s="1"/>
      <c r="X1056" s="1"/>
      <c r="Y1056" s="1"/>
      <c r="Z1056" s="1"/>
      <c r="AA1056" s="1"/>
      <c r="AB1056" s="1" t="s">
        <v>6516</v>
      </c>
      <c r="AC1056" s="1"/>
      <c r="AD1056" s="1"/>
      <c r="AE1056" s="1"/>
      <c r="AF1056" s="1"/>
      <c r="AG1056" s="1"/>
      <c r="AH1056" s="1"/>
      <c r="AI1056" s="1"/>
      <c r="AJ1056" s="1"/>
      <c r="AK1056" s="1"/>
      <c r="AL1056" s="1"/>
      <c r="AM1056" s="1"/>
      <c r="AN1056" s="1"/>
      <c r="AO1056" s="1" t="s">
        <v>169</v>
      </c>
      <c r="AP1056" s="1" t="s">
        <v>170</v>
      </c>
      <c r="AQ1056" s="1"/>
      <c r="AR1056" s="1"/>
      <c r="AS1056" s="1"/>
      <c r="AT1056" s="1" t="s">
        <v>830</v>
      </c>
      <c r="AU1056" s="1">
        <v>2021</v>
      </c>
      <c r="AV1056" s="1">
        <v>10</v>
      </c>
      <c r="AW1056" s="1">
        <v>3</v>
      </c>
      <c r="AX1056" s="1"/>
      <c r="AY1056" s="1"/>
      <c r="AZ1056" s="1"/>
      <c r="BA1056" s="1"/>
      <c r="BB1056" s="1">
        <v>726</v>
      </c>
      <c r="BC1056" s="1">
        <v>739</v>
      </c>
      <c r="BD1056" s="1"/>
      <c r="BE1056" s="1" t="s">
        <v>6772</v>
      </c>
      <c r="BF1056" s="1" t="str">
        <f>HYPERLINK("http://dx.doi.org/10.13187/ejced.2021.3.726","http://dx.doi.org/10.13187/ejced.2021.3.726")</f>
        <v>http://dx.doi.org/10.13187/ejced.2021.3.726</v>
      </c>
      <c r="BG1056" s="1"/>
      <c r="BH1056" s="1"/>
      <c r="BI1056" s="1"/>
      <c r="BJ1056" s="1"/>
      <c r="BK1056" s="1"/>
      <c r="BL1056" s="1"/>
      <c r="BM1056" s="1"/>
      <c r="BN1056" s="1"/>
      <c r="BO1056" s="1"/>
      <c r="BP1056" s="1"/>
      <c r="BQ1056" s="1"/>
      <c r="BR1056" s="1"/>
      <c r="BS1056" s="1" t="s">
        <v>6773</v>
      </c>
      <c r="BT1056" s="1" t="str">
        <f>HYPERLINK("https%3A%2F%2Fwww.webofscience.com%2Fwos%2Fwoscc%2Ffull-record%2FWOS:000705970600015","View Full Record in Web of Science")</f>
        <v>View Full Record in Web of Science</v>
      </c>
      <c r="BU1056" s="1"/>
      <c r="BV1056" s="1"/>
      <c r="BW1056" s="1"/>
    </row>
    <row r="1057" spans="1:75" customHeight="1" ht="12.75">
      <c r="A1057" s="1" t="s">
        <v>147</v>
      </c>
      <c r="B1057" s="1" t="s">
        <v>6774</v>
      </c>
      <c r="C1057" s="1"/>
      <c r="D1057" s="1" t="s">
        <v>5560</v>
      </c>
      <c r="E1057" s="1"/>
      <c r="F1057" s="1" t="s">
        <v>6775</v>
      </c>
      <c r="G1057" s="1"/>
      <c r="H1057" s="1"/>
      <c r="I1057" s="1" t="s">
        <v>6776</v>
      </c>
      <c r="J1057" s="1" t="s">
        <v>5563</v>
      </c>
      <c r="K1057" s="1" t="s">
        <v>1236</v>
      </c>
      <c r="L1057" s="1"/>
      <c r="M1057" s="1"/>
      <c r="N1057" s="1"/>
      <c r="O1057" s="1" t="s">
        <v>5564</v>
      </c>
      <c r="P1057" s="1" t="s">
        <v>5565</v>
      </c>
      <c r="Q1057" s="1" t="s">
        <v>5566</v>
      </c>
      <c r="R1057" s="1"/>
      <c r="S1057" s="1" t="s">
        <v>5567</v>
      </c>
      <c r="T1057" s="1"/>
      <c r="U1057" s="1"/>
      <c r="V1057" s="1"/>
      <c r="W1057" s="1"/>
      <c r="X1057" s="1"/>
      <c r="Y1057" s="1"/>
      <c r="Z1057" s="1"/>
      <c r="AA1057" s="1"/>
      <c r="AB1057" s="1"/>
      <c r="AC1057" s="1"/>
      <c r="AD1057" s="1"/>
      <c r="AE1057" s="1"/>
      <c r="AF1057" s="1"/>
      <c r="AG1057" s="1"/>
      <c r="AH1057" s="1"/>
      <c r="AI1057" s="1"/>
      <c r="AJ1057" s="1"/>
      <c r="AK1057" s="1"/>
      <c r="AL1057" s="1"/>
      <c r="AM1057" s="1"/>
      <c r="AN1057" s="1"/>
      <c r="AO1057" s="1" t="s">
        <v>1240</v>
      </c>
      <c r="AP1057" s="1"/>
      <c r="AQ1057" s="1"/>
      <c r="AR1057" s="1"/>
      <c r="AS1057" s="1"/>
      <c r="AT1057" s="1"/>
      <c r="AU1057" s="1">
        <v>2020</v>
      </c>
      <c r="AV1057" s="1">
        <v>210</v>
      </c>
      <c r="AW1057" s="1"/>
      <c r="AX1057" s="1"/>
      <c r="AY1057" s="1"/>
      <c r="AZ1057" s="1"/>
      <c r="BA1057" s="1"/>
      <c r="BB1057" s="1"/>
      <c r="BC1057" s="1"/>
      <c r="BD1057" s="1">
        <v>17027</v>
      </c>
      <c r="BE1057" s="1" t="s">
        <v>6777</v>
      </c>
      <c r="BF1057" s="1" t="str">
        <f>HYPERLINK("http://dx.doi.org/10.1051/e3sconf/202021017027","http://dx.doi.org/10.1051/e3sconf/202021017027")</f>
        <v>http://dx.doi.org/10.1051/e3sconf/202021017027</v>
      </c>
      <c r="BG1057" s="1"/>
      <c r="BH1057" s="1"/>
      <c r="BI1057" s="1"/>
      <c r="BJ1057" s="1"/>
      <c r="BK1057" s="1"/>
      <c r="BL1057" s="1"/>
      <c r="BM1057" s="1"/>
      <c r="BN1057" s="1"/>
      <c r="BO1057" s="1"/>
      <c r="BP1057" s="1"/>
      <c r="BQ1057" s="1"/>
      <c r="BR1057" s="1"/>
      <c r="BS1057" s="1" t="s">
        <v>6778</v>
      </c>
      <c r="BT1057" s="1" t="str">
        <f>HYPERLINK("https%3A%2F%2Fwww.webofscience.com%2Fwos%2Fwoscc%2Ffull-record%2FWOS:000659867302065","View Full Record in Web of Science")</f>
        <v>View Full Record in Web of Science</v>
      </c>
      <c r="BU1057" s="1"/>
      <c r="BV1057" s="1"/>
      <c r="BW1057" s="1"/>
    </row>
    <row r="1058" spans="1:75" customHeight="1" ht="12.75">
      <c r="A1058" s="1" t="s">
        <v>72</v>
      </c>
      <c r="B1058" s="1" t="s">
        <v>6779</v>
      </c>
      <c r="C1058" s="1"/>
      <c r="D1058" s="1"/>
      <c r="E1058" s="1"/>
      <c r="F1058" s="1" t="s">
        <v>6780</v>
      </c>
      <c r="G1058" s="1"/>
      <c r="H1058" s="1"/>
      <c r="I1058" s="1" t="s">
        <v>6781</v>
      </c>
      <c r="J1058" s="1" t="s">
        <v>5436</v>
      </c>
      <c r="K1058" s="1"/>
      <c r="L1058" s="1"/>
      <c r="M1058" s="1"/>
      <c r="N1058" s="1"/>
      <c r="O1058" s="1"/>
      <c r="P1058" s="1"/>
      <c r="Q1058" s="1"/>
      <c r="R1058" s="1"/>
      <c r="S1058" s="1"/>
      <c r="T1058" s="1"/>
      <c r="U1058" s="1"/>
      <c r="V1058" s="1"/>
      <c r="W1058" s="1"/>
      <c r="X1058" s="1"/>
      <c r="Y1058" s="1"/>
      <c r="Z1058" s="1"/>
      <c r="AA1058" s="1" t="s">
        <v>6782</v>
      </c>
      <c r="AB1058" s="1" t="s">
        <v>6783</v>
      </c>
      <c r="AC1058" s="1"/>
      <c r="AD1058" s="1"/>
      <c r="AE1058" s="1"/>
      <c r="AF1058" s="1"/>
      <c r="AG1058" s="1"/>
      <c r="AH1058" s="1"/>
      <c r="AI1058" s="1"/>
      <c r="AJ1058" s="1"/>
      <c r="AK1058" s="1"/>
      <c r="AL1058" s="1"/>
      <c r="AM1058" s="1"/>
      <c r="AN1058" s="1"/>
      <c r="AO1058" s="1" t="s">
        <v>5439</v>
      </c>
      <c r="AP1058" s="1" t="s">
        <v>5440</v>
      </c>
      <c r="AQ1058" s="1"/>
      <c r="AR1058" s="1"/>
      <c r="AS1058" s="1"/>
      <c r="AT1058" s="1" t="s">
        <v>830</v>
      </c>
      <c r="AU1058" s="1">
        <v>2019</v>
      </c>
      <c r="AV1058" s="1">
        <v>55</v>
      </c>
      <c r="AW1058" s="1">
        <v>4</v>
      </c>
      <c r="AX1058" s="1"/>
      <c r="AY1058" s="1"/>
      <c r="AZ1058" s="1"/>
      <c r="BA1058" s="1"/>
      <c r="BB1058" s="1">
        <v>435</v>
      </c>
      <c r="BC1058" s="1">
        <v>454</v>
      </c>
      <c r="BD1058" s="1"/>
      <c r="BE1058" s="1" t="s">
        <v>6784</v>
      </c>
      <c r="BF1058" s="1" t="str">
        <f>HYPERLINK("http://dx.doi.org/10.1007/s11029-019-09824-x","http://dx.doi.org/10.1007/s11029-019-09824-x")</f>
        <v>http://dx.doi.org/10.1007/s11029-019-09824-x</v>
      </c>
      <c r="BG1058" s="1"/>
      <c r="BH1058" s="1" t="s">
        <v>4696</v>
      </c>
      <c r="BI1058" s="1"/>
      <c r="BJ1058" s="1"/>
      <c r="BK1058" s="1"/>
      <c r="BL1058" s="1"/>
      <c r="BM1058" s="1"/>
      <c r="BN1058" s="1"/>
      <c r="BO1058" s="1"/>
      <c r="BP1058" s="1"/>
      <c r="BQ1058" s="1"/>
      <c r="BR1058" s="1"/>
      <c r="BS1058" s="1" t="s">
        <v>6785</v>
      </c>
      <c r="BT1058" s="1" t="str">
        <f>HYPERLINK("https%3A%2F%2Fwww.webofscience.com%2Fwos%2Fwoscc%2Ffull-record%2FWOS:000489505400001","View Full Record in Web of Science")</f>
        <v>View Full Record in Web of Science</v>
      </c>
      <c r="BU1058" s="1"/>
      <c r="BV1058" s="1"/>
      <c r="BW1058" s="1"/>
    </row>
    <row r="1059" spans="1:75" customHeight="1" ht="12.75">
      <c r="A1059" s="1" t="s">
        <v>72</v>
      </c>
      <c r="B1059" s="1" t="s">
        <v>6786</v>
      </c>
      <c r="C1059" s="1"/>
      <c r="D1059" s="1"/>
      <c r="E1059" s="1"/>
      <c r="F1059" s="1" t="s">
        <v>6787</v>
      </c>
      <c r="G1059" s="1"/>
      <c r="H1059" s="1"/>
      <c r="I1059" s="1" t="s">
        <v>6788</v>
      </c>
      <c r="J1059" s="1" t="s">
        <v>6789</v>
      </c>
      <c r="K1059" s="1"/>
      <c r="L1059" s="1"/>
      <c r="M1059" s="1"/>
      <c r="N1059" s="1"/>
      <c r="O1059" s="1"/>
      <c r="P1059" s="1"/>
      <c r="Q1059" s="1"/>
      <c r="R1059" s="1"/>
      <c r="S1059" s="1"/>
      <c r="T1059" s="1"/>
      <c r="U1059" s="1"/>
      <c r="V1059" s="1"/>
      <c r="W1059" s="1"/>
      <c r="X1059" s="1"/>
      <c r="Y1059" s="1"/>
      <c r="Z1059" s="1"/>
      <c r="AA1059" s="1" t="s">
        <v>6790</v>
      </c>
      <c r="AB1059" s="1" t="s">
        <v>6791</v>
      </c>
      <c r="AC1059" s="1"/>
      <c r="AD1059" s="1"/>
      <c r="AE1059" s="1"/>
      <c r="AF1059" s="1"/>
      <c r="AG1059" s="1"/>
      <c r="AH1059" s="1"/>
      <c r="AI1059" s="1"/>
      <c r="AJ1059" s="1"/>
      <c r="AK1059" s="1"/>
      <c r="AL1059" s="1"/>
      <c r="AM1059" s="1"/>
      <c r="AN1059" s="1"/>
      <c r="AO1059" s="1" t="s">
        <v>6792</v>
      </c>
      <c r="AP1059" s="1" t="s">
        <v>6793</v>
      </c>
      <c r="AQ1059" s="1"/>
      <c r="AR1059" s="1"/>
      <c r="AS1059" s="1"/>
      <c r="AT1059" s="1" t="s">
        <v>403</v>
      </c>
      <c r="AU1059" s="1">
        <v>2018</v>
      </c>
      <c r="AV1059" s="1">
        <v>25</v>
      </c>
      <c r="AW1059" s="1">
        <v>34</v>
      </c>
      <c r="AX1059" s="1"/>
      <c r="AY1059" s="1"/>
      <c r="AZ1059" s="1" t="s">
        <v>339</v>
      </c>
      <c r="BA1059" s="1"/>
      <c r="BB1059" s="1">
        <v>34701</v>
      </c>
      <c r="BC1059" s="1">
        <v>34710</v>
      </c>
      <c r="BD1059" s="1"/>
      <c r="BE1059" s="1" t="s">
        <v>6794</v>
      </c>
      <c r="BF1059" s="1" t="str">
        <f>HYPERLINK("http://dx.doi.org/10.1007/s11356-018-3375-2","http://dx.doi.org/10.1007/s11356-018-3375-2")</f>
        <v>http://dx.doi.org/10.1007/s11356-018-3375-2</v>
      </c>
      <c r="BG1059" s="1"/>
      <c r="BH1059" s="1"/>
      <c r="BI1059" s="1"/>
      <c r="BJ1059" s="1"/>
      <c r="BK1059" s="1"/>
      <c r="BL1059" s="1"/>
      <c r="BM1059" s="1"/>
      <c r="BN1059" s="1">
        <v>30324368</v>
      </c>
      <c r="BO1059" s="1"/>
      <c r="BP1059" s="1"/>
      <c r="BQ1059" s="1"/>
      <c r="BR1059" s="1"/>
      <c r="BS1059" s="1" t="s">
        <v>6795</v>
      </c>
      <c r="BT1059" s="1" t="str">
        <f>HYPERLINK("https%3A%2F%2Fwww.webofscience.com%2Fwos%2Fwoscc%2Ffull-record%2FWOS:000451954700078","View Full Record in Web of Science")</f>
        <v>View Full Record in Web of Science</v>
      </c>
      <c r="BU1059" s="1"/>
      <c r="BV1059" s="1"/>
      <c r="BW1059" s="1"/>
    </row>
    <row r="1060" spans="1:75" customHeight="1" ht="12.75">
      <c r="A1060" s="1" t="s">
        <v>72</v>
      </c>
      <c r="B1060" s="1" t="s">
        <v>6796</v>
      </c>
      <c r="C1060" s="1"/>
      <c r="D1060" s="1"/>
      <c r="E1060" s="1"/>
      <c r="F1060" s="1" t="s">
        <v>6797</v>
      </c>
      <c r="G1060" s="1"/>
      <c r="H1060" s="1"/>
      <c r="I1060" s="1" t="s">
        <v>6798</v>
      </c>
      <c r="J1060" s="1" t="s">
        <v>6799</v>
      </c>
      <c r="K1060" s="1"/>
      <c r="L1060" s="1"/>
      <c r="M1060" s="1"/>
      <c r="N1060" s="1"/>
      <c r="O1060" s="1"/>
      <c r="P1060" s="1"/>
      <c r="Q1060" s="1"/>
      <c r="R1060" s="1"/>
      <c r="S1060" s="1"/>
      <c r="T1060" s="1"/>
      <c r="U1060" s="1"/>
      <c r="V1060" s="1"/>
      <c r="W1060" s="1"/>
      <c r="X1060" s="1"/>
      <c r="Y1060" s="1"/>
      <c r="Z1060" s="1"/>
      <c r="AA1060" s="1" t="s">
        <v>6800</v>
      </c>
      <c r="AB1060" s="1" t="s">
        <v>6801</v>
      </c>
      <c r="AC1060" s="1"/>
      <c r="AD1060" s="1"/>
      <c r="AE1060" s="1"/>
      <c r="AF1060" s="1"/>
      <c r="AG1060" s="1"/>
      <c r="AH1060" s="1"/>
      <c r="AI1060" s="1"/>
      <c r="AJ1060" s="1"/>
      <c r="AK1060" s="1"/>
      <c r="AL1060" s="1"/>
      <c r="AM1060" s="1"/>
      <c r="AN1060" s="1"/>
      <c r="AO1060" s="1" t="s">
        <v>6802</v>
      </c>
      <c r="AP1060" s="1" t="s">
        <v>6803</v>
      </c>
      <c r="AQ1060" s="1"/>
      <c r="AR1060" s="1"/>
      <c r="AS1060" s="1"/>
      <c r="AT1060" s="1" t="s">
        <v>491</v>
      </c>
      <c r="AU1060" s="1">
        <v>2018</v>
      </c>
      <c r="AV1060" s="1">
        <v>112</v>
      </c>
      <c r="AW1060" s="1"/>
      <c r="AX1060" s="1"/>
      <c r="AY1060" s="1"/>
      <c r="AZ1060" s="1"/>
      <c r="BA1060" s="1"/>
      <c r="BB1060" s="1">
        <v>900</v>
      </c>
      <c r="BC1060" s="1">
        <v>908</v>
      </c>
      <c r="BD1060" s="1"/>
      <c r="BE1060" s="1" t="s">
        <v>6804</v>
      </c>
      <c r="BF1060" s="1" t="str">
        <f>HYPERLINK("http://dx.doi.org/10.1016/j.ijbiomac.2018.02.053","http://dx.doi.org/10.1016/j.ijbiomac.2018.02.053")</f>
        <v>http://dx.doi.org/10.1016/j.ijbiomac.2018.02.053</v>
      </c>
      <c r="BG1060" s="1"/>
      <c r="BH1060" s="1"/>
      <c r="BI1060" s="1"/>
      <c r="BJ1060" s="1"/>
      <c r="BK1060" s="1"/>
      <c r="BL1060" s="1"/>
      <c r="BM1060" s="1"/>
      <c r="BN1060" s="1">
        <v>29444473</v>
      </c>
      <c r="BO1060" s="1"/>
      <c r="BP1060" s="1"/>
      <c r="BQ1060" s="1"/>
      <c r="BR1060" s="1"/>
      <c r="BS1060" s="1" t="s">
        <v>6805</v>
      </c>
      <c r="BT1060" s="1" t="str">
        <f>HYPERLINK("https%3A%2F%2Fwww.webofscience.com%2Fwos%2Fwoscc%2Ffull-record%2FWOS:000430522400106","View Full Record in Web of Science")</f>
        <v>View Full Record in Web of Science</v>
      </c>
      <c r="BU1060" s="1"/>
      <c r="BV1060" s="1"/>
      <c r="BW1060" s="1"/>
    </row>
    <row r="1061" spans="1:75" customHeight="1" ht="12.75">
      <c r="A1061" s="1" t="s">
        <v>72</v>
      </c>
      <c r="B1061" s="1" t="s">
        <v>6806</v>
      </c>
      <c r="C1061" s="1"/>
      <c r="D1061" s="1"/>
      <c r="E1061" s="1"/>
      <c r="F1061" s="1" t="s">
        <v>6807</v>
      </c>
      <c r="G1061" s="1"/>
      <c r="H1061" s="1"/>
      <c r="I1061" s="1" t="s">
        <v>6808</v>
      </c>
      <c r="J1061" s="1" t="s">
        <v>335</v>
      </c>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c r="AH1061" s="1"/>
      <c r="AI1061" s="1"/>
      <c r="AJ1061" s="1"/>
      <c r="AK1061" s="1"/>
      <c r="AL1061" s="1"/>
      <c r="AM1061" s="1"/>
      <c r="AN1061" s="1"/>
      <c r="AO1061" s="1" t="s">
        <v>337</v>
      </c>
      <c r="AP1061" s="1"/>
      <c r="AQ1061" s="1"/>
      <c r="AR1061" s="1"/>
      <c r="AS1061" s="1"/>
      <c r="AT1061" s="1" t="s">
        <v>338</v>
      </c>
      <c r="AU1061" s="1">
        <v>2020</v>
      </c>
      <c r="AV1061" s="1">
        <v>7</v>
      </c>
      <c r="AW1061" s="1"/>
      <c r="AX1061" s="1"/>
      <c r="AY1061" s="1"/>
      <c r="AZ1061" s="1" t="s">
        <v>339</v>
      </c>
      <c r="BA1061" s="1"/>
      <c r="BB1061" s="1">
        <v>102</v>
      </c>
      <c r="BC1061" s="1">
        <v>110</v>
      </c>
      <c r="BD1061" s="1"/>
      <c r="BE1061" s="1"/>
      <c r="BF1061" s="1"/>
      <c r="BG1061" s="1"/>
      <c r="BH1061" s="1"/>
      <c r="BI1061" s="1"/>
      <c r="BJ1061" s="1"/>
      <c r="BK1061" s="1"/>
      <c r="BL1061" s="1"/>
      <c r="BM1061" s="1"/>
      <c r="BN1061" s="1"/>
      <c r="BO1061" s="1"/>
      <c r="BP1061" s="1"/>
      <c r="BQ1061" s="1"/>
      <c r="BR1061" s="1"/>
      <c r="BS1061" s="1" t="s">
        <v>6809</v>
      </c>
      <c r="BT1061" s="1" t="str">
        <f>HYPERLINK("https%3A%2F%2Fwww.webofscience.com%2Fwos%2Fwoscc%2Ffull-record%2FWOS:000572957200008","View Full Record in Web of Science")</f>
        <v>View Full Record in Web of Science</v>
      </c>
      <c r="BU1061" s="1"/>
      <c r="BV1061" s="1"/>
      <c r="BW1061" s="1"/>
    </row>
    <row r="1062" spans="1:75" customHeight="1" ht="12.75">
      <c r="A1062" s="1" t="s">
        <v>72</v>
      </c>
      <c r="B1062" s="1" t="s">
        <v>6810</v>
      </c>
      <c r="C1062" s="1"/>
      <c r="D1062" s="1"/>
      <c r="E1062" s="1"/>
      <c r="F1062" s="1" t="s">
        <v>6811</v>
      </c>
      <c r="G1062" s="1"/>
      <c r="H1062" s="1"/>
      <c r="I1062" s="1" t="s">
        <v>6812</v>
      </c>
      <c r="J1062" s="1" t="s">
        <v>6813</v>
      </c>
      <c r="K1062" s="1"/>
      <c r="L1062" s="1"/>
      <c r="M1062" s="1"/>
      <c r="N1062" s="1"/>
      <c r="O1062" s="1"/>
      <c r="P1062" s="1"/>
      <c r="Q1062" s="1"/>
      <c r="R1062" s="1"/>
      <c r="S1062" s="1"/>
      <c r="T1062" s="1"/>
      <c r="U1062" s="1"/>
      <c r="V1062" s="1"/>
      <c r="W1062" s="1"/>
      <c r="X1062" s="1"/>
      <c r="Y1062" s="1"/>
      <c r="Z1062" s="1"/>
      <c r="AA1062" s="1" t="s">
        <v>6814</v>
      </c>
      <c r="AB1062" s="1"/>
      <c r="AC1062" s="1"/>
      <c r="AD1062" s="1"/>
      <c r="AE1062" s="1"/>
      <c r="AF1062" s="1"/>
      <c r="AG1062" s="1"/>
      <c r="AH1062" s="1"/>
      <c r="AI1062" s="1"/>
      <c r="AJ1062" s="1"/>
      <c r="AK1062" s="1"/>
      <c r="AL1062" s="1"/>
      <c r="AM1062" s="1"/>
      <c r="AN1062" s="1"/>
      <c r="AO1062" s="1" t="s">
        <v>6815</v>
      </c>
      <c r="AP1062" s="1"/>
      <c r="AQ1062" s="1"/>
      <c r="AR1062" s="1"/>
      <c r="AS1062" s="1"/>
      <c r="AT1062" s="1"/>
      <c r="AU1062" s="1">
        <v>2018</v>
      </c>
      <c r="AV1062" s="1">
        <v>11</v>
      </c>
      <c r="AW1062" s="1">
        <v>1</v>
      </c>
      <c r="AX1062" s="1"/>
      <c r="AY1062" s="1"/>
      <c r="AZ1062" s="1"/>
      <c r="BA1062" s="1"/>
      <c r="BB1062" s="1">
        <v>102</v>
      </c>
      <c r="BC1062" s="1">
        <v>111</v>
      </c>
      <c r="BD1062" s="1"/>
      <c r="BE1062" s="1" t="s">
        <v>6816</v>
      </c>
      <c r="BF1062" s="1" t="str">
        <f>HYPERLINK("http://dx.doi.org/10.18721/JPM.11110","http://dx.doi.org/10.18721/JPM.11110")</f>
        <v>http://dx.doi.org/10.18721/JPM.11110</v>
      </c>
      <c r="BG1062" s="1"/>
      <c r="BH1062" s="1"/>
      <c r="BI1062" s="1"/>
      <c r="BJ1062" s="1"/>
      <c r="BK1062" s="1"/>
      <c r="BL1062" s="1"/>
      <c r="BM1062" s="1"/>
      <c r="BN1062" s="1"/>
      <c r="BO1062" s="1"/>
      <c r="BP1062" s="1"/>
      <c r="BQ1062" s="1"/>
      <c r="BR1062" s="1"/>
      <c r="BS1062" s="1" t="s">
        <v>6817</v>
      </c>
      <c r="BT1062" s="1" t="str">
        <f>HYPERLINK("https%3A%2F%2Fwww.webofscience.com%2Fwos%2Fwoscc%2Ffull-record%2FWOS:000457081500010","View Full Record in Web of Science")</f>
        <v>View Full Record in Web of Science</v>
      </c>
      <c r="BU1062" s="1"/>
      <c r="BV1062" s="1"/>
      <c r="BW1062" s="1"/>
    </row>
    <row r="1063" spans="1:75" customHeight="1" ht="12.75">
      <c r="A1063" s="1" t="s">
        <v>72</v>
      </c>
      <c r="B1063" s="1" t="s">
        <v>6818</v>
      </c>
      <c r="C1063" s="1"/>
      <c r="D1063" s="1"/>
      <c r="E1063" s="1"/>
      <c r="F1063" s="1" t="s">
        <v>6819</v>
      </c>
      <c r="G1063" s="1"/>
      <c r="H1063" s="1"/>
      <c r="I1063" s="1" t="s">
        <v>6820</v>
      </c>
      <c r="J1063" s="1" t="s">
        <v>3996</v>
      </c>
      <c r="K1063" s="1"/>
      <c r="L1063" s="1"/>
      <c r="M1063" s="1"/>
      <c r="N1063" s="1"/>
      <c r="O1063" s="1"/>
      <c r="P1063" s="1"/>
      <c r="Q1063" s="1"/>
      <c r="R1063" s="1"/>
      <c r="S1063" s="1"/>
      <c r="T1063" s="1"/>
      <c r="U1063" s="1"/>
      <c r="V1063" s="1"/>
      <c r="W1063" s="1"/>
      <c r="X1063" s="1"/>
      <c r="Y1063" s="1"/>
      <c r="Z1063" s="1"/>
      <c r="AA1063" s="1" t="s">
        <v>6821</v>
      </c>
      <c r="AB1063" s="1" t="s">
        <v>6822</v>
      </c>
      <c r="AC1063" s="1"/>
      <c r="AD1063" s="1"/>
      <c r="AE1063" s="1"/>
      <c r="AF1063" s="1"/>
      <c r="AG1063" s="1"/>
      <c r="AH1063" s="1"/>
      <c r="AI1063" s="1"/>
      <c r="AJ1063" s="1"/>
      <c r="AK1063" s="1"/>
      <c r="AL1063" s="1"/>
      <c r="AM1063" s="1"/>
      <c r="AN1063" s="1"/>
      <c r="AO1063" s="1" t="s">
        <v>3999</v>
      </c>
      <c r="AP1063" s="1" t="s">
        <v>4000</v>
      </c>
      <c r="AQ1063" s="1"/>
      <c r="AR1063" s="1"/>
      <c r="AS1063" s="1"/>
      <c r="AT1063" s="1" t="s">
        <v>171</v>
      </c>
      <c r="AU1063" s="1">
        <v>2016</v>
      </c>
      <c r="AV1063" s="1">
        <v>160</v>
      </c>
      <c r="AW1063" s="1">
        <v>5</v>
      </c>
      <c r="AX1063" s="1"/>
      <c r="AY1063" s="1"/>
      <c r="AZ1063" s="1"/>
      <c r="BA1063" s="1"/>
      <c r="BB1063" s="1">
        <v>672</v>
      </c>
      <c r="BC1063" s="1">
        <v>674</v>
      </c>
      <c r="BD1063" s="1"/>
      <c r="BE1063" s="1" t="s">
        <v>6823</v>
      </c>
      <c r="BF1063" s="1" t="str">
        <f>HYPERLINK("http://dx.doi.org/10.1007/s10517-016-3246-0","http://dx.doi.org/10.1007/s10517-016-3246-0")</f>
        <v>http://dx.doi.org/10.1007/s10517-016-3246-0</v>
      </c>
      <c r="BG1063" s="1"/>
      <c r="BH1063" s="1"/>
      <c r="BI1063" s="1"/>
      <c r="BJ1063" s="1"/>
      <c r="BK1063" s="1"/>
      <c r="BL1063" s="1"/>
      <c r="BM1063" s="1"/>
      <c r="BN1063" s="1">
        <v>27021089</v>
      </c>
      <c r="BO1063" s="1"/>
      <c r="BP1063" s="1"/>
      <c r="BQ1063" s="1"/>
      <c r="BR1063" s="1"/>
      <c r="BS1063" s="1" t="s">
        <v>6824</v>
      </c>
      <c r="BT1063" s="1" t="str">
        <f>HYPERLINK("https%3A%2F%2Fwww.webofscience.com%2Fwos%2Fwoscc%2Ffull-record%2FWOS:000373646500022","View Full Record in Web of Science")</f>
        <v>View Full Record in Web of Science</v>
      </c>
      <c r="BU1063" s="1"/>
      <c r="BV1063" s="1"/>
      <c r="BW1063" s="1"/>
    </row>
    <row r="1064" spans="1:75" customHeight="1" ht="12.75">
      <c r="A1064" s="1" t="s">
        <v>72</v>
      </c>
      <c r="B1064" s="1" t="s">
        <v>6825</v>
      </c>
      <c r="C1064" s="1"/>
      <c r="D1064" s="1"/>
      <c r="E1064" s="1"/>
      <c r="F1064" s="1" t="s">
        <v>6826</v>
      </c>
      <c r="G1064" s="1"/>
      <c r="H1064" s="1"/>
      <c r="I1064" s="1" t="s">
        <v>6827</v>
      </c>
      <c r="J1064" s="1" t="s">
        <v>95</v>
      </c>
      <c r="K1064" s="1"/>
      <c r="L1064" s="1"/>
      <c r="M1064" s="1"/>
      <c r="N1064" s="1"/>
      <c r="O1064" s="1"/>
      <c r="P1064" s="1"/>
      <c r="Q1064" s="1"/>
      <c r="R1064" s="1"/>
      <c r="S1064" s="1"/>
      <c r="T1064" s="1"/>
      <c r="U1064" s="1"/>
      <c r="V1064" s="1"/>
      <c r="W1064" s="1"/>
      <c r="X1064" s="1"/>
      <c r="Y1064" s="1"/>
      <c r="Z1064" s="1"/>
      <c r="AA1064" s="1"/>
      <c r="AB1064" s="1"/>
      <c r="AC1064" s="1"/>
      <c r="AD1064" s="1"/>
      <c r="AE1064" s="1"/>
      <c r="AF1064" s="1"/>
      <c r="AG1064" s="1"/>
      <c r="AH1064" s="1"/>
      <c r="AI1064" s="1"/>
      <c r="AJ1064" s="1"/>
      <c r="AK1064" s="1"/>
      <c r="AL1064" s="1"/>
      <c r="AM1064" s="1"/>
      <c r="AN1064" s="1"/>
      <c r="AO1064" s="1" t="s">
        <v>98</v>
      </c>
      <c r="AP1064" s="1" t="s">
        <v>99</v>
      </c>
      <c r="AQ1064" s="1"/>
      <c r="AR1064" s="1"/>
      <c r="AS1064" s="1"/>
      <c r="AT1064" s="1"/>
      <c r="AU1064" s="1">
        <v>2022</v>
      </c>
      <c r="AV1064" s="1"/>
      <c r="AW1064" s="1">
        <v>4</v>
      </c>
      <c r="AX1064" s="1"/>
      <c r="AY1064" s="1"/>
      <c r="AZ1064" s="1"/>
      <c r="BA1064" s="1"/>
      <c r="BB1064" s="1">
        <v>14</v>
      </c>
      <c r="BC1064" s="1">
        <v>21</v>
      </c>
      <c r="BD1064" s="1"/>
      <c r="BE1064" s="1" t="s">
        <v>6828</v>
      </c>
      <c r="BF1064" s="1" t="str">
        <f>HYPERLINK("http://dx.doi.org/10.25750/1995-4301-2022-4-014-021","http://dx.doi.org/10.25750/1995-4301-2022-4-014-021")</f>
        <v>http://dx.doi.org/10.25750/1995-4301-2022-4-014-021</v>
      </c>
      <c r="BG1064" s="1"/>
      <c r="BH1064" s="1"/>
      <c r="BI1064" s="1"/>
      <c r="BJ1064" s="1"/>
      <c r="BK1064" s="1"/>
      <c r="BL1064" s="1"/>
      <c r="BM1064" s="1"/>
      <c r="BN1064" s="1"/>
      <c r="BO1064" s="1"/>
      <c r="BP1064" s="1"/>
      <c r="BQ1064" s="1"/>
      <c r="BR1064" s="1"/>
      <c r="BS1064" s="1" t="s">
        <v>6829</v>
      </c>
      <c r="BT1064" s="1" t="str">
        <f>HYPERLINK("https%3A%2F%2Fwww.webofscience.com%2Fwos%2Fwoscc%2Ffull-record%2FWOS:000929704700002","View Full Record in Web of Science")</f>
        <v>View Full Record in Web of Science</v>
      </c>
      <c r="BU1064" s="1"/>
      <c r="BV1064" s="1"/>
      <c r="BW1064" s="1"/>
    </row>
    <row r="1065" spans="1:75" customHeight="1" ht="12.75">
      <c r="A1065" s="1" t="s">
        <v>72</v>
      </c>
      <c r="B1065" s="1" t="s">
        <v>6830</v>
      </c>
      <c r="C1065" s="1"/>
      <c r="D1065" s="1"/>
      <c r="E1065" s="1"/>
      <c r="F1065" s="1" t="s">
        <v>6831</v>
      </c>
      <c r="G1065" s="1"/>
      <c r="H1065" s="1"/>
      <c r="I1065" s="1" t="s">
        <v>6832</v>
      </c>
      <c r="J1065" s="1" t="s">
        <v>95</v>
      </c>
      <c r="K1065" s="1"/>
      <c r="L1065" s="1"/>
      <c r="M1065" s="1"/>
      <c r="N1065" s="1"/>
      <c r="O1065" s="1"/>
      <c r="P1065" s="1"/>
      <c r="Q1065" s="1"/>
      <c r="R1065" s="1"/>
      <c r="S1065" s="1"/>
      <c r="T1065" s="1"/>
      <c r="U1065" s="1"/>
      <c r="V1065" s="1"/>
      <c r="W1065" s="1"/>
      <c r="X1065" s="1"/>
      <c r="Y1065" s="1"/>
      <c r="Z1065" s="1"/>
      <c r="AA1065" s="1" t="s">
        <v>6833</v>
      </c>
      <c r="AB1065" s="1" t="s">
        <v>6834</v>
      </c>
      <c r="AC1065" s="1"/>
      <c r="AD1065" s="1"/>
      <c r="AE1065" s="1"/>
      <c r="AF1065" s="1"/>
      <c r="AG1065" s="1"/>
      <c r="AH1065" s="1"/>
      <c r="AI1065" s="1"/>
      <c r="AJ1065" s="1"/>
      <c r="AK1065" s="1"/>
      <c r="AL1065" s="1"/>
      <c r="AM1065" s="1"/>
      <c r="AN1065" s="1"/>
      <c r="AO1065" s="1" t="s">
        <v>98</v>
      </c>
      <c r="AP1065" s="1" t="s">
        <v>99</v>
      </c>
      <c r="AQ1065" s="1"/>
      <c r="AR1065" s="1"/>
      <c r="AS1065" s="1"/>
      <c r="AT1065" s="1"/>
      <c r="AU1065" s="1">
        <v>2022</v>
      </c>
      <c r="AV1065" s="1"/>
      <c r="AW1065" s="1">
        <v>1</v>
      </c>
      <c r="AX1065" s="1"/>
      <c r="AY1065" s="1"/>
      <c r="AZ1065" s="1"/>
      <c r="BA1065" s="1"/>
      <c r="BB1065" s="1">
        <v>182</v>
      </c>
      <c r="BC1065" s="1">
        <v>190</v>
      </c>
      <c r="BD1065" s="1"/>
      <c r="BE1065" s="1" t="s">
        <v>6835</v>
      </c>
      <c r="BF1065" s="1" t="str">
        <f>HYPERLINK("http://dx.doi.org/10.25750/1995-4301-2022-1-182-190","http://dx.doi.org/10.25750/1995-4301-2022-1-182-190")</f>
        <v>http://dx.doi.org/10.25750/1995-4301-2022-1-182-190</v>
      </c>
      <c r="BG1065" s="1"/>
      <c r="BH1065" s="1"/>
      <c r="BI1065" s="1"/>
      <c r="BJ1065" s="1"/>
      <c r="BK1065" s="1"/>
      <c r="BL1065" s="1"/>
      <c r="BM1065" s="1"/>
      <c r="BN1065" s="1"/>
      <c r="BO1065" s="1"/>
      <c r="BP1065" s="1"/>
      <c r="BQ1065" s="1"/>
      <c r="BR1065" s="1"/>
      <c r="BS1065" s="1" t="s">
        <v>6836</v>
      </c>
      <c r="BT1065" s="1" t="str">
        <f>HYPERLINK("https%3A%2F%2Fwww.webofscience.com%2Fwos%2Fwoscc%2Ffull-record%2FWOS:000819811100026","View Full Record in Web of Science")</f>
        <v>View Full Record in Web of Science</v>
      </c>
      <c r="BU1065" s="1"/>
      <c r="BV1065" s="1"/>
      <c r="BW1065" s="1"/>
    </row>
    <row r="1066" spans="1:75" customHeight="1" ht="12.75">
      <c r="A1066" s="1" t="s">
        <v>72</v>
      </c>
      <c r="B1066" s="1" t="s">
        <v>6837</v>
      </c>
      <c r="C1066" s="1"/>
      <c r="D1066" s="1"/>
      <c r="E1066" s="1"/>
      <c r="F1066" s="1" t="s">
        <v>6838</v>
      </c>
      <c r="G1066" s="1"/>
      <c r="H1066" s="1"/>
      <c r="I1066" s="1" t="s">
        <v>6839</v>
      </c>
      <c r="J1066" s="1" t="s">
        <v>5436</v>
      </c>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c r="AH1066" s="1"/>
      <c r="AI1066" s="1"/>
      <c r="AJ1066" s="1"/>
      <c r="AK1066" s="1"/>
      <c r="AL1066" s="1"/>
      <c r="AM1066" s="1"/>
      <c r="AN1066" s="1"/>
      <c r="AO1066" s="1" t="s">
        <v>5439</v>
      </c>
      <c r="AP1066" s="1" t="s">
        <v>5440</v>
      </c>
      <c r="AQ1066" s="1"/>
      <c r="AR1066" s="1"/>
      <c r="AS1066" s="1"/>
      <c r="AT1066" s="1" t="s">
        <v>88</v>
      </c>
      <c r="AU1066" s="1">
        <v>2020</v>
      </c>
      <c r="AV1066" s="1">
        <v>56</v>
      </c>
      <c r="AW1066" s="1">
        <v>2</v>
      </c>
      <c r="AX1066" s="1"/>
      <c r="AY1066" s="1"/>
      <c r="AZ1066" s="1"/>
      <c r="BA1066" s="1"/>
      <c r="BB1066" s="1">
        <v>149</v>
      </c>
      <c r="BC1066" s="1">
        <v>168</v>
      </c>
      <c r="BD1066" s="1"/>
      <c r="BE1066" s="1" t="s">
        <v>6840</v>
      </c>
      <c r="BF1066" s="1" t="str">
        <f>HYPERLINK("http://dx.doi.org/10.1007/s11029-020-09869-3","http://dx.doi.org/10.1007/s11029-020-09869-3")</f>
        <v>http://dx.doi.org/10.1007/s11029-020-09869-3</v>
      </c>
      <c r="BG1066" s="1"/>
      <c r="BH1066" s="1" t="s">
        <v>6841</v>
      </c>
      <c r="BI1066" s="1"/>
      <c r="BJ1066" s="1"/>
      <c r="BK1066" s="1"/>
      <c r="BL1066" s="1"/>
      <c r="BM1066" s="1"/>
      <c r="BN1066" s="1"/>
      <c r="BO1066" s="1"/>
      <c r="BP1066" s="1"/>
      <c r="BQ1066" s="1"/>
      <c r="BR1066" s="1"/>
      <c r="BS1066" s="1" t="s">
        <v>6842</v>
      </c>
      <c r="BT1066" s="1" t="str">
        <f>HYPERLINK("https%3A%2F%2Fwww.webofscience.com%2Fwos%2Fwoscc%2Ffull-record%2FWOS:000535381800001","View Full Record in Web of Science")</f>
        <v>View Full Record in Web of Science</v>
      </c>
      <c r="BU1066" s="1"/>
      <c r="BV1066" s="1"/>
      <c r="BW1066" s="1"/>
    </row>
    <row r="1067" spans="1:75" customHeight="1" ht="12.75">
      <c r="A1067" s="1" t="s">
        <v>72</v>
      </c>
      <c r="B1067" s="1" t="s">
        <v>6843</v>
      </c>
      <c r="C1067" s="1"/>
      <c r="D1067" s="1"/>
      <c r="E1067" s="1"/>
      <c r="F1067" s="1" t="s">
        <v>6844</v>
      </c>
      <c r="G1067" s="1"/>
      <c r="H1067" s="1"/>
      <c r="I1067" s="1" t="s">
        <v>6845</v>
      </c>
      <c r="J1067" s="1" t="s">
        <v>6846</v>
      </c>
      <c r="K1067" s="1"/>
      <c r="L1067" s="1"/>
      <c r="M1067" s="1"/>
      <c r="N1067" s="1"/>
      <c r="O1067" s="1"/>
      <c r="P1067" s="1"/>
      <c r="Q1067" s="1"/>
      <c r="R1067" s="1"/>
      <c r="S1067" s="1"/>
      <c r="T1067" s="1"/>
      <c r="U1067" s="1"/>
      <c r="V1067" s="1"/>
      <c r="W1067" s="1"/>
      <c r="X1067" s="1"/>
      <c r="Y1067" s="1"/>
      <c r="Z1067" s="1"/>
      <c r="AA1067" s="1" t="s">
        <v>6847</v>
      </c>
      <c r="AB1067" s="1" t="s">
        <v>6848</v>
      </c>
      <c r="AC1067" s="1"/>
      <c r="AD1067" s="1"/>
      <c r="AE1067" s="1"/>
      <c r="AF1067" s="1"/>
      <c r="AG1067" s="1"/>
      <c r="AH1067" s="1"/>
      <c r="AI1067" s="1"/>
      <c r="AJ1067" s="1"/>
      <c r="AK1067" s="1"/>
      <c r="AL1067" s="1"/>
      <c r="AM1067" s="1"/>
      <c r="AN1067" s="1"/>
      <c r="AO1067" s="1" t="s">
        <v>6849</v>
      </c>
      <c r="AP1067" s="1" t="s">
        <v>6850</v>
      </c>
      <c r="AQ1067" s="1"/>
      <c r="AR1067" s="1"/>
      <c r="AS1067" s="1"/>
      <c r="AT1067" s="1" t="s">
        <v>1173</v>
      </c>
      <c r="AU1067" s="1">
        <v>2022</v>
      </c>
      <c r="AV1067" s="1">
        <v>58</v>
      </c>
      <c r="AW1067" s="1">
        <v>8</v>
      </c>
      <c r="AX1067" s="1"/>
      <c r="AY1067" s="1"/>
      <c r="AZ1067" s="1"/>
      <c r="BA1067" s="1"/>
      <c r="BB1067" s="1">
        <v>1170</v>
      </c>
      <c r="BC1067" s="1">
        <v>1177</v>
      </c>
      <c r="BD1067" s="1"/>
      <c r="BE1067" s="1" t="s">
        <v>6851</v>
      </c>
      <c r="BF1067" s="1" t="str">
        <f>HYPERLINK("http://dx.doi.org/10.1134/S1070428022080139","http://dx.doi.org/10.1134/S1070428022080139")</f>
        <v>http://dx.doi.org/10.1134/S1070428022080139</v>
      </c>
      <c r="BG1067" s="1"/>
      <c r="BH1067" s="1"/>
      <c r="BI1067" s="1"/>
      <c r="BJ1067" s="1"/>
      <c r="BK1067" s="1"/>
      <c r="BL1067" s="1"/>
      <c r="BM1067" s="1"/>
      <c r="BN1067" s="1"/>
      <c r="BO1067" s="1"/>
      <c r="BP1067" s="1"/>
      <c r="BQ1067" s="1"/>
      <c r="BR1067" s="1"/>
      <c r="BS1067" s="1" t="s">
        <v>6852</v>
      </c>
      <c r="BT1067" s="1" t="str">
        <f>HYPERLINK("https%3A%2F%2Fwww.webofscience.com%2Fwos%2Fwoscc%2Ffull-record%2FWOS:000864642400013","View Full Record in Web of Science")</f>
        <v>View Full Record in Web of Science</v>
      </c>
      <c r="BU1067" s="1"/>
      <c r="BV1067" s="1"/>
      <c r="BW1067" s="1"/>
    </row>
    <row r="1068" spans="1:75" customHeight="1" ht="12.75">
      <c r="A1068" s="1" t="s">
        <v>72</v>
      </c>
      <c r="B1068" s="1" t="s">
        <v>6853</v>
      </c>
      <c r="C1068" s="1"/>
      <c r="D1068" s="1"/>
      <c r="E1068" s="1"/>
      <c r="F1068" s="1" t="s">
        <v>6854</v>
      </c>
      <c r="G1068" s="1"/>
      <c r="H1068" s="1"/>
      <c r="I1068" s="1" t="s">
        <v>6855</v>
      </c>
      <c r="J1068" s="1" t="s">
        <v>6856</v>
      </c>
      <c r="K1068" s="1"/>
      <c r="L1068" s="1"/>
      <c r="M1068" s="1"/>
      <c r="N1068" s="1"/>
      <c r="O1068" s="1"/>
      <c r="P1068" s="1"/>
      <c r="Q1068" s="1"/>
      <c r="R1068" s="1"/>
      <c r="S1068" s="1"/>
      <c r="T1068" s="1"/>
      <c r="U1068" s="1"/>
      <c r="V1068" s="1"/>
      <c r="W1068" s="1"/>
      <c r="X1068" s="1"/>
      <c r="Y1068" s="1"/>
      <c r="Z1068" s="1"/>
      <c r="AA1068" s="1" t="s">
        <v>6857</v>
      </c>
      <c r="AB1068" s="1" t="s">
        <v>6858</v>
      </c>
      <c r="AC1068" s="1"/>
      <c r="AD1068" s="1"/>
      <c r="AE1068" s="1"/>
      <c r="AF1068" s="1"/>
      <c r="AG1068" s="1"/>
      <c r="AH1068" s="1"/>
      <c r="AI1068" s="1"/>
      <c r="AJ1068" s="1"/>
      <c r="AK1068" s="1"/>
      <c r="AL1068" s="1"/>
      <c r="AM1068" s="1"/>
      <c r="AN1068" s="1"/>
      <c r="AO1068" s="1" t="s">
        <v>6859</v>
      </c>
      <c r="AP1068" s="1" t="s">
        <v>6860</v>
      </c>
      <c r="AQ1068" s="1"/>
      <c r="AR1068" s="1"/>
      <c r="AS1068" s="1"/>
      <c r="AT1068" s="1" t="s">
        <v>198</v>
      </c>
      <c r="AU1068" s="1">
        <v>2022</v>
      </c>
      <c r="AV1068" s="1">
        <v>51</v>
      </c>
      <c r="AW1068" s="1">
        <v>3</v>
      </c>
      <c r="AX1068" s="1"/>
      <c r="AY1068" s="1"/>
      <c r="AZ1068" s="1"/>
      <c r="BA1068" s="1"/>
      <c r="BB1068" s="1">
        <v>257</v>
      </c>
      <c r="BC1068" s="1">
        <v>264</v>
      </c>
      <c r="BD1068" s="1"/>
      <c r="BE1068" s="1" t="s">
        <v>6861</v>
      </c>
      <c r="BF1068" s="1" t="str">
        <f>HYPERLINK("http://dx.doi.org/10.1007/s00249-022-01592-2","http://dx.doi.org/10.1007/s00249-022-01592-2")</f>
        <v>http://dx.doi.org/10.1007/s00249-022-01592-2</v>
      </c>
      <c r="BG1068" s="1"/>
      <c r="BH1068" s="1" t="s">
        <v>90</v>
      </c>
      <c r="BI1068" s="1"/>
      <c r="BJ1068" s="1"/>
      <c r="BK1068" s="1"/>
      <c r="BL1068" s="1"/>
      <c r="BM1068" s="1"/>
      <c r="BN1068" s="1">
        <v>35262770</v>
      </c>
      <c r="BO1068" s="1"/>
      <c r="BP1068" s="1"/>
      <c r="BQ1068" s="1"/>
      <c r="BR1068" s="1"/>
      <c r="BS1068" s="1" t="s">
        <v>6862</v>
      </c>
      <c r="BT1068" s="1" t="str">
        <f>HYPERLINK("https%3A%2F%2Fwww.webofscience.com%2Fwos%2Fwoscc%2Ffull-record%2FWOS:000766407600001","View Full Record in Web of Science")</f>
        <v>View Full Record in Web of Science</v>
      </c>
      <c r="BU1068" s="1"/>
      <c r="BV1068" s="1"/>
      <c r="BW1068" s="1"/>
    </row>
    <row r="1069" spans="1:75" customHeight="1" ht="12.75">
      <c r="A1069" s="1" t="s">
        <v>72</v>
      </c>
      <c r="B1069" s="1" t="s">
        <v>6863</v>
      </c>
      <c r="C1069" s="1"/>
      <c r="D1069" s="1"/>
      <c r="E1069" s="1"/>
      <c r="F1069" s="1" t="s">
        <v>6864</v>
      </c>
      <c r="G1069" s="1"/>
      <c r="H1069" s="1"/>
      <c r="I1069" s="1" t="s">
        <v>6865</v>
      </c>
      <c r="J1069" s="1" t="s">
        <v>6866</v>
      </c>
      <c r="K1069" s="1"/>
      <c r="L1069" s="1"/>
      <c r="M1069" s="1"/>
      <c r="N1069" s="1"/>
      <c r="O1069" s="1"/>
      <c r="P1069" s="1"/>
      <c r="Q1069" s="1"/>
      <c r="R1069" s="1"/>
      <c r="S1069" s="1"/>
      <c r="T1069" s="1"/>
      <c r="U1069" s="1"/>
      <c r="V1069" s="1"/>
      <c r="W1069" s="1"/>
      <c r="X1069" s="1"/>
      <c r="Y1069" s="1"/>
      <c r="Z1069" s="1"/>
      <c r="AA1069" s="1"/>
      <c r="AB1069" s="1"/>
      <c r="AC1069" s="1"/>
      <c r="AD1069" s="1"/>
      <c r="AE1069" s="1"/>
      <c r="AF1069" s="1"/>
      <c r="AG1069" s="1"/>
      <c r="AH1069" s="1"/>
      <c r="AI1069" s="1"/>
      <c r="AJ1069" s="1"/>
      <c r="AK1069" s="1"/>
      <c r="AL1069" s="1"/>
      <c r="AM1069" s="1"/>
      <c r="AN1069" s="1"/>
      <c r="AO1069" s="1" t="s">
        <v>6867</v>
      </c>
      <c r="AP1069" s="1" t="s">
        <v>6868</v>
      </c>
      <c r="AQ1069" s="1"/>
      <c r="AR1069" s="1"/>
      <c r="AS1069" s="1"/>
      <c r="AT1069" s="1" t="s">
        <v>403</v>
      </c>
      <c r="AU1069" s="1">
        <v>2020</v>
      </c>
      <c r="AV1069" s="1">
        <v>9</v>
      </c>
      <c r="AW1069" s="1">
        <v>6</v>
      </c>
      <c r="AX1069" s="1"/>
      <c r="AY1069" s="1"/>
      <c r="AZ1069" s="1"/>
      <c r="BA1069" s="1"/>
      <c r="BB1069" s="1">
        <v>873</v>
      </c>
      <c r="BC1069" s="1">
        <v>883</v>
      </c>
      <c r="BD1069" s="1"/>
      <c r="BE1069" s="1" t="s">
        <v>6869</v>
      </c>
      <c r="BF1069" s="1" t="str">
        <f>HYPERLINK("http://dx.doi.org/10.1007/s13632-020-00702-w","http://dx.doi.org/10.1007/s13632-020-00702-w")</f>
        <v>http://dx.doi.org/10.1007/s13632-020-00702-w</v>
      </c>
      <c r="BG1069" s="1"/>
      <c r="BH1069" s="1" t="s">
        <v>6870</v>
      </c>
      <c r="BI1069" s="1"/>
      <c r="BJ1069" s="1"/>
      <c r="BK1069" s="1"/>
      <c r="BL1069" s="1"/>
      <c r="BM1069" s="1"/>
      <c r="BN1069" s="1"/>
      <c r="BO1069" s="1"/>
      <c r="BP1069" s="1"/>
      <c r="BQ1069" s="1"/>
      <c r="BR1069" s="1"/>
      <c r="BS1069" s="1" t="s">
        <v>6871</v>
      </c>
      <c r="BT1069" s="1" t="str">
        <f>HYPERLINK("https%3A%2F%2Fwww.webofscience.com%2Fwos%2Fwoscc%2Ffull-record%2FWOS:000598989600001","View Full Record in Web of Science")</f>
        <v>View Full Record in Web of Science</v>
      </c>
      <c r="BU1069" s="1"/>
      <c r="BV1069" s="1"/>
      <c r="BW1069" s="1"/>
    </row>
    <row r="1070" spans="1:75" customHeight="1" ht="12.75">
      <c r="A1070" s="1" t="s">
        <v>147</v>
      </c>
      <c r="B1070" s="1" t="s">
        <v>6872</v>
      </c>
      <c r="C1070" s="1"/>
      <c r="D1070" s="1" t="s">
        <v>5560</v>
      </c>
      <c r="E1070" s="1"/>
      <c r="F1070" s="1" t="s">
        <v>6873</v>
      </c>
      <c r="G1070" s="1"/>
      <c r="H1070" s="1"/>
      <c r="I1070" s="1" t="s">
        <v>6874</v>
      </c>
      <c r="J1070" s="1" t="s">
        <v>5563</v>
      </c>
      <c r="K1070" s="1" t="s">
        <v>1236</v>
      </c>
      <c r="L1070" s="1"/>
      <c r="M1070" s="1"/>
      <c r="N1070" s="1"/>
      <c r="O1070" s="1" t="s">
        <v>5564</v>
      </c>
      <c r="P1070" s="1" t="s">
        <v>5565</v>
      </c>
      <c r="Q1070" s="1" t="s">
        <v>5566</v>
      </c>
      <c r="R1070" s="1"/>
      <c r="S1070" s="1" t="s">
        <v>5567</v>
      </c>
      <c r="T1070" s="1"/>
      <c r="U1070" s="1"/>
      <c r="V1070" s="1"/>
      <c r="W1070" s="1"/>
      <c r="X1070" s="1"/>
      <c r="Y1070" s="1"/>
      <c r="Z1070" s="1"/>
      <c r="AA1070" s="1" t="s">
        <v>6875</v>
      </c>
      <c r="AB1070" s="1" t="s">
        <v>6876</v>
      </c>
      <c r="AC1070" s="1"/>
      <c r="AD1070" s="1"/>
      <c r="AE1070" s="1"/>
      <c r="AF1070" s="1"/>
      <c r="AG1070" s="1"/>
      <c r="AH1070" s="1"/>
      <c r="AI1070" s="1"/>
      <c r="AJ1070" s="1"/>
      <c r="AK1070" s="1"/>
      <c r="AL1070" s="1"/>
      <c r="AM1070" s="1"/>
      <c r="AN1070" s="1"/>
      <c r="AO1070" s="1" t="s">
        <v>1240</v>
      </c>
      <c r="AP1070" s="1"/>
      <c r="AQ1070" s="1"/>
      <c r="AR1070" s="1"/>
      <c r="AS1070" s="1"/>
      <c r="AT1070" s="1"/>
      <c r="AU1070" s="1">
        <v>2020</v>
      </c>
      <c r="AV1070" s="1">
        <v>210</v>
      </c>
      <c r="AW1070" s="1"/>
      <c r="AX1070" s="1"/>
      <c r="AY1070" s="1"/>
      <c r="AZ1070" s="1"/>
      <c r="BA1070" s="1"/>
      <c r="BB1070" s="1"/>
      <c r="BC1070" s="1"/>
      <c r="BD1070" s="1">
        <v>10008</v>
      </c>
      <c r="BE1070" s="1" t="s">
        <v>6877</v>
      </c>
      <c r="BF1070" s="1" t="str">
        <f>HYPERLINK("http://dx.doi.org/10.1051/e3sconf/202021010008","http://dx.doi.org/10.1051/e3sconf/202021010008")</f>
        <v>http://dx.doi.org/10.1051/e3sconf/202021010008</v>
      </c>
      <c r="BG1070" s="1"/>
      <c r="BH1070" s="1"/>
      <c r="BI1070" s="1"/>
      <c r="BJ1070" s="1"/>
      <c r="BK1070" s="1"/>
      <c r="BL1070" s="1"/>
      <c r="BM1070" s="1"/>
      <c r="BN1070" s="1"/>
      <c r="BO1070" s="1"/>
      <c r="BP1070" s="1"/>
      <c r="BQ1070" s="1"/>
      <c r="BR1070" s="1"/>
      <c r="BS1070" s="1" t="s">
        <v>6878</v>
      </c>
      <c r="BT1070" s="1" t="str">
        <f>HYPERLINK("https%3A%2F%2Fwww.webofscience.com%2Fwos%2Fwoscc%2Ffull-record%2FWOS:000659867301033","View Full Record in Web of Science")</f>
        <v>View Full Record in Web of Science</v>
      </c>
      <c r="BU1070" s="1"/>
      <c r="BV1070" s="1"/>
      <c r="BW1070" s="1"/>
    </row>
    <row r="1071" spans="1:75" customHeight="1" ht="12.75">
      <c r="A1071" s="1" t="s">
        <v>72</v>
      </c>
      <c r="B1071" s="1" t="s">
        <v>6879</v>
      </c>
      <c r="C1071" s="1"/>
      <c r="D1071" s="1"/>
      <c r="E1071" s="1"/>
      <c r="F1071" s="1" t="s">
        <v>6880</v>
      </c>
      <c r="G1071" s="1"/>
      <c r="H1071" s="1"/>
      <c r="I1071" s="1" t="s">
        <v>6881</v>
      </c>
      <c r="J1071" s="1" t="s">
        <v>4823</v>
      </c>
      <c r="K1071" s="1"/>
      <c r="L1071" s="1"/>
      <c r="M1071" s="1"/>
      <c r="N1071" s="1"/>
      <c r="O1071" s="1"/>
      <c r="P1071" s="1"/>
      <c r="Q1071" s="1"/>
      <c r="R1071" s="1"/>
      <c r="S1071" s="1"/>
      <c r="T1071" s="1"/>
      <c r="U1071" s="1"/>
      <c r="V1071" s="1"/>
      <c r="W1071" s="1"/>
      <c r="X1071" s="1"/>
      <c r="Y1071" s="1"/>
      <c r="Z1071" s="1"/>
      <c r="AA1071" s="1" t="s">
        <v>6882</v>
      </c>
      <c r="AB1071" s="1" t="s">
        <v>6883</v>
      </c>
      <c r="AC1071" s="1"/>
      <c r="AD1071" s="1"/>
      <c r="AE1071" s="1"/>
      <c r="AF1071" s="1"/>
      <c r="AG1071" s="1"/>
      <c r="AH1071" s="1"/>
      <c r="AI1071" s="1"/>
      <c r="AJ1071" s="1"/>
      <c r="AK1071" s="1"/>
      <c r="AL1071" s="1"/>
      <c r="AM1071" s="1"/>
      <c r="AN1071" s="1"/>
      <c r="AO1071" s="1" t="s">
        <v>4826</v>
      </c>
      <c r="AP1071" s="1"/>
      <c r="AQ1071" s="1"/>
      <c r="AR1071" s="1"/>
      <c r="AS1071" s="1"/>
      <c r="AT1071" s="1" t="s">
        <v>3420</v>
      </c>
      <c r="AU1071" s="1">
        <v>2020</v>
      </c>
      <c r="AV1071" s="1">
        <v>20</v>
      </c>
      <c r="AW1071" s="1">
        <v>1</v>
      </c>
      <c r="AX1071" s="1"/>
      <c r="AY1071" s="1"/>
      <c r="AZ1071" s="1"/>
      <c r="BA1071" s="1"/>
      <c r="BB1071" s="1">
        <v>85</v>
      </c>
      <c r="BC1071" s="1">
        <v>91</v>
      </c>
      <c r="BD1071" s="1"/>
      <c r="BE1071" s="1" t="s">
        <v>6884</v>
      </c>
      <c r="BF1071" s="1" t="str">
        <f>HYPERLINK("http://dx.doi.org/10.18083/LCAppl.2020.1.85","http://dx.doi.org/10.18083/LCAppl.2020.1.85")</f>
        <v>http://dx.doi.org/10.18083/LCAppl.2020.1.85</v>
      </c>
      <c r="BG1071" s="1"/>
      <c r="BH1071" s="1"/>
      <c r="BI1071" s="1"/>
      <c r="BJ1071" s="1"/>
      <c r="BK1071" s="1"/>
      <c r="BL1071" s="1"/>
      <c r="BM1071" s="1"/>
      <c r="BN1071" s="1"/>
      <c r="BO1071" s="1"/>
      <c r="BP1071" s="1"/>
      <c r="BQ1071" s="1"/>
      <c r="BR1071" s="1"/>
      <c r="BS1071" s="1" t="s">
        <v>6885</v>
      </c>
      <c r="BT1071" s="1" t="str">
        <f>HYPERLINK("https%3A%2F%2Fwww.webofscience.com%2Fwos%2Fwoscc%2Ffull-record%2FWOS:000522216800010","View Full Record in Web of Science")</f>
        <v>View Full Record in Web of Science</v>
      </c>
      <c r="BU1071" s="1"/>
      <c r="BV1071" s="1"/>
      <c r="BW1071" s="1"/>
    </row>
    <row r="1072" spans="1:75" customHeight="1" ht="12.75">
      <c r="A1072" s="1" t="s">
        <v>147</v>
      </c>
      <c r="B1072" s="1" t="s">
        <v>6886</v>
      </c>
      <c r="C1072" s="1"/>
      <c r="D1072" s="1"/>
      <c r="E1072" s="1" t="s">
        <v>175</v>
      </c>
      <c r="F1072" s="1" t="s">
        <v>6887</v>
      </c>
      <c r="G1072" s="1"/>
      <c r="H1072" s="1"/>
      <c r="I1072" s="1" t="s">
        <v>6888</v>
      </c>
      <c r="J1072" s="1" t="s">
        <v>6889</v>
      </c>
      <c r="K1072" s="1" t="s">
        <v>179</v>
      </c>
      <c r="L1072" s="1"/>
      <c r="M1072" s="1"/>
      <c r="N1072" s="1"/>
      <c r="O1072" s="1" t="s">
        <v>6890</v>
      </c>
      <c r="P1072" s="1" t="s">
        <v>6891</v>
      </c>
      <c r="Q1072" s="1" t="s">
        <v>423</v>
      </c>
      <c r="R1072" s="1" t="s">
        <v>6892</v>
      </c>
      <c r="S1072" s="1"/>
      <c r="T1072" s="1"/>
      <c r="U1072" s="1"/>
      <c r="V1072" s="1"/>
      <c r="W1072" s="1"/>
      <c r="X1072" s="1"/>
      <c r="Y1072" s="1"/>
      <c r="Z1072" s="1"/>
      <c r="AA1072" s="1" t="s">
        <v>6893</v>
      </c>
      <c r="AB1072" s="1" t="s">
        <v>6894</v>
      </c>
      <c r="AC1072" s="1"/>
      <c r="AD1072" s="1"/>
      <c r="AE1072" s="1"/>
      <c r="AF1072" s="1"/>
      <c r="AG1072" s="1"/>
      <c r="AH1072" s="1"/>
      <c r="AI1072" s="1"/>
      <c r="AJ1072" s="1"/>
      <c r="AK1072" s="1"/>
      <c r="AL1072" s="1"/>
      <c r="AM1072" s="1"/>
      <c r="AN1072" s="1"/>
      <c r="AO1072" s="1" t="s">
        <v>187</v>
      </c>
      <c r="AP1072" s="1" t="s">
        <v>188</v>
      </c>
      <c r="AQ1072" s="1"/>
      <c r="AR1072" s="1"/>
      <c r="AS1072" s="1"/>
      <c r="AT1072" s="1"/>
      <c r="AU1072" s="1">
        <v>2019</v>
      </c>
      <c r="AV1072" s="1">
        <v>1158</v>
      </c>
      <c r="AW1072" s="1"/>
      <c r="AX1072" s="1"/>
      <c r="AY1072" s="1"/>
      <c r="AZ1072" s="1"/>
      <c r="BA1072" s="1"/>
      <c r="BB1072" s="1"/>
      <c r="BC1072" s="1"/>
      <c r="BD1072" s="1">
        <v>32044</v>
      </c>
      <c r="BE1072" s="1" t="s">
        <v>6895</v>
      </c>
      <c r="BF1072" s="1" t="str">
        <f>HYPERLINK("http://dx.doi.org/10.1088/1742-6596/1158/3/032044","http://dx.doi.org/10.1088/1742-6596/1158/3/032044")</f>
        <v>http://dx.doi.org/10.1088/1742-6596/1158/3/032044</v>
      </c>
      <c r="BG1072" s="1"/>
      <c r="BH1072" s="1"/>
      <c r="BI1072" s="1"/>
      <c r="BJ1072" s="1"/>
      <c r="BK1072" s="1"/>
      <c r="BL1072" s="1"/>
      <c r="BM1072" s="1"/>
      <c r="BN1072" s="1"/>
      <c r="BO1072" s="1"/>
      <c r="BP1072" s="1"/>
      <c r="BQ1072" s="1"/>
      <c r="BR1072" s="1"/>
      <c r="BS1072" s="1" t="s">
        <v>6896</v>
      </c>
      <c r="BT1072" s="1" t="str">
        <f>HYPERLINK("https%3A%2F%2Fwww.webofscience.com%2Fwos%2Fwoscc%2Ffull-record%2FWOS:000560244900092","View Full Record in Web of Science")</f>
        <v>View Full Record in Web of Science</v>
      </c>
      <c r="BU1072" s="1"/>
      <c r="BV1072" s="1"/>
      <c r="BW1072" s="1"/>
    </row>
    <row r="1073" spans="1:75" customHeight="1" ht="12.75">
      <c r="A1073" s="1" t="s">
        <v>147</v>
      </c>
      <c r="B1073" s="1" t="s">
        <v>6897</v>
      </c>
      <c r="C1073" s="1"/>
      <c r="D1073" s="1"/>
      <c r="E1073" s="1" t="s">
        <v>175</v>
      </c>
      <c r="F1073" s="1" t="s">
        <v>6898</v>
      </c>
      <c r="G1073" s="1"/>
      <c r="H1073" s="1"/>
      <c r="I1073" s="1" t="s">
        <v>6899</v>
      </c>
      <c r="J1073" s="1" t="s">
        <v>2671</v>
      </c>
      <c r="K1073" s="1" t="s">
        <v>1576</v>
      </c>
      <c r="L1073" s="1"/>
      <c r="M1073" s="1"/>
      <c r="N1073" s="1"/>
      <c r="O1073" s="1" t="s">
        <v>2672</v>
      </c>
      <c r="P1073" s="1" t="s">
        <v>2673</v>
      </c>
      <c r="Q1073" s="1" t="s">
        <v>2674</v>
      </c>
      <c r="R1073" s="1"/>
      <c r="S1073" s="1" t="s">
        <v>2675</v>
      </c>
      <c r="T1073" s="1"/>
      <c r="U1073" s="1"/>
      <c r="V1073" s="1"/>
      <c r="W1073" s="1"/>
      <c r="X1073" s="1"/>
      <c r="Y1073" s="1"/>
      <c r="Z1073" s="1"/>
      <c r="AA1073" s="1" t="s">
        <v>6900</v>
      </c>
      <c r="AB1073" s="1" t="s">
        <v>6901</v>
      </c>
      <c r="AC1073" s="1"/>
      <c r="AD1073" s="1"/>
      <c r="AE1073" s="1"/>
      <c r="AF1073" s="1"/>
      <c r="AG1073" s="1"/>
      <c r="AH1073" s="1"/>
      <c r="AI1073" s="1"/>
      <c r="AJ1073" s="1"/>
      <c r="AK1073" s="1"/>
      <c r="AL1073" s="1"/>
      <c r="AM1073" s="1"/>
      <c r="AN1073" s="1"/>
      <c r="AO1073" s="1" t="s">
        <v>1581</v>
      </c>
      <c r="AP1073" s="1"/>
      <c r="AQ1073" s="1"/>
      <c r="AR1073" s="1"/>
      <c r="AS1073" s="1"/>
      <c r="AT1073" s="1"/>
      <c r="AU1073" s="1">
        <v>2017</v>
      </c>
      <c r="AV1073" s="1">
        <v>90</v>
      </c>
      <c r="AW1073" s="1"/>
      <c r="AX1073" s="1"/>
      <c r="AY1073" s="1"/>
      <c r="AZ1073" s="1"/>
      <c r="BA1073" s="1"/>
      <c r="BB1073" s="1"/>
      <c r="BC1073" s="1"/>
      <c r="BD1073" s="1">
        <v>12218</v>
      </c>
      <c r="BE1073" s="1" t="s">
        <v>6902</v>
      </c>
      <c r="BF1073" s="1" t="str">
        <f>HYPERLINK("http://dx.doi.org/10.1088/1755-1315/90/1/012218","http://dx.doi.org/10.1088/1755-1315/90/1/012218")</f>
        <v>http://dx.doi.org/10.1088/1755-1315/90/1/012218</v>
      </c>
      <c r="BG1073" s="1"/>
      <c r="BH1073" s="1"/>
      <c r="BI1073" s="1"/>
      <c r="BJ1073" s="1"/>
      <c r="BK1073" s="1"/>
      <c r="BL1073" s="1"/>
      <c r="BM1073" s="1"/>
      <c r="BN1073" s="1"/>
      <c r="BO1073" s="1"/>
      <c r="BP1073" s="1"/>
      <c r="BQ1073" s="1"/>
      <c r="BR1073" s="1"/>
      <c r="BS1073" s="1" t="s">
        <v>6903</v>
      </c>
      <c r="BT1073" s="1" t="str">
        <f>HYPERLINK("https%3A%2F%2Fwww.webofscience.com%2Fwos%2Fwoscc%2Ffull-record%2FWOS:000419816700218","View Full Record in Web of Science")</f>
        <v>View Full Record in Web of Science</v>
      </c>
      <c r="BU1073" s="1"/>
      <c r="BV1073" s="1"/>
      <c r="BW1073" s="1"/>
    </row>
    <row r="1074" spans="1:75" customHeight="1" ht="12.75">
      <c r="A1074" s="1" t="s">
        <v>147</v>
      </c>
      <c r="B1074" s="1" t="s">
        <v>6904</v>
      </c>
      <c r="C1074" s="1"/>
      <c r="D1074" s="1"/>
      <c r="E1074" s="1" t="s">
        <v>175</v>
      </c>
      <c r="F1074" s="1" t="s">
        <v>6905</v>
      </c>
      <c r="G1074" s="1"/>
      <c r="H1074" s="1"/>
      <c r="I1074" s="1" t="s">
        <v>6906</v>
      </c>
      <c r="J1074" s="1" t="s">
        <v>2671</v>
      </c>
      <c r="K1074" s="1" t="s">
        <v>1576</v>
      </c>
      <c r="L1074" s="1"/>
      <c r="M1074" s="1"/>
      <c r="N1074" s="1"/>
      <c r="O1074" s="1" t="s">
        <v>2672</v>
      </c>
      <c r="P1074" s="1" t="s">
        <v>2673</v>
      </c>
      <c r="Q1074" s="1" t="s">
        <v>2674</v>
      </c>
      <c r="R1074" s="1"/>
      <c r="S1074" s="1" t="s">
        <v>2675</v>
      </c>
      <c r="T1074" s="1"/>
      <c r="U1074" s="1"/>
      <c r="V1074" s="1"/>
      <c r="W1074" s="1"/>
      <c r="X1074" s="1"/>
      <c r="Y1074" s="1"/>
      <c r="Z1074" s="1"/>
      <c r="AA1074" s="1" t="s">
        <v>6907</v>
      </c>
      <c r="AB1074" s="1" t="s">
        <v>6908</v>
      </c>
      <c r="AC1074" s="1"/>
      <c r="AD1074" s="1"/>
      <c r="AE1074" s="1"/>
      <c r="AF1074" s="1"/>
      <c r="AG1074" s="1"/>
      <c r="AH1074" s="1"/>
      <c r="AI1074" s="1"/>
      <c r="AJ1074" s="1"/>
      <c r="AK1074" s="1"/>
      <c r="AL1074" s="1"/>
      <c r="AM1074" s="1"/>
      <c r="AN1074" s="1"/>
      <c r="AO1074" s="1" t="s">
        <v>1581</v>
      </c>
      <c r="AP1074" s="1"/>
      <c r="AQ1074" s="1"/>
      <c r="AR1074" s="1"/>
      <c r="AS1074" s="1"/>
      <c r="AT1074" s="1"/>
      <c r="AU1074" s="1">
        <v>2017</v>
      </c>
      <c r="AV1074" s="1">
        <v>90</v>
      </c>
      <c r="AW1074" s="1"/>
      <c r="AX1074" s="1"/>
      <c r="AY1074" s="1"/>
      <c r="AZ1074" s="1"/>
      <c r="BA1074" s="1"/>
      <c r="BB1074" s="1"/>
      <c r="BC1074" s="1"/>
      <c r="BD1074" s="1">
        <v>12208</v>
      </c>
      <c r="BE1074" s="1" t="s">
        <v>6909</v>
      </c>
      <c r="BF1074" s="1" t="str">
        <f>HYPERLINK("http://dx.doi.org/10.1088/1755-1315/90/1/012208","http://dx.doi.org/10.1088/1755-1315/90/1/012208")</f>
        <v>http://dx.doi.org/10.1088/1755-1315/90/1/012208</v>
      </c>
      <c r="BG1074" s="1"/>
      <c r="BH1074" s="1"/>
      <c r="BI1074" s="1"/>
      <c r="BJ1074" s="1"/>
      <c r="BK1074" s="1"/>
      <c r="BL1074" s="1"/>
      <c r="BM1074" s="1"/>
      <c r="BN1074" s="1"/>
      <c r="BO1074" s="1"/>
      <c r="BP1074" s="1"/>
      <c r="BQ1074" s="1"/>
      <c r="BR1074" s="1"/>
      <c r="BS1074" s="1" t="s">
        <v>6910</v>
      </c>
      <c r="BT1074" s="1" t="str">
        <f>HYPERLINK("https%3A%2F%2Fwww.webofscience.com%2Fwos%2Fwoscc%2Ffull-record%2FWOS:000419816700208","View Full Record in Web of Science")</f>
        <v>View Full Record in Web of Science</v>
      </c>
      <c r="BU1074" s="1"/>
      <c r="BV1074" s="1"/>
      <c r="BW1074" s="1"/>
    </row>
    <row r="1075" spans="1:75" customHeight="1" ht="12.75">
      <c r="A1075" s="1" t="s">
        <v>72</v>
      </c>
      <c r="B1075" s="1" t="s">
        <v>6911</v>
      </c>
      <c r="C1075" s="1"/>
      <c r="D1075" s="1"/>
      <c r="E1075" s="1"/>
      <c r="F1075" s="1" t="s">
        <v>6912</v>
      </c>
      <c r="G1075" s="1"/>
      <c r="H1075" s="1"/>
      <c r="I1075" s="1" t="s">
        <v>6913</v>
      </c>
      <c r="J1075" s="1" t="s">
        <v>6914</v>
      </c>
      <c r="K1075" s="1"/>
      <c r="L1075" s="1"/>
      <c r="M1075" s="1"/>
      <c r="N1075" s="1"/>
      <c r="O1075" s="1"/>
      <c r="P1075" s="1"/>
      <c r="Q1075" s="1"/>
      <c r="R1075" s="1"/>
      <c r="S1075" s="1"/>
      <c r="T1075" s="1"/>
      <c r="U1075" s="1"/>
      <c r="V1075" s="1"/>
      <c r="W1075" s="1"/>
      <c r="X1075" s="1"/>
      <c r="Y1075" s="1"/>
      <c r="Z1075" s="1"/>
      <c r="AA1075" s="1" t="s">
        <v>6915</v>
      </c>
      <c r="AB1075" s="1" t="s">
        <v>6916</v>
      </c>
      <c r="AC1075" s="1"/>
      <c r="AD1075" s="1"/>
      <c r="AE1075" s="1"/>
      <c r="AF1075" s="1"/>
      <c r="AG1075" s="1"/>
      <c r="AH1075" s="1"/>
      <c r="AI1075" s="1"/>
      <c r="AJ1075" s="1"/>
      <c r="AK1075" s="1"/>
      <c r="AL1075" s="1"/>
      <c r="AM1075" s="1"/>
      <c r="AN1075" s="1"/>
      <c r="AO1075" s="1" t="s">
        <v>6917</v>
      </c>
      <c r="AP1075" s="1" t="s">
        <v>6918</v>
      </c>
      <c r="AQ1075" s="1"/>
      <c r="AR1075" s="1"/>
      <c r="AS1075" s="1"/>
      <c r="AT1075" s="1" t="s">
        <v>125</v>
      </c>
      <c r="AU1075" s="1">
        <v>2011</v>
      </c>
      <c r="AV1075" s="1">
        <v>31</v>
      </c>
      <c r="AW1075" s="1" t="s">
        <v>6919</v>
      </c>
      <c r="AX1075" s="1"/>
      <c r="AY1075" s="1"/>
      <c r="AZ1075" s="1" t="s">
        <v>339</v>
      </c>
      <c r="BA1075" s="1"/>
      <c r="BB1075" s="1">
        <v>283</v>
      </c>
      <c r="BC1075" s="1">
        <v>288</v>
      </c>
      <c r="BD1075" s="1"/>
      <c r="BE1075" s="1" t="s">
        <v>6920</v>
      </c>
      <c r="BF1075" s="1" t="str">
        <f>HYPERLINK("http://dx.doi.org/10.1515/POLYENG.2011.058","http://dx.doi.org/10.1515/POLYENG.2011.058")</f>
        <v>http://dx.doi.org/10.1515/POLYENG.2011.058</v>
      </c>
      <c r="BG1075" s="1"/>
      <c r="BH1075" s="1"/>
      <c r="BI1075" s="1"/>
      <c r="BJ1075" s="1"/>
      <c r="BK1075" s="1"/>
      <c r="BL1075" s="1"/>
      <c r="BM1075" s="1"/>
      <c r="BN1075" s="1"/>
      <c r="BO1075" s="1"/>
      <c r="BP1075" s="1"/>
      <c r="BQ1075" s="1"/>
      <c r="BR1075" s="1"/>
      <c r="BS1075" s="1" t="s">
        <v>6921</v>
      </c>
      <c r="BT1075" s="1" t="str">
        <f>HYPERLINK("https%3A%2F%2Fwww.webofscience.com%2Fwos%2Fwoscc%2Ffull-record%2FWOS:000294413400033","View Full Record in Web of Science")</f>
        <v>View Full Record in Web of Science</v>
      </c>
      <c r="BU1075" s="1"/>
      <c r="BV1075" s="1"/>
      <c r="BW1075" s="1"/>
    </row>
    <row r="1076" spans="1:75" customHeight="1" ht="12.75">
      <c r="A1076" s="1" t="s">
        <v>72</v>
      </c>
      <c r="B1076" s="1" t="s">
        <v>6922</v>
      </c>
      <c r="C1076" s="1"/>
      <c r="D1076" s="1"/>
      <c r="E1076" s="1"/>
      <c r="F1076" s="1" t="s">
        <v>6923</v>
      </c>
      <c r="G1076" s="1"/>
      <c r="H1076" s="1"/>
      <c r="I1076" s="1" t="s">
        <v>6924</v>
      </c>
      <c r="J1076" s="1" t="s">
        <v>95</v>
      </c>
      <c r="K1076" s="1"/>
      <c r="L1076" s="1"/>
      <c r="M1076" s="1"/>
      <c r="N1076" s="1"/>
      <c r="O1076" s="1"/>
      <c r="P1076" s="1"/>
      <c r="Q1076" s="1"/>
      <c r="R1076" s="1"/>
      <c r="S1076" s="1"/>
      <c r="T1076" s="1"/>
      <c r="U1076" s="1"/>
      <c r="V1076" s="1"/>
      <c r="W1076" s="1"/>
      <c r="X1076" s="1"/>
      <c r="Y1076" s="1"/>
      <c r="Z1076" s="1"/>
      <c r="AA1076" s="1" t="s">
        <v>6925</v>
      </c>
      <c r="AB1076" s="1" t="s">
        <v>6926</v>
      </c>
      <c r="AC1076" s="1"/>
      <c r="AD1076" s="1"/>
      <c r="AE1076" s="1"/>
      <c r="AF1076" s="1"/>
      <c r="AG1076" s="1"/>
      <c r="AH1076" s="1"/>
      <c r="AI1076" s="1"/>
      <c r="AJ1076" s="1"/>
      <c r="AK1076" s="1"/>
      <c r="AL1076" s="1"/>
      <c r="AM1076" s="1"/>
      <c r="AN1076" s="1"/>
      <c r="AO1076" s="1" t="s">
        <v>98</v>
      </c>
      <c r="AP1076" s="1" t="s">
        <v>99</v>
      </c>
      <c r="AQ1076" s="1"/>
      <c r="AR1076" s="1"/>
      <c r="AS1076" s="1"/>
      <c r="AT1076" s="1"/>
      <c r="AU1076" s="1">
        <v>2021</v>
      </c>
      <c r="AV1076" s="1"/>
      <c r="AW1076" s="1">
        <v>3</v>
      </c>
      <c r="AX1076" s="1"/>
      <c r="AY1076" s="1"/>
      <c r="AZ1076" s="1"/>
      <c r="BA1076" s="1"/>
      <c r="BB1076" s="1">
        <v>111</v>
      </c>
      <c r="BC1076" s="1">
        <v>117</v>
      </c>
      <c r="BD1076" s="1"/>
      <c r="BE1076" s="1" t="s">
        <v>6927</v>
      </c>
      <c r="BF1076" s="1" t="str">
        <f>HYPERLINK("http://dx.doi.org/10.25750/1995-4301-2021-3-111-117","http://dx.doi.org/10.25750/1995-4301-2021-3-111-117")</f>
        <v>http://dx.doi.org/10.25750/1995-4301-2021-3-111-117</v>
      </c>
      <c r="BG1076" s="1"/>
      <c r="BH1076" s="1"/>
      <c r="BI1076" s="1"/>
      <c r="BJ1076" s="1"/>
      <c r="BK1076" s="1"/>
      <c r="BL1076" s="1"/>
      <c r="BM1076" s="1"/>
      <c r="BN1076" s="1"/>
      <c r="BO1076" s="1"/>
      <c r="BP1076" s="1"/>
      <c r="BQ1076" s="1"/>
      <c r="BR1076" s="1"/>
      <c r="BS1076" s="1" t="s">
        <v>6928</v>
      </c>
      <c r="BT1076" s="1" t="str">
        <f>HYPERLINK("https%3A%2F%2Fwww.webofscience.com%2Fwos%2Fwoscc%2Ffull-record%2FWOS:000700413300015","View Full Record in Web of Science")</f>
        <v>View Full Record in Web of Science</v>
      </c>
      <c r="BU1076" s="1"/>
      <c r="BV1076" s="1"/>
      <c r="BW1076" s="1"/>
    </row>
    <row r="1077" spans="1:75" customHeight="1" ht="12.75">
      <c r="A1077" s="1" t="s">
        <v>72</v>
      </c>
      <c r="B1077" s="1" t="s">
        <v>6929</v>
      </c>
      <c r="C1077" s="1"/>
      <c r="D1077" s="1"/>
      <c r="E1077" s="1"/>
      <c r="F1077" s="1" t="s">
        <v>6930</v>
      </c>
      <c r="G1077" s="1"/>
      <c r="H1077" s="1"/>
      <c r="I1077" s="1" t="s">
        <v>6931</v>
      </c>
      <c r="J1077" s="1" t="s">
        <v>335</v>
      </c>
      <c r="K1077" s="1"/>
      <c r="L1077" s="1"/>
      <c r="M1077" s="1"/>
      <c r="N1077" s="1"/>
      <c r="O1077" s="1"/>
      <c r="P1077" s="1"/>
      <c r="Q1077" s="1"/>
      <c r="R1077" s="1"/>
      <c r="S1077" s="1"/>
      <c r="T1077" s="1"/>
      <c r="U1077" s="1"/>
      <c r="V1077" s="1"/>
      <c r="W1077" s="1"/>
      <c r="X1077" s="1"/>
      <c r="Y1077" s="1"/>
      <c r="Z1077" s="1"/>
      <c r="AA1077" s="1" t="s">
        <v>6932</v>
      </c>
      <c r="AB1077" s="1"/>
      <c r="AC1077" s="1"/>
      <c r="AD1077" s="1"/>
      <c r="AE1077" s="1"/>
      <c r="AF1077" s="1"/>
      <c r="AG1077" s="1"/>
      <c r="AH1077" s="1"/>
      <c r="AI1077" s="1"/>
      <c r="AJ1077" s="1"/>
      <c r="AK1077" s="1"/>
      <c r="AL1077" s="1"/>
      <c r="AM1077" s="1"/>
      <c r="AN1077" s="1"/>
      <c r="AO1077" s="1" t="s">
        <v>337</v>
      </c>
      <c r="AP1077" s="1"/>
      <c r="AQ1077" s="1"/>
      <c r="AR1077" s="1"/>
      <c r="AS1077" s="1"/>
      <c r="AT1077" s="1" t="s">
        <v>338</v>
      </c>
      <c r="AU1077" s="1">
        <v>2020</v>
      </c>
      <c r="AV1077" s="1">
        <v>7</v>
      </c>
      <c r="AW1077" s="1"/>
      <c r="AX1077" s="1"/>
      <c r="AY1077" s="1"/>
      <c r="AZ1077" s="1" t="s">
        <v>339</v>
      </c>
      <c r="BA1077" s="1"/>
      <c r="BB1077" s="1">
        <v>164</v>
      </c>
      <c r="BC1077" s="1">
        <v>173</v>
      </c>
      <c r="BD1077" s="1"/>
      <c r="BE1077" s="1"/>
      <c r="BF1077" s="1"/>
      <c r="BG1077" s="1"/>
      <c r="BH1077" s="1"/>
      <c r="BI1077" s="1"/>
      <c r="BJ1077" s="1"/>
      <c r="BK1077" s="1"/>
      <c r="BL1077" s="1"/>
      <c r="BM1077" s="1"/>
      <c r="BN1077" s="1"/>
      <c r="BO1077" s="1"/>
      <c r="BP1077" s="1"/>
      <c r="BQ1077" s="1"/>
      <c r="BR1077" s="1"/>
      <c r="BS1077" s="1" t="s">
        <v>6933</v>
      </c>
      <c r="BT1077" s="1" t="str">
        <f>HYPERLINK("https%3A%2F%2Fwww.webofscience.com%2Fwos%2Fwoscc%2Ffull-record%2FWOS:000572957200013","View Full Record in Web of Science")</f>
        <v>View Full Record in Web of Science</v>
      </c>
      <c r="BU1077" s="1"/>
      <c r="BV1077" s="1"/>
      <c r="BW1077" s="1"/>
    </row>
    <row r="1078" spans="1:75" customHeight="1" ht="12.75">
      <c r="A1078" s="1" t="s">
        <v>72</v>
      </c>
      <c r="B1078" s="1" t="s">
        <v>6934</v>
      </c>
      <c r="C1078" s="1"/>
      <c r="D1078" s="1"/>
      <c r="E1078" s="1"/>
      <c r="F1078" s="1" t="s">
        <v>6935</v>
      </c>
      <c r="G1078" s="1"/>
      <c r="H1078" s="1"/>
      <c r="I1078" s="1" t="s">
        <v>6936</v>
      </c>
      <c r="J1078" s="1" t="s">
        <v>95</v>
      </c>
      <c r="K1078" s="1"/>
      <c r="L1078" s="1"/>
      <c r="M1078" s="1"/>
      <c r="N1078" s="1"/>
      <c r="O1078" s="1"/>
      <c r="P1078" s="1"/>
      <c r="Q1078" s="1"/>
      <c r="R1078" s="1"/>
      <c r="S1078" s="1"/>
      <c r="T1078" s="1"/>
      <c r="U1078" s="1"/>
      <c r="V1078" s="1"/>
      <c r="W1078" s="1"/>
      <c r="X1078" s="1"/>
      <c r="Y1078" s="1"/>
      <c r="Z1078" s="1"/>
      <c r="AA1078" s="1" t="s">
        <v>6937</v>
      </c>
      <c r="AB1078" s="1" t="s">
        <v>6938</v>
      </c>
      <c r="AC1078" s="1"/>
      <c r="AD1078" s="1"/>
      <c r="AE1078" s="1"/>
      <c r="AF1078" s="1"/>
      <c r="AG1078" s="1"/>
      <c r="AH1078" s="1"/>
      <c r="AI1078" s="1"/>
      <c r="AJ1078" s="1"/>
      <c r="AK1078" s="1"/>
      <c r="AL1078" s="1"/>
      <c r="AM1078" s="1"/>
      <c r="AN1078" s="1"/>
      <c r="AO1078" s="1" t="s">
        <v>98</v>
      </c>
      <c r="AP1078" s="1" t="s">
        <v>99</v>
      </c>
      <c r="AQ1078" s="1"/>
      <c r="AR1078" s="1"/>
      <c r="AS1078" s="1"/>
      <c r="AT1078" s="1"/>
      <c r="AU1078" s="1">
        <v>2020</v>
      </c>
      <c r="AV1078" s="1"/>
      <c r="AW1078" s="1">
        <v>1</v>
      </c>
      <c r="AX1078" s="1"/>
      <c r="AY1078" s="1"/>
      <c r="AZ1078" s="1"/>
      <c r="BA1078" s="1"/>
      <c r="BB1078" s="1">
        <v>42</v>
      </c>
      <c r="BC1078" s="1">
        <v>46</v>
      </c>
      <c r="BD1078" s="1"/>
      <c r="BE1078" s="1" t="s">
        <v>6939</v>
      </c>
      <c r="BF1078" s="1" t="str">
        <f>HYPERLINK("http://dx.doi.org/10.25750/1995-4301-2020-1-042-046","http://dx.doi.org/10.25750/1995-4301-2020-1-042-046")</f>
        <v>http://dx.doi.org/10.25750/1995-4301-2020-1-042-046</v>
      </c>
      <c r="BG1078" s="1"/>
      <c r="BH1078" s="1"/>
      <c r="BI1078" s="1"/>
      <c r="BJ1078" s="1"/>
      <c r="BK1078" s="1"/>
      <c r="BL1078" s="1"/>
      <c r="BM1078" s="1"/>
      <c r="BN1078" s="1"/>
      <c r="BO1078" s="1"/>
      <c r="BP1078" s="1"/>
      <c r="BQ1078" s="1"/>
      <c r="BR1078" s="1"/>
      <c r="BS1078" s="1" t="s">
        <v>6940</v>
      </c>
      <c r="BT1078" s="1" t="str">
        <f>HYPERLINK("https%3A%2F%2Fwww.webofscience.com%2Fwos%2Fwoscc%2Ffull-record%2FWOS:000522789400006","View Full Record in Web of Science")</f>
        <v>View Full Record in Web of Science</v>
      </c>
      <c r="BU1078" s="1"/>
      <c r="BV1078" s="1"/>
      <c r="BW1078" s="1"/>
    </row>
    <row r="1079" spans="1:75" customHeight="1" ht="12.75">
      <c r="A1079" s="1" t="s">
        <v>147</v>
      </c>
      <c r="B1079" s="1" t="s">
        <v>6941</v>
      </c>
      <c r="C1079" s="1"/>
      <c r="D1079" s="1" t="s">
        <v>1876</v>
      </c>
      <c r="E1079" s="1"/>
      <c r="F1079" s="1" t="s">
        <v>6942</v>
      </c>
      <c r="G1079" s="1"/>
      <c r="H1079" s="1"/>
      <c r="I1079" s="1" t="s">
        <v>6943</v>
      </c>
      <c r="J1079" s="1" t="s">
        <v>1879</v>
      </c>
      <c r="K1079" s="1" t="s">
        <v>1276</v>
      </c>
      <c r="L1079" s="1"/>
      <c r="M1079" s="1"/>
      <c r="N1079" s="1"/>
      <c r="O1079" s="1" t="s">
        <v>1880</v>
      </c>
      <c r="P1079" s="1" t="s">
        <v>1881</v>
      </c>
      <c r="Q1079" s="1" t="s">
        <v>1882</v>
      </c>
      <c r="R1079" s="1" t="s">
        <v>1883</v>
      </c>
      <c r="S1079" s="1" t="s">
        <v>1884</v>
      </c>
      <c r="T1079" s="1"/>
      <c r="U1079" s="1"/>
      <c r="V1079" s="1"/>
      <c r="W1079" s="1"/>
      <c r="X1079" s="1"/>
      <c r="Y1079" s="1"/>
      <c r="Z1079" s="1"/>
      <c r="AA1079" s="1" t="s">
        <v>6944</v>
      </c>
      <c r="AB1079" s="1" t="s">
        <v>6945</v>
      </c>
      <c r="AC1079" s="1"/>
      <c r="AD1079" s="1"/>
      <c r="AE1079" s="1"/>
      <c r="AF1079" s="1"/>
      <c r="AG1079" s="1"/>
      <c r="AH1079" s="1"/>
      <c r="AI1079" s="1"/>
      <c r="AJ1079" s="1"/>
      <c r="AK1079" s="1"/>
      <c r="AL1079" s="1"/>
      <c r="AM1079" s="1"/>
      <c r="AN1079" s="1"/>
      <c r="AO1079" s="1" t="s">
        <v>1282</v>
      </c>
      <c r="AP1079" s="1"/>
      <c r="AQ1079" s="1"/>
      <c r="AR1079" s="1"/>
      <c r="AS1079" s="1"/>
      <c r="AT1079" s="1"/>
      <c r="AU1079" s="1">
        <v>2017</v>
      </c>
      <c r="AV1079" s="1">
        <v>106</v>
      </c>
      <c r="AW1079" s="1"/>
      <c r="AX1079" s="1"/>
      <c r="AY1079" s="1"/>
      <c r="AZ1079" s="1"/>
      <c r="BA1079" s="1"/>
      <c r="BB1079" s="1"/>
      <c r="BC1079" s="1"/>
      <c r="BD1079" s="1">
        <v>8077</v>
      </c>
      <c r="BE1079" s="1" t="s">
        <v>6946</v>
      </c>
      <c r="BF1079" s="1" t="str">
        <f>HYPERLINK("http://dx.doi.org/10.1051/matecconf/201710608077","http://dx.doi.org/10.1051/matecconf/201710608077")</f>
        <v>http://dx.doi.org/10.1051/matecconf/201710608077</v>
      </c>
      <c r="BG1079" s="1"/>
      <c r="BH1079" s="1"/>
      <c r="BI1079" s="1"/>
      <c r="BJ1079" s="1"/>
      <c r="BK1079" s="1"/>
      <c r="BL1079" s="1"/>
      <c r="BM1079" s="1"/>
      <c r="BN1079" s="1"/>
      <c r="BO1079" s="1"/>
      <c r="BP1079" s="1"/>
      <c r="BQ1079" s="1"/>
      <c r="BR1079" s="1"/>
      <c r="BS1079" s="1" t="s">
        <v>6947</v>
      </c>
      <c r="BT1079" s="1" t="str">
        <f>HYPERLINK("https%3A%2F%2Fwww.webofscience.com%2Fwos%2Fwoscc%2Ffull-record%2FWOS:000426426600262","View Full Record in Web of Science")</f>
        <v>View Full Record in Web of Science</v>
      </c>
      <c r="BU1079" s="1"/>
      <c r="BV1079" s="1"/>
      <c r="BW1079" s="1"/>
    </row>
    <row r="1080" spans="1:75" customHeight="1" ht="12.75">
      <c r="A1080" s="1" t="s">
        <v>147</v>
      </c>
      <c r="B1080" s="1" t="s">
        <v>6948</v>
      </c>
      <c r="C1080" s="1"/>
      <c r="D1080" s="1" t="s">
        <v>5560</v>
      </c>
      <c r="E1080" s="1"/>
      <c r="F1080" s="1" t="s">
        <v>6949</v>
      </c>
      <c r="G1080" s="1"/>
      <c r="H1080" s="1"/>
      <c r="I1080" s="1" t="s">
        <v>6950</v>
      </c>
      <c r="J1080" s="1" t="s">
        <v>5563</v>
      </c>
      <c r="K1080" s="1" t="s">
        <v>1236</v>
      </c>
      <c r="L1080" s="1"/>
      <c r="M1080" s="1"/>
      <c r="N1080" s="1"/>
      <c r="O1080" s="1" t="s">
        <v>5564</v>
      </c>
      <c r="P1080" s="1" t="s">
        <v>5565</v>
      </c>
      <c r="Q1080" s="1" t="s">
        <v>5566</v>
      </c>
      <c r="R1080" s="1"/>
      <c r="S1080" s="1" t="s">
        <v>5567</v>
      </c>
      <c r="T1080" s="1"/>
      <c r="U1080" s="1"/>
      <c r="V1080" s="1"/>
      <c r="W1080" s="1"/>
      <c r="X1080" s="1"/>
      <c r="Y1080" s="1"/>
      <c r="Z1080" s="1"/>
      <c r="AA1080" s="1" t="s">
        <v>6951</v>
      </c>
      <c r="AB1080" s="1" t="s">
        <v>6952</v>
      </c>
      <c r="AC1080" s="1"/>
      <c r="AD1080" s="1"/>
      <c r="AE1080" s="1"/>
      <c r="AF1080" s="1"/>
      <c r="AG1080" s="1"/>
      <c r="AH1080" s="1"/>
      <c r="AI1080" s="1"/>
      <c r="AJ1080" s="1"/>
      <c r="AK1080" s="1"/>
      <c r="AL1080" s="1"/>
      <c r="AM1080" s="1"/>
      <c r="AN1080" s="1"/>
      <c r="AO1080" s="1" t="s">
        <v>1240</v>
      </c>
      <c r="AP1080" s="1"/>
      <c r="AQ1080" s="1"/>
      <c r="AR1080" s="1"/>
      <c r="AS1080" s="1"/>
      <c r="AT1080" s="1"/>
      <c r="AU1080" s="1">
        <v>2020</v>
      </c>
      <c r="AV1080" s="1">
        <v>210</v>
      </c>
      <c r="AW1080" s="1"/>
      <c r="AX1080" s="1"/>
      <c r="AY1080" s="1"/>
      <c r="AZ1080" s="1"/>
      <c r="BA1080" s="1"/>
      <c r="BB1080" s="1"/>
      <c r="BC1080" s="1"/>
      <c r="BD1080" s="1">
        <v>13036</v>
      </c>
      <c r="BE1080" s="1" t="s">
        <v>6953</v>
      </c>
      <c r="BF1080" s="1" t="str">
        <f>HYPERLINK("http://dx.doi.org/10.1051/e3sconf/202021013036","http://dx.doi.org/10.1051/e3sconf/202021013036")</f>
        <v>http://dx.doi.org/10.1051/e3sconf/202021013036</v>
      </c>
      <c r="BG1080" s="1"/>
      <c r="BH1080" s="1"/>
      <c r="BI1080" s="1"/>
      <c r="BJ1080" s="1"/>
      <c r="BK1080" s="1"/>
      <c r="BL1080" s="1"/>
      <c r="BM1080" s="1"/>
      <c r="BN1080" s="1"/>
      <c r="BO1080" s="1"/>
      <c r="BP1080" s="1"/>
      <c r="BQ1080" s="1"/>
      <c r="BR1080" s="1"/>
      <c r="BS1080" s="1" t="s">
        <v>6954</v>
      </c>
      <c r="BT1080" s="1" t="str">
        <f>HYPERLINK("https%3A%2F%2Fwww.webofscience.com%2Fwos%2Fwoscc%2Ffull-record%2FWOS:000659867301085","View Full Record in Web of Science")</f>
        <v>View Full Record in Web of Science</v>
      </c>
      <c r="BU1080" s="1"/>
      <c r="BV1080" s="1"/>
      <c r="BW1080" s="1"/>
    </row>
    <row r="1081" spans="1:75" customHeight="1" ht="12.75">
      <c r="A1081" s="1" t="s">
        <v>72</v>
      </c>
      <c r="B1081" s="1" t="s">
        <v>6955</v>
      </c>
      <c r="C1081" s="1"/>
      <c r="D1081" s="1"/>
      <c r="E1081" s="1"/>
      <c r="F1081" s="1" t="s">
        <v>6956</v>
      </c>
      <c r="G1081" s="1"/>
      <c r="H1081" s="1"/>
      <c r="I1081" s="1" t="s">
        <v>6957</v>
      </c>
      <c r="J1081" s="1" t="s">
        <v>5139</v>
      </c>
      <c r="K1081" s="1"/>
      <c r="L1081" s="1"/>
      <c r="M1081" s="1"/>
      <c r="N1081" s="1"/>
      <c r="O1081" s="1"/>
      <c r="P1081" s="1"/>
      <c r="Q1081" s="1"/>
      <c r="R1081" s="1"/>
      <c r="S1081" s="1"/>
      <c r="T1081" s="1"/>
      <c r="U1081" s="1"/>
      <c r="V1081" s="1"/>
      <c r="W1081" s="1"/>
      <c r="X1081" s="1"/>
      <c r="Y1081" s="1"/>
      <c r="Z1081" s="1"/>
      <c r="AA1081" s="1" t="s">
        <v>6958</v>
      </c>
      <c r="AB1081" s="1" t="s">
        <v>6959</v>
      </c>
      <c r="AC1081" s="1"/>
      <c r="AD1081" s="1"/>
      <c r="AE1081" s="1"/>
      <c r="AF1081" s="1"/>
      <c r="AG1081" s="1"/>
      <c r="AH1081" s="1"/>
      <c r="AI1081" s="1"/>
      <c r="AJ1081" s="1"/>
      <c r="AK1081" s="1"/>
      <c r="AL1081" s="1"/>
      <c r="AM1081" s="1"/>
      <c r="AN1081" s="1"/>
      <c r="AO1081" s="1" t="s">
        <v>5142</v>
      </c>
      <c r="AP1081" s="1" t="s">
        <v>5143</v>
      </c>
      <c r="AQ1081" s="1"/>
      <c r="AR1081" s="1"/>
      <c r="AS1081" s="1"/>
      <c r="AT1081" s="1" t="s">
        <v>125</v>
      </c>
      <c r="AU1081" s="1">
        <v>2017</v>
      </c>
      <c r="AV1081" s="1">
        <v>13</v>
      </c>
      <c r="AW1081" s="1">
        <v>7</v>
      </c>
      <c r="AX1081" s="1"/>
      <c r="AY1081" s="1"/>
      <c r="AZ1081" s="1"/>
      <c r="BA1081" s="1"/>
      <c r="BB1081" s="1">
        <v>2923</v>
      </c>
      <c r="BC1081" s="1">
        <v>2940</v>
      </c>
      <c r="BD1081" s="1"/>
      <c r="BE1081" s="1" t="s">
        <v>6960</v>
      </c>
      <c r="BF1081" s="1" t="str">
        <f>HYPERLINK("http://dx.doi.org/10.12973/eurasia.2017.00727a","http://dx.doi.org/10.12973/eurasia.2017.00727a")</f>
        <v>http://dx.doi.org/10.12973/eurasia.2017.00727a</v>
      </c>
      <c r="BG1081" s="1"/>
      <c r="BH1081" s="1"/>
      <c r="BI1081" s="1"/>
      <c r="BJ1081" s="1"/>
      <c r="BK1081" s="1"/>
      <c r="BL1081" s="1"/>
      <c r="BM1081" s="1"/>
      <c r="BN1081" s="1"/>
      <c r="BO1081" s="1"/>
      <c r="BP1081" s="1"/>
      <c r="BQ1081" s="1"/>
      <c r="BR1081" s="1"/>
      <c r="BS1081" s="1" t="s">
        <v>6961</v>
      </c>
      <c r="BT1081" s="1" t="str">
        <f>HYPERLINK("https%3A%2F%2Fwww.webofscience.com%2Fwos%2Fwoscc%2Ffull-record%2FWOS:000404607800009","View Full Record in Web of Science")</f>
        <v>View Full Record in Web of Science</v>
      </c>
      <c r="BU1081" s="1"/>
      <c r="BV1081" s="1"/>
      <c r="BW1081" s="1"/>
    </row>
    <row r="1082" spans="1:75" customHeight="1" ht="12.75">
      <c r="A1082" s="1" t="s">
        <v>72</v>
      </c>
      <c r="B1082" s="1" t="s">
        <v>5433</v>
      </c>
      <c r="C1082" s="1"/>
      <c r="D1082" s="1"/>
      <c r="E1082" s="1"/>
      <c r="F1082" s="1" t="s">
        <v>5434</v>
      </c>
      <c r="G1082" s="1"/>
      <c r="H1082" s="1"/>
      <c r="I1082" s="1" t="s">
        <v>6962</v>
      </c>
      <c r="J1082" s="1" t="s">
        <v>6963</v>
      </c>
      <c r="K1082" s="1"/>
      <c r="L1082" s="1"/>
      <c r="M1082" s="1"/>
      <c r="N1082" s="1"/>
      <c r="O1082" s="1"/>
      <c r="P1082" s="1"/>
      <c r="Q1082" s="1"/>
      <c r="R1082" s="1"/>
      <c r="S1082" s="1"/>
      <c r="T1082" s="1"/>
      <c r="U1082" s="1"/>
      <c r="V1082" s="1"/>
      <c r="W1082" s="1"/>
      <c r="X1082" s="1"/>
      <c r="Y1082" s="1"/>
      <c r="Z1082" s="1"/>
      <c r="AA1082" s="1" t="s">
        <v>6058</v>
      </c>
      <c r="AB1082" s="1" t="s">
        <v>6059</v>
      </c>
      <c r="AC1082" s="1"/>
      <c r="AD1082" s="1"/>
      <c r="AE1082" s="1"/>
      <c r="AF1082" s="1"/>
      <c r="AG1082" s="1"/>
      <c r="AH1082" s="1"/>
      <c r="AI1082" s="1"/>
      <c r="AJ1082" s="1"/>
      <c r="AK1082" s="1"/>
      <c r="AL1082" s="1"/>
      <c r="AM1082" s="1"/>
      <c r="AN1082" s="1"/>
      <c r="AO1082" s="1" t="s">
        <v>6964</v>
      </c>
      <c r="AP1082" s="1" t="s">
        <v>6965</v>
      </c>
      <c r="AQ1082" s="1"/>
      <c r="AR1082" s="1"/>
      <c r="AS1082" s="1"/>
      <c r="AT1082" s="1" t="s">
        <v>125</v>
      </c>
      <c r="AU1082" s="1">
        <v>2016</v>
      </c>
      <c r="AV1082" s="1">
        <v>57</v>
      </c>
      <c r="AW1082" s="1">
        <v>4</v>
      </c>
      <c r="AX1082" s="1"/>
      <c r="AY1082" s="1"/>
      <c r="AZ1082" s="1"/>
      <c r="BA1082" s="1"/>
      <c r="BB1082" s="1">
        <v>720</v>
      </c>
      <c r="BC1082" s="1">
        <v>730</v>
      </c>
      <c r="BD1082" s="1"/>
      <c r="BE1082" s="1" t="s">
        <v>6966</v>
      </c>
      <c r="BF1082" s="1" t="str">
        <f>HYPERLINK("http://dx.doi.org/10.1134/S0021894416040179","http://dx.doi.org/10.1134/S0021894416040179")</f>
        <v>http://dx.doi.org/10.1134/S0021894416040179</v>
      </c>
      <c r="BG1082" s="1"/>
      <c r="BH1082" s="1"/>
      <c r="BI1082" s="1"/>
      <c r="BJ1082" s="1"/>
      <c r="BK1082" s="1"/>
      <c r="BL1082" s="1"/>
      <c r="BM1082" s="1"/>
      <c r="BN1082" s="1"/>
      <c r="BO1082" s="1"/>
      <c r="BP1082" s="1"/>
      <c r="BQ1082" s="1"/>
      <c r="BR1082" s="1"/>
      <c r="BS1082" s="1" t="s">
        <v>6967</v>
      </c>
      <c r="BT1082" s="1" t="str">
        <f>HYPERLINK("https%3A%2F%2Fwww.webofscience.com%2Fwos%2Fwoscc%2Ffull-record%2FWOS:000386562700017","View Full Record in Web of Science")</f>
        <v>View Full Record in Web of Science</v>
      </c>
      <c r="BU1082" s="1"/>
      <c r="BV1082" s="1"/>
      <c r="BW1082" s="1"/>
    </row>
    <row r="1083" spans="1:75" customHeight="1" ht="12.75">
      <c r="A1083" s="1" t="s">
        <v>72</v>
      </c>
      <c r="B1083" s="1" t="s">
        <v>6968</v>
      </c>
      <c r="C1083" s="1"/>
      <c r="D1083" s="1"/>
      <c r="E1083" s="1"/>
      <c r="F1083" s="1" t="s">
        <v>6969</v>
      </c>
      <c r="G1083" s="1"/>
      <c r="H1083" s="1"/>
      <c r="I1083" s="1" t="s">
        <v>6970</v>
      </c>
      <c r="J1083" s="1" t="s">
        <v>3610</v>
      </c>
      <c r="K1083" s="1"/>
      <c r="L1083" s="1"/>
      <c r="M1083" s="1"/>
      <c r="N1083" s="1"/>
      <c r="O1083" s="1"/>
      <c r="P1083" s="1"/>
      <c r="Q1083" s="1"/>
      <c r="R1083" s="1"/>
      <c r="S1083" s="1"/>
      <c r="T1083" s="1"/>
      <c r="U1083" s="1"/>
      <c r="V1083" s="1"/>
      <c r="W1083" s="1"/>
      <c r="X1083" s="1"/>
      <c r="Y1083" s="1"/>
      <c r="Z1083" s="1"/>
      <c r="AA1083" s="1" t="s">
        <v>6971</v>
      </c>
      <c r="AB1083" s="1" t="s">
        <v>6972</v>
      </c>
      <c r="AC1083" s="1"/>
      <c r="AD1083" s="1"/>
      <c r="AE1083" s="1"/>
      <c r="AF1083" s="1"/>
      <c r="AG1083" s="1"/>
      <c r="AH1083" s="1"/>
      <c r="AI1083" s="1"/>
      <c r="AJ1083" s="1"/>
      <c r="AK1083" s="1"/>
      <c r="AL1083" s="1"/>
      <c r="AM1083" s="1"/>
      <c r="AN1083" s="1"/>
      <c r="AO1083" s="1" t="s">
        <v>3613</v>
      </c>
      <c r="AP1083" s="1" t="s">
        <v>4602</v>
      </c>
      <c r="AQ1083" s="1"/>
      <c r="AR1083" s="1"/>
      <c r="AS1083" s="1"/>
      <c r="AT1083" s="1" t="s">
        <v>1167</v>
      </c>
      <c r="AU1083" s="1">
        <v>2019</v>
      </c>
      <c r="AV1083" s="1">
        <v>52</v>
      </c>
      <c r="AW1083" s="1">
        <v>10</v>
      </c>
      <c r="AX1083" s="1"/>
      <c r="AY1083" s="1"/>
      <c r="AZ1083" s="1"/>
      <c r="BA1083" s="1"/>
      <c r="BB1083" s="1">
        <v>1227</v>
      </c>
      <c r="BC1083" s="1">
        <v>1233</v>
      </c>
      <c r="BD1083" s="1"/>
      <c r="BE1083" s="1" t="s">
        <v>6973</v>
      </c>
      <c r="BF1083" s="1" t="str">
        <f>HYPERLINK("http://dx.doi.org/10.1134/S1064229319100132","http://dx.doi.org/10.1134/S1064229319100132")</f>
        <v>http://dx.doi.org/10.1134/S1064229319100132</v>
      </c>
      <c r="BG1083" s="1"/>
      <c r="BH1083" s="1"/>
      <c r="BI1083" s="1"/>
      <c r="BJ1083" s="1"/>
      <c r="BK1083" s="1"/>
      <c r="BL1083" s="1"/>
      <c r="BM1083" s="1"/>
      <c r="BN1083" s="1"/>
      <c r="BO1083" s="1"/>
      <c r="BP1083" s="1"/>
      <c r="BQ1083" s="1"/>
      <c r="BR1083" s="1"/>
      <c r="BS1083" s="1" t="s">
        <v>6974</v>
      </c>
      <c r="BT1083" s="1" t="str">
        <f>HYPERLINK("https%3A%2F%2Fwww.webofscience.com%2Fwos%2Fwoscc%2Ffull-record%2FWOS:000491515600009","View Full Record in Web of Science")</f>
        <v>View Full Record in Web of Science</v>
      </c>
      <c r="BU1083" s="1"/>
      <c r="BV1083" s="1"/>
      <c r="BW1083" s="1"/>
    </row>
    <row r="1084" spans="1:75" customHeight="1" ht="12.75">
      <c r="A1084" s="1" t="s">
        <v>72</v>
      </c>
      <c r="B1084" s="1" t="s">
        <v>6975</v>
      </c>
      <c r="C1084" s="1"/>
      <c r="D1084" s="1"/>
      <c r="E1084" s="1"/>
      <c r="F1084" s="1" t="s">
        <v>6976</v>
      </c>
      <c r="G1084" s="1"/>
      <c r="H1084" s="1"/>
      <c r="I1084" s="1" t="s">
        <v>6977</v>
      </c>
      <c r="J1084" s="1" t="s">
        <v>6978</v>
      </c>
      <c r="K1084" s="1"/>
      <c r="L1084" s="1"/>
      <c r="M1084" s="1"/>
      <c r="N1084" s="1"/>
      <c r="O1084" s="1"/>
      <c r="P1084" s="1"/>
      <c r="Q1084" s="1"/>
      <c r="R1084" s="1"/>
      <c r="S1084" s="1"/>
      <c r="T1084" s="1"/>
      <c r="U1084" s="1"/>
      <c r="V1084" s="1"/>
      <c r="W1084" s="1"/>
      <c r="X1084" s="1"/>
      <c r="Y1084" s="1"/>
      <c r="Z1084" s="1"/>
      <c r="AA1084" s="1"/>
      <c r="AB1084" s="1"/>
      <c r="AC1084" s="1"/>
      <c r="AD1084" s="1"/>
      <c r="AE1084" s="1"/>
      <c r="AF1084" s="1"/>
      <c r="AG1084" s="1"/>
      <c r="AH1084" s="1"/>
      <c r="AI1084" s="1"/>
      <c r="AJ1084" s="1"/>
      <c r="AK1084" s="1"/>
      <c r="AL1084" s="1"/>
      <c r="AM1084" s="1"/>
      <c r="AN1084" s="1"/>
      <c r="AO1084" s="1" t="s">
        <v>6979</v>
      </c>
      <c r="AP1084" s="1"/>
      <c r="AQ1084" s="1"/>
      <c r="AR1084" s="1"/>
      <c r="AS1084" s="1"/>
      <c r="AT1084" s="1" t="s">
        <v>125</v>
      </c>
      <c r="AU1084" s="1">
        <v>2019</v>
      </c>
      <c r="AV1084" s="1">
        <v>9</v>
      </c>
      <c r="AW1084" s="1"/>
      <c r="AX1084" s="1"/>
      <c r="AY1084" s="1">
        <v>1</v>
      </c>
      <c r="AZ1084" s="1"/>
      <c r="BA1084" s="1" t="s">
        <v>6980</v>
      </c>
      <c r="BB1084" s="1">
        <v>421</v>
      </c>
      <c r="BC1084" s="1">
        <v>421</v>
      </c>
      <c r="BD1084" s="1"/>
      <c r="BE1084" s="1"/>
      <c r="BF1084" s="1"/>
      <c r="BG1084" s="1"/>
      <c r="BH1084" s="1"/>
      <c r="BI1084" s="1"/>
      <c r="BJ1084" s="1"/>
      <c r="BK1084" s="1"/>
      <c r="BL1084" s="1"/>
      <c r="BM1084" s="1"/>
      <c r="BN1084" s="1"/>
      <c r="BO1084" s="1"/>
      <c r="BP1084" s="1"/>
      <c r="BQ1084" s="1"/>
      <c r="BR1084" s="1"/>
      <c r="BS1084" s="1" t="s">
        <v>6981</v>
      </c>
      <c r="BT1084" s="1" t="str">
        <f>HYPERLINK("https%3A%2F%2Fwww.webofscience.com%2Fwos%2Fwoscc%2Ffull-record%2FWOS:000486972406174","View Full Record in Web of Science")</f>
        <v>View Full Record in Web of Science</v>
      </c>
      <c r="BU1084" s="1"/>
      <c r="BV1084" s="1"/>
      <c r="BW1084" s="1"/>
    </row>
    <row r="1085" spans="1:75" customHeight="1" ht="12.75">
      <c r="A1085" s="1" t="s">
        <v>72</v>
      </c>
      <c r="B1085" s="1" t="s">
        <v>6982</v>
      </c>
      <c r="C1085" s="1"/>
      <c r="D1085" s="1"/>
      <c r="E1085" s="1"/>
      <c r="F1085" s="1" t="s">
        <v>6983</v>
      </c>
      <c r="G1085" s="1"/>
      <c r="H1085" s="1"/>
      <c r="I1085" s="1" t="s">
        <v>6984</v>
      </c>
      <c r="J1085" s="1" t="s">
        <v>6985</v>
      </c>
      <c r="K1085" s="1"/>
      <c r="L1085" s="1"/>
      <c r="M1085" s="1"/>
      <c r="N1085" s="1"/>
      <c r="O1085" s="1"/>
      <c r="P1085" s="1"/>
      <c r="Q1085" s="1"/>
      <c r="R1085" s="1"/>
      <c r="S1085" s="1"/>
      <c r="T1085" s="1"/>
      <c r="U1085" s="1"/>
      <c r="V1085" s="1"/>
      <c r="W1085" s="1"/>
      <c r="X1085" s="1"/>
      <c r="Y1085" s="1"/>
      <c r="Z1085" s="1"/>
      <c r="AA1085" s="1" t="s">
        <v>6986</v>
      </c>
      <c r="AB1085" s="1"/>
      <c r="AC1085" s="1"/>
      <c r="AD1085" s="1"/>
      <c r="AE1085" s="1"/>
      <c r="AF1085" s="1"/>
      <c r="AG1085" s="1"/>
      <c r="AH1085" s="1"/>
      <c r="AI1085" s="1"/>
      <c r="AJ1085" s="1"/>
      <c r="AK1085" s="1"/>
      <c r="AL1085" s="1"/>
      <c r="AM1085" s="1"/>
      <c r="AN1085" s="1"/>
      <c r="AO1085" s="1" t="s">
        <v>6987</v>
      </c>
      <c r="AP1085" s="1"/>
      <c r="AQ1085" s="1"/>
      <c r="AR1085" s="1"/>
      <c r="AS1085" s="1"/>
      <c r="AT1085" s="1" t="s">
        <v>403</v>
      </c>
      <c r="AU1085" s="1">
        <v>2017</v>
      </c>
      <c r="AV1085" s="1">
        <v>16</v>
      </c>
      <c r="AW1085" s="1">
        <v>2</v>
      </c>
      <c r="AX1085" s="1"/>
      <c r="AY1085" s="1"/>
      <c r="AZ1085" s="1"/>
      <c r="BA1085" s="1"/>
      <c r="BB1085" s="1">
        <v>157</v>
      </c>
      <c r="BC1085" s="1">
        <v>175</v>
      </c>
      <c r="BD1085" s="1"/>
      <c r="BE1085" s="1" t="s">
        <v>6988</v>
      </c>
      <c r="BF1085" s="1" t="str">
        <f>HYPERLINK("http://dx.doi.org/10.15298/rusjtheriol.16.2.05","http://dx.doi.org/10.15298/rusjtheriol.16.2.05")</f>
        <v>http://dx.doi.org/10.15298/rusjtheriol.16.2.05</v>
      </c>
      <c r="BG1085" s="1"/>
      <c r="BH1085" s="1"/>
      <c r="BI1085" s="1"/>
      <c r="BJ1085" s="1"/>
      <c r="BK1085" s="1"/>
      <c r="BL1085" s="1"/>
      <c r="BM1085" s="1"/>
      <c r="BN1085" s="1"/>
      <c r="BO1085" s="1"/>
      <c r="BP1085" s="1"/>
      <c r="BQ1085" s="1"/>
      <c r="BR1085" s="1"/>
      <c r="BS1085" s="1" t="s">
        <v>6989</v>
      </c>
      <c r="BT1085" s="1" t="str">
        <f>HYPERLINK("https%3A%2F%2Fwww.webofscience.com%2Fwos%2Fwoscc%2Ffull-record%2FWOS:000418853400005","View Full Record in Web of Science")</f>
        <v>View Full Record in Web of Science</v>
      </c>
      <c r="BU1085" s="1"/>
      <c r="BV1085" s="1"/>
      <c r="BW1085" s="1"/>
    </row>
    <row r="1086" spans="1:75" customHeight="1" ht="12.75">
      <c r="A1086" s="1" t="s">
        <v>147</v>
      </c>
      <c r="B1086" s="1" t="s">
        <v>6990</v>
      </c>
      <c r="C1086" s="1"/>
      <c r="D1086" s="1"/>
      <c r="E1086" s="1" t="s">
        <v>175</v>
      </c>
      <c r="F1086" s="1" t="s">
        <v>6991</v>
      </c>
      <c r="G1086" s="1"/>
      <c r="H1086" s="1"/>
      <c r="I1086" s="1" t="s">
        <v>6992</v>
      </c>
      <c r="J1086" s="1" t="s">
        <v>2671</v>
      </c>
      <c r="K1086" s="1" t="s">
        <v>1576</v>
      </c>
      <c r="L1086" s="1"/>
      <c r="M1086" s="1"/>
      <c r="N1086" s="1"/>
      <c r="O1086" s="1" t="s">
        <v>2672</v>
      </c>
      <c r="P1086" s="1" t="s">
        <v>2673</v>
      </c>
      <c r="Q1086" s="1" t="s">
        <v>2674</v>
      </c>
      <c r="R1086" s="1"/>
      <c r="S1086" s="1" t="s">
        <v>2675</v>
      </c>
      <c r="T1086" s="1"/>
      <c r="U1086" s="1"/>
      <c r="V1086" s="1"/>
      <c r="W1086" s="1"/>
      <c r="X1086" s="1"/>
      <c r="Y1086" s="1"/>
      <c r="Z1086" s="1"/>
      <c r="AA1086" s="1" t="s">
        <v>6993</v>
      </c>
      <c r="AB1086" s="1" t="s">
        <v>6994</v>
      </c>
      <c r="AC1086" s="1"/>
      <c r="AD1086" s="1"/>
      <c r="AE1086" s="1"/>
      <c r="AF1086" s="1"/>
      <c r="AG1086" s="1"/>
      <c r="AH1086" s="1"/>
      <c r="AI1086" s="1"/>
      <c r="AJ1086" s="1"/>
      <c r="AK1086" s="1"/>
      <c r="AL1086" s="1"/>
      <c r="AM1086" s="1"/>
      <c r="AN1086" s="1"/>
      <c r="AO1086" s="1" t="s">
        <v>1581</v>
      </c>
      <c r="AP1086" s="1"/>
      <c r="AQ1086" s="1"/>
      <c r="AR1086" s="1"/>
      <c r="AS1086" s="1"/>
      <c r="AT1086" s="1"/>
      <c r="AU1086" s="1">
        <v>2017</v>
      </c>
      <c r="AV1086" s="1">
        <v>90</v>
      </c>
      <c r="AW1086" s="1"/>
      <c r="AX1086" s="1"/>
      <c r="AY1086" s="1"/>
      <c r="AZ1086" s="1"/>
      <c r="BA1086" s="1"/>
      <c r="BB1086" s="1"/>
      <c r="BC1086" s="1"/>
      <c r="BD1086" s="1">
        <v>12122</v>
      </c>
      <c r="BE1086" s="1" t="s">
        <v>6995</v>
      </c>
      <c r="BF1086" s="1" t="str">
        <f>HYPERLINK("http://dx.doi.org/10.1088/1755-1315/90/1/012122","http://dx.doi.org/10.1088/1755-1315/90/1/012122")</f>
        <v>http://dx.doi.org/10.1088/1755-1315/90/1/012122</v>
      </c>
      <c r="BG1086" s="1"/>
      <c r="BH1086" s="1"/>
      <c r="BI1086" s="1"/>
      <c r="BJ1086" s="1"/>
      <c r="BK1086" s="1"/>
      <c r="BL1086" s="1"/>
      <c r="BM1086" s="1"/>
      <c r="BN1086" s="1"/>
      <c r="BO1086" s="1"/>
      <c r="BP1086" s="1"/>
      <c r="BQ1086" s="1"/>
      <c r="BR1086" s="1"/>
      <c r="BS1086" s="1" t="s">
        <v>6996</v>
      </c>
      <c r="BT1086" s="1" t="str">
        <f>HYPERLINK("https%3A%2F%2Fwww.webofscience.com%2Fwos%2Fwoscc%2Ffull-record%2FWOS:000419816700122","View Full Record in Web of Science")</f>
        <v>View Full Record in Web of Science</v>
      </c>
      <c r="BU1086" s="1"/>
      <c r="BV1086" s="1"/>
      <c r="BW1086" s="1"/>
    </row>
    <row r="1087" spans="1:75" customHeight="1" ht="12.75">
      <c r="A1087" s="1" t="s">
        <v>72</v>
      </c>
      <c r="B1087" s="1" t="s">
        <v>6997</v>
      </c>
      <c r="C1087" s="1"/>
      <c r="D1087" s="1"/>
      <c r="E1087" s="1"/>
      <c r="F1087" s="1" t="s">
        <v>6998</v>
      </c>
      <c r="G1087" s="1"/>
      <c r="H1087" s="1"/>
      <c r="I1087" s="1" t="s">
        <v>6999</v>
      </c>
      <c r="J1087" s="1" t="s">
        <v>685</v>
      </c>
      <c r="K1087" s="1"/>
      <c r="L1087" s="1"/>
      <c r="M1087" s="1"/>
      <c r="N1087" s="1"/>
      <c r="O1087" s="1"/>
      <c r="P1087" s="1"/>
      <c r="Q1087" s="1"/>
      <c r="R1087" s="1"/>
      <c r="S1087" s="1"/>
      <c r="T1087" s="1"/>
      <c r="U1087" s="1"/>
      <c r="V1087" s="1"/>
      <c r="W1087" s="1"/>
      <c r="X1087" s="1"/>
      <c r="Y1087" s="1"/>
      <c r="Z1087" s="1"/>
      <c r="AA1087" s="1"/>
      <c r="AB1087" s="1"/>
      <c r="AC1087" s="1"/>
      <c r="AD1087" s="1"/>
      <c r="AE1087" s="1"/>
      <c r="AF1087" s="1"/>
      <c r="AG1087" s="1"/>
      <c r="AH1087" s="1"/>
      <c r="AI1087" s="1"/>
      <c r="AJ1087" s="1"/>
      <c r="AK1087" s="1"/>
      <c r="AL1087" s="1"/>
      <c r="AM1087" s="1"/>
      <c r="AN1087" s="1"/>
      <c r="AO1087" s="1" t="s">
        <v>687</v>
      </c>
      <c r="AP1087" s="1" t="s">
        <v>688</v>
      </c>
      <c r="AQ1087" s="1"/>
      <c r="AR1087" s="1"/>
      <c r="AS1087" s="1"/>
      <c r="AT1087" s="1" t="s">
        <v>403</v>
      </c>
      <c r="AU1087" s="1">
        <v>2020</v>
      </c>
      <c r="AV1087" s="1">
        <v>47</v>
      </c>
      <c r="AW1087" s="1">
        <v>10</v>
      </c>
      <c r="AX1087" s="1"/>
      <c r="AY1087" s="1"/>
      <c r="AZ1087" s="1"/>
      <c r="BA1087" s="1"/>
      <c r="BB1087" s="1">
        <v>1392</v>
      </c>
      <c r="BC1087" s="1">
        <v>1397</v>
      </c>
      <c r="BD1087" s="1"/>
      <c r="BE1087" s="1" t="s">
        <v>7000</v>
      </c>
      <c r="BF1087" s="1" t="str">
        <f>HYPERLINK("http://dx.doi.org/10.1134/S1062359020100179","http://dx.doi.org/10.1134/S1062359020100179")</f>
        <v>http://dx.doi.org/10.1134/S1062359020100179</v>
      </c>
      <c r="BG1087" s="1"/>
      <c r="BH1087" s="1"/>
      <c r="BI1087" s="1"/>
      <c r="BJ1087" s="1"/>
      <c r="BK1087" s="1"/>
      <c r="BL1087" s="1"/>
      <c r="BM1087" s="1"/>
      <c r="BN1087" s="1"/>
      <c r="BO1087" s="1"/>
      <c r="BP1087" s="1"/>
      <c r="BQ1087" s="1"/>
      <c r="BR1087" s="1"/>
      <c r="BS1087" s="1" t="s">
        <v>7001</v>
      </c>
      <c r="BT1087" s="1" t="str">
        <f>HYPERLINK("https%3A%2F%2Fwww.webofscience.com%2Fwos%2Fwoscc%2Ffull-record%2FWOS:000608058700021","View Full Record in Web of Science")</f>
        <v>View Full Record in Web of Science</v>
      </c>
      <c r="BU1087" s="1"/>
      <c r="BV1087" s="1"/>
      <c r="BW1087" s="1"/>
    </row>
    <row r="1088" spans="1:75" customHeight="1" ht="12.75">
      <c r="A1088" s="1" t="s">
        <v>72</v>
      </c>
      <c r="B1088" s="1" t="s">
        <v>7002</v>
      </c>
      <c r="C1088" s="1"/>
      <c r="D1088" s="1"/>
      <c r="E1088" s="1"/>
      <c r="F1088" s="1" t="s">
        <v>7003</v>
      </c>
      <c r="G1088" s="1"/>
      <c r="H1088" s="1"/>
      <c r="I1088" s="1" t="s">
        <v>7004</v>
      </c>
      <c r="J1088" s="1" t="s">
        <v>7005</v>
      </c>
      <c r="K1088" s="1"/>
      <c r="L1088" s="1"/>
      <c r="M1088" s="1"/>
      <c r="N1088" s="1"/>
      <c r="O1088" s="1"/>
      <c r="P1088" s="1"/>
      <c r="Q1088" s="1"/>
      <c r="R1088" s="1"/>
      <c r="S1088" s="1"/>
      <c r="T1088" s="1"/>
      <c r="U1088" s="1"/>
      <c r="V1088" s="1"/>
      <c r="W1088" s="1"/>
      <c r="X1088" s="1"/>
      <c r="Y1088" s="1"/>
      <c r="Z1088" s="1"/>
      <c r="AA1088" s="1" t="s">
        <v>5078</v>
      </c>
      <c r="AB1088" s="1" t="s">
        <v>5079</v>
      </c>
      <c r="AC1088" s="1"/>
      <c r="AD1088" s="1"/>
      <c r="AE1088" s="1"/>
      <c r="AF1088" s="1"/>
      <c r="AG1088" s="1"/>
      <c r="AH1088" s="1"/>
      <c r="AI1088" s="1"/>
      <c r="AJ1088" s="1"/>
      <c r="AK1088" s="1"/>
      <c r="AL1088" s="1"/>
      <c r="AM1088" s="1"/>
      <c r="AN1088" s="1"/>
      <c r="AO1088" s="1" t="s">
        <v>7006</v>
      </c>
      <c r="AP1088" s="1" t="s">
        <v>7007</v>
      </c>
      <c r="AQ1088" s="1"/>
      <c r="AR1088" s="1"/>
      <c r="AS1088" s="1"/>
      <c r="AT1088" s="1" t="s">
        <v>7008</v>
      </c>
      <c r="AU1088" s="1">
        <v>2020</v>
      </c>
      <c r="AV1088" s="1">
        <v>33</v>
      </c>
      <c r="AW1088" s="1" t="s">
        <v>1685</v>
      </c>
      <c r="AX1088" s="1"/>
      <c r="AY1088" s="1"/>
      <c r="AZ1088" s="1"/>
      <c r="BA1088" s="1"/>
      <c r="BB1088" s="1">
        <v>184</v>
      </c>
      <c r="BC1088" s="1">
        <v>193</v>
      </c>
      <c r="BD1088" s="1"/>
      <c r="BE1088" s="1" t="s">
        <v>7009</v>
      </c>
      <c r="BF1088" s="1" t="str">
        <f>HYPERLINK("http://dx.doi.org/10.1080/13640461.2020.1822632","http://dx.doi.org/10.1080/13640461.2020.1822632")</f>
        <v>http://dx.doi.org/10.1080/13640461.2020.1822632</v>
      </c>
      <c r="BG1088" s="1"/>
      <c r="BH1088" s="1" t="s">
        <v>7010</v>
      </c>
      <c r="BI1088" s="1"/>
      <c r="BJ1088" s="1"/>
      <c r="BK1088" s="1"/>
      <c r="BL1088" s="1"/>
      <c r="BM1088" s="1"/>
      <c r="BN1088" s="1"/>
      <c r="BO1088" s="1"/>
      <c r="BP1088" s="1"/>
      <c r="BQ1088" s="1"/>
      <c r="BR1088" s="1"/>
      <c r="BS1088" s="1" t="s">
        <v>7011</v>
      </c>
      <c r="BT1088" s="1" t="str">
        <f>HYPERLINK("https%3A%2F%2Fwww.webofscience.com%2Fwos%2Fwoscc%2Ffull-record%2FWOS:000569199100001","View Full Record in Web of Science")</f>
        <v>View Full Record in Web of Science</v>
      </c>
      <c r="BU1088" s="1"/>
      <c r="BV1088" s="1"/>
      <c r="BW1088" s="1"/>
    </row>
    <row r="1089" spans="1:75" customHeight="1" ht="12.75">
      <c r="A1089" s="1" t="s">
        <v>72</v>
      </c>
      <c r="B1089" s="1" t="s">
        <v>7012</v>
      </c>
      <c r="C1089" s="1"/>
      <c r="D1089" s="1"/>
      <c r="E1089" s="1"/>
      <c r="F1089" s="1" t="s">
        <v>7013</v>
      </c>
      <c r="G1089" s="1"/>
      <c r="H1089" s="1"/>
      <c r="I1089" s="1" t="s">
        <v>7014</v>
      </c>
      <c r="J1089" s="1" t="s">
        <v>95</v>
      </c>
      <c r="K1089" s="1"/>
      <c r="L1089" s="1"/>
      <c r="M1089" s="1"/>
      <c r="N1089" s="1"/>
      <c r="O1089" s="1"/>
      <c r="P1089" s="1"/>
      <c r="Q1089" s="1"/>
      <c r="R1089" s="1"/>
      <c r="S1089" s="1"/>
      <c r="T1089" s="1"/>
      <c r="U1089" s="1"/>
      <c r="V1089" s="1"/>
      <c r="W1089" s="1"/>
      <c r="X1089" s="1"/>
      <c r="Y1089" s="1"/>
      <c r="Z1089" s="1"/>
      <c r="AA1089" s="1" t="s">
        <v>7015</v>
      </c>
      <c r="AB1089" s="1" t="s">
        <v>7016</v>
      </c>
      <c r="AC1089" s="1"/>
      <c r="AD1089" s="1"/>
      <c r="AE1089" s="1"/>
      <c r="AF1089" s="1"/>
      <c r="AG1089" s="1"/>
      <c r="AH1089" s="1"/>
      <c r="AI1089" s="1"/>
      <c r="AJ1089" s="1"/>
      <c r="AK1089" s="1"/>
      <c r="AL1089" s="1"/>
      <c r="AM1089" s="1"/>
      <c r="AN1089" s="1"/>
      <c r="AO1089" s="1" t="s">
        <v>98</v>
      </c>
      <c r="AP1089" s="1" t="s">
        <v>99</v>
      </c>
      <c r="AQ1089" s="1"/>
      <c r="AR1089" s="1"/>
      <c r="AS1089" s="1"/>
      <c r="AT1089" s="1"/>
      <c r="AU1089" s="1">
        <v>2020</v>
      </c>
      <c r="AV1089" s="1"/>
      <c r="AW1089" s="1">
        <v>1</v>
      </c>
      <c r="AX1089" s="1"/>
      <c r="AY1089" s="1"/>
      <c r="AZ1089" s="1"/>
      <c r="BA1089" s="1"/>
      <c r="BB1089" s="1">
        <v>89</v>
      </c>
      <c r="BC1089" s="1">
        <v>96</v>
      </c>
      <c r="BD1089" s="1"/>
      <c r="BE1089" s="1" t="s">
        <v>7017</v>
      </c>
      <c r="BF1089" s="1" t="str">
        <f>HYPERLINK("http://dx.doi.org/10.25750/1995-4301-2020-1-089-096","http://dx.doi.org/10.25750/1995-4301-2020-1-089-096")</f>
        <v>http://dx.doi.org/10.25750/1995-4301-2020-1-089-096</v>
      </c>
      <c r="BG1089" s="1"/>
      <c r="BH1089" s="1"/>
      <c r="BI1089" s="1"/>
      <c r="BJ1089" s="1"/>
      <c r="BK1089" s="1"/>
      <c r="BL1089" s="1"/>
      <c r="BM1089" s="1"/>
      <c r="BN1089" s="1"/>
      <c r="BO1089" s="1"/>
      <c r="BP1089" s="1"/>
      <c r="BQ1089" s="1"/>
      <c r="BR1089" s="1"/>
      <c r="BS1089" s="1" t="s">
        <v>7018</v>
      </c>
      <c r="BT1089" s="1" t="str">
        <f>HYPERLINK("https%3A%2F%2Fwww.webofscience.com%2Fwos%2Fwoscc%2Ffull-record%2FWOS:000522789400013","View Full Record in Web of Science")</f>
        <v>View Full Record in Web of Science</v>
      </c>
      <c r="BU1089" s="1"/>
      <c r="BV1089" s="1"/>
      <c r="BW1089" s="1"/>
    </row>
    <row r="1090" spans="1:75" customHeight="1" ht="12.75">
      <c r="A1090" s="1" t="s">
        <v>72</v>
      </c>
      <c r="B1090" s="1" t="s">
        <v>7019</v>
      </c>
      <c r="C1090" s="1"/>
      <c r="D1090" s="1"/>
      <c r="E1090" s="1"/>
      <c r="F1090" s="1" t="s">
        <v>7020</v>
      </c>
      <c r="G1090" s="1"/>
      <c r="H1090" s="1"/>
      <c r="I1090" s="1" t="s">
        <v>7021</v>
      </c>
      <c r="J1090" s="1" t="s">
        <v>95</v>
      </c>
      <c r="K1090" s="1"/>
      <c r="L1090" s="1"/>
      <c r="M1090" s="1"/>
      <c r="N1090" s="1"/>
      <c r="O1090" s="1"/>
      <c r="P1090" s="1"/>
      <c r="Q1090" s="1"/>
      <c r="R1090" s="1"/>
      <c r="S1090" s="1"/>
      <c r="T1090" s="1"/>
      <c r="U1090" s="1"/>
      <c r="V1090" s="1"/>
      <c r="W1090" s="1"/>
      <c r="X1090" s="1"/>
      <c r="Y1090" s="1"/>
      <c r="Z1090" s="1"/>
      <c r="AA1090" s="1" t="s">
        <v>7022</v>
      </c>
      <c r="AB1090" s="1" t="s">
        <v>7023</v>
      </c>
      <c r="AC1090" s="1"/>
      <c r="AD1090" s="1"/>
      <c r="AE1090" s="1"/>
      <c r="AF1090" s="1"/>
      <c r="AG1090" s="1"/>
      <c r="AH1090" s="1"/>
      <c r="AI1090" s="1"/>
      <c r="AJ1090" s="1"/>
      <c r="AK1090" s="1"/>
      <c r="AL1090" s="1"/>
      <c r="AM1090" s="1"/>
      <c r="AN1090" s="1"/>
      <c r="AO1090" s="1" t="s">
        <v>98</v>
      </c>
      <c r="AP1090" s="1" t="s">
        <v>99</v>
      </c>
      <c r="AQ1090" s="1"/>
      <c r="AR1090" s="1"/>
      <c r="AS1090" s="1"/>
      <c r="AT1090" s="1"/>
      <c r="AU1090" s="1">
        <v>2019</v>
      </c>
      <c r="AV1090" s="1"/>
      <c r="AW1090" s="1">
        <v>3</v>
      </c>
      <c r="AX1090" s="1"/>
      <c r="AY1090" s="1"/>
      <c r="AZ1090" s="1"/>
      <c r="BA1090" s="1"/>
      <c r="BB1090" s="1">
        <v>34</v>
      </c>
      <c r="BC1090" s="1">
        <v>40</v>
      </c>
      <c r="BD1090" s="1"/>
      <c r="BE1090" s="1" t="s">
        <v>7024</v>
      </c>
      <c r="BF1090" s="1" t="str">
        <f>HYPERLINK("http://dx.doi.org/10.25750/1995-4301-2019-3-034-040","http://dx.doi.org/10.25750/1995-4301-2019-3-034-040")</f>
        <v>http://dx.doi.org/10.25750/1995-4301-2019-3-034-040</v>
      </c>
      <c r="BG1090" s="1"/>
      <c r="BH1090" s="1"/>
      <c r="BI1090" s="1"/>
      <c r="BJ1090" s="1"/>
      <c r="BK1090" s="1"/>
      <c r="BL1090" s="1"/>
      <c r="BM1090" s="1"/>
      <c r="BN1090" s="1"/>
      <c r="BO1090" s="1"/>
      <c r="BP1090" s="1"/>
      <c r="BQ1090" s="1"/>
      <c r="BR1090" s="1"/>
      <c r="BS1090" s="1" t="s">
        <v>7025</v>
      </c>
      <c r="BT1090" s="1" t="str">
        <f>HYPERLINK("https%3A%2F%2Fwww.webofscience.com%2Fwos%2Fwoscc%2Ffull-record%2FWOS:000490704900005","View Full Record in Web of Science")</f>
        <v>View Full Record in Web of Science</v>
      </c>
      <c r="BU1090" s="1"/>
      <c r="BV1090" s="1"/>
      <c r="BW1090" s="1"/>
    </row>
    <row r="1091" spans="1:75" customHeight="1" ht="12.75">
      <c r="A1091" s="1" t="s">
        <v>72</v>
      </c>
      <c r="B1091" s="1" t="s">
        <v>7026</v>
      </c>
      <c r="C1091" s="1"/>
      <c r="D1091" s="1"/>
      <c r="E1091" s="1"/>
      <c r="F1091" s="1" t="s">
        <v>7027</v>
      </c>
      <c r="G1091" s="1"/>
      <c r="H1091" s="1"/>
      <c r="I1091" s="1" t="s">
        <v>7028</v>
      </c>
      <c r="J1091" s="1" t="s">
        <v>7029</v>
      </c>
      <c r="K1091" s="1"/>
      <c r="L1091" s="1"/>
      <c r="M1091" s="1"/>
      <c r="N1091" s="1"/>
      <c r="O1091" s="1"/>
      <c r="P1091" s="1"/>
      <c r="Q1091" s="1"/>
      <c r="R1091" s="1"/>
      <c r="S1091" s="1"/>
      <c r="T1091" s="1"/>
      <c r="U1091" s="1"/>
      <c r="V1091" s="1"/>
      <c r="W1091" s="1"/>
      <c r="X1091" s="1"/>
      <c r="Y1091" s="1"/>
      <c r="Z1091" s="1"/>
      <c r="AA1091" s="1"/>
      <c r="AB1091" s="1"/>
      <c r="AC1091" s="1"/>
      <c r="AD1091" s="1"/>
      <c r="AE1091" s="1"/>
      <c r="AF1091" s="1"/>
      <c r="AG1091" s="1"/>
      <c r="AH1091" s="1"/>
      <c r="AI1091" s="1"/>
      <c r="AJ1091" s="1"/>
      <c r="AK1091" s="1"/>
      <c r="AL1091" s="1"/>
      <c r="AM1091" s="1"/>
      <c r="AN1091" s="1"/>
      <c r="AO1091" s="1" t="s">
        <v>7030</v>
      </c>
      <c r="AP1091" s="1" t="s">
        <v>7031</v>
      </c>
      <c r="AQ1091" s="1"/>
      <c r="AR1091" s="1"/>
      <c r="AS1091" s="1"/>
      <c r="AT1091" s="1" t="s">
        <v>655</v>
      </c>
      <c r="AU1091" s="1">
        <v>2013</v>
      </c>
      <c r="AV1091" s="1">
        <v>74</v>
      </c>
      <c r="AW1091" s="1">
        <v>2</v>
      </c>
      <c r="AX1091" s="1"/>
      <c r="AY1091" s="1"/>
      <c r="AZ1091" s="1"/>
      <c r="BA1091" s="1"/>
      <c r="BB1091" s="1">
        <v>240</v>
      </c>
      <c r="BC1091" s="1">
        <v>251</v>
      </c>
      <c r="BD1091" s="1"/>
      <c r="BE1091" s="1" t="s">
        <v>7032</v>
      </c>
      <c r="BF1091" s="1" t="str">
        <f>HYPERLINK("http://dx.doi.org/10.1134/S0005117913020069","http://dx.doi.org/10.1134/S0005117913020069")</f>
        <v>http://dx.doi.org/10.1134/S0005117913020069</v>
      </c>
      <c r="BG1091" s="1"/>
      <c r="BH1091" s="1"/>
      <c r="BI1091" s="1"/>
      <c r="BJ1091" s="1"/>
      <c r="BK1091" s="1"/>
      <c r="BL1091" s="1"/>
      <c r="BM1091" s="1"/>
      <c r="BN1091" s="1"/>
      <c r="BO1091" s="1"/>
      <c r="BP1091" s="1"/>
      <c r="BQ1091" s="1"/>
      <c r="BR1091" s="1"/>
      <c r="BS1091" s="1" t="s">
        <v>7033</v>
      </c>
      <c r="BT1091" s="1" t="str">
        <f>HYPERLINK("https%3A%2F%2Fwww.webofscience.com%2Fwos%2Fwoscc%2Ffull-record%2FWOS:000315199600006","View Full Record in Web of Science")</f>
        <v>View Full Record in Web of Science</v>
      </c>
      <c r="BU1091" s="1"/>
      <c r="BV1091" s="1"/>
      <c r="BW1091" s="1"/>
    </row>
    <row r="1092" spans="1:75" customHeight="1" ht="12.75">
      <c r="A1092" s="1" t="s">
        <v>72</v>
      </c>
      <c r="B1092" s="1" t="s">
        <v>7034</v>
      </c>
      <c r="C1092" s="1"/>
      <c r="D1092" s="1"/>
      <c r="E1092" s="1"/>
      <c r="F1092" s="1" t="s">
        <v>7035</v>
      </c>
      <c r="G1092" s="1"/>
      <c r="H1092" s="1"/>
      <c r="I1092" s="1" t="s">
        <v>7036</v>
      </c>
      <c r="J1092" s="1" t="s">
        <v>6538</v>
      </c>
      <c r="K1092" s="1"/>
      <c r="L1092" s="1"/>
      <c r="M1092" s="1"/>
      <c r="N1092" s="1"/>
      <c r="O1092" s="1"/>
      <c r="P1092" s="1"/>
      <c r="Q1092" s="1"/>
      <c r="R1092" s="1"/>
      <c r="S1092" s="1"/>
      <c r="T1092" s="1"/>
      <c r="U1092" s="1"/>
      <c r="V1092" s="1"/>
      <c r="W1092" s="1"/>
      <c r="X1092" s="1"/>
      <c r="Y1092" s="1"/>
      <c r="Z1092" s="1"/>
      <c r="AA1092" s="1"/>
      <c r="AB1092" s="1" t="s">
        <v>7037</v>
      </c>
      <c r="AC1092" s="1"/>
      <c r="AD1092" s="1"/>
      <c r="AE1092" s="1"/>
      <c r="AF1092" s="1"/>
      <c r="AG1092" s="1"/>
      <c r="AH1092" s="1"/>
      <c r="AI1092" s="1"/>
      <c r="AJ1092" s="1"/>
      <c r="AK1092" s="1"/>
      <c r="AL1092" s="1"/>
      <c r="AM1092" s="1"/>
      <c r="AN1092" s="1"/>
      <c r="AO1092" s="1" t="s">
        <v>6541</v>
      </c>
      <c r="AP1092" s="1" t="s">
        <v>6542</v>
      </c>
      <c r="AQ1092" s="1"/>
      <c r="AR1092" s="1"/>
      <c r="AS1092" s="1"/>
      <c r="AT1092" s="1"/>
      <c r="AU1092" s="1">
        <v>2021</v>
      </c>
      <c r="AV1092" s="1">
        <v>7</v>
      </c>
      <c r="AW1092" s="1"/>
      <c r="AX1092" s="1"/>
      <c r="AY1092" s="1"/>
      <c r="AZ1092" s="1">
        <v>4</v>
      </c>
      <c r="BA1092" s="1"/>
      <c r="BB1092" s="1"/>
      <c r="BC1092" s="1"/>
      <c r="BD1092" s="1" t="s">
        <v>7038</v>
      </c>
      <c r="BE1092" s="1"/>
      <c r="BF1092" s="1"/>
      <c r="BG1092" s="1"/>
      <c r="BH1092" s="1"/>
      <c r="BI1092" s="1"/>
      <c r="BJ1092" s="1"/>
      <c r="BK1092" s="1"/>
      <c r="BL1092" s="1"/>
      <c r="BM1092" s="1"/>
      <c r="BN1092" s="1"/>
      <c r="BO1092" s="1"/>
      <c r="BP1092" s="1"/>
      <c r="BQ1092" s="1"/>
      <c r="BR1092" s="1"/>
      <c r="BS1092" s="1" t="s">
        <v>7039</v>
      </c>
      <c r="BT1092" s="1" t="str">
        <f>HYPERLINK("https%3A%2F%2Fwww.webofscience.com%2Fwos%2Fwoscc%2Ffull-record%2FWOS:000717948200021","View Full Record in Web of Science")</f>
        <v>View Full Record in Web of Science</v>
      </c>
      <c r="BU1092" s="1"/>
      <c r="BV1092" s="1"/>
      <c r="BW1092" s="1"/>
    </row>
    <row r="1093" spans="1:75" customHeight="1" ht="12.75">
      <c r="A1093" s="1" t="s">
        <v>72</v>
      </c>
      <c r="B1093" s="1" t="s">
        <v>6837</v>
      </c>
      <c r="C1093" s="1"/>
      <c r="D1093" s="1"/>
      <c r="E1093" s="1"/>
      <c r="F1093" s="1" t="s">
        <v>6838</v>
      </c>
      <c r="G1093" s="1"/>
      <c r="H1093" s="1"/>
      <c r="I1093" s="1" t="s">
        <v>7040</v>
      </c>
      <c r="J1093" s="1" t="s">
        <v>6963</v>
      </c>
      <c r="K1093" s="1"/>
      <c r="L1093" s="1"/>
      <c r="M1093" s="1"/>
      <c r="N1093" s="1"/>
      <c r="O1093" s="1"/>
      <c r="P1093" s="1"/>
      <c r="Q1093" s="1"/>
      <c r="R1093" s="1"/>
      <c r="S1093" s="1"/>
      <c r="T1093" s="1"/>
      <c r="U1093" s="1"/>
      <c r="V1093" s="1"/>
      <c r="W1093" s="1"/>
      <c r="X1093" s="1"/>
      <c r="Y1093" s="1"/>
      <c r="Z1093" s="1"/>
      <c r="AA1093" s="1" t="s">
        <v>6058</v>
      </c>
      <c r="AB1093" s="1" t="s">
        <v>7041</v>
      </c>
      <c r="AC1093" s="1"/>
      <c r="AD1093" s="1"/>
      <c r="AE1093" s="1"/>
      <c r="AF1093" s="1"/>
      <c r="AG1093" s="1"/>
      <c r="AH1093" s="1"/>
      <c r="AI1093" s="1"/>
      <c r="AJ1093" s="1"/>
      <c r="AK1093" s="1"/>
      <c r="AL1093" s="1"/>
      <c r="AM1093" s="1"/>
      <c r="AN1093" s="1"/>
      <c r="AO1093" s="1" t="s">
        <v>6964</v>
      </c>
      <c r="AP1093" s="1" t="s">
        <v>6965</v>
      </c>
      <c r="AQ1093" s="1"/>
      <c r="AR1093" s="1"/>
      <c r="AS1093" s="1"/>
      <c r="AT1093" s="1" t="s">
        <v>88</v>
      </c>
      <c r="AU1093" s="1">
        <v>2018</v>
      </c>
      <c r="AV1093" s="1">
        <v>59</v>
      </c>
      <c r="AW1093" s="1">
        <v>3</v>
      </c>
      <c r="AX1093" s="1"/>
      <c r="AY1093" s="1"/>
      <c r="AZ1093" s="1"/>
      <c r="BA1093" s="1"/>
      <c r="BB1093" s="1">
        <v>519</v>
      </c>
      <c r="BC1093" s="1">
        <v>530</v>
      </c>
      <c r="BD1093" s="1"/>
      <c r="BE1093" s="1" t="s">
        <v>7042</v>
      </c>
      <c r="BF1093" s="1" t="str">
        <f>HYPERLINK("http://dx.doi.org/10.1134/S0021894418030173","http://dx.doi.org/10.1134/S0021894418030173")</f>
        <v>http://dx.doi.org/10.1134/S0021894418030173</v>
      </c>
      <c r="BG1093" s="1"/>
      <c r="BH1093" s="1"/>
      <c r="BI1093" s="1"/>
      <c r="BJ1093" s="1"/>
      <c r="BK1093" s="1"/>
      <c r="BL1093" s="1"/>
      <c r="BM1093" s="1"/>
      <c r="BN1093" s="1"/>
      <c r="BO1093" s="1"/>
      <c r="BP1093" s="1"/>
      <c r="BQ1093" s="1"/>
      <c r="BR1093" s="1"/>
      <c r="BS1093" s="1" t="s">
        <v>7043</v>
      </c>
      <c r="BT1093" s="1" t="str">
        <f>HYPERLINK("https%3A%2F%2Fwww.webofscience.com%2Fwos%2Fwoscc%2Ffull-record%2FWOS:000437448600017","View Full Record in Web of Science")</f>
        <v>View Full Record in Web of Science</v>
      </c>
      <c r="BU1093" s="1"/>
      <c r="BV1093" s="1"/>
      <c r="BW1093" s="1"/>
    </row>
    <row r="1094" spans="1:75" customHeight="1" ht="12.75">
      <c r="A1094" s="1" t="s">
        <v>147</v>
      </c>
      <c r="B1094" s="1" t="s">
        <v>7044</v>
      </c>
      <c r="C1094" s="1"/>
      <c r="D1094" s="1" t="s">
        <v>1876</v>
      </c>
      <c r="E1094" s="1"/>
      <c r="F1094" s="1" t="s">
        <v>7045</v>
      </c>
      <c r="G1094" s="1"/>
      <c r="H1094" s="1"/>
      <c r="I1094" s="1" t="s">
        <v>7046</v>
      </c>
      <c r="J1094" s="1" t="s">
        <v>1879</v>
      </c>
      <c r="K1094" s="1" t="s">
        <v>1276</v>
      </c>
      <c r="L1094" s="1"/>
      <c r="M1094" s="1"/>
      <c r="N1094" s="1"/>
      <c r="O1094" s="1" t="s">
        <v>1880</v>
      </c>
      <c r="P1094" s="1" t="s">
        <v>1881</v>
      </c>
      <c r="Q1094" s="1" t="s">
        <v>1882</v>
      </c>
      <c r="R1094" s="1" t="s">
        <v>1883</v>
      </c>
      <c r="S1094" s="1" t="s">
        <v>1884</v>
      </c>
      <c r="T1094" s="1"/>
      <c r="U1094" s="1"/>
      <c r="V1094" s="1"/>
      <c r="W1094" s="1"/>
      <c r="X1094" s="1"/>
      <c r="Y1094" s="1"/>
      <c r="Z1094" s="1"/>
      <c r="AA1094" s="1"/>
      <c r="AB1094" s="1"/>
      <c r="AC1094" s="1"/>
      <c r="AD1094" s="1"/>
      <c r="AE1094" s="1"/>
      <c r="AF1094" s="1"/>
      <c r="AG1094" s="1"/>
      <c r="AH1094" s="1"/>
      <c r="AI1094" s="1"/>
      <c r="AJ1094" s="1"/>
      <c r="AK1094" s="1"/>
      <c r="AL1094" s="1"/>
      <c r="AM1094" s="1"/>
      <c r="AN1094" s="1"/>
      <c r="AO1094" s="1" t="s">
        <v>1282</v>
      </c>
      <c r="AP1094" s="1"/>
      <c r="AQ1094" s="1"/>
      <c r="AR1094" s="1"/>
      <c r="AS1094" s="1"/>
      <c r="AT1094" s="1"/>
      <c r="AU1094" s="1">
        <v>2017</v>
      </c>
      <c r="AV1094" s="1">
        <v>106</v>
      </c>
      <c r="AW1094" s="1"/>
      <c r="AX1094" s="1"/>
      <c r="AY1094" s="1"/>
      <c r="AZ1094" s="1"/>
      <c r="BA1094" s="1"/>
      <c r="BB1094" s="1"/>
      <c r="BC1094" s="1"/>
      <c r="BD1094" s="1">
        <v>8075</v>
      </c>
      <c r="BE1094" s="1" t="s">
        <v>7047</v>
      </c>
      <c r="BF1094" s="1" t="str">
        <f>HYPERLINK("http://dx.doi.org/10.1051/matecconf/201710608075","http://dx.doi.org/10.1051/matecconf/201710608075")</f>
        <v>http://dx.doi.org/10.1051/matecconf/201710608075</v>
      </c>
      <c r="BG1094" s="1"/>
      <c r="BH1094" s="1"/>
      <c r="BI1094" s="1"/>
      <c r="BJ1094" s="1"/>
      <c r="BK1094" s="1"/>
      <c r="BL1094" s="1"/>
      <c r="BM1094" s="1"/>
      <c r="BN1094" s="1"/>
      <c r="BO1094" s="1"/>
      <c r="BP1094" s="1"/>
      <c r="BQ1094" s="1"/>
      <c r="BR1094" s="1"/>
      <c r="BS1094" s="1" t="s">
        <v>7048</v>
      </c>
      <c r="BT1094" s="1" t="str">
        <f>HYPERLINK("https%3A%2F%2Fwww.webofscience.com%2Fwos%2Fwoscc%2Ffull-record%2FWOS:000426426600260","View Full Record in Web of Science")</f>
        <v>View Full Record in Web of Science</v>
      </c>
      <c r="BU1094" s="1"/>
      <c r="BV1094" s="1"/>
      <c r="BW1094" s="1"/>
    </row>
    <row r="1095" spans="1:75" customHeight="1" ht="12.75">
      <c r="A1095" s="1" t="s">
        <v>72</v>
      </c>
      <c r="B1095" s="1" t="s">
        <v>7049</v>
      </c>
      <c r="C1095" s="1"/>
      <c r="D1095" s="1"/>
      <c r="E1095" s="1"/>
      <c r="F1095" s="1" t="s">
        <v>7050</v>
      </c>
      <c r="G1095" s="1"/>
      <c r="H1095" s="1"/>
      <c r="I1095" s="1" t="s">
        <v>7051</v>
      </c>
      <c r="J1095" s="1" t="s">
        <v>6600</v>
      </c>
      <c r="K1095" s="1"/>
      <c r="L1095" s="1"/>
      <c r="M1095" s="1"/>
      <c r="N1095" s="1"/>
      <c r="O1095" s="1"/>
      <c r="P1095" s="1"/>
      <c r="Q1095" s="1"/>
      <c r="R1095" s="1"/>
      <c r="S1095" s="1"/>
      <c r="T1095" s="1"/>
      <c r="U1095" s="1"/>
      <c r="V1095" s="1"/>
      <c r="W1095" s="1"/>
      <c r="X1095" s="1"/>
      <c r="Y1095" s="1"/>
      <c r="Z1095" s="1"/>
      <c r="AA1095" s="1" t="s">
        <v>7052</v>
      </c>
      <c r="AB1095" s="1" t="s">
        <v>7053</v>
      </c>
      <c r="AC1095" s="1"/>
      <c r="AD1095" s="1"/>
      <c r="AE1095" s="1"/>
      <c r="AF1095" s="1"/>
      <c r="AG1095" s="1"/>
      <c r="AH1095" s="1"/>
      <c r="AI1095" s="1"/>
      <c r="AJ1095" s="1"/>
      <c r="AK1095" s="1"/>
      <c r="AL1095" s="1"/>
      <c r="AM1095" s="1"/>
      <c r="AN1095" s="1"/>
      <c r="AO1095" s="1" t="s">
        <v>6603</v>
      </c>
      <c r="AP1095" s="1" t="s">
        <v>6604</v>
      </c>
      <c r="AQ1095" s="1"/>
      <c r="AR1095" s="1"/>
      <c r="AS1095" s="1"/>
      <c r="AT1095" s="1" t="s">
        <v>3477</v>
      </c>
      <c r="AU1095" s="1">
        <v>2022</v>
      </c>
      <c r="AV1095" s="1">
        <v>12</v>
      </c>
      <c r="AW1095" s="1">
        <v>6</v>
      </c>
      <c r="AX1095" s="1"/>
      <c r="AY1095" s="1"/>
      <c r="AZ1095" s="1"/>
      <c r="BA1095" s="1"/>
      <c r="BB1095" s="1">
        <v>1163</v>
      </c>
      <c r="BC1095" s="1">
        <v>1168</v>
      </c>
      <c r="BD1095" s="1"/>
      <c r="BE1095" s="1" t="s">
        <v>7054</v>
      </c>
      <c r="BF1095" s="1" t="str">
        <f>HYPERLINK("http://dx.doi.org/10.15789/2220-7619-IAO-2007","http://dx.doi.org/10.15789/2220-7619-IAO-2007")</f>
        <v>http://dx.doi.org/10.15789/2220-7619-IAO-2007</v>
      </c>
      <c r="BG1095" s="1"/>
      <c r="BH1095" s="1"/>
      <c r="BI1095" s="1"/>
      <c r="BJ1095" s="1"/>
      <c r="BK1095" s="1"/>
      <c r="BL1095" s="1"/>
      <c r="BM1095" s="1"/>
      <c r="BN1095" s="1"/>
      <c r="BO1095" s="1"/>
      <c r="BP1095" s="1"/>
      <c r="BQ1095" s="1"/>
      <c r="BR1095" s="1"/>
      <c r="BS1095" s="1" t="s">
        <v>7055</v>
      </c>
      <c r="BT1095" s="1" t="str">
        <f>HYPERLINK("https%3A%2F%2Fwww.webofscience.com%2Fwos%2Fwoscc%2Ffull-record%2FWOS:000921018100018","View Full Record in Web of Science")</f>
        <v>View Full Record in Web of Science</v>
      </c>
      <c r="BU1095" s="1"/>
      <c r="BV1095" s="1"/>
      <c r="BW1095" s="1"/>
    </row>
    <row r="1096" spans="1:75" customHeight="1" ht="12.75">
      <c r="A1096" s="1" t="s">
        <v>72</v>
      </c>
      <c r="B1096" s="1" t="s">
        <v>6837</v>
      </c>
      <c r="C1096" s="1"/>
      <c r="D1096" s="1"/>
      <c r="E1096" s="1"/>
      <c r="F1096" s="1" t="s">
        <v>6838</v>
      </c>
      <c r="G1096" s="1"/>
      <c r="H1096" s="1"/>
      <c r="I1096" s="1" t="s">
        <v>7056</v>
      </c>
      <c r="J1096" s="1" t="s">
        <v>5436</v>
      </c>
      <c r="K1096" s="1"/>
      <c r="L1096" s="1"/>
      <c r="M1096" s="1"/>
      <c r="N1096" s="1"/>
      <c r="O1096" s="1"/>
      <c r="P1096" s="1"/>
      <c r="Q1096" s="1"/>
      <c r="R1096" s="1"/>
      <c r="S1096" s="1"/>
      <c r="T1096" s="1"/>
      <c r="U1096" s="1"/>
      <c r="V1096" s="1"/>
      <c r="W1096" s="1"/>
      <c r="X1096" s="1"/>
      <c r="Y1096" s="1"/>
      <c r="Z1096" s="1"/>
      <c r="AA1096" s="1" t="s">
        <v>6058</v>
      </c>
      <c r="AB1096" s="1" t="s">
        <v>7057</v>
      </c>
      <c r="AC1096" s="1"/>
      <c r="AD1096" s="1"/>
      <c r="AE1096" s="1"/>
      <c r="AF1096" s="1"/>
      <c r="AG1096" s="1"/>
      <c r="AH1096" s="1"/>
      <c r="AI1096" s="1"/>
      <c r="AJ1096" s="1"/>
      <c r="AK1096" s="1"/>
      <c r="AL1096" s="1"/>
      <c r="AM1096" s="1"/>
      <c r="AN1096" s="1"/>
      <c r="AO1096" s="1" t="s">
        <v>5439</v>
      </c>
      <c r="AP1096" s="1" t="s">
        <v>5440</v>
      </c>
      <c r="AQ1096" s="1"/>
      <c r="AR1096" s="1"/>
      <c r="AS1096" s="1"/>
      <c r="AT1096" s="1" t="s">
        <v>830</v>
      </c>
      <c r="AU1096" s="1">
        <v>2017</v>
      </c>
      <c r="AV1096" s="1">
        <v>53</v>
      </c>
      <c r="AW1096" s="1">
        <v>4</v>
      </c>
      <c r="AX1096" s="1"/>
      <c r="AY1096" s="1"/>
      <c r="AZ1096" s="1"/>
      <c r="BA1096" s="1"/>
      <c r="BB1096" s="1">
        <v>425</v>
      </c>
      <c r="BC1096" s="1">
        <v>440</v>
      </c>
      <c r="BD1096" s="1"/>
      <c r="BE1096" s="1" t="s">
        <v>7058</v>
      </c>
      <c r="BF1096" s="1" t="str">
        <f>HYPERLINK("http://dx.doi.org/10.1007/s11029-017-9673-9","http://dx.doi.org/10.1007/s11029-017-9673-9")</f>
        <v>http://dx.doi.org/10.1007/s11029-017-9673-9</v>
      </c>
      <c r="BG1096" s="1"/>
      <c r="BH1096" s="1"/>
      <c r="BI1096" s="1"/>
      <c r="BJ1096" s="1"/>
      <c r="BK1096" s="1"/>
      <c r="BL1096" s="1"/>
      <c r="BM1096" s="1"/>
      <c r="BN1096" s="1"/>
      <c r="BO1096" s="1"/>
      <c r="BP1096" s="1"/>
      <c r="BQ1096" s="1"/>
      <c r="BR1096" s="1"/>
      <c r="BS1096" s="1" t="s">
        <v>7059</v>
      </c>
      <c r="BT1096" s="1" t="str">
        <f>HYPERLINK("https%3A%2F%2Fwww.webofscience.com%2Fwos%2Fwoscc%2Ffull-record%2FWOS:000410474000001","View Full Record in Web of Science")</f>
        <v>View Full Record in Web of Science</v>
      </c>
      <c r="BU1096" s="1"/>
      <c r="BV1096" s="1"/>
      <c r="BW1096" s="1"/>
    </row>
    <row r="1097" spans="1:75" customHeight="1" ht="12.75">
      <c r="A1097" s="1" t="s">
        <v>72</v>
      </c>
      <c r="B1097" s="1" t="s">
        <v>7060</v>
      </c>
      <c r="C1097" s="1"/>
      <c r="D1097" s="1"/>
      <c r="E1097" s="1"/>
      <c r="F1097" s="1" t="s">
        <v>7061</v>
      </c>
      <c r="G1097" s="1"/>
      <c r="H1097" s="1"/>
      <c r="I1097" s="1" t="s">
        <v>7062</v>
      </c>
      <c r="J1097" s="1" t="s">
        <v>7063</v>
      </c>
      <c r="K1097" s="1"/>
      <c r="L1097" s="1"/>
      <c r="M1097" s="1"/>
      <c r="N1097" s="1"/>
      <c r="O1097" s="1"/>
      <c r="P1097" s="1"/>
      <c r="Q1097" s="1"/>
      <c r="R1097" s="1"/>
      <c r="S1097" s="1"/>
      <c r="T1097" s="1"/>
      <c r="U1097" s="1"/>
      <c r="V1097" s="1"/>
      <c r="W1097" s="1"/>
      <c r="X1097" s="1"/>
      <c r="Y1097" s="1"/>
      <c r="Z1097" s="1"/>
      <c r="AA1097" s="1" t="s">
        <v>6847</v>
      </c>
      <c r="AB1097" s="1" t="s">
        <v>7064</v>
      </c>
      <c r="AC1097" s="1"/>
      <c r="AD1097" s="1"/>
      <c r="AE1097" s="1"/>
      <c r="AF1097" s="1"/>
      <c r="AG1097" s="1"/>
      <c r="AH1097" s="1"/>
      <c r="AI1097" s="1"/>
      <c r="AJ1097" s="1"/>
      <c r="AK1097" s="1"/>
      <c r="AL1097" s="1"/>
      <c r="AM1097" s="1"/>
      <c r="AN1097" s="1"/>
      <c r="AO1097" s="1" t="s">
        <v>7065</v>
      </c>
      <c r="AP1097" s="1" t="s">
        <v>7066</v>
      </c>
      <c r="AQ1097" s="1"/>
      <c r="AR1097" s="1"/>
      <c r="AS1097" s="1"/>
      <c r="AT1097" s="1" t="s">
        <v>1173</v>
      </c>
      <c r="AU1097" s="1">
        <v>2022</v>
      </c>
      <c r="AV1097" s="1">
        <v>76</v>
      </c>
      <c r="AW1097" s="1">
        <v>8</v>
      </c>
      <c r="AX1097" s="1"/>
      <c r="AY1097" s="1"/>
      <c r="AZ1097" s="1"/>
      <c r="BA1097" s="1"/>
      <c r="BB1097" s="1">
        <v>5033</v>
      </c>
      <c r="BC1097" s="1">
        <v>5042</v>
      </c>
      <c r="BD1097" s="1"/>
      <c r="BE1097" s="1" t="s">
        <v>7067</v>
      </c>
      <c r="BF1097" s="1" t="str">
        <f>HYPERLINK("http://dx.doi.org/10.1007/s11696-022-02234-9","http://dx.doi.org/10.1007/s11696-022-02234-9")</f>
        <v>http://dx.doi.org/10.1007/s11696-022-02234-9</v>
      </c>
      <c r="BG1097" s="1"/>
      <c r="BH1097" s="1" t="s">
        <v>4855</v>
      </c>
      <c r="BI1097" s="1"/>
      <c r="BJ1097" s="1"/>
      <c r="BK1097" s="1"/>
      <c r="BL1097" s="1"/>
      <c r="BM1097" s="1"/>
      <c r="BN1097" s="1"/>
      <c r="BO1097" s="1"/>
      <c r="BP1097" s="1"/>
      <c r="BQ1097" s="1"/>
      <c r="BR1097" s="1"/>
      <c r="BS1097" s="1" t="s">
        <v>7068</v>
      </c>
      <c r="BT1097" s="1" t="str">
        <f>HYPERLINK("https%3A%2F%2Fwww.webofscience.com%2Fwos%2Fwoscc%2Ffull-record%2FWOS:000790677400002","View Full Record in Web of Science")</f>
        <v>View Full Record in Web of Science</v>
      </c>
      <c r="BU1097" s="1"/>
      <c r="BV1097" s="1"/>
      <c r="BW1097" s="1"/>
    </row>
    <row r="1098" spans="1:75" customHeight="1" ht="12.75">
      <c r="A1098" s="1" t="s">
        <v>72</v>
      </c>
      <c r="B1098" s="1" t="s">
        <v>7069</v>
      </c>
      <c r="C1098" s="1"/>
      <c r="D1098" s="1"/>
      <c r="E1098" s="1"/>
      <c r="F1098" s="1" t="s">
        <v>7070</v>
      </c>
      <c r="G1098" s="1"/>
      <c r="H1098" s="1"/>
      <c r="I1098" s="1" t="s">
        <v>7071</v>
      </c>
      <c r="J1098" s="1" t="s">
        <v>95</v>
      </c>
      <c r="K1098" s="1"/>
      <c r="L1098" s="1"/>
      <c r="M1098" s="1"/>
      <c r="N1098" s="1"/>
      <c r="O1098" s="1"/>
      <c r="P1098" s="1"/>
      <c r="Q1098" s="1"/>
      <c r="R1098" s="1"/>
      <c r="S1098" s="1"/>
      <c r="T1098" s="1"/>
      <c r="U1098" s="1"/>
      <c r="V1098" s="1"/>
      <c r="W1098" s="1"/>
      <c r="X1098" s="1"/>
      <c r="Y1098" s="1"/>
      <c r="Z1098" s="1"/>
      <c r="AA1098" s="1" t="s">
        <v>7072</v>
      </c>
      <c r="AB1098" s="1" t="s">
        <v>7073</v>
      </c>
      <c r="AC1098" s="1"/>
      <c r="AD1098" s="1"/>
      <c r="AE1098" s="1"/>
      <c r="AF1098" s="1"/>
      <c r="AG1098" s="1"/>
      <c r="AH1098" s="1"/>
      <c r="AI1098" s="1"/>
      <c r="AJ1098" s="1"/>
      <c r="AK1098" s="1"/>
      <c r="AL1098" s="1"/>
      <c r="AM1098" s="1"/>
      <c r="AN1098" s="1"/>
      <c r="AO1098" s="1" t="s">
        <v>98</v>
      </c>
      <c r="AP1098" s="1" t="s">
        <v>99</v>
      </c>
      <c r="AQ1098" s="1"/>
      <c r="AR1098" s="1"/>
      <c r="AS1098" s="1"/>
      <c r="AT1098" s="1"/>
      <c r="AU1098" s="1">
        <v>2020</v>
      </c>
      <c r="AV1098" s="1"/>
      <c r="AW1098" s="1">
        <v>2</v>
      </c>
      <c r="AX1098" s="1"/>
      <c r="AY1098" s="1"/>
      <c r="AZ1098" s="1"/>
      <c r="BA1098" s="1"/>
      <c r="BB1098" s="1">
        <v>117</v>
      </c>
      <c r="BC1098" s="1">
        <v>122</v>
      </c>
      <c r="BD1098" s="1"/>
      <c r="BE1098" s="1" t="s">
        <v>7074</v>
      </c>
      <c r="BF1098" s="1" t="str">
        <f>HYPERLINK("http://dx.doi.org/10.25750/1995-4301-2020-2-117-122","http://dx.doi.org/10.25750/1995-4301-2020-2-117-122")</f>
        <v>http://dx.doi.org/10.25750/1995-4301-2020-2-117-122</v>
      </c>
      <c r="BG1098" s="1"/>
      <c r="BH1098" s="1"/>
      <c r="BI1098" s="1"/>
      <c r="BJ1098" s="1"/>
      <c r="BK1098" s="1"/>
      <c r="BL1098" s="1"/>
      <c r="BM1098" s="1"/>
      <c r="BN1098" s="1"/>
      <c r="BO1098" s="1"/>
      <c r="BP1098" s="1"/>
      <c r="BQ1098" s="1"/>
      <c r="BR1098" s="1"/>
      <c r="BS1098" s="1" t="s">
        <v>7075</v>
      </c>
      <c r="BT1098" s="1" t="str">
        <f>HYPERLINK("https%3A%2F%2Fwww.webofscience.com%2Fwos%2Fwoscc%2Ffull-record%2FWOS:000545295600016","View Full Record in Web of Science")</f>
        <v>View Full Record in Web of Science</v>
      </c>
      <c r="BU1098" s="1"/>
      <c r="BV1098" s="1"/>
      <c r="BW1098" s="1"/>
    </row>
    <row r="1099" spans="1:75" customHeight="1" ht="12.75">
      <c r="A1099" s="1" t="s">
        <v>72</v>
      </c>
      <c r="B1099" s="1" t="s">
        <v>7076</v>
      </c>
      <c r="C1099" s="1"/>
      <c r="D1099" s="1"/>
      <c r="E1099" s="1"/>
      <c r="F1099" s="1" t="s">
        <v>7077</v>
      </c>
      <c r="G1099" s="1"/>
      <c r="H1099" s="1"/>
      <c r="I1099" s="1" t="s">
        <v>7078</v>
      </c>
      <c r="J1099" s="1" t="s">
        <v>7079</v>
      </c>
      <c r="K1099" s="1"/>
      <c r="L1099" s="1"/>
      <c r="M1099" s="1"/>
      <c r="N1099" s="1"/>
      <c r="O1099" s="1"/>
      <c r="P1099" s="1"/>
      <c r="Q1099" s="1"/>
      <c r="R1099" s="1"/>
      <c r="S1099" s="1"/>
      <c r="T1099" s="1"/>
      <c r="U1099" s="1"/>
      <c r="V1099" s="1"/>
      <c r="W1099" s="1"/>
      <c r="X1099" s="1"/>
      <c r="Y1099" s="1"/>
      <c r="Z1099" s="1"/>
      <c r="AA1099" s="1" t="s">
        <v>7080</v>
      </c>
      <c r="AB1099" s="1" t="s">
        <v>7081</v>
      </c>
      <c r="AC1099" s="1"/>
      <c r="AD1099" s="1"/>
      <c r="AE1099" s="1"/>
      <c r="AF1099" s="1"/>
      <c r="AG1099" s="1"/>
      <c r="AH1099" s="1"/>
      <c r="AI1099" s="1"/>
      <c r="AJ1099" s="1"/>
      <c r="AK1099" s="1"/>
      <c r="AL1099" s="1"/>
      <c r="AM1099" s="1"/>
      <c r="AN1099" s="1"/>
      <c r="AO1099" s="1" t="s">
        <v>7082</v>
      </c>
      <c r="AP1099" s="1" t="s">
        <v>7083</v>
      </c>
      <c r="AQ1099" s="1"/>
      <c r="AR1099" s="1"/>
      <c r="AS1099" s="1"/>
      <c r="AT1099" s="1" t="s">
        <v>830</v>
      </c>
      <c r="AU1099" s="1">
        <v>2019</v>
      </c>
      <c r="AV1099" s="1">
        <v>107</v>
      </c>
      <c r="AW1099" s="1">
        <v>9</v>
      </c>
      <c r="AX1099" s="1"/>
      <c r="AY1099" s="1"/>
      <c r="AZ1099" s="1"/>
      <c r="BA1099" s="1"/>
      <c r="BB1099" s="1">
        <v>2088</v>
      </c>
      <c r="BC1099" s="1">
        <v>2098</v>
      </c>
      <c r="BD1099" s="1"/>
      <c r="BE1099" s="1" t="s">
        <v>7084</v>
      </c>
      <c r="BF1099" s="1" t="str">
        <f>HYPERLINK("http://dx.doi.org/10.1002/jbm.a.36721","http://dx.doi.org/10.1002/jbm.a.36721")</f>
        <v>http://dx.doi.org/10.1002/jbm.a.36721</v>
      </c>
      <c r="BG1099" s="1"/>
      <c r="BH1099" s="1"/>
      <c r="BI1099" s="1"/>
      <c r="BJ1099" s="1"/>
      <c r="BK1099" s="1"/>
      <c r="BL1099" s="1"/>
      <c r="BM1099" s="1"/>
      <c r="BN1099" s="1">
        <v>31087773</v>
      </c>
      <c r="BO1099" s="1"/>
      <c r="BP1099" s="1"/>
      <c r="BQ1099" s="1"/>
      <c r="BR1099" s="1"/>
      <c r="BS1099" s="1" t="s">
        <v>7085</v>
      </c>
      <c r="BT1099" s="1" t="str">
        <f>HYPERLINK("https%3A%2F%2Fwww.webofscience.com%2Fwos%2Fwoscc%2Ffull-record%2FWOS:000475476600021","View Full Record in Web of Science")</f>
        <v>View Full Record in Web of Science</v>
      </c>
      <c r="BU1099" s="1"/>
      <c r="BV1099" s="1"/>
      <c r="BW1099" s="1"/>
    </row>
    <row r="1100" spans="1:75" customHeight="1" ht="12.75">
      <c r="A1100" s="1" t="s">
        <v>1342</v>
      </c>
      <c r="B1100" s="1" t="s">
        <v>7086</v>
      </c>
      <c r="C1100" s="1"/>
      <c r="D1100" s="1" t="s">
        <v>7087</v>
      </c>
      <c r="E1100" s="1"/>
      <c r="F1100" s="1" t="s">
        <v>7088</v>
      </c>
      <c r="G1100" s="1"/>
      <c r="H1100" s="1"/>
      <c r="I1100" s="1" t="s">
        <v>7089</v>
      </c>
      <c r="J1100" s="1" t="s">
        <v>7090</v>
      </c>
      <c r="K1100" s="1" t="s">
        <v>4579</v>
      </c>
      <c r="L1100" s="1"/>
      <c r="M1100" s="1"/>
      <c r="N1100" s="1"/>
      <c r="O1100" s="1"/>
      <c r="P1100" s="1"/>
      <c r="Q1100" s="1"/>
      <c r="R1100" s="1"/>
      <c r="S1100" s="1"/>
      <c r="T1100" s="1"/>
      <c r="U1100" s="1"/>
      <c r="V1100" s="1"/>
      <c r="W1100" s="1"/>
      <c r="X1100" s="1"/>
      <c r="Y1100" s="1"/>
      <c r="Z1100" s="1"/>
      <c r="AA1100" s="1" t="s">
        <v>7091</v>
      </c>
      <c r="AB1100" s="1" t="s">
        <v>7092</v>
      </c>
      <c r="AC1100" s="1"/>
      <c r="AD1100" s="1"/>
      <c r="AE1100" s="1"/>
      <c r="AF1100" s="1"/>
      <c r="AG1100" s="1"/>
      <c r="AH1100" s="1"/>
      <c r="AI1100" s="1"/>
      <c r="AJ1100" s="1"/>
      <c r="AK1100" s="1"/>
      <c r="AL1100" s="1"/>
      <c r="AM1100" s="1"/>
      <c r="AN1100" s="1"/>
      <c r="AO1100" s="1" t="s">
        <v>4580</v>
      </c>
      <c r="AP1100" s="1" t="s">
        <v>4581</v>
      </c>
      <c r="AQ1100" s="1" t="s">
        <v>7093</v>
      </c>
      <c r="AR1100" s="1"/>
      <c r="AS1100" s="1"/>
      <c r="AT1100" s="1"/>
      <c r="AU1100" s="1">
        <v>2018</v>
      </c>
      <c r="AV1100" s="1">
        <v>135</v>
      </c>
      <c r="AW1100" s="1"/>
      <c r="AX1100" s="1"/>
      <c r="AY1100" s="1"/>
      <c r="AZ1100" s="1"/>
      <c r="BA1100" s="1"/>
      <c r="BB1100" s="1">
        <v>131</v>
      </c>
      <c r="BC1100" s="1">
        <v>137</v>
      </c>
      <c r="BD1100" s="1"/>
      <c r="BE1100" s="1" t="s">
        <v>7094</v>
      </c>
      <c r="BF1100" s="1" t="str">
        <f>HYPERLINK("http://dx.doi.org/10.1007/978-3-319-72613-7_11","http://dx.doi.org/10.1007/978-3-319-72613-7_11")</f>
        <v>http://dx.doi.org/10.1007/978-3-319-72613-7_11</v>
      </c>
      <c r="BG1100" s="1" t="s">
        <v>7095</v>
      </c>
      <c r="BH1100" s="1"/>
      <c r="BI1100" s="1"/>
      <c r="BJ1100" s="1"/>
      <c r="BK1100" s="1"/>
      <c r="BL1100" s="1"/>
      <c r="BM1100" s="1"/>
      <c r="BN1100" s="1"/>
      <c r="BO1100" s="1"/>
      <c r="BP1100" s="1"/>
      <c r="BQ1100" s="1"/>
      <c r="BR1100" s="1"/>
      <c r="BS1100" s="1" t="s">
        <v>7096</v>
      </c>
      <c r="BT1100" s="1" t="str">
        <f>HYPERLINK("https%3A%2F%2Fwww.webofscience.com%2Fwos%2Fwoscc%2Ffull-record%2FWOS:000554931000012","View Full Record in Web of Science")</f>
        <v>View Full Record in Web of Science</v>
      </c>
      <c r="BU1100" s="1"/>
      <c r="BV1100" s="1"/>
      <c r="BW1100" s="1"/>
    </row>
    <row r="1101" spans="1:75" customHeight="1" ht="12.75">
      <c r="A1101" s="1" t="s">
        <v>72</v>
      </c>
      <c r="B1101" s="1" t="s">
        <v>7097</v>
      </c>
      <c r="C1101" s="1"/>
      <c r="D1101" s="1"/>
      <c r="E1101" s="1"/>
      <c r="F1101" s="1" t="s">
        <v>7098</v>
      </c>
      <c r="G1101" s="1"/>
      <c r="H1101" s="1"/>
      <c r="I1101" s="1" t="s">
        <v>7099</v>
      </c>
      <c r="J1101" s="1" t="s">
        <v>7100</v>
      </c>
      <c r="K1101" s="1"/>
      <c r="L1101" s="1"/>
      <c r="M1101" s="1"/>
      <c r="N1101" s="1"/>
      <c r="O1101" s="1"/>
      <c r="P1101" s="1"/>
      <c r="Q1101" s="1"/>
      <c r="R1101" s="1"/>
      <c r="S1101" s="1"/>
      <c r="T1101" s="1"/>
      <c r="U1101" s="1"/>
      <c r="V1101" s="1"/>
      <c r="W1101" s="1"/>
      <c r="X1101" s="1"/>
      <c r="Y1101" s="1"/>
      <c r="Z1101" s="1"/>
      <c r="AA1101" s="1" t="s">
        <v>7101</v>
      </c>
      <c r="AB1101" s="1" t="s">
        <v>7102</v>
      </c>
      <c r="AC1101" s="1"/>
      <c r="AD1101" s="1"/>
      <c r="AE1101" s="1"/>
      <c r="AF1101" s="1"/>
      <c r="AG1101" s="1"/>
      <c r="AH1101" s="1"/>
      <c r="AI1101" s="1"/>
      <c r="AJ1101" s="1"/>
      <c r="AK1101" s="1"/>
      <c r="AL1101" s="1"/>
      <c r="AM1101" s="1"/>
      <c r="AN1101" s="1"/>
      <c r="AO1101" s="1" t="s">
        <v>7103</v>
      </c>
      <c r="AP1101" s="1" t="s">
        <v>7104</v>
      </c>
      <c r="AQ1101" s="1"/>
      <c r="AR1101" s="1"/>
      <c r="AS1101" s="1"/>
      <c r="AT1101" s="1" t="s">
        <v>7105</v>
      </c>
      <c r="AU1101" s="1">
        <v>2014</v>
      </c>
      <c r="AV1101" s="1">
        <v>103</v>
      </c>
      <c r="AW1101" s="1"/>
      <c r="AX1101" s="1"/>
      <c r="AY1101" s="1"/>
      <c r="AZ1101" s="1"/>
      <c r="BA1101" s="1"/>
      <c r="BB1101" s="1">
        <v>550</v>
      </c>
      <c r="BC1101" s="1">
        <v>557</v>
      </c>
      <c r="BD1101" s="1"/>
      <c r="BE1101" s="1" t="s">
        <v>7106</v>
      </c>
      <c r="BF1101" s="1" t="str">
        <f>HYPERLINK("http://dx.doi.org/10.1016/j.carbpol.2013.12.071","http://dx.doi.org/10.1016/j.carbpol.2013.12.071")</f>
        <v>http://dx.doi.org/10.1016/j.carbpol.2013.12.071</v>
      </c>
      <c r="BG1101" s="1"/>
      <c r="BH1101" s="1"/>
      <c r="BI1101" s="1"/>
      <c r="BJ1101" s="1"/>
      <c r="BK1101" s="1"/>
      <c r="BL1101" s="1"/>
      <c r="BM1101" s="1"/>
      <c r="BN1101" s="1">
        <v>24528765</v>
      </c>
      <c r="BO1101" s="1"/>
      <c r="BP1101" s="1"/>
      <c r="BQ1101" s="1"/>
      <c r="BR1101" s="1"/>
      <c r="BS1101" s="1" t="s">
        <v>7107</v>
      </c>
      <c r="BT1101" s="1" t="str">
        <f>HYPERLINK("https%3A%2F%2Fwww.webofscience.com%2Fwos%2Fwoscc%2Ffull-record%2FWOS:000332812600072","View Full Record in Web of Science")</f>
        <v>View Full Record in Web of Science</v>
      </c>
      <c r="BU1101" s="1"/>
      <c r="BV1101" s="1"/>
      <c r="BW1101" s="1"/>
    </row>
    <row r="1102" spans="1:75" customHeight="1" ht="12.75">
      <c r="A1102" s="1" t="s">
        <v>72</v>
      </c>
      <c r="B1102" s="1" t="s">
        <v>7108</v>
      </c>
      <c r="C1102" s="1"/>
      <c r="D1102" s="1"/>
      <c r="E1102" s="1"/>
      <c r="F1102" s="1" t="s">
        <v>7109</v>
      </c>
      <c r="G1102" s="1"/>
      <c r="H1102" s="1"/>
      <c r="I1102" s="1" t="s">
        <v>7110</v>
      </c>
      <c r="J1102" s="1" t="s">
        <v>95</v>
      </c>
      <c r="K1102" s="1"/>
      <c r="L1102" s="1"/>
      <c r="M1102" s="1"/>
      <c r="N1102" s="1"/>
      <c r="O1102" s="1"/>
      <c r="P1102" s="1"/>
      <c r="Q1102" s="1"/>
      <c r="R1102" s="1"/>
      <c r="S1102" s="1"/>
      <c r="T1102" s="1"/>
      <c r="U1102" s="1"/>
      <c r="V1102" s="1"/>
      <c r="W1102" s="1"/>
      <c r="X1102" s="1"/>
      <c r="Y1102" s="1"/>
      <c r="Z1102" s="1"/>
      <c r="AA1102" s="1" t="s">
        <v>5529</v>
      </c>
      <c r="AB1102" s="1" t="s">
        <v>5530</v>
      </c>
      <c r="AC1102" s="1"/>
      <c r="AD1102" s="1"/>
      <c r="AE1102" s="1"/>
      <c r="AF1102" s="1"/>
      <c r="AG1102" s="1"/>
      <c r="AH1102" s="1"/>
      <c r="AI1102" s="1"/>
      <c r="AJ1102" s="1"/>
      <c r="AK1102" s="1"/>
      <c r="AL1102" s="1"/>
      <c r="AM1102" s="1"/>
      <c r="AN1102" s="1"/>
      <c r="AO1102" s="1" t="s">
        <v>98</v>
      </c>
      <c r="AP1102" s="1" t="s">
        <v>99</v>
      </c>
      <c r="AQ1102" s="1"/>
      <c r="AR1102" s="1"/>
      <c r="AS1102" s="1"/>
      <c r="AT1102" s="1"/>
      <c r="AU1102" s="1">
        <v>2022</v>
      </c>
      <c r="AV1102" s="1"/>
      <c r="AW1102" s="1">
        <v>1</v>
      </c>
      <c r="AX1102" s="1"/>
      <c r="AY1102" s="1"/>
      <c r="AZ1102" s="1"/>
      <c r="BA1102" s="1"/>
      <c r="BB1102" s="1">
        <v>84</v>
      </c>
      <c r="BC1102" s="1">
        <v>90</v>
      </c>
      <c r="BD1102" s="1"/>
      <c r="BE1102" s="1" t="s">
        <v>7111</v>
      </c>
      <c r="BF1102" s="1" t="str">
        <f>HYPERLINK("http://dx.doi.org/10.25750/1995-4301-2022-1-084-090","http://dx.doi.org/10.25750/1995-4301-2022-1-084-090")</f>
        <v>http://dx.doi.org/10.25750/1995-4301-2022-1-084-090</v>
      </c>
      <c r="BG1102" s="1"/>
      <c r="BH1102" s="1"/>
      <c r="BI1102" s="1"/>
      <c r="BJ1102" s="1"/>
      <c r="BK1102" s="1"/>
      <c r="BL1102" s="1"/>
      <c r="BM1102" s="1"/>
      <c r="BN1102" s="1"/>
      <c r="BO1102" s="1"/>
      <c r="BP1102" s="1"/>
      <c r="BQ1102" s="1"/>
      <c r="BR1102" s="1"/>
      <c r="BS1102" s="1" t="s">
        <v>7112</v>
      </c>
      <c r="BT1102" s="1" t="str">
        <f>HYPERLINK("https%3A%2F%2Fwww.webofscience.com%2Fwos%2Fwoscc%2Ffull-record%2FWOS:000819811100011","View Full Record in Web of Science")</f>
        <v>View Full Record in Web of Science</v>
      </c>
      <c r="BU1102" s="1"/>
      <c r="BV1102" s="1"/>
      <c r="BW1102" s="1"/>
    </row>
    <row r="1103" spans="1:75" customHeight="1" ht="12.75">
      <c r="A1103" s="1" t="s">
        <v>72</v>
      </c>
      <c r="B1103" s="1" t="s">
        <v>7113</v>
      </c>
      <c r="C1103" s="1"/>
      <c r="D1103" s="1"/>
      <c r="E1103" s="1"/>
      <c r="F1103" s="1" t="s">
        <v>7114</v>
      </c>
      <c r="G1103" s="1"/>
      <c r="H1103" s="1"/>
      <c r="I1103" s="1" t="s">
        <v>7115</v>
      </c>
      <c r="J1103" s="1" t="s">
        <v>716</v>
      </c>
      <c r="K1103" s="1"/>
      <c r="L1103" s="1"/>
      <c r="M1103" s="1"/>
      <c r="N1103" s="1"/>
      <c r="O1103" s="1"/>
      <c r="P1103" s="1"/>
      <c r="Q1103" s="1"/>
      <c r="R1103" s="1"/>
      <c r="S1103" s="1"/>
      <c r="T1103" s="1"/>
      <c r="U1103" s="1"/>
      <c r="V1103" s="1"/>
      <c r="W1103" s="1"/>
      <c r="X1103" s="1"/>
      <c r="Y1103" s="1"/>
      <c r="Z1103" s="1"/>
      <c r="AA1103" s="1" t="s">
        <v>7116</v>
      </c>
      <c r="AB1103" s="1" t="s">
        <v>7117</v>
      </c>
      <c r="AC1103" s="1"/>
      <c r="AD1103" s="1"/>
      <c r="AE1103" s="1"/>
      <c r="AF1103" s="1"/>
      <c r="AG1103" s="1"/>
      <c r="AH1103" s="1"/>
      <c r="AI1103" s="1"/>
      <c r="AJ1103" s="1"/>
      <c r="AK1103" s="1"/>
      <c r="AL1103" s="1"/>
      <c r="AM1103" s="1"/>
      <c r="AN1103" s="1"/>
      <c r="AO1103" s="1" t="s">
        <v>719</v>
      </c>
      <c r="AP1103" s="1" t="s">
        <v>720</v>
      </c>
      <c r="AQ1103" s="1"/>
      <c r="AR1103" s="1"/>
      <c r="AS1103" s="1"/>
      <c r="AT1103" s="1" t="s">
        <v>541</v>
      </c>
      <c r="AU1103" s="1">
        <v>2021</v>
      </c>
      <c r="AV1103" s="1"/>
      <c r="AW1103" s="1">
        <v>462</v>
      </c>
      <c r="AX1103" s="1"/>
      <c r="AY1103" s="1"/>
      <c r="AZ1103" s="1"/>
      <c r="BA1103" s="1"/>
      <c r="BB1103" s="1">
        <v>256</v>
      </c>
      <c r="BC1103" s="1">
        <v>268</v>
      </c>
      <c r="BD1103" s="1"/>
      <c r="BE1103" s="1" t="s">
        <v>7118</v>
      </c>
      <c r="BF1103" s="1" t="str">
        <f>HYPERLINK("http://dx.doi.org/10.17223/15617793/462/31","http://dx.doi.org/10.17223/15617793/462/31")</f>
        <v>http://dx.doi.org/10.17223/15617793/462/31</v>
      </c>
      <c r="BG1103" s="1"/>
      <c r="BH1103" s="1"/>
      <c r="BI1103" s="1"/>
      <c r="BJ1103" s="1"/>
      <c r="BK1103" s="1"/>
      <c r="BL1103" s="1"/>
      <c r="BM1103" s="1"/>
      <c r="BN1103" s="1"/>
      <c r="BO1103" s="1"/>
      <c r="BP1103" s="1"/>
      <c r="BQ1103" s="1"/>
      <c r="BR1103" s="1"/>
      <c r="BS1103" s="1" t="s">
        <v>7119</v>
      </c>
      <c r="BT1103" s="1" t="str">
        <f>HYPERLINK("https%3A%2F%2Fwww.webofscience.com%2Fwos%2Fwoscc%2Ffull-record%2FWOS:000637601600031","View Full Record in Web of Science")</f>
        <v>View Full Record in Web of Science</v>
      </c>
      <c r="BU1103" s="1"/>
      <c r="BV1103" s="1"/>
      <c r="BW1103" s="1"/>
    </row>
    <row r="1104" spans="1:75" customHeight="1" ht="12.75">
      <c r="A1104" s="1" t="s">
        <v>72</v>
      </c>
      <c r="B1104" s="1" t="s">
        <v>7120</v>
      </c>
      <c r="C1104" s="1"/>
      <c r="D1104" s="1"/>
      <c r="E1104" s="1"/>
      <c r="F1104" s="1" t="s">
        <v>7121</v>
      </c>
      <c r="G1104" s="1"/>
      <c r="H1104" s="1"/>
      <c r="I1104" s="1" t="s">
        <v>7122</v>
      </c>
      <c r="J1104" s="1" t="s">
        <v>95</v>
      </c>
      <c r="K1104" s="1"/>
      <c r="L1104" s="1"/>
      <c r="M1104" s="1"/>
      <c r="N1104" s="1"/>
      <c r="O1104" s="1"/>
      <c r="P1104" s="1"/>
      <c r="Q1104" s="1"/>
      <c r="R1104" s="1"/>
      <c r="S1104" s="1"/>
      <c r="T1104" s="1"/>
      <c r="U1104" s="1"/>
      <c r="V1104" s="1"/>
      <c r="W1104" s="1"/>
      <c r="X1104" s="1"/>
      <c r="Y1104" s="1"/>
      <c r="Z1104" s="1"/>
      <c r="AA1104" s="1" t="s">
        <v>5529</v>
      </c>
      <c r="AB1104" s="1" t="s">
        <v>5530</v>
      </c>
      <c r="AC1104" s="1"/>
      <c r="AD1104" s="1"/>
      <c r="AE1104" s="1"/>
      <c r="AF1104" s="1"/>
      <c r="AG1104" s="1"/>
      <c r="AH1104" s="1"/>
      <c r="AI1104" s="1"/>
      <c r="AJ1104" s="1"/>
      <c r="AK1104" s="1"/>
      <c r="AL1104" s="1"/>
      <c r="AM1104" s="1"/>
      <c r="AN1104" s="1"/>
      <c r="AO1104" s="1" t="s">
        <v>98</v>
      </c>
      <c r="AP1104" s="1" t="s">
        <v>99</v>
      </c>
      <c r="AQ1104" s="1"/>
      <c r="AR1104" s="1"/>
      <c r="AS1104" s="1"/>
      <c r="AT1104" s="1"/>
      <c r="AU1104" s="1">
        <v>2018</v>
      </c>
      <c r="AV1104" s="1"/>
      <c r="AW1104" s="1">
        <v>2</v>
      </c>
      <c r="AX1104" s="1"/>
      <c r="AY1104" s="1"/>
      <c r="AZ1104" s="1"/>
      <c r="BA1104" s="1"/>
      <c r="BB1104" s="1">
        <v>101</v>
      </c>
      <c r="BC1104" s="1">
        <v>107</v>
      </c>
      <c r="BD1104" s="1"/>
      <c r="BE1104" s="1" t="s">
        <v>7123</v>
      </c>
      <c r="BF1104" s="1" t="str">
        <f>HYPERLINK("http://dx.doi.org/10.25750/1995-4301-2018-2-101/2-107/1","http://dx.doi.org/10.25750/1995-4301-2018-2-101/2-107/1")</f>
        <v>http://dx.doi.org/10.25750/1995-4301-2018-2-101/2-107/1</v>
      </c>
      <c r="BG1104" s="1"/>
      <c r="BH1104" s="1"/>
      <c r="BI1104" s="1"/>
      <c r="BJ1104" s="1"/>
      <c r="BK1104" s="1"/>
      <c r="BL1104" s="1"/>
      <c r="BM1104" s="1"/>
      <c r="BN1104" s="1"/>
      <c r="BO1104" s="1"/>
      <c r="BP1104" s="1"/>
      <c r="BQ1104" s="1"/>
      <c r="BR1104" s="1"/>
      <c r="BS1104" s="1" t="s">
        <v>7124</v>
      </c>
      <c r="BT1104" s="1" t="str">
        <f>HYPERLINK("https%3A%2F%2Fwww.webofscience.com%2Fwos%2Fwoscc%2Ffull-record%2FWOS:000468564500013","View Full Record in Web of Science")</f>
        <v>View Full Record in Web of Science</v>
      </c>
      <c r="BU1104" s="1"/>
      <c r="BV1104" s="1"/>
      <c r="BW1104" s="1"/>
    </row>
    <row r="1105" spans="1:75" customHeight="1" ht="12.75">
      <c r="A1105" s="1" t="s">
        <v>72</v>
      </c>
      <c r="B1105" s="1" t="s">
        <v>7125</v>
      </c>
      <c r="C1105" s="1"/>
      <c r="D1105" s="1"/>
      <c r="E1105" s="1"/>
      <c r="F1105" s="1" t="s">
        <v>7126</v>
      </c>
      <c r="G1105" s="1"/>
      <c r="H1105" s="1"/>
      <c r="I1105" s="1" t="s">
        <v>7127</v>
      </c>
      <c r="J1105" s="1" t="s">
        <v>7128</v>
      </c>
      <c r="K1105" s="1"/>
      <c r="L1105" s="1"/>
      <c r="M1105" s="1"/>
      <c r="N1105" s="1"/>
      <c r="O1105" s="1"/>
      <c r="P1105" s="1"/>
      <c r="Q1105" s="1"/>
      <c r="R1105" s="1"/>
      <c r="S1105" s="1"/>
      <c r="T1105" s="1"/>
      <c r="U1105" s="1"/>
      <c r="V1105" s="1"/>
      <c r="W1105" s="1"/>
      <c r="X1105" s="1"/>
      <c r="Y1105" s="1"/>
      <c r="Z1105" s="1"/>
      <c r="AA1105" s="1" t="s">
        <v>7129</v>
      </c>
      <c r="AB1105" s="1" t="s">
        <v>7130</v>
      </c>
      <c r="AC1105" s="1"/>
      <c r="AD1105" s="1"/>
      <c r="AE1105" s="1"/>
      <c r="AF1105" s="1"/>
      <c r="AG1105" s="1"/>
      <c r="AH1105" s="1"/>
      <c r="AI1105" s="1"/>
      <c r="AJ1105" s="1"/>
      <c r="AK1105" s="1"/>
      <c r="AL1105" s="1"/>
      <c r="AM1105" s="1"/>
      <c r="AN1105" s="1"/>
      <c r="AO1105" s="1" t="s">
        <v>7131</v>
      </c>
      <c r="AP1105" s="1" t="s">
        <v>7132</v>
      </c>
      <c r="AQ1105" s="1"/>
      <c r="AR1105" s="1"/>
      <c r="AS1105" s="1"/>
      <c r="AT1105" s="1" t="s">
        <v>88</v>
      </c>
      <c r="AU1105" s="1">
        <v>2022</v>
      </c>
      <c r="AV1105" s="1">
        <v>29</v>
      </c>
      <c r="AW1105" s="1">
        <v>5</v>
      </c>
      <c r="AX1105" s="1"/>
      <c r="AY1105" s="1"/>
      <c r="AZ1105" s="1"/>
      <c r="BA1105" s="1"/>
      <c r="BB1105" s="1"/>
      <c r="BC1105" s="1"/>
      <c r="BD1105" s="1">
        <v>206</v>
      </c>
      <c r="BE1105" s="1" t="s">
        <v>7133</v>
      </c>
      <c r="BF1105" s="1" t="str">
        <f>HYPERLINK("http://dx.doi.org/10.1007/s10965-022-03042-1","http://dx.doi.org/10.1007/s10965-022-03042-1")</f>
        <v>http://dx.doi.org/10.1007/s10965-022-03042-1</v>
      </c>
      <c r="BG1105" s="1"/>
      <c r="BH1105" s="1"/>
      <c r="BI1105" s="1"/>
      <c r="BJ1105" s="1"/>
      <c r="BK1105" s="1"/>
      <c r="BL1105" s="1"/>
      <c r="BM1105" s="1"/>
      <c r="BN1105" s="1"/>
      <c r="BO1105" s="1"/>
      <c r="BP1105" s="1"/>
      <c r="BQ1105" s="1"/>
      <c r="BR1105" s="1"/>
      <c r="BS1105" s="1" t="s">
        <v>7134</v>
      </c>
      <c r="BT1105" s="1" t="str">
        <f>HYPERLINK("https%3A%2F%2Fwww.webofscience.com%2Fwos%2Fwoscc%2Ffull-record%2FWOS:000792653100004","View Full Record in Web of Science")</f>
        <v>View Full Record in Web of Science</v>
      </c>
      <c r="BU1105" s="1"/>
      <c r="BV1105" s="1"/>
      <c r="BW1105" s="1"/>
    </row>
    <row r="1106" spans="1:75" customHeight="1" ht="12.75">
      <c r="A1106" s="1" t="s">
        <v>147</v>
      </c>
      <c r="B1106" s="1" t="s">
        <v>7135</v>
      </c>
      <c r="C1106" s="1"/>
      <c r="D1106" s="1" t="s">
        <v>7136</v>
      </c>
      <c r="E1106" s="1"/>
      <c r="F1106" s="1" t="s">
        <v>7137</v>
      </c>
      <c r="G1106" s="1"/>
      <c r="H1106" s="1"/>
      <c r="I1106" s="1" t="s">
        <v>7138</v>
      </c>
      <c r="J1106" s="1" t="s">
        <v>7139</v>
      </c>
      <c r="K1106" s="1" t="s">
        <v>7140</v>
      </c>
      <c r="L1106" s="1"/>
      <c r="M1106" s="1"/>
      <c r="N1106" s="1"/>
      <c r="O1106" s="1" t="s">
        <v>7141</v>
      </c>
      <c r="P1106" s="1" t="s">
        <v>7142</v>
      </c>
      <c r="Q1106" s="1" t="s">
        <v>7143</v>
      </c>
      <c r="R1106" s="1" t="s">
        <v>7144</v>
      </c>
      <c r="S1106" s="1"/>
      <c r="T1106" s="1"/>
      <c r="U1106" s="1"/>
      <c r="V1106" s="1"/>
      <c r="W1106" s="1"/>
      <c r="X1106" s="1"/>
      <c r="Y1106" s="1"/>
      <c r="Z1106" s="1"/>
      <c r="AA1106" s="1" t="s">
        <v>7145</v>
      </c>
      <c r="AB1106" s="1" t="s">
        <v>7146</v>
      </c>
      <c r="AC1106" s="1"/>
      <c r="AD1106" s="1"/>
      <c r="AE1106" s="1"/>
      <c r="AF1106" s="1"/>
      <c r="AG1106" s="1"/>
      <c r="AH1106" s="1"/>
      <c r="AI1106" s="1"/>
      <c r="AJ1106" s="1"/>
      <c r="AK1106" s="1"/>
      <c r="AL1106" s="1"/>
      <c r="AM1106" s="1"/>
      <c r="AN1106" s="1"/>
      <c r="AO1106" s="1" t="s">
        <v>7147</v>
      </c>
      <c r="AP1106" s="1" t="s">
        <v>7148</v>
      </c>
      <c r="AQ1106" s="1" t="s">
        <v>7149</v>
      </c>
      <c r="AR1106" s="1"/>
      <c r="AS1106" s="1"/>
      <c r="AT1106" s="1"/>
      <c r="AU1106" s="1">
        <v>2019</v>
      </c>
      <c r="AV1106" s="1">
        <v>9</v>
      </c>
      <c r="AW1106" s="1"/>
      <c r="AX1106" s="1">
        <v>1</v>
      </c>
      <c r="AY1106" s="1"/>
      <c r="AZ1106" s="1"/>
      <c r="BA1106" s="1"/>
      <c r="BB1106" s="1">
        <v>415</v>
      </c>
      <c r="BC1106" s="1">
        <v>421</v>
      </c>
      <c r="BD1106" s="1"/>
      <c r="BE1106" s="1"/>
      <c r="BF1106" s="1"/>
      <c r="BG1106" s="1"/>
      <c r="BH1106" s="1"/>
      <c r="BI1106" s="1"/>
      <c r="BJ1106" s="1"/>
      <c r="BK1106" s="1"/>
      <c r="BL1106" s="1"/>
      <c r="BM1106" s="1"/>
      <c r="BN1106" s="1"/>
      <c r="BO1106" s="1"/>
      <c r="BP1106" s="1"/>
      <c r="BQ1106" s="1"/>
      <c r="BR1106" s="1"/>
      <c r="BS1106" s="1" t="s">
        <v>7150</v>
      </c>
      <c r="BT1106" s="1" t="str">
        <f>HYPERLINK("https%3A%2F%2Fwww.webofscience.com%2Fwos%2Fwoscc%2Ffull-record%2FWOS:000461883000041","View Full Record in Web of Science")</f>
        <v>View Full Record in Web of Science</v>
      </c>
      <c r="BU1106" s="1"/>
      <c r="BV1106" s="1"/>
      <c r="BW1106" s="1"/>
    </row>
    <row r="1107" spans="1:75" customHeight="1" ht="12.75">
      <c r="A1107" s="1" t="s">
        <v>72</v>
      </c>
      <c r="B1107" s="1" t="s">
        <v>5433</v>
      </c>
      <c r="C1107" s="1"/>
      <c r="D1107" s="1"/>
      <c r="E1107" s="1"/>
      <c r="F1107" s="1" t="s">
        <v>5434</v>
      </c>
      <c r="G1107" s="1"/>
      <c r="H1107" s="1"/>
      <c r="I1107" s="1" t="s">
        <v>7151</v>
      </c>
      <c r="J1107" s="1" t="s">
        <v>6963</v>
      </c>
      <c r="K1107" s="1"/>
      <c r="L1107" s="1"/>
      <c r="M1107" s="1"/>
      <c r="N1107" s="1"/>
      <c r="O1107" s="1"/>
      <c r="P1107" s="1"/>
      <c r="Q1107" s="1"/>
      <c r="R1107" s="1"/>
      <c r="S1107" s="1"/>
      <c r="T1107" s="1"/>
      <c r="U1107" s="1"/>
      <c r="V1107" s="1"/>
      <c r="W1107" s="1"/>
      <c r="X1107" s="1"/>
      <c r="Y1107" s="1"/>
      <c r="Z1107" s="1"/>
      <c r="AA1107" s="1" t="s">
        <v>5437</v>
      </c>
      <c r="AB1107" s="1" t="s">
        <v>5438</v>
      </c>
      <c r="AC1107" s="1"/>
      <c r="AD1107" s="1"/>
      <c r="AE1107" s="1"/>
      <c r="AF1107" s="1"/>
      <c r="AG1107" s="1"/>
      <c r="AH1107" s="1"/>
      <c r="AI1107" s="1"/>
      <c r="AJ1107" s="1"/>
      <c r="AK1107" s="1"/>
      <c r="AL1107" s="1"/>
      <c r="AM1107" s="1"/>
      <c r="AN1107" s="1"/>
      <c r="AO1107" s="1" t="s">
        <v>6964</v>
      </c>
      <c r="AP1107" s="1" t="s">
        <v>6965</v>
      </c>
      <c r="AQ1107" s="1"/>
      <c r="AR1107" s="1"/>
      <c r="AS1107" s="1"/>
      <c r="AT1107" s="1" t="s">
        <v>88</v>
      </c>
      <c r="AU1107" s="1">
        <v>2017</v>
      </c>
      <c r="AV1107" s="1">
        <v>58</v>
      </c>
      <c r="AW1107" s="1">
        <v>3</v>
      </c>
      <c r="AX1107" s="1"/>
      <c r="AY1107" s="1"/>
      <c r="AZ1107" s="1"/>
      <c r="BA1107" s="1"/>
      <c r="BB1107" s="1">
        <v>517</v>
      </c>
      <c r="BC1107" s="1">
        <v>528</v>
      </c>
      <c r="BD1107" s="1"/>
      <c r="BE1107" s="1" t="s">
        <v>7152</v>
      </c>
      <c r="BF1107" s="1" t="str">
        <f>HYPERLINK("http://dx.doi.org/10.1134/S0021894417030178","http://dx.doi.org/10.1134/S0021894417030178")</f>
        <v>http://dx.doi.org/10.1134/S0021894417030178</v>
      </c>
      <c r="BG1107" s="1"/>
      <c r="BH1107" s="1"/>
      <c r="BI1107" s="1"/>
      <c r="BJ1107" s="1"/>
      <c r="BK1107" s="1"/>
      <c r="BL1107" s="1"/>
      <c r="BM1107" s="1"/>
      <c r="BN1107" s="1"/>
      <c r="BO1107" s="1"/>
      <c r="BP1107" s="1"/>
      <c r="BQ1107" s="1"/>
      <c r="BR1107" s="1"/>
      <c r="BS1107" s="1" t="s">
        <v>7153</v>
      </c>
      <c r="BT1107" s="1" t="str">
        <f>HYPERLINK("https%3A%2F%2Fwww.webofscience.com%2Fwos%2Fwoscc%2Ffull-record%2FWOS:000406338900017","View Full Record in Web of Science")</f>
        <v>View Full Record in Web of Science</v>
      </c>
      <c r="BU1107" s="1"/>
      <c r="BV1107" s="1"/>
      <c r="BW1107" s="1"/>
    </row>
    <row r="1108" spans="1:75" customHeight="1" ht="12.75">
      <c r="A1108" s="1" t="s">
        <v>72</v>
      </c>
      <c r="B1108" s="1" t="s">
        <v>7154</v>
      </c>
      <c r="C1108" s="1"/>
      <c r="D1108" s="1"/>
      <c r="E1108" s="1"/>
      <c r="F1108" s="1" t="s">
        <v>7155</v>
      </c>
      <c r="G1108" s="1"/>
      <c r="H1108" s="1"/>
      <c r="I1108" s="1" t="s">
        <v>7156</v>
      </c>
      <c r="J1108" s="1" t="s">
        <v>166</v>
      </c>
      <c r="K1108" s="1"/>
      <c r="L1108" s="1"/>
      <c r="M1108" s="1"/>
      <c r="N1108" s="1"/>
      <c r="O1108" s="1"/>
      <c r="P1108" s="1"/>
      <c r="Q1108" s="1"/>
      <c r="R1108" s="1"/>
      <c r="S1108" s="1"/>
      <c r="T1108" s="1"/>
      <c r="U1108" s="1"/>
      <c r="V1108" s="1"/>
      <c r="W1108" s="1"/>
      <c r="X1108" s="1"/>
      <c r="Y1108" s="1"/>
      <c r="Z1108" s="1"/>
      <c r="AA1108" s="1" t="s">
        <v>7157</v>
      </c>
      <c r="AB1108" s="1" t="s">
        <v>7158</v>
      </c>
      <c r="AC1108" s="1"/>
      <c r="AD1108" s="1"/>
      <c r="AE1108" s="1"/>
      <c r="AF1108" s="1"/>
      <c r="AG1108" s="1"/>
      <c r="AH1108" s="1"/>
      <c r="AI1108" s="1"/>
      <c r="AJ1108" s="1"/>
      <c r="AK1108" s="1"/>
      <c r="AL1108" s="1"/>
      <c r="AM1108" s="1"/>
      <c r="AN1108" s="1"/>
      <c r="AO1108" s="1" t="s">
        <v>169</v>
      </c>
      <c r="AP1108" s="1" t="s">
        <v>170</v>
      </c>
      <c r="AQ1108" s="1"/>
      <c r="AR1108" s="1"/>
      <c r="AS1108" s="1"/>
      <c r="AT1108" s="1" t="s">
        <v>830</v>
      </c>
      <c r="AU1108" s="1">
        <v>2021</v>
      </c>
      <c r="AV1108" s="1">
        <v>10</v>
      </c>
      <c r="AW1108" s="1">
        <v>3</v>
      </c>
      <c r="AX1108" s="1"/>
      <c r="AY1108" s="1"/>
      <c r="AZ1108" s="1"/>
      <c r="BA1108" s="1"/>
      <c r="BB1108" s="1">
        <v>638</v>
      </c>
      <c r="BC1108" s="1">
        <v>652</v>
      </c>
      <c r="BD1108" s="1"/>
      <c r="BE1108" s="1" t="s">
        <v>7159</v>
      </c>
      <c r="BF1108" s="1" t="str">
        <f>HYPERLINK("http://dx.doi.org/10.13187/ejced.2021.3.638","http://dx.doi.org/10.13187/ejced.2021.3.638")</f>
        <v>http://dx.doi.org/10.13187/ejced.2021.3.638</v>
      </c>
      <c r="BG1108" s="1"/>
      <c r="BH1108" s="1"/>
      <c r="BI1108" s="1"/>
      <c r="BJ1108" s="1"/>
      <c r="BK1108" s="1"/>
      <c r="BL1108" s="1"/>
      <c r="BM1108" s="1"/>
      <c r="BN1108" s="1"/>
      <c r="BO1108" s="1"/>
      <c r="BP1108" s="1"/>
      <c r="BQ1108" s="1"/>
      <c r="BR1108" s="1"/>
      <c r="BS1108" s="1" t="s">
        <v>7160</v>
      </c>
      <c r="BT1108" s="1" t="str">
        <f>HYPERLINK("https%3A%2F%2Fwww.webofscience.com%2Fwos%2Fwoscc%2Ffull-record%2FWOS:000705970600008","View Full Record in Web of Science")</f>
        <v>View Full Record in Web of Science</v>
      </c>
      <c r="BU1108" s="1"/>
      <c r="BV1108" s="1"/>
      <c r="BW1108" s="1"/>
    </row>
    <row r="1109" spans="1:75" customHeight="1" ht="12.75">
      <c r="A1109" s="1" t="s">
        <v>147</v>
      </c>
      <c r="B1109" s="1" t="s">
        <v>7161</v>
      </c>
      <c r="C1109" s="1"/>
      <c r="D1109" s="1" t="s">
        <v>7162</v>
      </c>
      <c r="E1109" s="1"/>
      <c r="F1109" s="1" t="s">
        <v>7163</v>
      </c>
      <c r="G1109" s="1"/>
      <c r="H1109" s="1"/>
      <c r="I1109" s="1" t="s">
        <v>7164</v>
      </c>
      <c r="J1109" s="1" t="s">
        <v>7165</v>
      </c>
      <c r="K1109" s="1" t="s">
        <v>7166</v>
      </c>
      <c r="L1109" s="1"/>
      <c r="M1109" s="1"/>
      <c r="N1109" s="1"/>
      <c r="O1109" s="1" t="s">
        <v>7167</v>
      </c>
      <c r="P1109" s="1" t="s">
        <v>7168</v>
      </c>
      <c r="Q1109" s="1" t="s">
        <v>7169</v>
      </c>
      <c r="R1109" s="1"/>
      <c r="S1109" s="1" t="s">
        <v>7170</v>
      </c>
      <c r="T1109" s="1"/>
      <c r="U1109" s="1"/>
      <c r="V1109" s="1"/>
      <c r="W1109" s="1"/>
      <c r="X1109" s="1"/>
      <c r="Y1109" s="1"/>
      <c r="Z1109" s="1"/>
      <c r="AA1109" s="1"/>
      <c r="AB1109" s="1"/>
      <c r="AC1109" s="1"/>
      <c r="AD1109" s="1"/>
      <c r="AE1109" s="1"/>
      <c r="AF1109" s="1"/>
      <c r="AG1109" s="1"/>
      <c r="AH1109" s="1"/>
      <c r="AI1109" s="1"/>
      <c r="AJ1109" s="1"/>
      <c r="AK1109" s="1"/>
      <c r="AL1109" s="1"/>
      <c r="AM1109" s="1"/>
      <c r="AN1109" s="1"/>
      <c r="AO1109" s="1" t="s">
        <v>7171</v>
      </c>
      <c r="AP1109" s="1"/>
      <c r="AQ1109" s="1" t="s">
        <v>7172</v>
      </c>
      <c r="AR1109" s="1"/>
      <c r="AS1109" s="1"/>
      <c r="AT1109" s="1"/>
      <c r="AU1109" s="1">
        <v>2020</v>
      </c>
      <c r="AV1109" s="1">
        <v>2216</v>
      </c>
      <c r="AW1109" s="1"/>
      <c r="AX1109" s="1"/>
      <c r="AY1109" s="1"/>
      <c r="AZ1109" s="1"/>
      <c r="BA1109" s="1"/>
      <c r="BB1109" s="1"/>
      <c r="BC1109" s="1"/>
      <c r="BD1109" s="1">
        <v>20007</v>
      </c>
      <c r="BE1109" s="1" t="s">
        <v>7173</v>
      </c>
      <c r="BF1109" s="1" t="str">
        <f>HYPERLINK("http://dx.doi.org/10.1063/5.0003363","http://dx.doi.org/10.1063/5.0003363")</f>
        <v>http://dx.doi.org/10.1063/5.0003363</v>
      </c>
      <c r="BG1109" s="1"/>
      <c r="BH1109" s="1"/>
      <c r="BI1109" s="1"/>
      <c r="BJ1109" s="1"/>
      <c r="BK1109" s="1"/>
      <c r="BL1109" s="1"/>
      <c r="BM1109" s="1"/>
      <c r="BN1109" s="1"/>
      <c r="BO1109" s="1"/>
      <c r="BP1109" s="1"/>
      <c r="BQ1109" s="1"/>
      <c r="BR1109" s="1"/>
      <c r="BS1109" s="1" t="s">
        <v>7174</v>
      </c>
      <c r="BT1109" s="1" t="str">
        <f>HYPERLINK("https%3A%2F%2Fwww.webofscience.com%2Fwos%2Fwoscc%2Ffull-record%2FWOS:000558065900007","View Full Record in Web of Science")</f>
        <v>View Full Record in Web of Science</v>
      </c>
      <c r="BU1109" s="1"/>
      <c r="BV1109" s="1"/>
      <c r="BW1109" s="1"/>
    </row>
    <row r="1110" spans="1:75" customHeight="1" ht="12.75">
      <c r="A1110" s="1" t="s">
        <v>72</v>
      </c>
      <c r="B1110" s="1" t="s">
        <v>7175</v>
      </c>
      <c r="C1110" s="1"/>
      <c r="D1110" s="1"/>
      <c r="E1110" s="1"/>
      <c r="F1110" s="1" t="s">
        <v>7176</v>
      </c>
      <c r="G1110" s="1"/>
      <c r="H1110" s="1"/>
      <c r="I1110" s="1" t="s">
        <v>7177</v>
      </c>
      <c r="J1110" s="1" t="s">
        <v>6799</v>
      </c>
      <c r="K1110" s="1"/>
      <c r="L1110" s="1"/>
      <c r="M1110" s="1"/>
      <c r="N1110" s="1"/>
      <c r="O1110" s="1"/>
      <c r="P1110" s="1"/>
      <c r="Q1110" s="1"/>
      <c r="R1110" s="1"/>
      <c r="S1110" s="1"/>
      <c r="T1110" s="1"/>
      <c r="U1110" s="1"/>
      <c r="V1110" s="1"/>
      <c r="W1110" s="1"/>
      <c r="X1110" s="1"/>
      <c r="Y1110" s="1"/>
      <c r="Z1110" s="1"/>
      <c r="AA1110" s="1" t="s">
        <v>7178</v>
      </c>
      <c r="AB1110" s="1" t="s">
        <v>7179</v>
      </c>
      <c r="AC1110" s="1"/>
      <c r="AD1110" s="1"/>
      <c r="AE1110" s="1"/>
      <c r="AF1110" s="1"/>
      <c r="AG1110" s="1"/>
      <c r="AH1110" s="1"/>
      <c r="AI1110" s="1"/>
      <c r="AJ1110" s="1"/>
      <c r="AK1110" s="1"/>
      <c r="AL1110" s="1"/>
      <c r="AM1110" s="1"/>
      <c r="AN1110" s="1"/>
      <c r="AO1110" s="1" t="s">
        <v>6802</v>
      </c>
      <c r="AP1110" s="1" t="s">
        <v>6803</v>
      </c>
      <c r="AQ1110" s="1"/>
      <c r="AR1110" s="1"/>
      <c r="AS1110" s="1"/>
      <c r="AT1110" s="1" t="s">
        <v>7180</v>
      </c>
      <c r="AU1110" s="1">
        <v>2019</v>
      </c>
      <c r="AV1110" s="1">
        <v>123</v>
      </c>
      <c r="AW1110" s="1"/>
      <c r="AX1110" s="1"/>
      <c r="AY1110" s="1"/>
      <c r="AZ1110" s="1"/>
      <c r="BA1110" s="1"/>
      <c r="BB1110" s="1">
        <v>300</v>
      </c>
      <c r="BC1110" s="1">
        <v>307</v>
      </c>
      <c r="BD1110" s="1"/>
      <c r="BE1110" s="1" t="s">
        <v>7181</v>
      </c>
      <c r="BF1110" s="1" t="str">
        <f>HYPERLINK("http://dx.doi.org/10.1016/j.ijbiomac.2018.11.081","http://dx.doi.org/10.1016/j.ijbiomac.2018.11.081")</f>
        <v>http://dx.doi.org/10.1016/j.ijbiomac.2018.11.081</v>
      </c>
      <c r="BG1110" s="1"/>
      <c r="BH1110" s="1"/>
      <c r="BI1110" s="1"/>
      <c r="BJ1110" s="1"/>
      <c r="BK1110" s="1"/>
      <c r="BL1110" s="1"/>
      <c r="BM1110" s="1"/>
      <c r="BN1110" s="1">
        <v>30445072</v>
      </c>
      <c r="BO1110" s="1"/>
      <c r="BP1110" s="1"/>
      <c r="BQ1110" s="1"/>
      <c r="BR1110" s="1"/>
      <c r="BS1110" s="1" t="s">
        <v>7182</v>
      </c>
      <c r="BT1110" s="1" t="str">
        <f>HYPERLINK("https%3A%2F%2Fwww.webofscience.com%2Fwos%2Fwoscc%2Ffull-record%2FWOS:000456760100035","View Full Record in Web of Science")</f>
        <v>View Full Record in Web of Science</v>
      </c>
      <c r="BU1110" s="1"/>
      <c r="BV1110" s="1"/>
      <c r="BW1110" s="1"/>
    </row>
    <row r="1111" spans="1:75" customHeight="1" ht="12.75">
      <c r="A1111" s="1" t="s">
        <v>147</v>
      </c>
      <c r="B1111" s="1" t="s">
        <v>7183</v>
      </c>
      <c r="C1111" s="1"/>
      <c r="D1111" s="1" t="s">
        <v>2517</v>
      </c>
      <c r="E1111" s="1"/>
      <c r="F1111" s="1" t="s">
        <v>7184</v>
      </c>
      <c r="G1111" s="1"/>
      <c r="H1111" s="1"/>
      <c r="I1111" s="1" t="s">
        <v>7185</v>
      </c>
      <c r="J1111" s="1" t="s">
        <v>6387</v>
      </c>
      <c r="K1111" s="1" t="s">
        <v>2521</v>
      </c>
      <c r="L1111" s="1"/>
      <c r="M1111" s="1"/>
      <c r="N1111" s="1"/>
      <c r="O1111" s="1" t="s">
        <v>6388</v>
      </c>
      <c r="P1111" s="1" t="s">
        <v>6389</v>
      </c>
      <c r="Q1111" s="1" t="s">
        <v>2524</v>
      </c>
      <c r="R1111" s="1" t="s">
        <v>6390</v>
      </c>
      <c r="S1111" s="1"/>
      <c r="T1111" s="1"/>
      <c r="U1111" s="1"/>
      <c r="V1111" s="1"/>
      <c r="W1111" s="1"/>
      <c r="X1111" s="1"/>
      <c r="Y1111" s="1"/>
      <c r="Z1111" s="1"/>
      <c r="AA1111" s="1" t="s">
        <v>7186</v>
      </c>
      <c r="AB1111" s="1" t="s">
        <v>7187</v>
      </c>
      <c r="AC1111" s="1"/>
      <c r="AD1111" s="1"/>
      <c r="AE1111" s="1"/>
      <c r="AF1111" s="1"/>
      <c r="AG1111" s="1"/>
      <c r="AH1111" s="1"/>
      <c r="AI1111" s="1"/>
      <c r="AJ1111" s="1"/>
      <c r="AK1111" s="1"/>
      <c r="AL1111" s="1"/>
      <c r="AM1111" s="1"/>
      <c r="AN1111" s="1"/>
      <c r="AO1111" s="1" t="s">
        <v>2527</v>
      </c>
      <c r="AP1111" s="1"/>
      <c r="AQ1111" s="1"/>
      <c r="AR1111" s="1"/>
      <c r="AS1111" s="1"/>
      <c r="AT1111" s="1"/>
      <c r="AU1111" s="1">
        <v>2016</v>
      </c>
      <c r="AV1111" s="1"/>
      <c r="AW1111" s="1"/>
      <c r="AX1111" s="1"/>
      <c r="AY1111" s="1"/>
      <c r="AZ1111" s="1"/>
      <c r="BA1111" s="1"/>
      <c r="BB1111" s="1">
        <v>1065</v>
      </c>
      <c r="BC1111" s="1">
        <v>1071</v>
      </c>
      <c r="BD1111" s="1"/>
      <c r="BE1111" s="1"/>
      <c r="BF1111" s="1"/>
      <c r="BG1111" s="1"/>
      <c r="BH1111" s="1"/>
      <c r="BI1111" s="1"/>
      <c r="BJ1111" s="1"/>
      <c r="BK1111" s="1"/>
      <c r="BL1111" s="1"/>
      <c r="BM1111" s="1"/>
      <c r="BN1111" s="1"/>
      <c r="BO1111" s="1"/>
      <c r="BP1111" s="1"/>
      <c r="BQ1111" s="1"/>
      <c r="BR1111" s="1"/>
      <c r="BS1111" s="1" t="s">
        <v>7188</v>
      </c>
      <c r="BT1111" s="1" t="str">
        <f>HYPERLINK("https%3A%2F%2Fwww.webofscience.com%2Fwos%2Fwoscc%2Ffull-record%2FWOS:000390059500166","View Full Record in Web of Science")</f>
        <v>View Full Record in Web of Science</v>
      </c>
      <c r="BU1111" s="1"/>
      <c r="BV1111" s="1"/>
      <c r="BW1111" s="1"/>
    </row>
    <row r="1112" spans="1:75" customHeight="1" ht="12.75">
      <c r="A1112" s="1" t="s">
        <v>72</v>
      </c>
      <c r="B1112" s="1" t="s">
        <v>7189</v>
      </c>
      <c r="C1112" s="1"/>
      <c r="D1112" s="1"/>
      <c r="E1112" s="1"/>
      <c r="F1112" s="1" t="s">
        <v>7190</v>
      </c>
      <c r="G1112" s="1"/>
      <c r="H1112" s="1"/>
      <c r="I1112" s="1" t="s">
        <v>7191</v>
      </c>
      <c r="J1112" s="1" t="s">
        <v>95</v>
      </c>
      <c r="K1112" s="1"/>
      <c r="L1112" s="1"/>
      <c r="M1112" s="1"/>
      <c r="N1112" s="1"/>
      <c r="O1112" s="1"/>
      <c r="P1112" s="1"/>
      <c r="Q1112" s="1"/>
      <c r="R1112" s="1"/>
      <c r="S1112" s="1"/>
      <c r="T1112" s="1"/>
      <c r="U1112" s="1"/>
      <c r="V1112" s="1"/>
      <c r="W1112" s="1"/>
      <c r="X1112" s="1"/>
      <c r="Y1112" s="1"/>
      <c r="Z1112" s="1"/>
      <c r="AA1112" s="1"/>
      <c r="AB1112" s="1"/>
      <c r="AC1112" s="1"/>
      <c r="AD1112" s="1"/>
      <c r="AE1112" s="1"/>
      <c r="AF1112" s="1"/>
      <c r="AG1112" s="1"/>
      <c r="AH1112" s="1"/>
      <c r="AI1112" s="1"/>
      <c r="AJ1112" s="1"/>
      <c r="AK1112" s="1"/>
      <c r="AL1112" s="1"/>
      <c r="AM1112" s="1"/>
      <c r="AN1112" s="1"/>
      <c r="AO1112" s="1" t="s">
        <v>98</v>
      </c>
      <c r="AP1112" s="1" t="s">
        <v>99</v>
      </c>
      <c r="AQ1112" s="1"/>
      <c r="AR1112" s="1"/>
      <c r="AS1112" s="1"/>
      <c r="AT1112" s="1"/>
      <c r="AU1112" s="1">
        <v>2022</v>
      </c>
      <c r="AV1112" s="1"/>
      <c r="AW1112" s="1">
        <v>3</v>
      </c>
      <c r="AX1112" s="1"/>
      <c r="AY1112" s="1"/>
      <c r="AZ1112" s="1"/>
      <c r="BA1112" s="1"/>
      <c r="BB1112" s="1">
        <v>82</v>
      </c>
      <c r="BC1112" s="1">
        <v>89</v>
      </c>
      <c r="BD1112" s="1"/>
      <c r="BE1112" s="1" t="s">
        <v>7192</v>
      </c>
      <c r="BF1112" s="1" t="str">
        <f>HYPERLINK("http://dx.doi.org/10.25750/1995-4301-2022-3-082-089","http://dx.doi.org/10.25750/1995-4301-2022-3-082-089")</f>
        <v>http://dx.doi.org/10.25750/1995-4301-2022-3-082-089</v>
      </c>
      <c r="BG1112" s="1"/>
      <c r="BH1112" s="1"/>
      <c r="BI1112" s="1"/>
      <c r="BJ1112" s="1"/>
      <c r="BK1112" s="1"/>
      <c r="BL1112" s="1"/>
      <c r="BM1112" s="1"/>
      <c r="BN1112" s="1"/>
      <c r="BO1112" s="1"/>
      <c r="BP1112" s="1"/>
      <c r="BQ1112" s="1"/>
      <c r="BR1112" s="1"/>
      <c r="BS1112" s="1" t="s">
        <v>7193</v>
      </c>
      <c r="BT1112" s="1" t="str">
        <f>HYPERLINK("https%3A%2F%2Fwww.webofscience.com%2Fwos%2Fwoscc%2Ffull-record%2FWOS:000885393200010","View Full Record in Web of Science")</f>
        <v>View Full Record in Web of Science</v>
      </c>
      <c r="BU1112" s="1"/>
      <c r="BV1112" s="1"/>
      <c r="BW1112" s="1"/>
    </row>
    <row r="1113" spans="1:75" customHeight="1" ht="12.75">
      <c r="A1113" s="1" t="s">
        <v>72</v>
      </c>
      <c r="B1113" s="1" t="s">
        <v>7194</v>
      </c>
      <c r="C1113" s="1"/>
      <c r="D1113" s="1"/>
      <c r="E1113" s="1"/>
      <c r="F1113" s="1" t="s">
        <v>7195</v>
      </c>
      <c r="G1113" s="1"/>
      <c r="H1113" s="1"/>
      <c r="I1113" s="1" t="s">
        <v>7196</v>
      </c>
      <c r="J1113" s="1" t="s">
        <v>95</v>
      </c>
      <c r="K1113" s="1"/>
      <c r="L1113" s="1"/>
      <c r="M1113" s="1"/>
      <c r="N1113" s="1"/>
      <c r="O1113" s="1"/>
      <c r="P1113" s="1"/>
      <c r="Q1113" s="1"/>
      <c r="R1113" s="1"/>
      <c r="S1113" s="1"/>
      <c r="T1113" s="1"/>
      <c r="U1113" s="1"/>
      <c r="V1113" s="1"/>
      <c r="W1113" s="1"/>
      <c r="X1113" s="1"/>
      <c r="Y1113" s="1"/>
      <c r="Z1113" s="1"/>
      <c r="AA1113" s="1" t="s">
        <v>5529</v>
      </c>
      <c r="AB1113" s="1" t="s">
        <v>5530</v>
      </c>
      <c r="AC1113" s="1"/>
      <c r="AD1113" s="1"/>
      <c r="AE1113" s="1"/>
      <c r="AF1113" s="1"/>
      <c r="AG1113" s="1"/>
      <c r="AH1113" s="1"/>
      <c r="AI1113" s="1"/>
      <c r="AJ1113" s="1"/>
      <c r="AK1113" s="1"/>
      <c r="AL1113" s="1"/>
      <c r="AM1113" s="1"/>
      <c r="AN1113" s="1"/>
      <c r="AO1113" s="1" t="s">
        <v>98</v>
      </c>
      <c r="AP1113" s="1" t="s">
        <v>99</v>
      </c>
      <c r="AQ1113" s="1"/>
      <c r="AR1113" s="1"/>
      <c r="AS1113" s="1"/>
      <c r="AT1113" s="1"/>
      <c r="AU1113" s="1">
        <v>2021</v>
      </c>
      <c r="AV1113" s="1"/>
      <c r="AW1113" s="1">
        <v>2</v>
      </c>
      <c r="AX1113" s="1"/>
      <c r="AY1113" s="1"/>
      <c r="AZ1113" s="1"/>
      <c r="BA1113" s="1"/>
      <c r="BB1113" s="1">
        <v>81</v>
      </c>
      <c r="BC1113" s="1">
        <v>88</v>
      </c>
      <c r="BD1113" s="1"/>
      <c r="BE1113" s="1" t="s">
        <v>7197</v>
      </c>
      <c r="BF1113" s="1" t="str">
        <f>HYPERLINK("http://dx.doi.org/10.25750/1995-4301-2021-2-081-088","http://dx.doi.org/10.25750/1995-4301-2021-2-081-088")</f>
        <v>http://dx.doi.org/10.25750/1995-4301-2021-2-081-088</v>
      </c>
      <c r="BG1113" s="1"/>
      <c r="BH1113" s="1"/>
      <c r="BI1113" s="1"/>
      <c r="BJ1113" s="1"/>
      <c r="BK1113" s="1"/>
      <c r="BL1113" s="1"/>
      <c r="BM1113" s="1"/>
      <c r="BN1113" s="1"/>
      <c r="BO1113" s="1"/>
      <c r="BP1113" s="1"/>
      <c r="BQ1113" s="1"/>
      <c r="BR1113" s="1"/>
      <c r="BS1113" s="1" t="s">
        <v>7198</v>
      </c>
      <c r="BT1113" s="1" t="str">
        <f>HYPERLINK("https%3A%2F%2Fwww.webofscience.com%2Fwos%2Fwoscc%2Ffull-record%2FWOS:000667025400012","View Full Record in Web of Science")</f>
        <v>View Full Record in Web of Science</v>
      </c>
      <c r="BU1113" s="1"/>
      <c r="BV1113" s="1"/>
      <c r="BW1113" s="1"/>
    </row>
    <row r="1114" spans="1:75" customHeight="1" ht="12.75">
      <c r="A1114" s="1" t="s">
        <v>72</v>
      </c>
      <c r="B1114" s="1" t="s">
        <v>6934</v>
      </c>
      <c r="C1114" s="1"/>
      <c r="D1114" s="1"/>
      <c r="E1114" s="1"/>
      <c r="F1114" s="1" t="s">
        <v>6935</v>
      </c>
      <c r="G1114" s="1"/>
      <c r="H1114" s="1"/>
      <c r="I1114" s="1" t="s">
        <v>7199</v>
      </c>
      <c r="J1114" s="1" t="s">
        <v>95</v>
      </c>
      <c r="K1114" s="1"/>
      <c r="L1114" s="1"/>
      <c r="M1114" s="1"/>
      <c r="N1114" s="1"/>
      <c r="O1114" s="1"/>
      <c r="P1114" s="1"/>
      <c r="Q1114" s="1"/>
      <c r="R1114" s="1"/>
      <c r="S1114" s="1"/>
      <c r="T1114" s="1"/>
      <c r="U1114" s="1"/>
      <c r="V1114" s="1"/>
      <c r="W1114" s="1"/>
      <c r="X1114" s="1"/>
      <c r="Y1114" s="1"/>
      <c r="Z1114" s="1"/>
      <c r="AA1114" s="1" t="s">
        <v>7200</v>
      </c>
      <c r="AB1114" s="1" t="s">
        <v>7201</v>
      </c>
      <c r="AC1114" s="1"/>
      <c r="AD1114" s="1"/>
      <c r="AE1114" s="1"/>
      <c r="AF1114" s="1"/>
      <c r="AG1114" s="1"/>
      <c r="AH1114" s="1"/>
      <c r="AI1114" s="1"/>
      <c r="AJ1114" s="1"/>
      <c r="AK1114" s="1"/>
      <c r="AL1114" s="1"/>
      <c r="AM1114" s="1"/>
      <c r="AN1114" s="1"/>
      <c r="AO1114" s="1" t="s">
        <v>98</v>
      </c>
      <c r="AP1114" s="1" t="s">
        <v>99</v>
      </c>
      <c r="AQ1114" s="1"/>
      <c r="AR1114" s="1"/>
      <c r="AS1114" s="1"/>
      <c r="AT1114" s="1"/>
      <c r="AU1114" s="1">
        <v>2021</v>
      </c>
      <c r="AV1114" s="1"/>
      <c r="AW1114" s="1">
        <v>3</v>
      </c>
      <c r="AX1114" s="1"/>
      <c r="AY1114" s="1"/>
      <c r="AZ1114" s="1"/>
      <c r="BA1114" s="1"/>
      <c r="BB1114" s="1">
        <v>60</v>
      </c>
      <c r="BC1114" s="1">
        <v>65</v>
      </c>
      <c r="BD1114" s="1"/>
      <c r="BE1114" s="1" t="s">
        <v>7202</v>
      </c>
      <c r="BF1114" s="1" t="str">
        <f>HYPERLINK("http://dx.doi.org/10.25750/1995-4301-2021-3-060-065","http://dx.doi.org/10.25750/1995-4301-2021-3-060-065")</f>
        <v>http://dx.doi.org/10.25750/1995-4301-2021-3-060-065</v>
      </c>
      <c r="BG1114" s="1"/>
      <c r="BH1114" s="1"/>
      <c r="BI1114" s="1"/>
      <c r="BJ1114" s="1"/>
      <c r="BK1114" s="1"/>
      <c r="BL1114" s="1"/>
      <c r="BM1114" s="1"/>
      <c r="BN1114" s="1"/>
      <c r="BO1114" s="1"/>
      <c r="BP1114" s="1"/>
      <c r="BQ1114" s="1"/>
      <c r="BR1114" s="1"/>
      <c r="BS1114" s="1" t="s">
        <v>7203</v>
      </c>
      <c r="BT1114" s="1" t="str">
        <f>HYPERLINK("https%3A%2F%2Fwww.webofscience.com%2Fwos%2Fwoscc%2Ffull-record%2FWOS:000700413300008","View Full Record in Web of Science")</f>
        <v>View Full Record in Web of Science</v>
      </c>
      <c r="BU1114" s="1"/>
      <c r="BV1114" s="1"/>
      <c r="BW1114" s="1"/>
    </row>
    <row r="1115" spans="1:75" customHeight="1" ht="12.75">
      <c r="A1115" s="1" t="s">
        <v>72</v>
      </c>
      <c r="B1115" s="1" t="s">
        <v>7204</v>
      </c>
      <c r="C1115" s="1"/>
      <c r="D1115" s="1"/>
      <c r="E1115" s="1"/>
      <c r="F1115" s="1" t="s">
        <v>7205</v>
      </c>
      <c r="G1115" s="1"/>
      <c r="H1115" s="1"/>
      <c r="I1115" s="1" t="s">
        <v>7206</v>
      </c>
      <c r="J1115" s="1" t="s">
        <v>95</v>
      </c>
      <c r="K1115" s="1"/>
      <c r="L1115" s="1"/>
      <c r="M1115" s="1"/>
      <c r="N1115" s="1"/>
      <c r="O1115" s="1"/>
      <c r="P1115" s="1"/>
      <c r="Q1115" s="1"/>
      <c r="R1115" s="1"/>
      <c r="S1115" s="1"/>
      <c r="T1115" s="1"/>
      <c r="U1115" s="1"/>
      <c r="V1115" s="1"/>
      <c r="W1115" s="1"/>
      <c r="X1115" s="1"/>
      <c r="Y1115" s="1"/>
      <c r="Z1115" s="1"/>
      <c r="AA1115" s="1" t="s">
        <v>7207</v>
      </c>
      <c r="AB1115" s="1" t="s">
        <v>5530</v>
      </c>
      <c r="AC1115" s="1"/>
      <c r="AD1115" s="1"/>
      <c r="AE1115" s="1"/>
      <c r="AF1115" s="1"/>
      <c r="AG1115" s="1"/>
      <c r="AH1115" s="1"/>
      <c r="AI1115" s="1"/>
      <c r="AJ1115" s="1"/>
      <c r="AK1115" s="1"/>
      <c r="AL1115" s="1"/>
      <c r="AM1115" s="1"/>
      <c r="AN1115" s="1"/>
      <c r="AO1115" s="1" t="s">
        <v>98</v>
      </c>
      <c r="AP1115" s="1" t="s">
        <v>99</v>
      </c>
      <c r="AQ1115" s="1"/>
      <c r="AR1115" s="1"/>
      <c r="AS1115" s="1"/>
      <c r="AT1115" s="1"/>
      <c r="AU1115" s="1">
        <v>2020</v>
      </c>
      <c r="AV1115" s="1"/>
      <c r="AW1115" s="1">
        <v>3</v>
      </c>
      <c r="AX1115" s="1"/>
      <c r="AY1115" s="1"/>
      <c r="AZ1115" s="1"/>
      <c r="BA1115" s="1"/>
      <c r="BB1115" s="1">
        <v>176</v>
      </c>
      <c r="BC1115" s="1">
        <v>181</v>
      </c>
      <c r="BD1115" s="1"/>
      <c r="BE1115" s="1" t="s">
        <v>7208</v>
      </c>
      <c r="BF1115" s="1" t="str">
        <f>HYPERLINK("http://dx.doi.org/10.25750/1995-4301-2020-3-176-181","http://dx.doi.org/10.25750/1995-4301-2020-3-176-181")</f>
        <v>http://dx.doi.org/10.25750/1995-4301-2020-3-176-181</v>
      </c>
      <c r="BG1115" s="1"/>
      <c r="BH1115" s="1"/>
      <c r="BI1115" s="1"/>
      <c r="BJ1115" s="1"/>
      <c r="BK1115" s="1"/>
      <c r="BL1115" s="1"/>
      <c r="BM1115" s="1"/>
      <c r="BN1115" s="1"/>
      <c r="BO1115" s="1"/>
      <c r="BP1115" s="1"/>
      <c r="BQ1115" s="1"/>
      <c r="BR1115" s="1"/>
      <c r="BS1115" s="1" t="s">
        <v>7209</v>
      </c>
      <c r="BT1115" s="1" t="str">
        <f>HYPERLINK("https%3A%2F%2Fwww.webofscience.com%2Fwos%2Fwoscc%2Ffull-record%2FWOS:000580337700026","View Full Record in Web of Science")</f>
        <v>View Full Record in Web of Science</v>
      </c>
      <c r="BU1115" s="1"/>
      <c r="BV1115" s="1"/>
      <c r="BW1115" s="1"/>
    </row>
    <row r="1116" spans="1:75" customHeight="1" ht="12.75">
      <c r="A1116" s="1" t="s">
        <v>72</v>
      </c>
      <c r="B1116" s="1" t="s">
        <v>7210</v>
      </c>
      <c r="C1116" s="1"/>
      <c r="D1116" s="1"/>
      <c r="E1116" s="1"/>
      <c r="F1116" s="1" t="s">
        <v>7211</v>
      </c>
      <c r="G1116" s="1"/>
      <c r="H1116" s="1"/>
      <c r="I1116" s="1" t="s">
        <v>7212</v>
      </c>
      <c r="J1116" s="1" t="s">
        <v>95</v>
      </c>
      <c r="K1116" s="1"/>
      <c r="L1116" s="1"/>
      <c r="M1116" s="1"/>
      <c r="N1116" s="1"/>
      <c r="O1116" s="1"/>
      <c r="P1116" s="1"/>
      <c r="Q1116" s="1"/>
      <c r="R1116" s="1"/>
      <c r="S1116" s="1"/>
      <c r="T1116" s="1"/>
      <c r="U1116" s="1"/>
      <c r="V1116" s="1"/>
      <c r="W1116" s="1"/>
      <c r="X1116" s="1"/>
      <c r="Y1116" s="1"/>
      <c r="Z1116" s="1"/>
      <c r="AA1116" s="1" t="s">
        <v>7213</v>
      </c>
      <c r="AB1116" s="1" t="s">
        <v>7214</v>
      </c>
      <c r="AC1116" s="1"/>
      <c r="AD1116" s="1"/>
      <c r="AE1116" s="1"/>
      <c r="AF1116" s="1"/>
      <c r="AG1116" s="1"/>
      <c r="AH1116" s="1"/>
      <c r="AI1116" s="1"/>
      <c r="AJ1116" s="1"/>
      <c r="AK1116" s="1"/>
      <c r="AL1116" s="1"/>
      <c r="AM1116" s="1"/>
      <c r="AN1116" s="1"/>
      <c r="AO1116" s="1" t="s">
        <v>98</v>
      </c>
      <c r="AP1116" s="1" t="s">
        <v>99</v>
      </c>
      <c r="AQ1116" s="1"/>
      <c r="AR1116" s="1"/>
      <c r="AS1116" s="1"/>
      <c r="AT1116" s="1"/>
      <c r="AU1116" s="1">
        <v>2019</v>
      </c>
      <c r="AV1116" s="1"/>
      <c r="AW1116" s="1">
        <v>4</v>
      </c>
      <c r="AX1116" s="1"/>
      <c r="AY1116" s="1"/>
      <c r="AZ1116" s="1"/>
      <c r="BA1116" s="1"/>
      <c r="BB1116" s="1">
        <v>15</v>
      </c>
      <c r="BC1116" s="1">
        <v>23</v>
      </c>
      <c r="BD1116" s="1"/>
      <c r="BE1116" s="1" t="s">
        <v>7215</v>
      </c>
      <c r="BF1116" s="1" t="str">
        <f>HYPERLINK("http://dx.doi.org/10.25750/1995-4301-2019-4-015-023","http://dx.doi.org/10.25750/1995-4301-2019-4-015-023")</f>
        <v>http://dx.doi.org/10.25750/1995-4301-2019-4-015-023</v>
      </c>
      <c r="BG1116" s="1"/>
      <c r="BH1116" s="1"/>
      <c r="BI1116" s="1"/>
      <c r="BJ1116" s="1"/>
      <c r="BK1116" s="1"/>
      <c r="BL1116" s="1"/>
      <c r="BM1116" s="1"/>
      <c r="BN1116" s="1"/>
      <c r="BO1116" s="1"/>
      <c r="BP1116" s="1"/>
      <c r="BQ1116" s="1"/>
      <c r="BR1116" s="1"/>
      <c r="BS1116" s="1" t="s">
        <v>7216</v>
      </c>
      <c r="BT1116" s="1" t="str">
        <f>HYPERLINK("https%3A%2F%2Fwww.webofscience.com%2Fwos%2Fwoscc%2Ffull-record%2FWOS:000504049400002","View Full Record in Web of Science")</f>
        <v>View Full Record in Web of Science</v>
      </c>
      <c r="BU1116" s="1"/>
      <c r="BV1116" s="1"/>
      <c r="BW1116" s="1"/>
    </row>
    <row r="1117" spans="1:75" customHeight="1" ht="12.75">
      <c r="A1117" s="1" t="s">
        <v>147</v>
      </c>
      <c r="B1117" s="1" t="s">
        <v>7217</v>
      </c>
      <c r="C1117" s="1"/>
      <c r="D1117" s="1" t="s">
        <v>233</v>
      </c>
      <c r="E1117" s="1"/>
      <c r="F1117" s="1" t="s">
        <v>7218</v>
      </c>
      <c r="G1117" s="1"/>
      <c r="H1117" s="1"/>
      <c r="I1117" s="1" t="s">
        <v>7219</v>
      </c>
      <c r="J1117" s="1" t="s">
        <v>444</v>
      </c>
      <c r="K1117" s="1" t="s">
        <v>445</v>
      </c>
      <c r="L1117" s="1"/>
      <c r="M1117" s="1"/>
      <c r="N1117" s="1"/>
      <c r="O1117" s="1" t="s">
        <v>446</v>
      </c>
      <c r="P1117" s="1" t="s">
        <v>447</v>
      </c>
      <c r="Q1117" s="1" t="s">
        <v>448</v>
      </c>
      <c r="R1117" s="1"/>
      <c r="S1117" s="1"/>
      <c r="T1117" s="1"/>
      <c r="U1117" s="1"/>
      <c r="V1117" s="1"/>
      <c r="W1117" s="1"/>
      <c r="X1117" s="1"/>
      <c r="Y1117" s="1"/>
      <c r="Z1117" s="1"/>
      <c r="AA1117" s="1" t="s">
        <v>7220</v>
      </c>
      <c r="AB1117" s="1" t="s">
        <v>7221</v>
      </c>
      <c r="AC1117" s="1"/>
      <c r="AD1117" s="1"/>
      <c r="AE1117" s="1"/>
      <c r="AF1117" s="1"/>
      <c r="AG1117" s="1"/>
      <c r="AH1117" s="1"/>
      <c r="AI1117" s="1"/>
      <c r="AJ1117" s="1"/>
      <c r="AK1117" s="1"/>
      <c r="AL1117" s="1"/>
      <c r="AM1117" s="1"/>
      <c r="AN1117" s="1"/>
      <c r="AO1117" s="1" t="s">
        <v>450</v>
      </c>
      <c r="AP1117" s="1"/>
      <c r="AQ1117" s="1" t="s">
        <v>451</v>
      </c>
      <c r="AR1117" s="1"/>
      <c r="AS1117" s="1"/>
      <c r="AT1117" s="1"/>
      <c r="AU1117" s="1">
        <v>2017</v>
      </c>
      <c r="AV1117" s="1"/>
      <c r="AW1117" s="1"/>
      <c r="AX1117" s="1"/>
      <c r="AY1117" s="1"/>
      <c r="AZ1117" s="1"/>
      <c r="BA1117" s="1"/>
      <c r="BB1117" s="1">
        <v>491</v>
      </c>
      <c r="BC1117" s="1">
        <v>496</v>
      </c>
      <c r="BD1117" s="1"/>
      <c r="BE1117" s="1" t="s">
        <v>7222</v>
      </c>
      <c r="BF1117" s="1" t="str">
        <f>HYPERLINK("http://dx.doi.org/10.1007/978-3-319-60696-5_62","http://dx.doi.org/10.1007/978-3-319-60696-5_62")</f>
        <v>http://dx.doi.org/10.1007/978-3-319-60696-5_62</v>
      </c>
      <c r="BG1117" s="1"/>
      <c r="BH1117" s="1"/>
      <c r="BI1117" s="1"/>
      <c r="BJ1117" s="1"/>
      <c r="BK1117" s="1"/>
      <c r="BL1117" s="1"/>
      <c r="BM1117" s="1"/>
      <c r="BN1117" s="1"/>
      <c r="BO1117" s="1"/>
      <c r="BP1117" s="1"/>
      <c r="BQ1117" s="1"/>
      <c r="BR1117" s="1"/>
      <c r="BS1117" s="1" t="s">
        <v>7223</v>
      </c>
      <c r="BT1117" s="1" t="str">
        <f>HYPERLINK("https%3A%2F%2Fwww.webofscience.com%2Fwos%2Fwoscc%2Ffull-record%2FWOS:000426114200062","View Full Record in Web of Science")</f>
        <v>View Full Record in Web of Science</v>
      </c>
      <c r="BU1117" s="1"/>
      <c r="BV1117" s="1"/>
      <c r="BW1117" s="1"/>
    </row>
    <row r="1118" spans="1:75" customHeight="1" ht="12.75">
      <c r="A1118" s="1" t="s">
        <v>147</v>
      </c>
      <c r="B1118" s="1" t="s">
        <v>7224</v>
      </c>
      <c r="C1118" s="1"/>
      <c r="D1118" s="1"/>
      <c r="E1118" s="1" t="s">
        <v>175</v>
      </c>
      <c r="F1118" s="1" t="s">
        <v>7225</v>
      </c>
      <c r="G1118" s="1"/>
      <c r="H1118" s="1"/>
      <c r="I1118" s="1" t="s">
        <v>7226</v>
      </c>
      <c r="J1118" s="1" t="s">
        <v>2671</v>
      </c>
      <c r="K1118" s="1" t="s">
        <v>1576</v>
      </c>
      <c r="L1118" s="1"/>
      <c r="M1118" s="1"/>
      <c r="N1118" s="1"/>
      <c r="O1118" s="1" t="s">
        <v>2672</v>
      </c>
      <c r="P1118" s="1" t="s">
        <v>2673</v>
      </c>
      <c r="Q1118" s="1" t="s">
        <v>2674</v>
      </c>
      <c r="R1118" s="1"/>
      <c r="S1118" s="1" t="s">
        <v>2675</v>
      </c>
      <c r="T1118" s="1"/>
      <c r="U1118" s="1"/>
      <c r="V1118" s="1"/>
      <c r="W1118" s="1"/>
      <c r="X1118" s="1"/>
      <c r="Y1118" s="1"/>
      <c r="Z1118" s="1"/>
      <c r="AA1118" s="1"/>
      <c r="AB1118" s="1" t="s">
        <v>7227</v>
      </c>
      <c r="AC1118" s="1"/>
      <c r="AD1118" s="1"/>
      <c r="AE1118" s="1"/>
      <c r="AF1118" s="1"/>
      <c r="AG1118" s="1"/>
      <c r="AH1118" s="1"/>
      <c r="AI1118" s="1"/>
      <c r="AJ1118" s="1"/>
      <c r="AK1118" s="1"/>
      <c r="AL1118" s="1"/>
      <c r="AM1118" s="1"/>
      <c r="AN1118" s="1"/>
      <c r="AO1118" s="1" t="s">
        <v>1581</v>
      </c>
      <c r="AP1118" s="1"/>
      <c r="AQ1118" s="1"/>
      <c r="AR1118" s="1"/>
      <c r="AS1118" s="1"/>
      <c r="AT1118" s="1"/>
      <c r="AU1118" s="1">
        <v>2017</v>
      </c>
      <c r="AV1118" s="1">
        <v>90</v>
      </c>
      <c r="AW1118" s="1"/>
      <c r="AX1118" s="1"/>
      <c r="AY1118" s="1"/>
      <c r="AZ1118" s="1"/>
      <c r="BA1118" s="1"/>
      <c r="BB1118" s="1"/>
      <c r="BC1118" s="1"/>
      <c r="BD1118" s="1">
        <v>12126</v>
      </c>
      <c r="BE1118" s="1" t="s">
        <v>7228</v>
      </c>
      <c r="BF1118" s="1" t="str">
        <f>HYPERLINK("http://dx.doi.org/10.1088/1755-1315/90/1/012126","http://dx.doi.org/10.1088/1755-1315/90/1/012126")</f>
        <v>http://dx.doi.org/10.1088/1755-1315/90/1/012126</v>
      </c>
      <c r="BG1118" s="1"/>
      <c r="BH1118" s="1"/>
      <c r="BI1118" s="1"/>
      <c r="BJ1118" s="1"/>
      <c r="BK1118" s="1"/>
      <c r="BL1118" s="1"/>
      <c r="BM1118" s="1"/>
      <c r="BN1118" s="1"/>
      <c r="BO1118" s="1"/>
      <c r="BP1118" s="1"/>
      <c r="BQ1118" s="1"/>
      <c r="BR1118" s="1"/>
      <c r="BS1118" s="1" t="s">
        <v>7229</v>
      </c>
      <c r="BT1118" s="1" t="str">
        <f>HYPERLINK("https%3A%2F%2Fwww.webofscience.com%2Fwos%2Fwoscc%2Ffull-record%2FWOS:000419816700126","View Full Record in Web of Science")</f>
        <v>View Full Record in Web of Science</v>
      </c>
      <c r="BU1118" s="1"/>
      <c r="BV1118" s="1"/>
      <c r="BW1118" s="1"/>
    </row>
    <row r="1119" spans="1:75" customHeight="1" ht="12.75">
      <c r="A1119" s="1" t="s">
        <v>72</v>
      </c>
      <c r="B1119" s="1" t="s">
        <v>7230</v>
      </c>
      <c r="C1119" s="1"/>
      <c r="D1119" s="1"/>
      <c r="E1119" s="1"/>
      <c r="F1119" s="1" t="s">
        <v>7231</v>
      </c>
      <c r="G1119" s="1"/>
      <c r="H1119" s="1"/>
      <c r="I1119" s="1" t="s">
        <v>7232</v>
      </c>
      <c r="J1119" s="1" t="s">
        <v>166</v>
      </c>
      <c r="K1119" s="1"/>
      <c r="L1119" s="1"/>
      <c r="M1119" s="1"/>
      <c r="N1119" s="1"/>
      <c r="O1119" s="1"/>
      <c r="P1119" s="1"/>
      <c r="Q1119" s="1"/>
      <c r="R1119" s="1"/>
      <c r="S1119" s="1"/>
      <c r="T1119" s="1"/>
      <c r="U1119" s="1"/>
      <c r="V1119" s="1"/>
      <c r="W1119" s="1"/>
      <c r="X1119" s="1"/>
      <c r="Y1119" s="1"/>
      <c r="Z1119" s="1"/>
      <c r="AA1119" s="1" t="s">
        <v>2077</v>
      </c>
      <c r="AB1119" s="1" t="s">
        <v>7233</v>
      </c>
      <c r="AC1119" s="1"/>
      <c r="AD1119" s="1"/>
      <c r="AE1119" s="1"/>
      <c r="AF1119" s="1"/>
      <c r="AG1119" s="1"/>
      <c r="AH1119" s="1"/>
      <c r="AI1119" s="1"/>
      <c r="AJ1119" s="1"/>
      <c r="AK1119" s="1"/>
      <c r="AL1119" s="1"/>
      <c r="AM1119" s="1"/>
      <c r="AN1119" s="1"/>
      <c r="AO1119" s="1" t="s">
        <v>169</v>
      </c>
      <c r="AP1119" s="1" t="s">
        <v>170</v>
      </c>
      <c r="AQ1119" s="1"/>
      <c r="AR1119" s="1"/>
      <c r="AS1119" s="1"/>
      <c r="AT1119" s="1" t="s">
        <v>491</v>
      </c>
      <c r="AU1119" s="1">
        <v>2022</v>
      </c>
      <c r="AV1119" s="1">
        <v>11</v>
      </c>
      <c r="AW1119" s="1">
        <v>2</v>
      </c>
      <c r="AX1119" s="1"/>
      <c r="AY1119" s="1"/>
      <c r="AZ1119" s="1"/>
      <c r="BA1119" s="1"/>
      <c r="BB1119" s="1">
        <v>432</v>
      </c>
      <c r="BC1119" s="1">
        <v>445</v>
      </c>
      <c r="BD1119" s="1"/>
      <c r="BE1119" s="1" t="s">
        <v>7234</v>
      </c>
      <c r="BF1119" s="1" t="str">
        <f>HYPERLINK("http://dx.doi.org/10.13187/ejced.2022.2.432","http://dx.doi.org/10.13187/ejced.2022.2.432")</f>
        <v>http://dx.doi.org/10.13187/ejced.2022.2.432</v>
      </c>
      <c r="BG1119" s="1"/>
      <c r="BH1119" s="1"/>
      <c r="BI1119" s="1"/>
      <c r="BJ1119" s="1"/>
      <c r="BK1119" s="1"/>
      <c r="BL1119" s="1"/>
      <c r="BM1119" s="1"/>
      <c r="BN1119" s="1"/>
      <c r="BO1119" s="1"/>
      <c r="BP1119" s="1"/>
      <c r="BQ1119" s="1"/>
      <c r="BR1119" s="1"/>
      <c r="BS1119" s="1" t="s">
        <v>7235</v>
      </c>
      <c r="BT1119" s="1" t="str">
        <f>HYPERLINK("https%3A%2F%2Fwww.webofscience.com%2Fwos%2Fwoscc%2Ffull-record%2FWOS:000823569900009","View Full Record in Web of Science")</f>
        <v>View Full Record in Web of Science</v>
      </c>
      <c r="BU1119" s="1"/>
      <c r="BV1119" s="1"/>
      <c r="BW1119" s="1"/>
    </row>
    <row r="1120" spans="1:75" customHeight="1" ht="12.75">
      <c r="A1120" s="1" t="s">
        <v>72</v>
      </c>
      <c r="B1120" s="1" t="s">
        <v>378</v>
      </c>
      <c r="C1120" s="1"/>
      <c r="D1120" s="1"/>
      <c r="E1120" s="1"/>
      <c r="F1120" s="1" t="s">
        <v>1226</v>
      </c>
      <c r="G1120" s="1"/>
      <c r="H1120" s="1"/>
      <c r="I1120" s="1" t="s">
        <v>7236</v>
      </c>
      <c r="J1120" s="1" t="s">
        <v>6678</v>
      </c>
      <c r="K1120" s="1"/>
      <c r="L1120" s="1"/>
      <c r="M1120" s="1"/>
      <c r="N1120" s="1"/>
      <c r="O1120" s="1"/>
      <c r="P1120" s="1"/>
      <c r="Q1120" s="1"/>
      <c r="R1120" s="1"/>
      <c r="S1120" s="1"/>
      <c r="T1120" s="1"/>
      <c r="U1120" s="1"/>
      <c r="V1120" s="1"/>
      <c r="W1120" s="1"/>
      <c r="X1120" s="1"/>
      <c r="Y1120" s="1"/>
      <c r="Z1120" s="1"/>
      <c r="AA1120" s="1" t="s">
        <v>553</v>
      </c>
      <c r="AB1120" s="1" t="s">
        <v>554</v>
      </c>
      <c r="AC1120" s="1"/>
      <c r="AD1120" s="1"/>
      <c r="AE1120" s="1"/>
      <c r="AF1120" s="1"/>
      <c r="AG1120" s="1"/>
      <c r="AH1120" s="1"/>
      <c r="AI1120" s="1"/>
      <c r="AJ1120" s="1"/>
      <c r="AK1120" s="1"/>
      <c r="AL1120" s="1"/>
      <c r="AM1120" s="1"/>
      <c r="AN1120" s="1"/>
      <c r="AO1120" s="1" t="s">
        <v>6679</v>
      </c>
      <c r="AP1120" s="1"/>
      <c r="AQ1120" s="1"/>
      <c r="AR1120" s="1"/>
      <c r="AS1120" s="1"/>
      <c r="AT1120" s="1"/>
      <c r="AU1120" s="1">
        <v>2021</v>
      </c>
      <c r="AV1120" s="1">
        <v>12</v>
      </c>
      <c r="AW1120" s="1">
        <v>5</v>
      </c>
      <c r="AX1120" s="1"/>
      <c r="AY1120" s="1"/>
      <c r="AZ1120" s="1"/>
      <c r="BA1120" s="1"/>
      <c r="BB1120" s="1">
        <v>52</v>
      </c>
      <c r="BC1120" s="1">
        <v>55</v>
      </c>
      <c r="BD1120" s="1"/>
      <c r="BE1120" s="1" t="s">
        <v>7237</v>
      </c>
      <c r="BF1120" s="1" t="str">
        <f>HYPERLINK("http://dx.doi.org/10.51847/iCBtjlcQyD","http://dx.doi.org/10.51847/iCBtjlcQyD")</f>
        <v>http://dx.doi.org/10.51847/iCBtjlcQyD</v>
      </c>
      <c r="BG1120" s="1"/>
      <c r="BH1120" s="1"/>
      <c r="BI1120" s="1"/>
      <c r="BJ1120" s="1"/>
      <c r="BK1120" s="1"/>
      <c r="BL1120" s="1"/>
      <c r="BM1120" s="1"/>
      <c r="BN1120" s="1"/>
      <c r="BO1120" s="1"/>
      <c r="BP1120" s="1"/>
      <c r="BQ1120" s="1"/>
      <c r="BR1120" s="1"/>
      <c r="BS1120" s="1" t="s">
        <v>7238</v>
      </c>
      <c r="BT1120" s="1" t="str">
        <f>HYPERLINK("https%3A%2F%2Fwww.webofscience.com%2Fwos%2Fwoscc%2Ffull-record%2FWOS:000741374100001","View Full Record in Web of Science")</f>
        <v>View Full Record in Web of Science</v>
      </c>
      <c r="BU1120" s="1"/>
      <c r="BV1120" s="1"/>
      <c r="BW1120" s="1"/>
    </row>
    <row r="1121" spans="1:75" customHeight="1" ht="12.75">
      <c r="A1121" s="1" t="s">
        <v>72</v>
      </c>
      <c r="B1121" s="1" t="s">
        <v>7239</v>
      </c>
      <c r="C1121" s="1"/>
      <c r="D1121" s="1"/>
      <c r="E1121" s="1"/>
      <c r="F1121" s="1" t="s">
        <v>7240</v>
      </c>
      <c r="G1121" s="1"/>
      <c r="H1121" s="1"/>
      <c r="I1121" s="1" t="s">
        <v>7241</v>
      </c>
      <c r="J1121" s="1" t="s">
        <v>95</v>
      </c>
      <c r="K1121" s="1"/>
      <c r="L1121" s="1"/>
      <c r="M1121" s="1"/>
      <c r="N1121" s="1"/>
      <c r="O1121" s="1"/>
      <c r="P1121" s="1"/>
      <c r="Q1121" s="1"/>
      <c r="R1121" s="1"/>
      <c r="S1121" s="1"/>
      <c r="T1121" s="1"/>
      <c r="U1121" s="1"/>
      <c r="V1121" s="1"/>
      <c r="W1121" s="1"/>
      <c r="X1121" s="1"/>
      <c r="Y1121" s="1"/>
      <c r="Z1121" s="1"/>
      <c r="AA1121" s="1" t="s">
        <v>6925</v>
      </c>
      <c r="AB1121" s="1" t="s">
        <v>6926</v>
      </c>
      <c r="AC1121" s="1"/>
      <c r="AD1121" s="1"/>
      <c r="AE1121" s="1"/>
      <c r="AF1121" s="1"/>
      <c r="AG1121" s="1"/>
      <c r="AH1121" s="1"/>
      <c r="AI1121" s="1"/>
      <c r="AJ1121" s="1"/>
      <c r="AK1121" s="1"/>
      <c r="AL1121" s="1"/>
      <c r="AM1121" s="1"/>
      <c r="AN1121" s="1"/>
      <c r="AO1121" s="1" t="s">
        <v>98</v>
      </c>
      <c r="AP1121" s="1" t="s">
        <v>99</v>
      </c>
      <c r="AQ1121" s="1"/>
      <c r="AR1121" s="1"/>
      <c r="AS1121" s="1"/>
      <c r="AT1121" s="1"/>
      <c r="AU1121" s="1">
        <v>2021</v>
      </c>
      <c r="AV1121" s="1"/>
      <c r="AW1121" s="1">
        <v>1</v>
      </c>
      <c r="AX1121" s="1"/>
      <c r="AY1121" s="1"/>
      <c r="AZ1121" s="1"/>
      <c r="BA1121" s="1"/>
      <c r="BB1121" s="1">
        <v>79</v>
      </c>
      <c r="BC1121" s="1">
        <v>84</v>
      </c>
      <c r="BD1121" s="1"/>
      <c r="BE1121" s="1" t="s">
        <v>7242</v>
      </c>
      <c r="BF1121" s="1" t="str">
        <f>HYPERLINK("http://dx.doi.org/10.25750/1995-4301-2021-1-079-084","http://dx.doi.org/10.25750/1995-4301-2021-1-079-084")</f>
        <v>http://dx.doi.org/10.25750/1995-4301-2021-1-079-084</v>
      </c>
      <c r="BG1121" s="1"/>
      <c r="BH1121" s="1"/>
      <c r="BI1121" s="1"/>
      <c r="BJ1121" s="1"/>
      <c r="BK1121" s="1"/>
      <c r="BL1121" s="1"/>
      <c r="BM1121" s="1"/>
      <c r="BN1121" s="1"/>
      <c r="BO1121" s="1"/>
      <c r="BP1121" s="1"/>
      <c r="BQ1121" s="1"/>
      <c r="BR1121" s="1"/>
      <c r="BS1121" s="1" t="s">
        <v>7243</v>
      </c>
      <c r="BT1121" s="1" t="str">
        <f>HYPERLINK("https%3A%2F%2Fwww.webofscience.com%2Fwos%2Fwoscc%2Ffull-record%2FWOS:000632219100010","View Full Record in Web of Science")</f>
        <v>View Full Record in Web of Science</v>
      </c>
      <c r="BU1121" s="1"/>
      <c r="BV1121" s="1"/>
      <c r="BW1121" s="1"/>
    </row>
    <row r="1122" spans="1:75" customHeight="1" ht="12.75">
      <c r="A1122" s="1" t="s">
        <v>72</v>
      </c>
      <c r="B1122" s="1" t="s">
        <v>7244</v>
      </c>
      <c r="C1122" s="1"/>
      <c r="D1122" s="1"/>
      <c r="E1122" s="1"/>
      <c r="F1122" s="1" t="s">
        <v>7245</v>
      </c>
      <c r="G1122" s="1"/>
      <c r="H1122" s="1"/>
      <c r="I1122" s="1" t="s">
        <v>7246</v>
      </c>
      <c r="J1122" s="1" t="s">
        <v>95</v>
      </c>
      <c r="K1122" s="1"/>
      <c r="L1122" s="1"/>
      <c r="M1122" s="1"/>
      <c r="N1122" s="1"/>
      <c r="O1122" s="1"/>
      <c r="P1122" s="1"/>
      <c r="Q1122" s="1"/>
      <c r="R1122" s="1"/>
      <c r="S1122" s="1"/>
      <c r="T1122" s="1"/>
      <c r="U1122" s="1"/>
      <c r="V1122" s="1"/>
      <c r="W1122" s="1"/>
      <c r="X1122" s="1"/>
      <c r="Y1122" s="1"/>
      <c r="Z1122" s="1"/>
      <c r="AA1122" s="1" t="s">
        <v>7247</v>
      </c>
      <c r="AB1122" s="1" t="s">
        <v>7073</v>
      </c>
      <c r="AC1122" s="1"/>
      <c r="AD1122" s="1"/>
      <c r="AE1122" s="1"/>
      <c r="AF1122" s="1"/>
      <c r="AG1122" s="1"/>
      <c r="AH1122" s="1"/>
      <c r="AI1122" s="1"/>
      <c r="AJ1122" s="1"/>
      <c r="AK1122" s="1"/>
      <c r="AL1122" s="1"/>
      <c r="AM1122" s="1"/>
      <c r="AN1122" s="1"/>
      <c r="AO1122" s="1" t="s">
        <v>98</v>
      </c>
      <c r="AP1122" s="1" t="s">
        <v>99</v>
      </c>
      <c r="AQ1122" s="1"/>
      <c r="AR1122" s="1"/>
      <c r="AS1122" s="1"/>
      <c r="AT1122" s="1"/>
      <c r="AU1122" s="1">
        <v>2021</v>
      </c>
      <c r="AV1122" s="1"/>
      <c r="AW1122" s="1">
        <v>1</v>
      </c>
      <c r="AX1122" s="1"/>
      <c r="AY1122" s="1"/>
      <c r="AZ1122" s="1"/>
      <c r="BA1122" s="1"/>
      <c r="BB1122" s="1">
        <v>22</v>
      </c>
      <c r="BC1122" s="1">
        <v>29</v>
      </c>
      <c r="BD1122" s="1"/>
      <c r="BE1122" s="1" t="s">
        <v>7248</v>
      </c>
      <c r="BF1122" s="1" t="str">
        <f>HYPERLINK("http://dx.doi.org/10.25750/1995-4301-2021-1-022-029","http://dx.doi.org/10.25750/1995-4301-2021-1-022-029")</f>
        <v>http://dx.doi.org/10.25750/1995-4301-2021-1-022-029</v>
      </c>
      <c r="BG1122" s="1"/>
      <c r="BH1122" s="1"/>
      <c r="BI1122" s="1"/>
      <c r="BJ1122" s="1"/>
      <c r="BK1122" s="1"/>
      <c r="BL1122" s="1"/>
      <c r="BM1122" s="1"/>
      <c r="BN1122" s="1"/>
      <c r="BO1122" s="1"/>
      <c r="BP1122" s="1"/>
      <c r="BQ1122" s="1"/>
      <c r="BR1122" s="1"/>
      <c r="BS1122" s="1" t="s">
        <v>7249</v>
      </c>
      <c r="BT1122" s="1" t="str">
        <f>HYPERLINK("https%3A%2F%2Fwww.webofscience.com%2Fwos%2Fwoscc%2Ffull-record%2FWOS:000632219100003","View Full Record in Web of Science")</f>
        <v>View Full Record in Web of Science</v>
      </c>
      <c r="BU1122" s="1"/>
      <c r="BV1122" s="1"/>
      <c r="BW1122" s="1"/>
    </row>
    <row r="1123" spans="1:75" customHeight="1" ht="12.75">
      <c r="A1123" s="1" t="s">
        <v>72</v>
      </c>
      <c r="B1123" s="1" t="s">
        <v>7125</v>
      </c>
      <c r="C1123" s="1"/>
      <c r="D1123" s="1"/>
      <c r="E1123" s="1"/>
      <c r="F1123" s="1" t="s">
        <v>7126</v>
      </c>
      <c r="G1123" s="1"/>
      <c r="H1123" s="1"/>
      <c r="I1123" s="1" t="s">
        <v>7250</v>
      </c>
      <c r="J1123" s="1" t="s">
        <v>6799</v>
      </c>
      <c r="K1123" s="1"/>
      <c r="L1123" s="1"/>
      <c r="M1123" s="1"/>
      <c r="N1123" s="1"/>
      <c r="O1123" s="1"/>
      <c r="P1123" s="1"/>
      <c r="Q1123" s="1"/>
      <c r="R1123" s="1"/>
      <c r="S1123" s="1"/>
      <c r="T1123" s="1"/>
      <c r="U1123" s="1"/>
      <c r="V1123" s="1"/>
      <c r="W1123" s="1"/>
      <c r="X1123" s="1"/>
      <c r="Y1123" s="1"/>
      <c r="Z1123" s="1"/>
      <c r="AA1123" s="1" t="s">
        <v>7251</v>
      </c>
      <c r="AB1123" s="1" t="s">
        <v>7252</v>
      </c>
      <c r="AC1123" s="1"/>
      <c r="AD1123" s="1"/>
      <c r="AE1123" s="1"/>
      <c r="AF1123" s="1"/>
      <c r="AG1123" s="1"/>
      <c r="AH1123" s="1"/>
      <c r="AI1123" s="1"/>
      <c r="AJ1123" s="1"/>
      <c r="AK1123" s="1"/>
      <c r="AL1123" s="1"/>
      <c r="AM1123" s="1"/>
      <c r="AN1123" s="1"/>
      <c r="AO1123" s="1" t="s">
        <v>6802</v>
      </c>
      <c r="AP1123" s="1" t="s">
        <v>6803</v>
      </c>
      <c r="AQ1123" s="1"/>
      <c r="AR1123" s="1"/>
      <c r="AS1123" s="1"/>
      <c r="AT1123" s="1" t="s">
        <v>7253</v>
      </c>
      <c r="AU1123" s="1">
        <v>2020</v>
      </c>
      <c r="AV1123" s="1">
        <v>164</v>
      </c>
      <c r="AW1123" s="1"/>
      <c r="AX1123" s="1"/>
      <c r="AY1123" s="1"/>
      <c r="AZ1123" s="1"/>
      <c r="BA1123" s="1"/>
      <c r="BB1123" s="1">
        <v>863</v>
      </c>
      <c r="BC1123" s="1">
        <v>870</v>
      </c>
      <c r="BD1123" s="1"/>
      <c r="BE1123" s="1" t="s">
        <v>7254</v>
      </c>
      <c r="BF1123" s="1" t="str">
        <f>HYPERLINK("http://dx.doi.org/10.1016/j.ijbiomac.2020.07.189","http://dx.doi.org/10.1016/j.ijbiomac.2020.07.189")</f>
        <v>http://dx.doi.org/10.1016/j.ijbiomac.2020.07.189</v>
      </c>
      <c r="BG1123" s="1"/>
      <c r="BH1123" s="1"/>
      <c r="BI1123" s="1"/>
      <c r="BJ1123" s="1"/>
      <c r="BK1123" s="1"/>
      <c r="BL1123" s="1"/>
      <c r="BM1123" s="1"/>
      <c r="BN1123" s="1">
        <v>32707284</v>
      </c>
      <c r="BO1123" s="1"/>
      <c r="BP1123" s="1"/>
      <c r="BQ1123" s="1"/>
      <c r="BR1123" s="1"/>
      <c r="BS1123" s="1" t="s">
        <v>7255</v>
      </c>
      <c r="BT1123" s="1" t="str">
        <f>HYPERLINK("https%3A%2F%2Fwww.webofscience.com%2Fwos%2Fwoscc%2Ffull-record%2FWOS:000588093700082","View Full Record in Web of Science")</f>
        <v>View Full Record in Web of Science</v>
      </c>
      <c r="BU1123" s="1"/>
      <c r="BV1123" s="1"/>
      <c r="BW1123" s="1"/>
    </row>
    <row r="1124" spans="1:75" customHeight="1" ht="12.75">
      <c r="A1124" s="1" t="s">
        <v>72</v>
      </c>
      <c r="B1124" s="1" t="s">
        <v>7256</v>
      </c>
      <c r="C1124" s="1"/>
      <c r="D1124" s="1"/>
      <c r="E1124" s="1"/>
      <c r="F1124" s="1" t="s">
        <v>7257</v>
      </c>
      <c r="G1124" s="1"/>
      <c r="H1124" s="1"/>
      <c r="I1124" s="1" t="s">
        <v>7258</v>
      </c>
      <c r="J1124" s="1" t="s">
        <v>95</v>
      </c>
      <c r="K1124" s="1"/>
      <c r="L1124" s="1"/>
      <c r="M1124" s="1"/>
      <c r="N1124" s="1"/>
      <c r="O1124" s="1"/>
      <c r="P1124" s="1"/>
      <c r="Q1124" s="1"/>
      <c r="R1124" s="1"/>
      <c r="S1124" s="1"/>
      <c r="T1124" s="1"/>
      <c r="U1124" s="1"/>
      <c r="V1124" s="1"/>
      <c r="W1124" s="1"/>
      <c r="X1124" s="1"/>
      <c r="Y1124" s="1"/>
      <c r="Z1124" s="1"/>
      <c r="AA1124" s="1" t="s">
        <v>7259</v>
      </c>
      <c r="AB1124" s="1" t="s">
        <v>6972</v>
      </c>
      <c r="AC1124" s="1"/>
      <c r="AD1124" s="1"/>
      <c r="AE1124" s="1"/>
      <c r="AF1124" s="1"/>
      <c r="AG1124" s="1"/>
      <c r="AH1124" s="1"/>
      <c r="AI1124" s="1"/>
      <c r="AJ1124" s="1"/>
      <c r="AK1124" s="1"/>
      <c r="AL1124" s="1"/>
      <c r="AM1124" s="1"/>
      <c r="AN1124" s="1"/>
      <c r="AO1124" s="1" t="s">
        <v>98</v>
      </c>
      <c r="AP1124" s="1" t="s">
        <v>99</v>
      </c>
      <c r="AQ1124" s="1"/>
      <c r="AR1124" s="1"/>
      <c r="AS1124" s="1"/>
      <c r="AT1124" s="1"/>
      <c r="AU1124" s="1">
        <v>2020</v>
      </c>
      <c r="AV1124" s="1"/>
      <c r="AW1124" s="1">
        <v>1</v>
      </c>
      <c r="AX1124" s="1"/>
      <c r="AY1124" s="1"/>
      <c r="AZ1124" s="1"/>
      <c r="BA1124" s="1"/>
      <c r="BB1124" s="1">
        <v>151</v>
      </c>
      <c r="BC1124" s="1">
        <v>159</v>
      </c>
      <c r="BD1124" s="1"/>
      <c r="BE1124" s="1" t="s">
        <v>7260</v>
      </c>
      <c r="BF1124" s="1" t="str">
        <f>HYPERLINK("http://dx.doi.org/10.25750/1995-4301-2020-1-151-159","http://dx.doi.org/10.25750/1995-4301-2020-1-151-159")</f>
        <v>http://dx.doi.org/10.25750/1995-4301-2020-1-151-159</v>
      </c>
      <c r="BG1124" s="1"/>
      <c r="BH1124" s="1"/>
      <c r="BI1124" s="1"/>
      <c r="BJ1124" s="1"/>
      <c r="BK1124" s="1"/>
      <c r="BL1124" s="1"/>
      <c r="BM1124" s="1"/>
      <c r="BN1124" s="1"/>
      <c r="BO1124" s="1"/>
      <c r="BP1124" s="1"/>
      <c r="BQ1124" s="1"/>
      <c r="BR1124" s="1"/>
      <c r="BS1124" s="1" t="s">
        <v>7261</v>
      </c>
      <c r="BT1124" s="1" t="str">
        <f>HYPERLINK("https%3A%2F%2Fwww.webofscience.com%2Fwos%2Fwoscc%2Ffull-record%2FWOS:000522789400022","View Full Record in Web of Science")</f>
        <v>View Full Record in Web of Science</v>
      </c>
      <c r="BU1124" s="1"/>
      <c r="BV1124" s="1"/>
      <c r="BW1124" s="1"/>
    </row>
    <row r="1125" spans="1:75" customHeight="1" ht="12.75">
      <c r="A1125" s="1" t="s">
        <v>72</v>
      </c>
      <c r="B1125" s="1" t="s">
        <v>7262</v>
      </c>
      <c r="C1125" s="1"/>
      <c r="D1125" s="1"/>
      <c r="E1125" s="1"/>
      <c r="F1125" s="1" t="s">
        <v>7263</v>
      </c>
      <c r="G1125" s="1"/>
      <c r="H1125" s="1"/>
      <c r="I1125" s="1" t="s">
        <v>7264</v>
      </c>
      <c r="J1125" s="1" t="s">
        <v>7265</v>
      </c>
      <c r="K1125" s="1"/>
      <c r="L1125" s="1"/>
      <c r="M1125" s="1"/>
      <c r="N1125" s="1"/>
      <c r="O1125" s="1"/>
      <c r="P1125" s="1"/>
      <c r="Q1125" s="1"/>
      <c r="R1125" s="1"/>
      <c r="S1125" s="1"/>
      <c r="T1125" s="1"/>
      <c r="U1125" s="1"/>
      <c r="V1125" s="1"/>
      <c r="W1125" s="1"/>
      <c r="X1125" s="1"/>
      <c r="Y1125" s="1"/>
      <c r="Z1125" s="1"/>
      <c r="AA1125" s="1" t="s">
        <v>7266</v>
      </c>
      <c r="AB1125" s="1"/>
      <c r="AC1125" s="1"/>
      <c r="AD1125" s="1"/>
      <c r="AE1125" s="1"/>
      <c r="AF1125" s="1"/>
      <c r="AG1125" s="1"/>
      <c r="AH1125" s="1"/>
      <c r="AI1125" s="1"/>
      <c r="AJ1125" s="1"/>
      <c r="AK1125" s="1"/>
      <c r="AL1125" s="1"/>
      <c r="AM1125" s="1"/>
      <c r="AN1125" s="1"/>
      <c r="AO1125" s="1"/>
      <c r="AP1125" s="1" t="s">
        <v>7267</v>
      </c>
      <c r="AQ1125" s="1"/>
      <c r="AR1125" s="1"/>
      <c r="AS1125" s="1"/>
      <c r="AT1125" s="1" t="s">
        <v>655</v>
      </c>
      <c r="AU1125" s="1">
        <v>2019</v>
      </c>
      <c r="AV1125" s="1">
        <v>5</v>
      </c>
      <c r="AW1125" s="1">
        <v>2</v>
      </c>
      <c r="AX1125" s="1"/>
      <c r="AY1125" s="1"/>
      <c r="AZ1125" s="1"/>
      <c r="BA1125" s="1"/>
      <c r="BB1125" s="1"/>
      <c r="BC1125" s="1"/>
      <c r="BD1125" s="1" t="s">
        <v>7268</v>
      </c>
      <c r="BE1125" s="1" t="s">
        <v>7269</v>
      </c>
      <c r="BF1125" s="1" t="str">
        <f>HYPERLINK("http://dx.doi.org/10.1016/j.heliyon.2019.e01202","http://dx.doi.org/10.1016/j.heliyon.2019.e01202")</f>
        <v>http://dx.doi.org/10.1016/j.heliyon.2019.e01202</v>
      </c>
      <c r="BG1125" s="1"/>
      <c r="BH1125" s="1"/>
      <c r="BI1125" s="1"/>
      <c r="BJ1125" s="1"/>
      <c r="BK1125" s="1"/>
      <c r="BL1125" s="1"/>
      <c r="BM1125" s="1"/>
      <c r="BN1125" s="1">
        <v>30815596</v>
      </c>
      <c r="BO1125" s="1"/>
      <c r="BP1125" s="1"/>
      <c r="BQ1125" s="1"/>
      <c r="BR1125" s="1"/>
      <c r="BS1125" s="1" t="s">
        <v>7270</v>
      </c>
      <c r="BT1125" s="1" t="str">
        <f>HYPERLINK("https%3A%2F%2Fwww.webofscience.com%2Fwos%2Fwoscc%2Ffull-record%2FWOS:000460082200025","View Full Record in Web of Science")</f>
        <v>View Full Record in Web of Science</v>
      </c>
      <c r="BU1125" s="1"/>
      <c r="BV1125" s="1"/>
      <c r="BW1125" s="1"/>
    </row>
    <row r="1126" spans="1:75" customHeight="1" ht="12.75">
      <c r="A1126" s="1" t="s">
        <v>72</v>
      </c>
      <c r="B1126" s="1" t="s">
        <v>7189</v>
      </c>
      <c r="C1126" s="1"/>
      <c r="D1126" s="1"/>
      <c r="E1126" s="1"/>
      <c r="F1126" s="1" t="s">
        <v>7271</v>
      </c>
      <c r="G1126" s="1"/>
      <c r="H1126" s="1"/>
      <c r="I1126" s="1" t="s">
        <v>7272</v>
      </c>
      <c r="J1126" s="1" t="s">
        <v>95</v>
      </c>
      <c r="K1126" s="1"/>
      <c r="L1126" s="1"/>
      <c r="M1126" s="1"/>
      <c r="N1126" s="1"/>
      <c r="O1126" s="1"/>
      <c r="P1126" s="1"/>
      <c r="Q1126" s="1"/>
      <c r="R1126" s="1"/>
      <c r="S1126" s="1"/>
      <c r="T1126" s="1"/>
      <c r="U1126" s="1"/>
      <c r="V1126" s="1"/>
      <c r="W1126" s="1"/>
      <c r="X1126" s="1"/>
      <c r="Y1126" s="1"/>
      <c r="Z1126" s="1"/>
      <c r="AA1126" s="1" t="s">
        <v>5529</v>
      </c>
      <c r="AB1126" s="1" t="s">
        <v>5530</v>
      </c>
      <c r="AC1126" s="1"/>
      <c r="AD1126" s="1"/>
      <c r="AE1126" s="1"/>
      <c r="AF1126" s="1"/>
      <c r="AG1126" s="1"/>
      <c r="AH1126" s="1"/>
      <c r="AI1126" s="1"/>
      <c r="AJ1126" s="1"/>
      <c r="AK1126" s="1"/>
      <c r="AL1126" s="1"/>
      <c r="AM1126" s="1"/>
      <c r="AN1126" s="1"/>
      <c r="AO1126" s="1" t="s">
        <v>98</v>
      </c>
      <c r="AP1126" s="1" t="s">
        <v>99</v>
      </c>
      <c r="AQ1126" s="1"/>
      <c r="AR1126" s="1"/>
      <c r="AS1126" s="1"/>
      <c r="AT1126" s="1"/>
      <c r="AU1126" s="1">
        <v>2021</v>
      </c>
      <c r="AV1126" s="1"/>
      <c r="AW1126" s="1">
        <v>3</v>
      </c>
      <c r="AX1126" s="1"/>
      <c r="AY1126" s="1"/>
      <c r="AZ1126" s="1"/>
      <c r="BA1126" s="1"/>
      <c r="BB1126" s="1">
        <v>38</v>
      </c>
      <c r="BC1126" s="1">
        <v>43</v>
      </c>
      <c r="BD1126" s="1"/>
      <c r="BE1126" s="1" t="s">
        <v>7273</v>
      </c>
      <c r="BF1126" s="1" t="str">
        <f>HYPERLINK("http://dx.doi.org/10.25750/1995-4301-2021-3-038-043","http://dx.doi.org/10.25750/1995-4301-2021-3-038-043")</f>
        <v>http://dx.doi.org/10.25750/1995-4301-2021-3-038-043</v>
      </c>
      <c r="BG1126" s="1"/>
      <c r="BH1126" s="1"/>
      <c r="BI1126" s="1"/>
      <c r="BJ1126" s="1"/>
      <c r="BK1126" s="1"/>
      <c r="BL1126" s="1"/>
      <c r="BM1126" s="1"/>
      <c r="BN1126" s="1"/>
      <c r="BO1126" s="1"/>
      <c r="BP1126" s="1"/>
      <c r="BQ1126" s="1"/>
      <c r="BR1126" s="1"/>
      <c r="BS1126" s="1" t="s">
        <v>7274</v>
      </c>
      <c r="BT1126" s="1" t="str">
        <f>HYPERLINK("https%3A%2F%2Fwww.webofscience.com%2Fwos%2Fwoscc%2Ffull-record%2FWOS:000700413300005","View Full Record in Web of Science")</f>
        <v>View Full Record in Web of Science</v>
      </c>
      <c r="BU1126" s="1"/>
      <c r="BV1126" s="1"/>
      <c r="BW1126" s="1"/>
    </row>
    <row r="1127" spans="1:75" customHeight="1" ht="12.75">
      <c r="A1127" s="1" t="s">
        <v>72</v>
      </c>
      <c r="B1127" s="1" t="s">
        <v>7275</v>
      </c>
      <c r="C1127" s="1"/>
      <c r="D1127" s="1"/>
      <c r="E1127" s="1"/>
      <c r="F1127" s="1" t="s">
        <v>7276</v>
      </c>
      <c r="G1127" s="1"/>
      <c r="H1127" s="1"/>
      <c r="I1127" s="1" t="s">
        <v>7277</v>
      </c>
      <c r="J1127" s="1" t="s">
        <v>7278</v>
      </c>
      <c r="K1127" s="1"/>
      <c r="L1127" s="1"/>
      <c r="M1127" s="1"/>
      <c r="N1127" s="1"/>
      <c r="O1127" s="1"/>
      <c r="P1127" s="1"/>
      <c r="Q1127" s="1"/>
      <c r="R1127" s="1"/>
      <c r="S1127" s="1"/>
      <c r="T1127" s="1"/>
      <c r="U1127" s="1"/>
      <c r="V1127" s="1"/>
      <c r="W1127" s="1"/>
      <c r="X1127" s="1"/>
      <c r="Y1127" s="1"/>
      <c r="Z1127" s="1"/>
      <c r="AA1127" s="1" t="s">
        <v>7279</v>
      </c>
      <c r="AB1127" s="1" t="s">
        <v>6791</v>
      </c>
      <c r="AC1127" s="1"/>
      <c r="AD1127" s="1"/>
      <c r="AE1127" s="1"/>
      <c r="AF1127" s="1"/>
      <c r="AG1127" s="1"/>
      <c r="AH1127" s="1"/>
      <c r="AI1127" s="1"/>
      <c r="AJ1127" s="1"/>
      <c r="AK1127" s="1"/>
      <c r="AL1127" s="1"/>
      <c r="AM1127" s="1"/>
      <c r="AN1127" s="1"/>
      <c r="AO1127" s="1" t="s">
        <v>7280</v>
      </c>
      <c r="AP1127" s="1" t="s">
        <v>7281</v>
      </c>
      <c r="AQ1127" s="1"/>
      <c r="AR1127" s="1"/>
      <c r="AS1127" s="1"/>
      <c r="AT1127" s="1" t="s">
        <v>1167</v>
      </c>
      <c r="AU1127" s="1">
        <v>2019</v>
      </c>
      <c r="AV1127" s="1">
        <v>61</v>
      </c>
      <c r="AW1127" s="1">
        <v>10</v>
      </c>
      <c r="AX1127" s="1"/>
      <c r="AY1127" s="1"/>
      <c r="AZ1127" s="1"/>
      <c r="BA1127" s="1"/>
      <c r="BB1127" s="1">
        <v>725</v>
      </c>
      <c r="BC1127" s="1">
        <v>741</v>
      </c>
      <c r="BD1127" s="1"/>
      <c r="BE1127" s="1" t="s">
        <v>7282</v>
      </c>
      <c r="BF1127" s="1" t="str">
        <f>HYPERLINK("http://dx.doi.org/10.1007/s12033-019-00202-5","http://dx.doi.org/10.1007/s12033-019-00202-5")</f>
        <v>http://dx.doi.org/10.1007/s12033-019-00202-5</v>
      </c>
      <c r="BG1127" s="1"/>
      <c r="BH1127" s="1"/>
      <c r="BI1127" s="1"/>
      <c r="BJ1127" s="1"/>
      <c r="BK1127" s="1"/>
      <c r="BL1127" s="1"/>
      <c r="BM1127" s="1"/>
      <c r="BN1127" s="1">
        <v>31372919</v>
      </c>
      <c r="BO1127" s="1"/>
      <c r="BP1127" s="1"/>
      <c r="BQ1127" s="1"/>
      <c r="BR1127" s="1"/>
      <c r="BS1127" s="1" t="s">
        <v>7283</v>
      </c>
      <c r="BT1127" s="1" t="str">
        <f>HYPERLINK("https%3A%2F%2Fwww.webofscience.com%2Fwos%2Fwoscc%2Ffull-record%2FWOS:000485895800002","View Full Record in Web of Science")</f>
        <v>View Full Record in Web of Science</v>
      </c>
      <c r="BU1127" s="1"/>
      <c r="BV1127" s="1"/>
      <c r="BW1127" s="1"/>
    </row>
    <row r="1128" spans="1:75" customHeight="1" ht="12.75">
      <c r="A1128" s="1" t="s">
        <v>72</v>
      </c>
      <c r="B1128" s="1" t="s">
        <v>7284</v>
      </c>
      <c r="C1128" s="1"/>
      <c r="D1128" s="1"/>
      <c r="E1128" s="1"/>
      <c r="F1128" s="1" t="s">
        <v>7285</v>
      </c>
      <c r="G1128" s="1"/>
      <c r="H1128" s="1"/>
      <c r="I1128" s="1" t="s">
        <v>7286</v>
      </c>
      <c r="J1128" s="1" t="s">
        <v>6978</v>
      </c>
      <c r="K1128" s="1"/>
      <c r="L1128" s="1"/>
      <c r="M1128" s="1"/>
      <c r="N1128" s="1"/>
      <c r="O1128" s="1"/>
      <c r="P1128" s="1"/>
      <c r="Q1128" s="1"/>
      <c r="R1128" s="1"/>
      <c r="S1128" s="1"/>
      <c r="T1128" s="1"/>
      <c r="U1128" s="1"/>
      <c r="V1128" s="1"/>
      <c r="W1128" s="1"/>
      <c r="X1128" s="1"/>
      <c r="Y1128" s="1"/>
      <c r="Z1128" s="1"/>
      <c r="AA1128" s="1" t="s">
        <v>7287</v>
      </c>
      <c r="AB1128" s="1" t="s">
        <v>7288</v>
      </c>
      <c r="AC1128" s="1"/>
      <c r="AD1128" s="1"/>
      <c r="AE1128" s="1"/>
      <c r="AF1128" s="1"/>
      <c r="AG1128" s="1"/>
      <c r="AH1128" s="1"/>
      <c r="AI1128" s="1"/>
      <c r="AJ1128" s="1"/>
      <c r="AK1128" s="1"/>
      <c r="AL1128" s="1"/>
      <c r="AM1128" s="1"/>
      <c r="AN1128" s="1"/>
      <c r="AO1128" s="1" t="s">
        <v>6979</v>
      </c>
      <c r="AP1128" s="1"/>
      <c r="AQ1128" s="1"/>
      <c r="AR1128" s="1"/>
      <c r="AS1128" s="1"/>
      <c r="AT1128" s="1" t="s">
        <v>125</v>
      </c>
      <c r="AU1128" s="1">
        <v>2018</v>
      </c>
      <c r="AV1128" s="1">
        <v>8</v>
      </c>
      <c r="AW1128" s="1"/>
      <c r="AX1128" s="1"/>
      <c r="AY1128" s="1">
        <v>1</v>
      </c>
      <c r="AZ1128" s="1"/>
      <c r="BA1128" s="1" t="s">
        <v>7289</v>
      </c>
      <c r="BB1128" s="1">
        <v>144</v>
      </c>
      <c r="BC1128" s="1">
        <v>145</v>
      </c>
      <c r="BD1128" s="1"/>
      <c r="BE1128" s="1"/>
      <c r="BF1128" s="1"/>
      <c r="BG1128" s="1"/>
      <c r="BH1128" s="1"/>
      <c r="BI1128" s="1"/>
      <c r="BJ1128" s="1"/>
      <c r="BK1128" s="1"/>
      <c r="BL1128" s="1"/>
      <c r="BM1128" s="1"/>
      <c r="BN1128" s="1"/>
      <c r="BO1128" s="1"/>
      <c r="BP1128" s="1"/>
      <c r="BQ1128" s="1"/>
      <c r="BR1128" s="1"/>
      <c r="BS1128" s="1" t="s">
        <v>7290</v>
      </c>
      <c r="BT1128" s="1" t="str">
        <f>HYPERLINK("https%3A%2F%2Fwww.webofscience.com%2Fwos%2Fwoscc%2Ffull-record%2FWOS:000437674102123","View Full Record in Web of Science")</f>
        <v>View Full Record in Web of Science</v>
      </c>
      <c r="BU1128" s="1"/>
      <c r="BV1128" s="1"/>
      <c r="BW1128" s="1"/>
    </row>
    <row r="1129" spans="1:75" customHeight="1" ht="12.75">
      <c r="A1129" s="1" t="s">
        <v>72</v>
      </c>
      <c r="B1129" s="1" t="s">
        <v>7291</v>
      </c>
      <c r="C1129" s="1"/>
      <c r="D1129" s="1"/>
      <c r="E1129" s="1"/>
      <c r="F1129" s="1" t="s">
        <v>7292</v>
      </c>
      <c r="G1129" s="1"/>
      <c r="H1129" s="1"/>
      <c r="I1129" s="1" t="s">
        <v>7293</v>
      </c>
      <c r="J1129" s="1" t="s">
        <v>7294</v>
      </c>
      <c r="K1129" s="1"/>
      <c r="L1129" s="1"/>
      <c r="M1129" s="1"/>
      <c r="N1129" s="1"/>
      <c r="O1129" s="1"/>
      <c r="P1129" s="1"/>
      <c r="Q1129" s="1"/>
      <c r="R1129" s="1"/>
      <c r="S1129" s="1"/>
      <c r="T1129" s="1"/>
      <c r="U1129" s="1"/>
      <c r="V1129" s="1"/>
      <c r="W1129" s="1"/>
      <c r="X1129" s="1"/>
      <c r="Y1129" s="1"/>
      <c r="Z1129" s="1"/>
      <c r="AA1129" s="1" t="s">
        <v>6440</v>
      </c>
      <c r="AB1129" s="1" t="s">
        <v>6441</v>
      </c>
      <c r="AC1129" s="1"/>
      <c r="AD1129" s="1"/>
      <c r="AE1129" s="1"/>
      <c r="AF1129" s="1"/>
      <c r="AG1129" s="1"/>
      <c r="AH1129" s="1"/>
      <c r="AI1129" s="1"/>
      <c r="AJ1129" s="1"/>
      <c r="AK1129" s="1"/>
      <c r="AL1129" s="1"/>
      <c r="AM1129" s="1"/>
      <c r="AN1129" s="1"/>
      <c r="AO1129" s="1"/>
      <c r="AP1129" s="1" t="s">
        <v>7295</v>
      </c>
      <c r="AQ1129" s="1"/>
      <c r="AR1129" s="1"/>
      <c r="AS1129" s="1"/>
      <c r="AT1129" s="1" t="s">
        <v>171</v>
      </c>
      <c r="AU1129" s="1">
        <v>2022</v>
      </c>
      <c r="AV1129" s="1">
        <v>12</v>
      </c>
      <c r="AW1129" s="1">
        <v>3</v>
      </c>
      <c r="AX1129" s="1"/>
      <c r="AY1129" s="1"/>
      <c r="AZ1129" s="1"/>
      <c r="BA1129" s="1"/>
      <c r="BB1129" s="1"/>
      <c r="BC1129" s="1"/>
      <c r="BD1129" s="1">
        <v>419</v>
      </c>
      <c r="BE1129" s="1" t="s">
        <v>7296</v>
      </c>
      <c r="BF1129" s="1" t="str">
        <f>HYPERLINK("http://dx.doi.org/10.3390/cryst12030419","http://dx.doi.org/10.3390/cryst12030419")</f>
        <v>http://dx.doi.org/10.3390/cryst12030419</v>
      </c>
      <c r="BG1129" s="1"/>
      <c r="BH1129" s="1"/>
      <c r="BI1129" s="1"/>
      <c r="BJ1129" s="1"/>
      <c r="BK1129" s="1"/>
      <c r="BL1129" s="1"/>
      <c r="BM1129" s="1"/>
      <c r="BN1129" s="1"/>
      <c r="BO1129" s="1"/>
      <c r="BP1129" s="1"/>
      <c r="BQ1129" s="1"/>
      <c r="BR1129" s="1"/>
      <c r="BS1129" s="1" t="s">
        <v>7297</v>
      </c>
      <c r="BT1129" s="1" t="str">
        <f>HYPERLINK("https%3A%2F%2Fwww.webofscience.com%2Fwos%2Fwoscc%2Ffull-record%2FWOS:000777005100001","View Full Record in Web of Science")</f>
        <v>View Full Record in Web of Science</v>
      </c>
      <c r="BU1129" s="1"/>
      <c r="BV1129" s="1"/>
      <c r="BW1129" s="1"/>
    </row>
    <row r="1130" spans="1:75" customHeight="1" ht="12.75">
      <c r="A1130" s="1" t="s">
        <v>72</v>
      </c>
      <c r="B1130" s="1" t="s">
        <v>378</v>
      </c>
      <c r="C1130" s="1"/>
      <c r="D1130" s="1"/>
      <c r="E1130" s="1"/>
      <c r="F1130" s="1" t="s">
        <v>2100</v>
      </c>
      <c r="G1130" s="1"/>
      <c r="H1130" s="1"/>
      <c r="I1130" s="1" t="s">
        <v>7298</v>
      </c>
      <c r="J1130" s="1" t="s">
        <v>1652</v>
      </c>
      <c r="K1130" s="1"/>
      <c r="L1130" s="1"/>
      <c r="M1130" s="1"/>
      <c r="N1130" s="1"/>
      <c r="O1130" s="1"/>
      <c r="P1130" s="1"/>
      <c r="Q1130" s="1"/>
      <c r="R1130" s="1"/>
      <c r="S1130" s="1"/>
      <c r="T1130" s="1"/>
      <c r="U1130" s="1"/>
      <c r="V1130" s="1"/>
      <c r="W1130" s="1"/>
      <c r="X1130" s="1"/>
      <c r="Y1130" s="1"/>
      <c r="Z1130" s="1"/>
      <c r="AA1130" s="1" t="s">
        <v>553</v>
      </c>
      <c r="AB1130" s="1" t="s">
        <v>554</v>
      </c>
      <c r="AC1130" s="1"/>
      <c r="AD1130" s="1"/>
      <c r="AE1130" s="1"/>
      <c r="AF1130" s="1"/>
      <c r="AG1130" s="1"/>
      <c r="AH1130" s="1"/>
      <c r="AI1130" s="1"/>
      <c r="AJ1130" s="1"/>
      <c r="AK1130" s="1"/>
      <c r="AL1130" s="1"/>
      <c r="AM1130" s="1"/>
      <c r="AN1130" s="1"/>
      <c r="AO1130" s="1" t="s">
        <v>1653</v>
      </c>
      <c r="AP1130" s="1"/>
      <c r="AQ1130" s="1"/>
      <c r="AR1130" s="1"/>
      <c r="AS1130" s="1"/>
      <c r="AT1130" s="1" t="s">
        <v>403</v>
      </c>
      <c r="AU1130" s="1">
        <v>2021</v>
      </c>
      <c r="AV1130" s="1">
        <v>15</v>
      </c>
      <c r="AW1130" s="1">
        <v>12</v>
      </c>
      <c r="AX1130" s="1"/>
      <c r="AY1130" s="1"/>
      <c r="AZ1130" s="1"/>
      <c r="BA1130" s="1"/>
      <c r="BB1130" s="1">
        <v>3458</v>
      </c>
      <c r="BC1130" s="1">
        <v>3461</v>
      </c>
      <c r="BD1130" s="1"/>
      <c r="BE1130" s="1" t="s">
        <v>7299</v>
      </c>
      <c r="BF1130" s="1" t="str">
        <f>HYPERLINK("http://dx.doi.org/10.53350/pjmhs2115123458","http://dx.doi.org/10.53350/pjmhs2115123458")</f>
        <v>http://dx.doi.org/10.53350/pjmhs2115123458</v>
      </c>
      <c r="BG1130" s="1"/>
      <c r="BH1130" s="1"/>
      <c r="BI1130" s="1"/>
      <c r="BJ1130" s="1"/>
      <c r="BK1130" s="1"/>
      <c r="BL1130" s="1"/>
      <c r="BM1130" s="1"/>
      <c r="BN1130" s="1"/>
      <c r="BO1130" s="1"/>
      <c r="BP1130" s="1"/>
      <c r="BQ1130" s="1"/>
      <c r="BR1130" s="1"/>
      <c r="BS1130" s="1" t="s">
        <v>7300</v>
      </c>
      <c r="BT1130" s="1" t="str">
        <f>HYPERLINK("https%3A%2F%2Fwww.webofscience.com%2Fwos%2Fwoscc%2Ffull-record%2FWOS:000766496400112","View Full Record in Web of Science")</f>
        <v>View Full Record in Web of Science</v>
      </c>
      <c r="BU1130" s="1"/>
      <c r="BV1130" s="1"/>
      <c r="BW1130" s="1"/>
    </row>
    <row r="1131" spans="1:75" customHeight="1" ht="12.75">
      <c r="A1131" s="1" t="s">
        <v>72</v>
      </c>
      <c r="B1131" s="1" t="s">
        <v>7301</v>
      </c>
      <c r="C1131" s="1"/>
      <c r="D1131" s="1"/>
      <c r="E1131" s="1"/>
      <c r="F1131" s="1" t="s">
        <v>7302</v>
      </c>
      <c r="G1131" s="1"/>
      <c r="H1131" s="1"/>
      <c r="I1131" s="1" t="s">
        <v>7303</v>
      </c>
      <c r="J1131" s="1" t="s">
        <v>6799</v>
      </c>
      <c r="K1131" s="1"/>
      <c r="L1131" s="1"/>
      <c r="M1131" s="1"/>
      <c r="N1131" s="1"/>
      <c r="O1131" s="1"/>
      <c r="P1131" s="1"/>
      <c r="Q1131" s="1"/>
      <c r="R1131" s="1"/>
      <c r="S1131" s="1"/>
      <c r="T1131" s="1"/>
      <c r="U1131" s="1"/>
      <c r="V1131" s="1"/>
      <c r="W1131" s="1"/>
      <c r="X1131" s="1"/>
      <c r="Y1131" s="1"/>
      <c r="Z1131" s="1"/>
      <c r="AA1131" s="1" t="s">
        <v>7304</v>
      </c>
      <c r="AB1131" s="1" t="s">
        <v>7252</v>
      </c>
      <c r="AC1131" s="1"/>
      <c r="AD1131" s="1"/>
      <c r="AE1131" s="1"/>
      <c r="AF1131" s="1"/>
      <c r="AG1131" s="1"/>
      <c r="AH1131" s="1"/>
      <c r="AI1131" s="1"/>
      <c r="AJ1131" s="1"/>
      <c r="AK1131" s="1"/>
      <c r="AL1131" s="1"/>
      <c r="AM1131" s="1"/>
      <c r="AN1131" s="1"/>
      <c r="AO1131" s="1" t="s">
        <v>6802</v>
      </c>
      <c r="AP1131" s="1" t="s">
        <v>6803</v>
      </c>
      <c r="AQ1131" s="1"/>
      <c r="AR1131" s="1"/>
      <c r="AS1131" s="1"/>
      <c r="AT1131" s="1" t="s">
        <v>7253</v>
      </c>
      <c r="AU1131" s="1">
        <v>2020</v>
      </c>
      <c r="AV1131" s="1">
        <v>164</v>
      </c>
      <c r="AW1131" s="1"/>
      <c r="AX1131" s="1"/>
      <c r="AY1131" s="1"/>
      <c r="AZ1131" s="1"/>
      <c r="BA1131" s="1"/>
      <c r="BB1131" s="1">
        <v>2232</v>
      </c>
      <c r="BC1131" s="1">
        <v>2239</v>
      </c>
      <c r="BD1131" s="1"/>
      <c r="BE1131" s="1" t="s">
        <v>7305</v>
      </c>
      <c r="BF1131" s="1" t="str">
        <f>HYPERLINK("http://dx.doi.org/10.1016/j.ijbiomac.2020.08.024","http://dx.doi.org/10.1016/j.ijbiomac.2020.08.024")</f>
        <v>http://dx.doi.org/10.1016/j.ijbiomac.2020.08.024</v>
      </c>
      <c r="BG1131" s="1"/>
      <c r="BH1131" s="1"/>
      <c r="BI1131" s="1"/>
      <c r="BJ1131" s="1"/>
      <c r="BK1131" s="1"/>
      <c r="BL1131" s="1"/>
      <c r="BM1131" s="1"/>
      <c r="BN1131" s="1">
        <v>32771505</v>
      </c>
      <c r="BO1131" s="1"/>
      <c r="BP1131" s="1"/>
      <c r="BQ1131" s="1"/>
      <c r="BR1131" s="1"/>
      <c r="BS1131" s="1" t="s">
        <v>7306</v>
      </c>
      <c r="BT1131" s="1" t="str">
        <f>HYPERLINK("https%3A%2F%2Fwww.webofscience.com%2Fwos%2Fwoscc%2Ffull-record%2FWOS:000588093700211","View Full Record in Web of Science")</f>
        <v>View Full Record in Web of Science</v>
      </c>
      <c r="BU1131" s="1"/>
      <c r="BV1131" s="1"/>
      <c r="BW1131" s="1"/>
    </row>
    <row r="1132" spans="1:75" customHeight="1" ht="12.75">
      <c r="A1132" s="1" t="s">
        <v>72</v>
      </c>
      <c r="B1132" s="1" t="s">
        <v>6837</v>
      </c>
      <c r="C1132" s="1"/>
      <c r="D1132" s="1"/>
      <c r="E1132" s="1"/>
      <c r="F1132" s="1" t="s">
        <v>6838</v>
      </c>
      <c r="G1132" s="1"/>
      <c r="H1132" s="1"/>
      <c r="I1132" s="1" t="s">
        <v>7307</v>
      </c>
      <c r="J1132" s="1" t="s">
        <v>5813</v>
      </c>
      <c r="K1132" s="1"/>
      <c r="L1132" s="1"/>
      <c r="M1132" s="1"/>
      <c r="N1132" s="1"/>
      <c r="O1132" s="1"/>
      <c r="P1132" s="1"/>
      <c r="Q1132" s="1"/>
      <c r="R1132" s="1"/>
      <c r="S1132" s="1"/>
      <c r="T1132" s="1"/>
      <c r="U1132" s="1"/>
      <c r="V1132" s="1"/>
      <c r="W1132" s="1"/>
      <c r="X1132" s="1"/>
      <c r="Y1132" s="1"/>
      <c r="Z1132" s="1"/>
      <c r="AA1132" s="1" t="s">
        <v>6058</v>
      </c>
      <c r="AB1132" s="1"/>
      <c r="AC1132" s="1"/>
      <c r="AD1132" s="1"/>
      <c r="AE1132" s="1"/>
      <c r="AF1132" s="1"/>
      <c r="AG1132" s="1"/>
      <c r="AH1132" s="1"/>
      <c r="AI1132" s="1"/>
      <c r="AJ1132" s="1"/>
      <c r="AK1132" s="1"/>
      <c r="AL1132" s="1"/>
      <c r="AM1132" s="1"/>
      <c r="AN1132" s="1"/>
      <c r="AO1132" s="1" t="s">
        <v>5814</v>
      </c>
      <c r="AP1132" s="1" t="s">
        <v>5815</v>
      </c>
      <c r="AQ1132" s="1"/>
      <c r="AR1132" s="1"/>
      <c r="AS1132" s="1"/>
      <c r="AT1132" s="1" t="s">
        <v>491</v>
      </c>
      <c r="AU1132" s="1">
        <v>2020</v>
      </c>
      <c r="AV1132" s="1">
        <v>64</v>
      </c>
      <c r="AW1132" s="1">
        <v>6</v>
      </c>
      <c r="AX1132" s="1"/>
      <c r="AY1132" s="1"/>
      <c r="AZ1132" s="1"/>
      <c r="BA1132" s="1"/>
      <c r="BB1132" s="1">
        <v>40</v>
      </c>
      <c r="BC1132" s="1">
        <v>55</v>
      </c>
      <c r="BD1132" s="1"/>
      <c r="BE1132" s="1" t="s">
        <v>7308</v>
      </c>
      <c r="BF1132" s="1" t="str">
        <f>HYPERLINK("http://dx.doi.org/10.3103/S1066369X20060079","http://dx.doi.org/10.3103/S1066369X20060079")</f>
        <v>http://dx.doi.org/10.3103/S1066369X20060079</v>
      </c>
      <c r="BG1132" s="1"/>
      <c r="BH1132" s="1"/>
      <c r="BI1132" s="1"/>
      <c r="BJ1132" s="1"/>
      <c r="BK1132" s="1"/>
      <c r="BL1132" s="1"/>
      <c r="BM1132" s="1"/>
      <c r="BN1132" s="1"/>
      <c r="BO1132" s="1"/>
      <c r="BP1132" s="1"/>
      <c r="BQ1132" s="1"/>
      <c r="BR1132" s="1"/>
      <c r="BS1132" s="1" t="s">
        <v>7309</v>
      </c>
      <c r="BT1132" s="1" t="str">
        <f>HYPERLINK("https%3A%2F%2Fwww.webofscience.com%2Fwos%2Fwoscc%2Ffull-record%2FWOS:000556993500007","View Full Record in Web of Science")</f>
        <v>View Full Record in Web of Science</v>
      </c>
      <c r="BU1132" s="1"/>
      <c r="BV1132" s="1"/>
      <c r="BW1132" s="1"/>
    </row>
    <row r="1133" spans="1:75" customHeight="1" ht="12.75">
      <c r="A1133" s="1" t="s">
        <v>72</v>
      </c>
      <c r="B1133" s="1" t="s">
        <v>7310</v>
      </c>
      <c r="C1133" s="1"/>
      <c r="D1133" s="1"/>
      <c r="E1133" s="1"/>
      <c r="F1133" s="1" t="s">
        <v>7311</v>
      </c>
      <c r="G1133" s="1"/>
      <c r="H1133" s="1"/>
      <c r="I1133" s="1" t="s">
        <v>7312</v>
      </c>
      <c r="J1133" s="1" t="s">
        <v>7313</v>
      </c>
      <c r="K1133" s="1"/>
      <c r="L1133" s="1"/>
      <c r="M1133" s="1"/>
      <c r="N1133" s="1"/>
      <c r="O1133" s="1"/>
      <c r="P1133" s="1"/>
      <c r="Q1133" s="1"/>
      <c r="R1133" s="1"/>
      <c r="S1133" s="1"/>
      <c r="T1133" s="1"/>
      <c r="U1133" s="1"/>
      <c r="V1133" s="1"/>
      <c r="W1133" s="1"/>
      <c r="X1133" s="1"/>
      <c r="Y1133" s="1"/>
      <c r="Z1133" s="1"/>
      <c r="AA1133" s="1" t="s">
        <v>7314</v>
      </c>
      <c r="AB1133" s="1" t="s">
        <v>7315</v>
      </c>
      <c r="AC1133" s="1"/>
      <c r="AD1133" s="1"/>
      <c r="AE1133" s="1"/>
      <c r="AF1133" s="1"/>
      <c r="AG1133" s="1"/>
      <c r="AH1133" s="1"/>
      <c r="AI1133" s="1"/>
      <c r="AJ1133" s="1"/>
      <c r="AK1133" s="1"/>
      <c r="AL1133" s="1"/>
      <c r="AM1133" s="1"/>
      <c r="AN1133" s="1"/>
      <c r="AO1133" s="1" t="s">
        <v>7316</v>
      </c>
      <c r="AP1133" s="1"/>
      <c r="AQ1133" s="1"/>
      <c r="AR1133" s="1"/>
      <c r="AS1133" s="1"/>
      <c r="AT1133" s="1" t="s">
        <v>491</v>
      </c>
      <c r="AU1133" s="1">
        <v>2019</v>
      </c>
      <c r="AV1133" s="1">
        <v>8</v>
      </c>
      <c r="AW1133" s="1">
        <v>6</v>
      </c>
      <c r="AX1133" s="1"/>
      <c r="AY1133" s="1"/>
      <c r="AZ1133" s="1"/>
      <c r="BA1133" s="1"/>
      <c r="BB1133" s="1"/>
      <c r="BC1133" s="1"/>
      <c r="BD1133" s="1">
        <v>172</v>
      </c>
      <c r="BE1133" s="1" t="s">
        <v>7317</v>
      </c>
      <c r="BF1133" s="1" t="str">
        <f>HYPERLINK("http://dx.doi.org/10.3390/plants8060172","http://dx.doi.org/10.3390/plants8060172")</f>
        <v>http://dx.doi.org/10.3390/plants8060172</v>
      </c>
      <c r="BG1133" s="1"/>
      <c r="BH1133" s="1"/>
      <c r="BI1133" s="1"/>
      <c r="BJ1133" s="1"/>
      <c r="BK1133" s="1"/>
      <c r="BL1133" s="1"/>
      <c r="BM1133" s="1"/>
      <c r="BN1133" s="1">
        <v>31200526</v>
      </c>
      <c r="BO1133" s="1"/>
      <c r="BP1133" s="1"/>
      <c r="BQ1133" s="1"/>
      <c r="BR1133" s="1"/>
      <c r="BS1133" s="1" t="s">
        <v>7318</v>
      </c>
      <c r="BT1133" s="1" t="str">
        <f>HYPERLINK("https%3A%2F%2Fwww.webofscience.com%2Fwos%2Fwoscc%2Ffull-record%2FWOS:000475326400033","View Full Record in Web of Science")</f>
        <v>View Full Record in Web of Science</v>
      </c>
      <c r="BU1133" s="1"/>
      <c r="BV1133" s="1"/>
      <c r="BW1133" s="1"/>
    </row>
    <row r="1134" spans="1:75" customHeight="1" ht="12.75">
      <c r="A1134" s="1" t="s">
        <v>72</v>
      </c>
      <c r="B1134" s="1" t="s">
        <v>7319</v>
      </c>
      <c r="C1134" s="1"/>
      <c r="D1134" s="1"/>
      <c r="E1134" s="1"/>
      <c r="F1134" s="1" t="s">
        <v>7320</v>
      </c>
      <c r="G1134" s="1"/>
      <c r="H1134" s="1"/>
      <c r="I1134" s="1" t="s">
        <v>7321</v>
      </c>
      <c r="J1134" s="1" t="s">
        <v>7100</v>
      </c>
      <c r="K1134" s="1"/>
      <c r="L1134" s="1"/>
      <c r="M1134" s="1"/>
      <c r="N1134" s="1"/>
      <c r="O1134" s="1"/>
      <c r="P1134" s="1"/>
      <c r="Q1134" s="1"/>
      <c r="R1134" s="1"/>
      <c r="S1134" s="1"/>
      <c r="T1134" s="1"/>
      <c r="U1134" s="1"/>
      <c r="V1134" s="1"/>
      <c r="W1134" s="1"/>
      <c r="X1134" s="1"/>
      <c r="Y1134" s="1"/>
      <c r="Z1134" s="1"/>
      <c r="AA1134" s="1" t="s">
        <v>7322</v>
      </c>
      <c r="AB1134" s="1" t="s">
        <v>7323</v>
      </c>
      <c r="AC1134" s="1"/>
      <c r="AD1134" s="1"/>
      <c r="AE1134" s="1"/>
      <c r="AF1134" s="1"/>
      <c r="AG1134" s="1"/>
      <c r="AH1134" s="1"/>
      <c r="AI1134" s="1"/>
      <c r="AJ1134" s="1"/>
      <c r="AK1134" s="1"/>
      <c r="AL1134" s="1"/>
      <c r="AM1134" s="1"/>
      <c r="AN1134" s="1"/>
      <c r="AO1134" s="1" t="s">
        <v>7103</v>
      </c>
      <c r="AP1134" s="1" t="s">
        <v>7104</v>
      </c>
      <c r="AQ1134" s="1"/>
      <c r="AR1134" s="1"/>
      <c r="AS1134" s="1"/>
      <c r="AT1134" s="1" t="s">
        <v>7324</v>
      </c>
      <c r="AU1134" s="1">
        <v>2019</v>
      </c>
      <c r="AV1134" s="1">
        <v>205</v>
      </c>
      <c r="AW1134" s="1"/>
      <c r="AX1134" s="1"/>
      <c r="AY1134" s="1"/>
      <c r="AZ1134" s="1"/>
      <c r="BA1134" s="1"/>
      <c r="BB1134" s="1">
        <v>456</v>
      </c>
      <c r="BC1134" s="1">
        <v>464</v>
      </c>
      <c r="BD1134" s="1"/>
      <c r="BE1134" s="1" t="s">
        <v>7325</v>
      </c>
      <c r="BF1134" s="1" t="str">
        <f>HYPERLINK("http://dx.doi.org/10.1016/j.carbpol.2018.10.053","http://dx.doi.org/10.1016/j.carbpol.2018.10.053")</f>
        <v>http://dx.doi.org/10.1016/j.carbpol.2018.10.053</v>
      </c>
      <c r="BG1134" s="1"/>
      <c r="BH1134" s="1"/>
      <c r="BI1134" s="1"/>
      <c r="BJ1134" s="1"/>
      <c r="BK1134" s="1"/>
      <c r="BL1134" s="1"/>
      <c r="BM1134" s="1"/>
      <c r="BN1134" s="1">
        <v>30446128</v>
      </c>
      <c r="BO1134" s="1"/>
      <c r="BP1134" s="1"/>
      <c r="BQ1134" s="1"/>
      <c r="BR1134" s="1"/>
      <c r="BS1134" s="1" t="s">
        <v>7326</v>
      </c>
      <c r="BT1134" s="1" t="str">
        <f>HYPERLINK("https%3A%2F%2Fwww.webofscience.com%2Fwos%2Fwoscc%2Ffull-record%2FWOS:000450093200052","View Full Record in Web of Science")</f>
        <v>View Full Record in Web of Science</v>
      </c>
      <c r="BU1134" s="1"/>
      <c r="BV1134" s="1"/>
      <c r="BW1134" s="1"/>
    </row>
    <row r="1135" spans="1:75" customHeight="1" ht="12.75">
      <c r="A1135" s="1" t="s">
        <v>72</v>
      </c>
      <c r="B1135" s="1" t="s">
        <v>7327</v>
      </c>
      <c r="C1135" s="1"/>
      <c r="D1135" s="1"/>
      <c r="E1135" s="1"/>
      <c r="F1135" s="1" t="s">
        <v>7328</v>
      </c>
      <c r="G1135" s="1"/>
      <c r="H1135" s="1"/>
      <c r="I1135" s="1" t="s">
        <v>7329</v>
      </c>
      <c r="J1135" s="1" t="s">
        <v>4775</v>
      </c>
      <c r="K1135" s="1"/>
      <c r="L1135" s="1"/>
      <c r="M1135" s="1"/>
      <c r="N1135" s="1"/>
      <c r="O1135" s="1"/>
      <c r="P1135" s="1"/>
      <c r="Q1135" s="1"/>
      <c r="R1135" s="1"/>
      <c r="S1135" s="1"/>
      <c r="T1135" s="1"/>
      <c r="U1135" s="1"/>
      <c r="V1135" s="1"/>
      <c r="W1135" s="1"/>
      <c r="X1135" s="1"/>
      <c r="Y1135" s="1"/>
      <c r="Z1135" s="1"/>
      <c r="AA1135" s="1" t="s">
        <v>7330</v>
      </c>
      <c r="AB1135" s="1" t="s">
        <v>7331</v>
      </c>
      <c r="AC1135" s="1"/>
      <c r="AD1135" s="1"/>
      <c r="AE1135" s="1"/>
      <c r="AF1135" s="1"/>
      <c r="AG1135" s="1"/>
      <c r="AH1135" s="1"/>
      <c r="AI1135" s="1"/>
      <c r="AJ1135" s="1"/>
      <c r="AK1135" s="1"/>
      <c r="AL1135" s="1"/>
      <c r="AM1135" s="1"/>
      <c r="AN1135" s="1"/>
      <c r="AO1135" s="1"/>
      <c r="AP1135" s="1" t="s">
        <v>4777</v>
      </c>
      <c r="AQ1135" s="1"/>
      <c r="AR1135" s="1"/>
      <c r="AS1135" s="1"/>
      <c r="AT1135" s="1" t="s">
        <v>403</v>
      </c>
      <c r="AU1135" s="1">
        <v>2021</v>
      </c>
      <c r="AV1135" s="1">
        <v>9</v>
      </c>
      <c r="AW1135" s="1">
        <v>12</v>
      </c>
      <c r="AX1135" s="1"/>
      <c r="AY1135" s="1"/>
      <c r="AZ1135" s="1"/>
      <c r="BA1135" s="1"/>
      <c r="BB1135" s="1"/>
      <c r="BC1135" s="1"/>
      <c r="BD1135" s="1">
        <v>212</v>
      </c>
      <c r="BE1135" s="1" t="s">
        <v>7332</v>
      </c>
      <c r="BF1135" s="1" t="str">
        <f>HYPERLINK("http://dx.doi.org/10.3390/risks9120212","http://dx.doi.org/10.3390/risks9120212")</f>
        <v>http://dx.doi.org/10.3390/risks9120212</v>
      </c>
      <c r="BG1135" s="1"/>
      <c r="BH1135" s="1"/>
      <c r="BI1135" s="1"/>
      <c r="BJ1135" s="1"/>
      <c r="BK1135" s="1"/>
      <c r="BL1135" s="1"/>
      <c r="BM1135" s="1"/>
      <c r="BN1135" s="1"/>
      <c r="BO1135" s="1"/>
      <c r="BP1135" s="1"/>
      <c r="BQ1135" s="1"/>
      <c r="BR1135" s="1"/>
      <c r="BS1135" s="1" t="s">
        <v>7333</v>
      </c>
      <c r="BT1135" s="1" t="str">
        <f>HYPERLINK("https%3A%2F%2Fwww.webofscience.com%2Fwos%2Fwoscc%2Ffull-record%2FWOS:000738338000001","View Full Record in Web of Science")</f>
        <v>View Full Record in Web of Science</v>
      </c>
      <c r="BU1135" s="1"/>
      <c r="BV1135" s="1"/>
      <c r="BW1135" s="1"/>
    </row>
    <row r="1136" spans="1:75" customHeight="1" ht="12.75">
      <c r="A1136" s="1" t="s">
        <v>72</v>
      </c>
      <c r="B1136" s="1" t="s">
        <v>7334</v>
      </c>
      <c r="C1136" s="1"/>
      <c r="D1136" s="1"/>
      <c r="E1136" s="1"/>
      <c r="F1136" s="1" t="s">
        <v>7335</v>
      </c>
      <c r="G1136" s="1"/>
      <c r="H1136" s="1"/>
      <c r="I1136" s="1" t="s">
        <v>7336</v>
      </c>
      <c r="J1136" s="1" t="s">
        <v>95</v>
      </c>
      <c r="K1136" s="1"/>
      <c r="L1136" s="1"/>
      <c r="M1136" s="1"/>
      <c r="N1136" s="1"/>
      <c r="O1136" s="1"/>
      <c r="P1136" s="1"/>
      <c r="Q1136" s="1"/>
      <c r="R1136" s="1"/>
      <c r="S1136" s="1"/>
      <c r="T1136" s="1"/>
      <c r="U1136" s="1"/>
      <c r="V1136" s="1"/>
      <c r="W1136" s="1"/>
      <c r="X1136" s="1"/>
      <c r="Y1136" s="1"/>
      <c r="Z1136" s="1"/>
      <c r="AA1136" s="1" t="s">
        <v>7337</v>
      </c>
      <c r="AB1136" s="1" t="s">
        <v>7338</v>
      </c>
      <c r="AC1136" s="1"/>
      <c r="AD1136" s="1"/>
      <c r="AE1136" s="1"/>
      <c r="AF1136" s="1"/>
      <c r="AG1136" s="1"/>
      <c r="AH1136" s="1"/>
      <c r="AI1136" s="1"/>
      <c r="AJ1136" s="1"/>
      <c r="AK1136" s="1"/>
      <c r="AL1136" s="1"/>
      <c r="AM1136" s="1"/>
      <c r="AN1136" s="1"/>
      <c r="AO1136" s="1" t="s">
        <v>98</v>
      </c>
      <c r="AP1136" s="1" t="s">
        <v>99</v>
      </c>
      <c r="AQ1136" s="1"/>
      <c r="AR1136" s="1"/>
      <c r="AS1136" s="1"/>
      <c r="AT1136" s="1"/>
      <c r="AU1136" s="1">
        <v>2021</v>
      </c>
      <c r="AV1136" s="1"/>
      <c r="AW1136" s="1">
        <v>4</v>
      </c>
      <c r="AX1136" s="1"/>
      <c r="AY1136" s="1"/>
      <c r="AZ1136" s="1"/>
      <c r="BA1136" s="1"/>
      <c r="BB1136" s="1">
        <v>174</v>
      </c>
      <c r="BC1136" s="1">
        <v>180</v>
      </c>
      <c r="BD1136" s="1"/>
      <c r="BE1136" s="1" t="s">
        <v>7339</v>
      </c>
      <c r="BF1136" s="1" t="str">
        <f>HYPERLINK("http://dx.doi.org/10.25750/1995-4301-2021-4-174-180","http://dx.doi.org/10.25750/1995-4301-2021-4-174-180")</f>
        <v>http://dx.doi.org/10.25750/1995-4301-2021-4-174-180</v>
      </c>
      <c r="BG1136" s="1"/>
      <c r="BH1136" s="1"/>
      <c r="BI1136" s="1"/>
      <c r="BJ1136" s="1"/>
      <c r="BK1136" s="1"/>
      <c r="BL1136" s="1"/>
      <c r="BM1136" s="1"/>
      <c r="BN1136" s="1"/>
      <c r="BO1136" s="1"/>
      <c r="BP1136" s="1"/>
      <c r="BQ1136" s="1"/>
      <c r="BR1136" s="1"/>
      <c r="BS1136" s="1" t="s">
        <v>7340</v>
      </c>
      <c r="BT1136" s="1" t="str">
        <f>HYPERLINK("https%3A%2F%2Fwww.webofscience.com%2Fwos%2Fwoscc%2Ffull-record%2FWOS:000755154100025","View Full Record in Web of Science")</f>
        <v>View Full Record in Web of Science</v>
      </c>
      <c r="BU1136" s="1"/>
      <c r="BV1136" s="1"/>
      <c r="BW1136" s="1"/>
    </row>
    <row r="1137" spans="1:75" customHeight="1" ht="12.75">
      <c r="A1137" s="1" t="s">
        <v>72</v>
      </c>
      <c r="B1137" s="1" t="s">
        <v>6837</v>
      </c>
      <c r="C1137" s="1"/>
      <c r="D1137" s="1"/>
      <c r="E1137" s="1"/>
      <c r="F1137" s="1" t="s">
        <v>6838</v>
      </c>
      <c r="G1137" s="1"/>
      <c r="H1137" s="1"/>
      <c r="I1137" s="1" t="s">
        <v>7341</v>
      </c>
      <c r="J1137" s="1" t="s">
        <v>6963</v>
      </c>
      <c r="K1137" s="1"/>
      <c r="L1137" s="1"/>
      <c r="M1137" s="1"/>
      <c r="N1137" s="1"/>
      <c r="O1137" s="1"/>
      <c r="P1137" s="1"/>
      <c r="Q1137" s="1"/>
      <c r="R1137" s="1"/>
      <c r="S1137" s="1"/>
      <c r="T1137" s="1"/>
      <c r="U1137" s="1"/>
      <c r="V1137" s="1"/>
      <c r="W1137" s="1"/>
      <c r="X1137" s="1"/>
      <c r="Y1137" s="1"/>
      <c r="Z1137" s="1"/>
      <c r="AA1137" s="1" t="s">
        <v>6058</v>
      </c>
      <c r="AB1137" s="1"/>
      <c r="AC1137" s="1"/>
      <c r="AD1137" s="1"/>
      <c r="AE1137" s="1"/>
      <c r="AF1137" s="1"/>
      <c r="AG1137" s="1"/>
      <c r="AH1137" s="1"/>
      <c r="AI1137" s="1"/>
      <c r="AJ1137" s="1"/>
      <c r="AK1137" s="1"/>
      <c r="AL1137" s="1"/>
      <c r="AM1137" s="1"/>
      <c r="AN1137" s="1"/>
      <c r="AO1137" s="1" t="s">
        <v>6964</v>
      </c>
      <c r="AP1137" s="1" t="s">
        <v>6965</v>
      </c>
      <c r="AQ1137" s="1"/>
      <c r="AR1137" s="1"/>
      <c r="AS1137" s="1"/>
      <c r="AT1137" s="1" t="s">
        <v>125</v>
      </c>
      <c r="AU1137" s="1">
        <v>2020</v>
      </c>
      <c r="AV1137" s="1">
        <v>61</v>
      </c>
      <c r="AW1137" s="1">
        <v>4</v>
      </c>
      <c r="AX1137" s="1"/>
      <c r="AY1137" s="1"/>
      <c r="AZ1137" s="1"/>
      <c r="BA1137" s="1"/>
      <c r="BB1137" s="1">
        <v>599</v>
      </c>
      <c r="BC1137" s="1">
        <v>610</v>
      </c>
      <c r="BD1137" s="1"/>
      <c r="BE1137" s="1" t="s">
        <v>7342</v>
      </c>
      <c r="BF1137" s="1" t="str">
        <f>HYPERLINK("http://dx.doi.org/10.1134/S0021894420040148","http://dx.doi.org/10.1134/S0021894420040148")</f>
        <v>http://dx.doi.org/10.1134/S0021894420040148</v>
      </c>
      <c r="BG1137" s="1"/>
      <c r="BH1137" s="1"/>
      <c r="BI1137" s="1"/>
      <c r="BJ1137" s="1"/>
      <c r="BK1137" s="1"/>
      <c r="BL1137" s="1"/>
      <c r="BM1137" s="1"/>
      <c r="BN1137" s="1"/>
      <c r="BO1137" s="1"/>
      <c r="BP1137" s="1"/>
      <c r="BQ1137" s="1"/>
      <c r="BR1137" s="1"/>
      <c r="BS1137" s="1" t="s">
        <v>7343</v>
      </c>
      <c r="BT1137" s="1" t="str">
        <f>HYPERLINK("https%3A%2F%2Fwww.webofscience.com%2Fwos%2Fwoscc%2Ffull-record%2FWOS:000574746500014","View Full Record in Web of Science")</f>
        <v>View Full Record in Web of Science</v>
      </c>
      <c r="BU1137" s="1"/>
      <c r="BV1137" s="1"/>
      <c r="BW1137" s="1"/>
    </row>
    <row r="1138" spans="1:75" customHeight="1" ht="12.75">
      <c r="A1138" s="1" t="s">
        <v>72</v>
      </c>
      <c r="B1138" s="1" t="s">
        <v>7069</v>
      </c>
      <c r="C1138" s="1"/>
      <c r="D1138" s="1"/>
      <c r="E1138" s="1"/>
      <c r="F1138" s="1" t="s">
        <v>7070</v>
      </c>
      <c r="G1138" s="1"/>
      <c r="H1138" s="1"/>
      <c r="I1138" s="1" t="s">
        <v>7344</v>
      </c>
      <c r="J1138" s="1" t="s">
        <v>95</v>
      </c>
      <c r="K1138" s="1"/>
      <c r="L1138" s="1"/>
      <c r="M1138" s="1"/>
      <c r="N1138" s="1"/>
      <c r="O1138" s="1"/>
      <c r="P1138" s="1"/>
      <c r="Q1138" s="1"/>
      <c r="R1138" s="1"/>
      <c r="S1138" s="1"/>
      <c r="T1138" s="1"/>
      <c r="U1138" s="1"/>
      <c r="V1138" s="1"/>
      <c r="W1138" s="1"/>
      <c r="X1138" s="1"/>
      <c r="Y1138" s="1"/>
      <c r="Z1138" s="1"/>
      <c r="AA1138" s="1" t="s">
        <v>7345</v>
      </c>
      <c r="AB1138" s="1" t="s">
        <v>7338</v>
      </c>
      <c r="AC1138" s="1"/>
      <c r="AD1138" s="1"/>
      <c r="AE1138" s="1"/>
      <c r="AF1138" s="1"/>
      <c r="AG1138" s="1"/>
      <c r="AH1138" s="1"/>
      <c r="AI1138" s="1"/>
      <c r="AJ1138" s="1"/>
      <c r="AK1138" s="1"/>
      <c r="AL1138" s="1"/>
      <c r="AM1138" s="1"/>
      <c r="AN1138" s="1"/>
      <c r="AO1138" s="1" t="s">
        <v>98</v>
      </c>
      <c r="AP1138" s="1" t="s">
        <v>99</v>
      </c>
      <c r="AQ1138" s="1"/>
      <c r="AR1138" s="1"/>
      <c r="AS1138" s="1"/>
      <c r="AT1138" s="1"/>
      <c r="AU1138" s="1">
        <v>2020</v>
      </c>
      <c r="AV1138" s="1"/>
      <c r="AW1138" s="1">
        <v>1</v>
      </c>
      <c r="AX1138" s="1"/>
      <c r="AY1138" s="1"/>
      <c r="AZ1138" s="1"/>
      <c r="BA1138" s="1"/>
      <c r="BB1138" s="1">
        <v>160</v>
      </c>
      <c r="BC1138" s="1">
        <v>166</v>
      </c>
      <c r="BD1138" s="1"/>
      <c r="BE1138" s="1" t="s">
        <v>7346</v>
      </c>
      <c r="BF1138" s="1" t="str">
        <f>HYPERLINK("http://dx.doi.org/10.25750/1995-4301-2020-1-160-166","http://dx.doi.org/10.25750/1995-4301-2020-1-160-166")</f>
        <v>http://dx.doi.org/10.25750/1995-4301-2020-1-160-166</v>
      </c>
      <c r="BG1138" s="1"/>
      <c r="BH1138" s="1"/>
      <c r="BI1138" s="1"/>
      <c r="BJ1138" s="1"/>
      <c r="BK1138" s="1"/>
      <c r="BL1138" s="1"/>
      <c r="BM1138" s="1"/>
      <c r="BN1138" s="1"/>
      <c r="BO1138" s="1"/>
      <c r="BP1138" s="1"/>
      <c r="BQ1138" s="1"/>
      <c r="BR1138" s="1"/>
      <c r="BS1138" s="1" t="s">
        <v>7347</v>
      </c>
      <c r="BT1138" s="1" t="str">
        <f>HYPERLINK("https%3A%2F%2Fwww.webofscience.com%2Fwos%2Fwoscc%2Ffull-record%2FWOS:000522789400023","View Full Record in Web of Science")</f>
        <v>View Full Record in Web of Science</v>
      </c>
      <c r="BU1138" s="1"/>
      <c r="BV1138" s="1"/>
      <c r="BW1138" s="1"/>
    </row>
    <row r="1139" spans="1:75" customHeight="1" ht="12.75">
      <c r="A1139" s="1" t="s">
        <v>147</v>
      </c>
      <c r="B1139" s="1" t="s">
        <v>7348</v>
      </c>
      <c r="C1139" s="1"/>
      <c r="D1139" s="1" t="s">
        <v>7349</v>
      </c>
      <c r="E1139" s="1"/>
      <c r="F1139" s="1" t="s">
        <v>7350</v>
      </c>
      <c r="G1139" s="1"/>
      <c r="H1139" s="1"/>
      <c r="I1139" s="1" t="s">
        <v>7351</v>
      </c>
      <c r="J1139" s="1" t="s">
        <v>7352</v>
      </c>
      <c r="K1139" s="1" t="s">
        <v>253</v>
      </c>
      <c r="L1139" s="1"/>
      <c r="M1139" s="1"/>
      <c r="N1139" s="1"/>
      <c r="O1139" s="1" t="s">
        <v>7353</v>
      </c>
      <c r="P1139" s="1" t="s">
        <v>7354</v>
      </c>
      <c r="Q1139" s="1" t="s">
        <v>6348</v>
      </c>
      <c r="R1139" s="1"/>
      <c r="S1139" s="1" t="s">
        <v>6349</v>
      </c>
      <c r="T1139" s="1"/>
      <c r="U1139" s="1"/>
      <c r="V1139" s="1"/>
      <c r="W1139" s="1"/>
      <c r="X1139" s="1"/>
      <c r="Y1139" s="1"/>
      <c r="Z1139" s="1"/>
      <c r="AA1139" s="1"/>
      <c r="AB1139" s="1"/>
      <c r="AC1139" s="1"/>
      <c r="AD1139" s="1"/>
      <c r="AE1139" s="1"/>
      <c r="AF1139" s="1"/>
      <c r="AG1139" s="1"/>
      <c r="AH1139" s="1"/>
      <c r="AI1139" s="1"/>
      <c r="AJ1139" s="1"/>
      <c r="AK1139" s="1"/>
      <c r="AL1139" s="1"/>
      <c r="AM1139" s="1"/>
      <c r="AN1139" s="1"/>
      <c r="AO1139" s="1"/>
      <c r="AP1139" s="1" t="s">
        <v>259</v>
      </c>
      <c r="AQ1139" s="1"/>
      <c r="AR1139" s="1"/>
      <c r="AS1139" s="1"/>
      <c r="AT1139" s="1"/>
      <c r="AU1139" s="1">
        <v>2019</v>
      </c>
      <c r="AV1139" s="1">
        <v>73</v>
      </c>
      <c r="AW1139" s="1"/>
      <c r="AX1139" s="1"/>
      <c r="AY1139" s="1"/>
      <c r="AZ1139" s="1"/>
      <c r="BA1139" s="1"/>
      <c r="BB1139" s="1">
        <v>127</v>
      </c>
      <c r="BC1139" s="1">
        <v>135</v>
      </c>
      <c r="BD1139" s="1"/>
      <c r="BE1139" s="1" t="s">
        <v>7355</v>
      </c>
      <c r="BF1139" s="1" t="str">
        <f>HYPERLINK("http://dx.doi.org/10.15405/epsbs.2019.12.15","http://dx.doi.org/10.15405/epsbs.2019.12.15")</f>
        <v>http://dx.doi.org/10.15405/epsbs.2019.12.15</v>
      </c>
      <c r="BG1139" s="1"/>
      <c r="BH1139" s="1"/>
      <c r="BI1139" s="1"/>
      <c r="BJ1139" s="1"/>
      <c r="BK1139" s="1"/>
      <c r="BL1139" s="1"/>
      <c r="BM1139" s="1"/>
      <c r="BN1139" s="1"/>
      <c r="BO1139" s="1"/>
      <c r="BP1139" s="1"/>
      <c r="BQ1139" s="1"/>
      <c r="BR1139" s="1"/>
      <c r="BS1139" s="1" t="s">
        <v>7356</v>
      </c>
      <c r="BT1139" s="1" t="str">
        <f>HYPERLINK("https%3A%2F%2Fwww.webofscience.com%2Fwos%2Fwoscc%2Ffull-record%2FWOS:000758186600015","View Full Record in Web of Science")</f>
        <v>View Full Record in Web of Science</v>
      </c>
      <c r="BU1139" s="1"/>
      <c r="BV1139" s="1"/>
      <c r="BW1139" s="1"/>
    </row>
    <row r="1140" spans="1:75" customHeight="1" ht="12.75">
      <c r="A1140" s="1" t="s">
        <v>72</v>
      </c>
      <c r="B1140" s="1" t="s">
        <v>5484</v>
      </c>
      <c r="C1140" s="1"/>
      <c r="D1140" s="1"/>
      <c r="E1140" s="1"/>
      <c r="F1140" s="1" t="s">
        <v>5485</v>
      </c>
      <c r="G1140" s="1"/>
      <c r="H1140" s="1"/>
      <c r="I1140" s="1" t="s">
        <v>7357</v>
      </c>
      <c r="J1140" s="1" t="s">
        <v>6963</v>
      </c>
      <c r="K1140" s="1"/>
      <c r="L1140" s="1"/>
      <c r="M1140" s="1"/>
      <c r="N1140" s="1"/>
      <c r="O1140" s="1"/>
      <c r="P1140" s="1"/>
      <c r="Q1140" s="1"/>
      <c r="R1140" s="1"/>
      <c r="S1140" s="1"/>
      <c r="T1140" s="1"/>
      <c r="U1140" s="1"/>
      <c r="V1140" s="1"/>
      <c r="W1140" s="1"/>
      <c r="X1140" s="1"/>
      <c r="Y1140" s="1"/>
      <c r="Z1140" s="1"/>
      <c r="AA1140" s="1"/>
      <c r="AB1140" s="1"/>
      <c r="AC1140" s="1"/>
      <c r="AD1140" s="1"/>
      <c r="AE1140" s="1"/>
      <c r="AF1140" s="1"/>
      <c r="AG1140" s="1"/>
      <c r="AH1140" s="1"/>
      <c r="AI1140" s="1"/>
      <c r="AJ1140" s="1"/>
      <c r="AK1140" s="1"/>
      <c r="AL1140" s="1"/>
      <c r="AM1140" s="1"/>
      <c r="AN1140" s="1"/>
      <c r="AO1140" s="1" t="s">
        <v>6964</v>
      </c>
      <c r="AP1140" s="1" t="s">
        <v>6965</v>
      </c>
      <c r="AQ1140" s="1"/>
      <c r="AR1140" s="1"/>
      <c r="AS1140" s="1"/>
      <c r="AT1140" s="1" t="s">
        <v>198</v>
      </c>
      <c r="AU1140" s="1">
        <v>2023</v>
      </c>
      <c r="AV1140" s="1">
        <v>64</v>
      </c>
      <c r="AW1140" s="1">
        <v>2</v>
      </c>
      <c r="AX1140" s="1"/>
      <c r="AY1140" s="1"/>
      <c r="AZ1140" s="1"/>
      <c r="BA1140" s="1"/>
      <c r="BB1140" s="1">
        <v>308</v>
      </c>
      <c r="BC1140" s="1">
        <v>324</v>
      </c>
      <c r="BD1140" s="1"/>
      <c r="BE1140" s="1" t="s">
        <v>7358</v>
      </c>
      <c r="BF1140" s="1" t="str">
        <f>HYPERLINK("http://dx.doi.org/10.1134/S0021894423020153","http://dx.doi.org/10.1134/S0021894423020153")</f>
        <v>http://dx.doi.org/10.1134/S0021894423020153</v>
      </c>
      <c r="BG1140" s="1"/>
      <c r="BH1140" s="1"/>
      <c r="BI1140" s="1"/>
      <c r="BJ1140" s="1"/>
      <c r="BK1140" s="1"/>
      <c r="BL1140" s="1"/>
      <c r="BM1140" s="1"/>
      <c r="BN1140" s="1"/>
      <c r="BO1140" s="1"/>
      <c r="BP1140" s="1"/>
      <c r="BQ1140" s="1"/>
      <c r="BR1140" s="1"/>
      <c r="BS1140" s="1" t="s">
        <v>7359</v>
      </c>
      <c r="BT1140" s="1" t="str">
        <f>HYPERLINK("https%3A%2F%2Fwww.webofscience.com%2Fwos%2Fwoscc%2Ffull-record%2FWOS:001000528300015","View Full Record in Web of Science")</f>
        <v>View Full Record in Web of Science</v>
      </c>
      <c r="BU1140" s="1"/>
      <c r="BV1140" s="1"/>
      <c r="BW1140" s="1"/>
    </row>
    <row r="1141" spans="1:75" customHeight="1" ht="12.75">
      <c r="A1141" s="1" t="s">
        <v>72</v>
      </c>
      <c r="B1141" s="1" t="s">
        <v>7113</v>
      </c>
      <c r="C1141" s="1"/>
      <c r="D1141" s="1"/>
      <c r="E1141" s="1"/>
      <c r="F1141" s="1" t="s">
        <v>7360</v>
      </c>
      <c r="G1141" s="1"/>
      <c r="H1141" s="1"/>
      <c r="I1141" s="1" t="s">
        <v>7361</v>
      </c>
      <c r="J1141" s="1" t="s">
        <v>716</v>
      </c>
      <c r="K1141" s="1"/>
      <c r="L1141" s="1"/>
      <c r="M1141" s="1"/>
      <c r="N1141" s="1"/>
      <c r="O1141" s="1"/>
      <c r="P1141" s="1"/>
      <c r="Q1141" s="1"/>
      <c r="R1141" s="1"/>
      <c r="S1141" s="1"/>
      <c r="T1141" s="1"/>
      <c r="U1141" s="1"/>
      <c r="V1141" s="1"/>
      <c r="W1141" s="1"/>
      <c r="X1141" s="1"/>
      <c r="Y1141" s="1"/>
      <c r="Z1141" s="1"/>
      <c r="AA1141" s="1" t="s">
        <v>7362</v>
      </c>
      <c r="AB1141" s="1" t="s">
        <v>7363</v>
      </c>
      <c r="AC1141" s="1"/>
      <c r="AD1141" s="1"/>
      <c r="AE1141" s="1"/>
      <c r="AF1141" s="1"/>
      <c r="AG1141" s="1"/>
      <c r="AH1141" s="1"/>
      <c r="AI1141" s="1"/>
      <c r="AJ1141" s="1"/>
      <c r="AK1141" s="1"/>
      <c r="AL1141" s="1"/>
      <c r="AM1141" s="1"/>
      <c r="AN1141" s="1"/>
      <c r="AO1141" s="1" t="s">
        <v>719</v>
      </c>
      <c r="AP1141" s="1" t="s">
        <v>720</v>
      </c>
      <c r="AQ1141" s="1"/>
      <c r="AR1141" s="1"/>
      <c r="AS1141" s="1"/>
      <c r="AT1141" s="1" t="s">
        <v>88</v>
      </c>
      <c r="AU1141" s="1">
        <v>2019</v>
      </c>
      <c r="AV1141" s="1"/>
      <c r="AW1141" s="1">
        <v>442</v>
      </c>
      <c r="AX1141" s="1"/>
      <c r="AY1141" s="1"/>
      <c r="AZ1141" s="1"/>
      <c r="BA1141" s="1"/>
      <c r="BB1141" s="1">
        <v>237</v>
      </c>
      <c r="BC1141" s="1">
        <v>247</v>
      </c>
      <c r="BD1141" s="1"/>
      <c r="BE1141" s="1" t="s">
        <v>7364</v>
      </c>
      <c r="BF1141" s="1" t="str">
        <f>HYPERLINK("http://dx.doi.org/10.17223/15617793/442/30","http://dx.doi.org/10.17223/15617793/442/30")</f>
        <v>http://dx.doi.org/10.17223/15617793/442/30</v>
      </c>
      <c r="BG1141" s="1"/>
      <c r="BH1141" s="1"/>
      <c r="BI1141" s="1"/>
      <c r="BJ1141" s="1"/>
      <c r="BK1141" s="1"/>
      <c r="BL1141" s="1"/>
      <c r="BM1141" s="1"/>
      <c r="BN1141" s="1"/>
      <c r="BO1141" s="1"/>
      <c r="BP1141" s="1"/>
      <c r="BQ1141" s="1"/>
      <c r="BR1141" s="1"/>
      <c r="BS1141" s="1" t="s">
        <v>7365</v>
      </c>
      <c r="BT1141" s="1" t="str">
        <f>HYPERLINK("https%3A%2F%2Fwww.webofscience.com%2Fwos%2Fwoscc%2Ffull-record%2FWOS:000475492100030","View Full Record in Web of Science")</f>
        <v>View Full Record in Web of Science</v>
      </c>
      <c r="BU1141" s="1"/>
      <c r="BV1141" s="1"/>
      <c r="BW1141" s="1"/>
    </row>
    <row r="1142" spans="1:75" customHeight="1" ht="12.75">
      <c r="A1142" s="1" t="s">
        <v>147</v>
      </c>
      <c r="B1142" s="1" t="s">
        <v>7366</v>
      </c>
      <c r="C1142" s="1" t="s">
        <v>1232</v>
      </c>
      <c r="D1142" s="1"/>
      <c r="E1142" s="1"/>
      <c r="F1142" s="1" t="s">
        <v>7367</v>
      </c>
      <c r="G1142" s="1" t="s">
        <v>1232</v>
      </c>
      <c r="H1142" s="1"/>
      <c r="I1142" s="1" t="s">
        <v>7368</v>
      </c>
      <c r="J1142" s="1" t="s">
        <v>1235</v>
      </c>
      <c r="K1142" s="1" t="s">
        <v>1236</v>
      </c>
      <c r="L1142" s="1"/>
      <c r="M1142" s="1"/>
      <c r="N1142" s="1"/>
      <c r="O1142" s="1" t="s">
        <v>1237</v>
      </c>
      <c r="P1142" s="1" t="s">
        <v>1238</v>
      </c>
      <c r="Q1142" s="1" t="s">
        <v>910</v>
      </c>
      <c r="R1142" s="1" t="s">
        <v>1239</v>
      </c>
      <c r="S1142" s="1"/>
      <c r="T1142" s="1"/>
      <c r="U1142" s="1"/>
      <c r="V1142" s="1"/>
      <c r="W1142" s="1"/>
      <c r="X1142" s="1"/>
      <c r="Y1142" s="1"/>
      <c r="Z1142" s="1"/>
      <c r="AA1142" s="1" t="s">
        <v>7369</v>
      </c>
      <c r="AB1142" s="1" t="s">
        <v>7370</v>
      </c>
      <c r="AC1142" s="1"/>
      <c r="AD1142" s="1"/>
      <c r="AE1142" s="1"/>
      <c r="AF1142" s="1"/>
      <c r="AG1142" s="1"/>
      <c r="AH1142" s="1"/>
      <c r="AI1142" s="1"/>
      <c r="AJ1142" s="1"/>
      <c r="AK1142" s="1"/>
      <c r="AL1142" s="1"/>
      <c r="AM1142" s="1"/>
      <c r="AN1142" s="1"/>
      <c r="AO1142" s="1" t="s">
        <v>1240</v>
      </c>
      <c r="AP1142" s="1"/>
      <c r="AQ1142" s="1"/>
      <c r="AR1142" s="1"/>
      <c r="AS1142" s="1"/>
      <c r="AT1142" s="1"/>
      <c r="AU1142" s="1">
        <v>2019</v>
      </c>
      <c r="AV1142" s="1">
        <v>110</v>
      </c>
      <c r="AW1142" s="1"/>
      <c r="AX1142" s="1"/>
      <c r="AY1142" s="1"/>
      <c r="AZ1142" s="1"/>
      <c r="BA1142" s="1"/>
      <c r="BB1142" s="1"/>
      <c r="BC1142" s="1"/>
      <c r="BD1142" s="1">
        <v>2152</v>
      </c>
      <c r="BE1142" s="1" t="s">
        <v>7371</v>
      </c>
      <c r="BF1142" s="1" t="str">
        <f>HYPERLINK("http://dx.doi.org/10.1051/e3sconf/201911002152","http://dx.doi.org/10.1051/e3sconf/201911002152")</f>
        <v>http://dx.doi.org/10.1051/e3sconf/201911002152</v>
      </c>
      <c r="BG1142" s="1"/>
      <c r="BH1142" s="1"/>
      <c r="BI1142" s="1"/>
      <c r="BJ1142" s="1"/>
      <c r="BK1142" s="1"/>
      <c r="BL1142" s="1"/>
      <c r="BM1142" s="1"/>
      <c r="BN1142" s="1"/>
      <c r="BO1142" s="1"/>
      <c r="BP1142" s="1"/>
      <c r="BQ1142" s="1"/>
      <c r="BR1142" s="1"/>
      <c r="BS1142" s="1" t="s">
        <v>7372</v>
      </c>
      <c r="BT1142" s="1" t="str">
        <f>HYPERLINK("https%3A%2F%2Fwww.webofscience.com%2Fwos%2Fwoscc%2Ffull-record%2FWOS:000569050000241","View Full Record in Web of Science")</f>
        <v>View Full Record in Web of Science</v>
      </c>
      <c r="BU1142" s="1"/>
      <c r="BV1142" s="1"/>
      <c r="BW1142" s="1"/>
    </row>
    <row r="1143" spans="1:75" customHeight="1" ht="12.75">
      <c r="A1143" s="1" t="s">
        <v>72</v>
      </c>
      <c r="B1143" s="1" t="s">
        <v>7373</v>
      </c>
      <c r="C1143" s="1"/>
      <c r="D1143" s="1"/>
      <c r="E1143" s="1"/>
      <c r="F1143" s="1" t="s">
        <v>7374</v>
      </c>
      <c r="G1143" s="1"/>
      <c r="H1143" s="1"/>
      <c r="I1143" s="1" t="s">
        <v>7375</v>
      </c>
      <c r="J1143" s="1" t="s">
        <v>3996</v>
      </c>
      <c r="K1143" s="1"/>
      <c r="L1143" s="1"/>
      <c r="M1143" s="1"/>
      <c r="N1143" s="1"/>
      <c r="O1143" s="1"/>
      <c r="P1143" s="1"/>
      <c r="Q1143" s="1"/>
      <c r="R1143" s="1"/>
      <c r="S1143" s="1"/>
      <c r="T1143" s="1"/>
      <c r="U1143" s="1"/>
      <c r="V1143" s="1"/>
      <c r="W1143" s="1"/>
      <c r="X1143" s="1"/>
      <c r="Y1143" s="1"/>
      <c r="Z1143" s="1"/>
      <c r="AA1143" s="1" t="s">
        <v>7376</v>
      </c>
      <c r="AB1143" s="1" t="s">
        <v>7377</v>
      </c>
      <c r="AC1143" s="1"/>
      <c r="AD1143" s="1"/>
      <c r="AE1143" s="1"/>
      <c r="AF1143" s="1"/>
      <c r="AG1143" s="1"/>
      <c r="AH1143" s="1"/>
      <c r="AI1143" s="1"/>
      <c r="AJ1143" s="1"/>
      <c r="AK1143" s="1"/>
      <c r="AL1143" s="1"/>
      <c r="AM1143" s="1"/>
      <c r="AN1143" s="1"/>
      <c r="AO1143" s="1" t="s">
        <v>3999</v>
      </c>
      <c r="AP1143" s="1" t="s">
        <v>4000</v>
      </c>
      <c r="AQ1143" s="1"/>
      <c r="AR1143" s="1"/>
      <c r="AS1143" s="1"/>
      <c r="AT1143" s="1" t="s">
        <v>125</v>
      </c>
      <c r="AU1143" s="1">
        <v>2018</v>
      </c>
      <c r="AV1143" s="1">
        <v>165</v>
      </c>
      <c r="AW1143" s="1">
        <v>3</v>
      </c>
      <c r="AX1143" s="1"/>
      <c r="AY1143" s="1"/>
      <c r="AZ1143" s="1"/>
      <c r="BA1143" s="1"/>
      <c r="BB1143" s="1">
        <v>403</v>
      </c>
      <c r="BC1143" s="1">
        <v>407</v>
      </c>
      <c r="BD1143" s="1"/>
      <c r="BE1143" s="1" t="s">
        <v>7378</v>
      </c>
      <c r="BF1143" s="1" t="str">
        <f>HYPERLINK("http://dx.doi.org/10.1007/s10517-018-4180-0","http://dx.doi.org/10.1007/s10517-018-4180-0")</f>
        <v>http://dx.doi.org/10.1007/s10517-018-4180-0</v>
      </c>
      <c r="BG1143" s="1"/>
      <c r="BH1143" s="1"/>
      <c r="BI1143" s="1"/>
      <c r="BJ1143" s="1"/>
      <c r="BK1143" s="1"/>
      <c r="BL1143" s="1"/>
      <c r="BM1143" s="1"/>
      <c r="BN1143" s="1">
        <v>30006875</v>
      </c>
      <c r="BO1143" s="1"/>
      <c r="BP1143" s="1"/>
      <c r="BQ1143" s="1"/>
      <c r="BR1143" s="1"/>
      <c r="BS1143" s="1" t="s">
        <v>7379</v>
      </c>
      <c r="BT1143" s="1" t="str">
        <f>HYPERLINK("https%3A%2F%2Fwww.webofscience.com%2Fwos%2Fwoscc%2Ffull-record%2FWOS:000439334000027","View Full Record in Web of Science")</f>
        <v>View Full Record in Web of Science</v>
      </c>
      <c r="BU1143" s="1"/>
      <c r="BV1143" s="1"/>
      <c r="BW1143" s="1"/>
    </row>
    <row r="1144" spans="1:75" customHeight="1" ht="12.75">
      <c r="A1144" s="1" t="s">
        <v>147</v>
      </c>
      <c r="B1144" s="1" t="s">
        <v>7380</v>
      </c>
      <c r="C1144" s="1"/>
      <c r="D1144" s="1" t="s">
        <v>4271</v>
      </c>
      <c r="E1144" s="1"/>
      <c r="F1144" s="1" t="s">
        <v>7381</v>
      </c>
      <c r="G1144" s="1"/>
      <c r="H1144" s="1"/>
      <c r="I1144" s="1" t="s">
        <v>7382</v>
      </c>
      <c r="J1144" s="1" t="s">
        <v>4273</v>
      </c>
      <c r="K1144" s="1" t="s">
        <v>1276</v>
      </c>
      <c r="L1144" s="1"/>
      <c r="M1144" s="1"/>
      <c r="N1144" s="1"/>
      <c r="O1144" s="1" t="s">
        <v>1237</v>
      </c>
      <c r="P1144" s="1" t="s">
        <v>4274</v>
      </c>
      <c r="Q1144" s="1" t="s">
        <v>4275</v>
      </c>
      <c r="R1144" s="1"/>
      <c r="S1144" s="1" t="s">
        <v>4276</v>
      </c>
      <c r="T1144" s="1"/>
      <c r="U1144" s="1"/>
      <c r="V1144" s="1"/>
      <c r="W1144" s="1"/>
      <c r="X1144" s="1"/>
      <c r="Y1144" s="1"/>
      <c r="Z1144" s="1"/>
      <c r="AA1144" s="1" t="s">
        <v>7383</v>
      </c>
      <c r="AB1144" s="1" t="s">
        <v>7384</v>
      </c>
      <c r="AC1144" s="1"/>
      <c r="AD1144" s="1"/>
      <c r="AE1144" s="1"/>
      <c r="AF1144" s="1"/>
      <c r="AG1144" s="1"/>
      <c r="AH1144" s="1"/>
      <c r="AI1144" s="1"/>
      <c r="AJ1144" s="1"/>
      <c r="AK1144" s="1"/>
      <c r="AL1144" s="1"/>
      <c r="AM1144" s="1"/>
      <c r="AN1144" s="1"/>
      <c r="AO1144" s="1" t="s">
        <v>1282</v>
      </c>
      <c r="AP1144" s="1"/>
      <c r="AQ1144" s="1"/>
      <c r="AR1144" s="1"/>
      <c r="AS1144" s="1"/>
      <c r="AT1144" s="1"/>
      <c r="AU1144" s="1">
        <v>2018</v>
      </c>
      <c r="AV1144" s="1">
        <v>170</v>
      </c>
      <c r="AW1144" s="1"/>
      <c r="AX1144" s="1"/>
      <c r="AY1144" s="1"/>
      <c r="AZ1144" s="1"/>
      <c r="BA1144" s="1"/>
      <c r="BB1144" s="1"/>
      <c r="BC1144" s="1"/>
      <c r="BD1144" s="1">
        <v>1046</v>
      </c>
      <c r="BE1144" s="1" t="s">
        <v>7385</v>
      </c>
      <c r="BF1144" s="1" t="str">
        <f>HYPERLINK("http://dx.doi.org/10.1051/matecconf/201817001046","http://dx.doi.org/10.1051/matecconf/201817001046")</f>
        <v>http://dx.doi.org/10.1051/matecconf/201817001046</v>
      </c>
      <c r="BG1144" s="1"/>
      <c r="BH1144" s="1"/>
      <c r="BI1144" s="1"/>
      <c r="BJ1144" s="1"/>
      <c r="BK1144" s="1"/>
      <c r="BL1144" s="1"/>
      <c r="BM1144" s="1"/>
      <c r="BN1144" s="1"/>
      <c r="BO1144" s="1"/>
      <c r="BP1144" s="1"/>
      <c r="BQ1144" s="1"/>
      <c r="BR1144" s="1"/>
      <c r="BS1144" s="1" t="s">
        <v>7386</v>
      </c>
      <c r="BT1144" s="1" t="str">
        <f>HYPERLINK("https%3A%2F%2Fwww.webofscience.com%2Fwos%2Fwoscc%2Ffull-record%2FWOS:000449660800046","View Full Record in Web of Science")</f>
        <v>View Full Record in Web of Science</v>
      </c>
      <c r="BU1144" s="1"/>
      <c r="BV1144" s="1"/>
      <c r="BW1144" s="1"/>
    </row>
    <row r="1145" spans="1:75" customHeight="1" ht="12.75">
      <c r="A1145" s="1" t="s">
        <v>147</v>
      </c>
      <c r="B1145" s="1" t="s">
        <v>7387</v>
      </c>
      <c r="C1145" s="1"/>
      <c r="D1145" s="1" t="s">
        <v>2517</v>
      </c>
      <c r="E1145" s="1"/>
      <c r="F1145" s="1" t="s">
        <v>7388</v>
      </c>
      <c r="G1145" s="1"/>
      <c r="H1145" s="1"/>
      <c r="I1145" s="1" t="s">
        <v>7389</v>
      </c>
      <c r="J1145" s="1" t="s">
        <v>5028</v>
      </c>
      <c r="K1145" s="1" t="s">
        <v>2521</v>
      </c>
      <c r="L1145" s="1"/>
      <c r="M1145" s="1"/>
      <c r="N1145" s="1"/>
      <c r="O1145" s="1" t="s">
        <v>5029</v>
      </c>
      <c r="P1145" s="1" t="s">
        <v>5030</v>
      </c>
      <c r="Q1145" s="1" t="s">
        <v>2524</v>
      </c>
      <c r="R1145" s="1" t="s">
        <v>2525</v>
      </c>
      <c r="S1145" s="1"/>
      <c r="T1145" s="1"/>
      <c r="U1145" s="1"/>
      <c r="V1145" s="1"/>
      <c r="W1145" s="1"/>
      <c r="X1145" s="1"/>
      <c r="Y1145" s="1"/>
      <c r="Z1145" s="1"/>
      <c r="AA1145" s="1" t="s">
        <v>7390</v>
      </c>
      <c r="AB1145" s="1" t="s">
        <v>7391</v>
      </c>
      <c r="AC1145" s="1"/>
      <c r="AD1145" s="1"/>
      <c r="AE1145" s="1"/>
      <c r="AF1145" s="1"/>
      <c r="AG1145" s="1"/>
      <c r="AH1145" s="1"/>
      <c r="AI1145" s="1"/>
      <c r="AJ1145" s="1"/>
      <c r="AK1145" s="1"/>
      <c r="AL1145" s="1"/>
      <c r="AM1145" s="1"/>
      <c r="AN1145" s="1"/>
      <c r="AO1145" s="1" t="s">
        <v>2527</v>
      </c>
      <c r="AP1145" s="1" t="s">
        <v>2528</v>
      </c>
      <c r="AQ1145" s="1"/>
      <c r="AR1145" s="1"/>
      <c r="AS1145" s="1"/>
      <c r="AT1145" s="1"/>
      <c r="AU1145" s="1">
        <v>2020</v>
      </c>
      <c r="AV1145" s="1"/>
      <c r="AW1145" s="1"/>
      <c r="AX1145" s="1"/>
      <c r="AY1145" s="1"/>
      <c r="AZ1145" s="1"/>
      <c r="BA1145" s="1"/>
      <c r="BB1145" s="1">
        <v>1338</v>
      </c>
      <c r="BC1145" s="1">
        <v>1348</v>
      </c>
      <c r="BD1145" s="1"/>
      <c r="BE1145" s="1" t="s">
        <v>7392</v>
      </c>
      <c r="BF1145" s="1" t="str">
        <f>HYPERLINK("http://dx.doi.org/10.22616/ERDev.2020.19.TF334","http://dx.doi.org/10.22616/ERDev.2020.19.TF334")</f>
        <v>http://dx.doi.org/10.22616/ERDev.2020.19.TF334</v>
      </c>
      <c r="BG1145" s="1"/>
      <c r="BH1145" s="1"/>
      <c r="BI1145" s="1"/>
      <c r="BJ1145" s="1"/>
      <c r="BK1145" s="1"/>
      <c r="BL1145" s="1"/>
      <c r="BM1145" s="1"/>
      <c r="BN1145" s="1"/>
      <c r="BO1145" s="1"/>
      <c r="BP1145" s="1"/>
      <c r="BQ1145" s="1"/>
      <c r="BR1145" s="1"/>
      <c r="BS1145" s="1" t="s">
        <v>7393</v>
      </c>
      <c r="BT1145" s="1" t="str">
        <f>HYPERLINK("https%3A%2F%2Fwww.webofscience.com%2Fwos%2Fwoscc%2Ffull-record%2FWOS:000815085500192","View Full Record in Web of Science")</f>
        <v>View Full Record in Web of Science</v>
      </c>
      <c r="BU1145" s="1"/>
      <c r="BV1145" s="1"/>
      <c r="BW1145" s="1"/>
    </row>
    <row r="1146" spans="1:75" customHeight="1" ht="12.75">
      <c r="A1146" s="1" t="s">
        <v>72</v>
      </c>
      <c r="B1146" s="1" t="s">
        <v>7394</v>
      </c>
      <c r="C1146" s="1"/>
      <c r="D1146" s="1"/>
      <c r="E1146" s="1"/>
      <c r="F1146" s="1" t="s">
        <v>7395</v>
      </c>
      <c r="G1146" s="1"/>
      <c r="H1146" s="1"/>
      <c r="I1146" s="1" t="s">
        <v>7396</v>
      </c>
      <c r="J1146" s="1" t="s">
        <v>6799</v>
      </c>
      <c r="K1146" s="1"/>
      <c r="L1146" s="1"/>
      <c r="M1146" s="1"/>
      <c r="N1146" s="1"/>
      <c r="O1146" s="1"/>
      <c r="P1146" s="1"/>
      <c r="Q1146" s="1"/>
      <c r="R1146" s="1"/>
      <c r="S1146" s="1"/>
      <c r="T1146" s="1"/>
      <c r="U1146" s="1"/>
      <c r="V1146" s="1"/>
      <c r="W1146" s="1"/>
      <c r="X1146" s="1"/>
      <c r="Y1146" s="1"/>
      <c r="Z1146" s="1"/>
      <c r="AA1146" s="1" t="s">
        <v>7397</v>
      </c>
      <c r="AB1146" s="1" t="s">
        <v>7398</v>
      </c>
      <c r="AC1146" s="1"/>
      <c r="AD1146" s="1"/>
      <c r="AE1146" s="1"/>
      <c r="AF1146" s="1"/>
      <c r="AG1146" s="1"/>
      <c r="AH1146" s="1"/>
      <c r="AI1146" s="1"/>
      <c r="AJ1146" s="1"/>
      <c r="AK1146" s="1"/>
      <c r="AL1146" s="1"/>
      <c r="AM1146" s="1"/>
      <c r="AN1146" s="1"/>
      <c r="AO1146" s="1" t="s">
        <v>6802</v>
      </c>
      <c r="AP1146" s="1" t="s">
        <v>6803</v>
      </c>
      <c r="AQ1146" s="1"/>
      <c r="AR1146" s="1"/>
      <c r="AS1146" s="1"/>
      <c r="AT1146" s="1" t="s">
        <v>403</v>
      </c>
      <c r="AU1146" s="1">
        <v>2018</v>
      </c>
      <c r="AV1146" s="1">
        <v>120</v>
      </c>
      <c r="AW1146" s="1"/>
      <c r="AX1146" s="1" t="s">
        <v>231</v>
      </c>
      <c r="AY1146" s="1"/>
      <c r="AZ1146" s="1"/>
      <c r="BA1146" s="1"/>
      <c r="BB1146" s="1">
        <v>2225</v>
      </c>
      <c r="BC1146" s="1">
        <v>2233</v>
      </c>
      <c r="BD1146" s="1"/>
      <c r="BE1146" s="1" t="s">
        <v>7399</v>
      </c>
      <c r="BF1146" s="1" t="str">
        <f>HYPERLINK("http://dx.doi.org/10.1016/j.ijbiomac.2018.07.078","http://dx.doi.org/10.1016/j.ijbiomac.2018.07.078")</f>
        <v>http://dx.doi.org/10.1016/j.ijbiomac.2018.07.078</v>
      </c>
      <c r="BG1146" s="1"/>
      <c r="BH1146" s="1"/>
      <c r="BI1146" s="1"/>
      <c r="BJ1146" s="1"/>
      <c r="BK1146" s="1"/>
      <c r="BL1146" s="1"/>
      <c r="BM1146" s="1"/>
      <c r="BN1146" s="1">
        <v>30012483</v>
      </c>
      <c r="BO1146" s="1"/>
      <c r="BP1146" s="1"/>
      <c r="BQ1146" s="1"/>
      <c r="BR1146" s="1"/>
      <c r="BS1146" s="1" t="s">
        <v>7400</v>
      </c>
      <c r="BT1146" s="1" t="str">
        <f>HYPERLINK("https%3A%2F%2Fwww.webofscience.com%2Fwos%2Fwoscc%2Ffull-record%2FWOS:000449892800095","View Full Record in Web of Science")</f>
        <v>View Full Record in Web of Science</v>
      </c>
      <c r="BU1146" s="1"/>
      <c r="BV1146" s="1"/>
      <c r="BW1146" s="1"/>
    </row>
    <row r="1147" spans="1:75" customHeight="1" ht="12.75">
      <c r="A1147" s="1" t="s">
        <v>147</v>
      </c>
      <c r="B1147" s="1" t="s">
        <v>7401</v>
      </c>
      <c r="C1147" s="1"/>
      <c r="D1147" s="1" t="s">
        <v>7402</v>
      </c>
      <c r="E1147" s="1"/>
      <c r="F1147" s="1" t="s">
        <v>7403</v>
      </c>
      <c r="G1147" s="1"/>
      <c r="H1147" s="1"/>
      <c r="I1147" s="1" t="s">
        <v>7404</v>
      </c>
      <c r="J1147" s="1" t="s">
        <v>7405</v>
      </c>
      <c r="K1147" s="1" t="s">
        <v>253</v>
      </c>
      <c r="L1147" s="1"/>
      <c r="M1147" s="1"/>
      <c r="N1147" s="1"/>
      <c r="O1147" s="1" t="s">
        <v>7406</v>
      </c>
      <c r="P1147" s="1" t="s">
        <v>7407</v>
      </c>
      <c r="Q1147" s="1" t="s">
        <v>7408</v>
      </c>
      <c r="R1147" s="1"/>
      <c r="S1147" s="1" t="s">
        <v>7409</v>
      </c>
      <c r="T1147" s="1"/>
      <c r="U1147" s="1"/>
      <c r="V1147" s="1"/>
      <c r="W1147" s="1"/>
      <c r="X1147" s="1"/>
      <c r="Y1147" s="1"/>
      <c r="Z1147" s="1"/>
      <c r="AA1147" s="1" t="s">
        <v>7410</v>
      </c>
      <c r="AB1147" s="1" t="s">
        <v>7411</v>
      </c>
      <c r="AC1147" s="1"/>
      <c r="AD1147" s="1"/>
      <c r="AE1147" s="1"/>
      <c r="AF1147" s="1"/>
      <c r="AG1147" s="1"/>
      <c r="AH1147" s="1"/>
      <c r="AI1147" s="1"/>
      <c r="AJ1147" s="1"/>
      <c r="AK1147" s="1"/>
      <c r="AL1147" s="1"/>
      <c r="AM1147" s="1"/>
      <c r="AN1147" s="1"/>
      <c r="AO1147" s="1" t="s">
        <v>259</v>
      </c>
      <c r="AP1147" s="1"/>
      <c r="AQ1147" s="1"/>
      <c r="AR1147" s="1"/>
      <c r="AS1147" s="1"/>
      <c r="AT1147" s="1"/>
      <c r="AU1147" s="1">
        <v>2017</v>
      </c>
      <c r="AV1147" s="1">
        <v>28</v>
      </c>
      <c r="AW1147" s="1"/>
      <c r="AX1147" s="1"/>
      <c r="AY1147" s="1"/>
      <c r="AZ1147" s="1"/>
      <c r="BA1147" s="1"/>
      <c r="BB1147" s="1">
        <v>9</v>
      </c>
      <c r="BC1147" s="1">
        <v>16</v>
      </c>
      <c r="BD1147" s="1"/>
      <c r="BE1147" s="1" t="s">
        <v>7412</v>
      </c>
      <c r="BF1147" s="1" t="str">
        <f>HYPERLINK("http://dx.doi.org/10.15405/epsbs.2017.08.2","http://dx.doi.org/10.15405/epsbs.2017.08.2")</f>
        <v>http://dx.doi.org/10.15405/epsbs.2017.08.2</v>
      </c>
      <c r="BG1147" s="1"/>
      <c r="BH1147" s="1"/>
      <c r="BI1147" s="1"/>
      <c r="BJ1147" s="1"/>
      <c r="BK1147" s="1"/>
      <c r="BL1147" s="1"/>
      <c r="BM1147" s="1"/>
      <c r="BN1147" s="1"/>
      <c r="BO1147" s="1"/>
      <c r="BP1147" s="1"/>
      <c r="BQ1147" s="1"/>
      <c r="BR1147" s="1"/>
      <c r="BS1147" s="1" t="s">
        <v>7413</v>
      </c>
      <c r="BT1147" s="1" t="str">
        <f>HYPERLINK("https%3A%2F%2Fwww.webofscience.com%2Fwos%2Fwoscc%2Ffull-record%2FWOS:000416073800002","View Full Record in Web of Science")</f>
        <v>View Full Record in Web of Science</v>
      </c>
      <c r="BU1147" s="1"/>
      <c r="BV1147" s="1"/>
      <c r="BW1147" s="1"/>
    </row>
    <row r="1148" spans="1:75" customHeight="1" ht="12.75">
      <c r="A1148" s="1" t="s">
        <v>147</v>
      </c>
      <c r="B1148" s="1" t="s">
        <v>7414</v>
      </c>
      <c r="C1148" s="1"/>
      <c r="D1148" s="1" t="s">
        <v>7415</v>
      </c>
      <c r="E1148" s="1"/>
      <c r="F1148" s="1" t="s">
        <v>7416</v>
      </c>
      <c r="G1148" s="1"/>
      <c r="H1148" s="1"/>
      <c r="I1148" s="1" t="s">
        <v>7417</v>
      </c>
      <c r="J1148" s="1" t="s">
        <v>7418</v>
      </c>
      <c r="K1148" s="1" t="s">
        <v>818</v>
      </c>
      <c r="L1148" s="1"/>
      <c r="M1148" s="1"/>
      <c r="N1148" s="1"/>
      <c r="O1148" s="1" t="s">
        <v>7419</v>
      </c>
      <c r="P1148" s="1" t="s">
        <v>7420</v>
      </c>
      <c r="Q1148" s="1" t="s">
        <v>1628</v>
      </c>
      <c r="R1148" s="1"/>
      <c r="S1148" s="1"/>
      <c r="T1148" s="1"/>
      <c r="U1148" s="1"/>
      <c r="V1148" s="1"/>
      <c r="W1148" s="1"/>
      <c r="X1148" s="1"/>
      <c r="Y1148" s="1"/>
      <c r="Z1148" s="1"/>
      <c r="AA1148" s="1" t="s">
        <v>7421</v>
      </c>
      <c r="AB1148" s="1"/>
      <c r="AC1148" s="1"/>
      <c r="AD1148" s="1"/>
      <c r="AE1148" s="1"/>
      <c r="AF1148" s="1"/>
      <c r="AG1148" s="1"/>
      <c r="AH1148" s="1"/>
      <c r="AI1148" s="1"/>
      <c r="AJ1148" s="1"/>
      <c r="AK1148" s="1"/>
      <c r="AL1148" s="1"/>
      <c r="AM1148" s="1"/>
      <c r="AN1148" s="1"/>
      <c r="AO1148" s="1" t="s">
        <v>822</v>
      </c>
      <c r="AP1148" s="1" t="s">
        <v>823</v>
      </c>
      <c r="AQ1148" s="1" t="s">
        <v>7422</v>
      </c>
      <c r="AR1148" s="1"/>
      <c r="AS1148" s="1"/>
      <c r="AT1148" s="1"/>
      <c r="AU1148" s="1">
        <v>2022</v>
      </c>
      <c r="AV1148" s="1"/>
      <c r="AW1148" s="1"/>
      <c r="AX1148" s="1"/>
      <c r="AY1148" s="1"/>
      <c r="AZ1148" s="1"/>
      <c r="BA1148" s="1"/>
      <c r="BB1148" s="1">
        <v>9</v>
      </c>
      <c r="BC1148" s="1">
        <v>24</v>
      </c>
      <c r="BD1148" s="1"/>
      <c r="BE1148" s="1" t="s">
        <v>7423</v>
      </c>
      <c r="BF1148" s="1" t="str">
        <f>HYPERLINK("http://dx.doi.org/10.1007/978-981-16-8806-5_2","http://dx.doi.org/10.1007/978-981-16-8806-5_2")</f>
        <v>http://dx.doi.org/10.1007/978-981-16-8806-5_2</v>
      </c>
      <c r="BG1148" s="1"/>
      <c r="BH1148" s="1"/>
      <c r="BI1148" s="1"/>
      <c r="BJ1148" s="1"/>
      <c r="BK1148" s="1"/>
      <c r="BL1148" s="1"/>
      <c r="BM1148" s="1"/>
      <c r="BN1148" s="1"/>
      <c r="BO1148" s="1"/>
      <c r="BP1148" s="1"/>
      <c r="BQ1148" s="1"/>
      <c r="BR1148" s="1"/>
      <c r="BS1148" s="1" t="s">
        <v>7424</v>
      </c>
      <c r="BT1148" s="1" t="str">
        <f>HYPERLINK("https%3A%2F%2Fwww.webofscience.com%2Fwos%2Fwoscc%2Ffull-record%2FWOS:000789412600002","View Full Record in Web of Science")</f>
        <v>View Full Record in Web of Science</v>
      </c>
      <c r="BU1148" s="1"/>
      <c r="BV1148" s="1"/>
      <c r="BW1148" s="1"/>
    </row>
    <row r="1149" spans="1:75" customHeight="1" ht="12.75">
      <c r="A1149" s="1" t="s">
        <v>147</v>
      </c>
      <c r="B1149" s="1" t="s">
        <v>7425</v>
      </c>
      <c r="C1149" s="1"/>
      <c r="D1149" s="1" t="s">
        <v>7426</v>
      </c>
      <c r="E1149" s="1"/>
      <c r="F1149" s="1" t="s">
        <v>7427</v>
      </c>
      <c r="G1149" s="1"/>
      <c r="H1149" s="1"/>
      <c r="I1149" s="1" t="s">
        <v>7428</v>
      </c>
      <c r="J1149" s="1" t="s">
        <v>7429</v>
      </c>
      <c r="K1149" s="1" t="s">
        <v>1219</v>
      </c>
      <c r="L1149" s="1"/>
      <c r="M1149" s="1"/>
      <c r="N1149" s="1"/>
      <c r="O1149" s="1" t="s">
        <v>7430</v>
      </c>
      <c r="P1149" s="1" t="s">
        <v>7431</v>
      </c>
      <c r="Q1149" s="1" t="s">
        <v>7432</v>
      </c>
      <c r="R1149" s="1" t="s">
        <v>7433</v>
      </c>
      <c r="S1149" s="1" t="s">
        <v>7434</v>
      </c>
      <c r="T1149" s="1"/>
      <c r="U1149" s="1"/>
      <c r="V1149" s="1"/>
      <c r="W1149" s="1"/>
      <c r="X1149" s="1"/>
      <c r="Y1149" s="1"/>
      <c r="Z1149" s="1"/>
      <c r="AA1149" s="1" t="s">
        <v>7435</v>
      </c>
      <c r="AB1149" s="1" t="s">
        <v>7436</v>
      </c>
      <c r="AC1149" s="1"/>
      <c r="AD1149" s="1"/>
      <c r="AE1149" s="1"/>
      <c r="AF1149" s="1"/>
      <c r="AG1149" s="1"/>
      <c r="AH1149" s="1"/>
      <c r="AI1149" s="1"/>
      <c r="AJ1149" s="1"/>
      <c r="AK1149" s="1"/>
      <c r="AL1149" s="1"/>
      <c r="AM1149" s="1"/>
      <c r="AN1149" s="1"/>
      <c r="AO1149" s="1" t="s">
        <v>1223</v>
      </c>
      <c r="AP1149" s="1"/>
      <c r="AQ1149" s="1"/>
      <c r="AR1149" s="1"/>
      <c r="AS1149" s="1"/>
      <c r="AT1149" s="1"/>
      <c r="AU1149" s="1">
        <v>2020</v>
      </c>
      <c r="AV1149" s="1">
        <v>17</v>
      </c>
      <c r="AW1149" s="1"/>
      <c r="AX1149" s="1"/>
      <c r="AY1149" s="1"/>
      <c r="AZ1149" s="1"/>
      <c r="BA1149" s="1"/>
      <c r="BB1149" s="1"/>
      <c r="BC1149" s="1"/>
      <c r="BD1149" s="1">
        <v>118</v>
      </c>
      <c r="BE1149" s="1" t="s">
        <v>7437</v>
      </c>
      <c r="BF1149" s="1" t="str">
        <f>HYPERLINK("http://dx.doi.org/10.1051/bioconf/20201700118","http://dx.doi.org/10.1051/bioconf/20201700118")</f>
        <v>http://dx.doi.org/10.1051/bioconf/20201700118</v>
      </c>
      <c r="BG1149" s="1"/>
      <c r="BH1149" s="1"/>
      <c r="BI1149" s="1"/>
      <c r="BJ1149" s="1"/>
      <c r="BK1149" s="1"/>
      <c r="BL1149" s="1"/>
      <c r="BM1149" s="1"/>
      <c r="BN1149" s="1"/>
      <c r="BO1149" s="1"/>
      <c r="BP1149" s="1"/>
      <c r="BQ1149" s="1"/>
      <c r="BR1149" s="1"/>
      <c r="BS1149" s="1" t="s">
        <v>7438</v>
      </c>
      <c r="BT1149" s="1" t="str">
        <f>HYPERLINK("https%3A%2F%2Fwww.webofscience.com%2Fwos%2Fwoscc%2Ffull-record%2FWOS:000570248200117","View Full Record in Web of Science")</f>
        <v>View Full Record in Web of Science</v>
      </c>
      <c r="BU1149" s="1"/>
      <c r="BV1149" s="1"/>
      <c r="BW1149" s="1"/>
    </row>
    <row r="1150" spans="1:75" customHeight="1" ht="12.75">
      <c r="A1150" s="1" t="s">
        <v>147</v>
      </c>
      <c r="B1150" s="1" t="s">
        <v>7183</v>
      </c>
      <c r="C1150" s="1"/>
      <c r="D1150" s="1" t="s">
        <v>2517</v>
      </c>
      <c r="E1150" s="1"/>
      <c r="F1150" s="1" t="s">
        <v>7184</v>
      </c>
      <c r="G1150" s="1"/>
      <c r="H1150" s="1"/>
      <c r="I1150" s="1" t="s">
        <v>7439</v>
      </c>
      <c r="J1150" s="1" t="s">
        <v>7440</v>
      </c>
      <c r="K1150" s="1" t="s">
        <v>2521</v>
      </c>
      <c r="L1150" s="1"/>
      <c r="M1150" s="1"/>
      <c r="N1150" s="1"/>
      <c r="O1150" s="1" t="s">
        <v>7441</v>
      </c>
      <c r="P1150" s="1" t="s">
        <v>7442</v>
      </c>
      <c r="Q1150" s="1" t="s">
        <v>7443</v>
      </c>
      <c r="R1150" s="1"/>
      <c r="S1150" s="1" t="s">
        <v>7444</v>
      </c>
      <c r="T1150" s="1"/>
      <c r="U1150" s="1"/>
      <c r="V1150" s="1"/>
      <c r="W1150" s="1"/>
      <c r="X1150" s="1"/>
      <c r="Y1150" s="1"/>
      <c r="Z1150" s="1"/>
      <c r="AA1150" s="1" t="s">
        <v>7186</v>
      </c>
      <c r="AB1150" s="1" t="s">
        <v>7187</v>
      </c>
      <c r="AC1150" s="1"/>
      <c r="AD1150" s="1"/>
      <c r="AE1150" s="1"/>
      <c r="AF1150" s="1"/>
      <c r="AG1150" s="1"/>
      <c r="AH1150" s="1"/>
      <c r="AI1150" s="1"/>
      <c r="AJ1150" s="1"/>
      <c r="AK1150" s="1"/>
      <c r="AL1150" s="1"/>
      <c r="AM1150" s="1"/>
      <c r="AN1150" s="1"/>
      <c r="AO1150" s="1" t="s">
        <v>2527</v>
      </c>
      <c r="AP1150" s="1" t="s">
        <v>2528</v>
      </c>
      <c r="AQ1150" s="1"/>
      <c r="AR1150" s="1"/>
      <c r="AS1150" s="1"/>
      <c r="AT1150" s="1"/>
      <c r="AU1150" s="1">
        <v>2017</v>
      </c>
      <c r="AV1150" s="1"/>
      <c r="AW1150" s="1"/>
      <c r="AX1150" s="1"/>
      <c r="AY1150" s="1"/>
      <c r="AZ1150" s="1"/>
      <c r="BA1150" s="1"/>
      <c r="BB1150" s="1">
        <v>1225</v>
      </c>
      <c r="BC1150" s="1">
        <v>1232</v>
      </c>
      <c r="BD1150" s="1"/>
      <c r="BE1150" s="1" t="s">
        <v>7445</v>
      </c>
      <c r="BF1150" s="1" t="str">
        <f>HYPERLINK("http://dx.doi.org/10.22616/ERDev2017.16.N269","http://dx.doi.org/10.22616/ERDev2017.16.N269")</f>
        <v>http://dx.doi.org/10.22616/ERDev2017.16.N269</v>
      </c>
      <c r="BG1150" s="1"/>
      <c r="BH1150" s="1"/>
      <c r="BI1150" s="1"/>
      <c r="BJ1150" s="1"/>
      <c r="BK1150" s="1"/>
      <c r="BL1150" s="1"/>
      <c r="BM1150" s="1"/>
      <c r="BN1150" s="1"/>
      <c r="BO1150" s="1"/>
      <c r="BP1150" s="1"/>
      <c r="BQ1150" s="1"/>
      <c r="BR1150" s="1"/>
      <c r="BS1150" s="1" t="s">
        <v>7446</v>
      </c>
      <c r="BT1150" s="1" t="str">
        <f>HYPERLINK("https%3A%2F%2Fwww.webofscience.com%2Fwos%2Fwoscc%2Ffull-record%2FWOS:000416378300189","View Full Record in Web of Science")</f>
        <v>View Full Record in Web of Science</v>
      </c>
      <c r="BU1150" s="1"/>
      <c r="BV1150" s="1"/>
      <c r="BW1150" s="1"/>
    </row>
    <row r="1151" spans="1:75" customHeight="1" ht="12.75">
      <c r="A1151" s="1" t="s">
        <v>72</v>
      </c>
      <c r="B1151" s="1" t="s">
        <v>7447</v>
      </c>
      <c r="C1151" s="1"/>
      <c r="D1151" s="1"/>
      <c r="E1151" s="1"/>
      <c r="F1151" s="1" t="s">
        <v>7448</v>
      </c>
      <c r="G1151" s="1"/>
      <c r="H1151" s="1"/>
      <c r="I1151" s="1" t="s">
        <v>7449</v>
      </c>
      <c r="J1151" s="1" t="s">
        <v>6419</v>
      </c>
      <c r="K1151" s="1"/>
      <c r="L1151" s="1"/>
      <c r="M1151" s="1"/>
      <c r="N1151" s="1"/>
      <c r="O1151" s="1"/>
      <c r="P1151" s="1"/>
      <c r="Q1151" s="1"/>
      <c r="R1151" s="1"/>
      <c r="S1151" s="1"/>
      <c r="T1151" s="1"/>
      <c r="U1151" s="1"/>
      <c r="V1151" s="1"/>
      <c r="W1151" s="1"/>
      <c r="X1151" s="1"/>
      <c r="Y1151" s="1"/>
      <c r="Z1151" s="1"/>
      <c r="AA1151" s="1" t="s">
        <v>6420</v>
      </c>
      <c r="AB1151" s="1" t="s">
        <v>6421</v>
      </c>
      <c r="AC1151" s="1"/>
      <c r="AD1151" s="1"/>
      <c r="AE1151" s="1"/>
      <c r="AF1151" s="1"/>
      <c r="AG1151" s="1"/>
      <c r="AH1151" s="1"/>
      <c r="AI1151" s="1"/>
      <c r="AJ1151" s="1"/>
      <c r="AK1151" s="1"/>
      <c r="AL1151" s="1"/>
      <c r="AM1151" s="1"/>
      <c r="AN1151" s="1"/>
      <c r="AO1151" s="1" t="s">
        <v>6422</v>
      </c>
      <c r="AP1151" s="1" t="s">
        <v>6423</v>
      </c>
      <c r="AQ1151" s="1"/>
      <c r="AR1151" s="1"/>
      <c r="AS1151" s="1"/>
      <c r="AT1151" s="1" t="s">
        <v>403</v>
      </c>
      <c r="AU1151" s="1">
        <v>2012</v>
      </c>
      <c r="AV1151" s="1">
        <v>38</v>
      </c>
      <c r="AW1151" s="1">
        <v>7</v>
      </c>
      <c r="AX1151" s="1"/>
      <c r="AY1151" s="1"/>
      <c r="AZ1151" s="1"/>
      <c r="BA1151" s="1"/>
      <c r="BB1151" s="1">
        <v>702</v>
      </c>
      <c r="BC1151" s="1">
        <v>706</v>
      </c>
      <c r="BD1151" s="1"/>
      <c r="BE1151" s="1" t="s">
        <v>7450</v>
      </c>
      <c r="BF1151" s="1" t="str">
        <f>HYPERLINK("http://dx.doi.org/10.1134/S1068162012070242","http://dx.doi.org/10.1134/S1068162012070242")</f>
        <v>http://dx.doi.org/10.1134/S1068162012070242</v>
      </c>
      <c r="BG1151" s="1"/>
      <c r="BH1151" s="1"/>
      <c r="BI1151" s="1"/>
      <c r="BJ1151" s="1"/>
      <c r="BK1151" s="1"/>
      <c r="BL1151" s="1"/>
      <c r="BM1151" s="1"/>
      <c r="BN1151" s="1"/>
      <c r="BO1151" s="1"/>
      <c r="BP1151" s="1"/>
      <c r="BQ1151" s="1"/>
      <c r="BR1151" s="1"/>
      <c r="BS1151" s="1" t="s">
        <v>7451</v>
      </c>
      <c r="BT1151" s="1" t="str">
        <f>HYPERLINK("https%3A%2F%2Fwww.webofscience.com%2Fwos%2Fwoscc%2Ffull-record%2FWOS:000312062700004","View Full Record in Web of Science")</f>
        <v>View Full Record in Web of Science</v>
      </c>
      <c r="BU1151" s="1"/>
      <c r="BV1151" s="1"/>
      <c r="BW1151" s="1"/>
    </row>
    <row r="1152" spans="1:75" customHeight="1" ht="12.75">
      <c r="A1152" s="1" t="s">
        <v>72</v>
      </c>
      <c r="B1152" s="1" t="s">
        <v>7452</v>
      </c>
      <c r="C1152" s="1"/>
      <c r="D1152" s="1"/>
      <c r="E1152" s="1"/>
      <c r="F1152" s="1" t="s">
        <v>7453</v>
      </c>
      <c r="G1152" s="1"/>
      <c r="H1152" s="1"/>
      <c r="I1152" s="1" t="s">
        <v>7454</v>
      </c>
      <c r="J1152" s="1" t="s">
        <v>166</v>
      </c>
      <c r="K1152" s="1"/>
      <c r="L1152" s="1"/>
      <c r="M1152" s="1"/>
      <c r="N1152" s="1"/>
      <c r="O1152" s="1"/>
      <c r="P1152" s="1"/>
      <c r="Q1152" s="1"/>
      <c r="R1152" s="1"/>
      <c r="S1152" s="1"/>
      <c r="T1152" s="1"/>
      <c r="U1152" s="1"/>
      <c r="V1152" s="1"/>
      <c r="W1152" s="1"/>
      <c r="X1152" s="1"/>
      <c r="Y1152" s="1"/>
      <c r="Z1152" s="1"/>
      <c r="AA1152" s="1" t="s">
        <v>2077</v>
      </c>
      <c r="AB1152" s="1" t="s">
        <v>6522</v>
      </c>
      <c r="AC1152" s="1"/>
      <c r="AD1152" s="1"/>
      <c r="AE1152" s="1"/>
      <c r="AF1152" s="1"/>
      <c r="AG1152" s="1"/>
      <c r="AH1152" s="1"/>
      <c r="AI1152" s="1"/>
      <c r="AJ1152" s="1"/>
      <c r="AK1152" s="1"/>
      <c r="AL1152" s="1"/>
      <c r="AM1152" s="1"/>
      <c r="AN1152" s="1"/>
      <c r="AO1152" s="1" t="s">
        <v>169</v>
      </c>
      <c r="AP1152" s="1" t="s">
        <v>170</v>
      </c>
      <c r="AQ1152" s="1"/>
      <c r="AR1152" s="1"/>
      <c r="AS1152" s="1"/>
      <c r="AT1152" s="1" t="s">
        <v>403</v>
      </c>
      <c r="AU1152" s="1">
        <v>2021</v>
      </c>
      <c r="AV1152" s="1">
        <v>10</v>
      </c>
      <c r="AW1152" s="1">
        <v>4</v>
      </c>
      <c r="AX1152" s="1"/>
      <c r="AY1152" s="1"/>
      <c r="AZ1152" s="1"/>
      <c r="BA1152" s="1"/>
      <c r="BB1152" s="1">
        <v>943</v>
      </c>
      <c r="BC1152" s="1">
        <v>957</v>
      </c>
      <c r="BD1152" s="1"/>
      <c r="BE1152" s="1" t="s">
        <v>7455</v>
      </c>
      <c r="BF1152" s="1" t="str">
        <f>HYPERLINK("http://dx.doi.org/10.13187/ejced.2021.4.943","http://dx.doi.org/10.13187/ejced.2021.4.943")</f>
        <v>http://dx.doi.org/10.13187/ejced.2021.4.943</v>
      </c>
      <c r="BG1152" s="1"/>
      <c r="BH1152" s="1"/>
      <c r="BI1152" s="1"/>
      <c r="BJ1152" s="1"/>
      <c r="BK1152" s="1"/>
      <c r="BL1152" s="1"/>
      <c r="BM1152" s="1"/>
      <c r="BN1152" s="1"/>
      <c r="BO1152" s="1"/>
      <c r="BP1152" s="1"/>
      <c r="BQ1152" s="1"/>
      <c r="BR1152" s="1"/>
      <c r="BS1152" s="1" t="s">
        <v>7456</v>
      </c>
      <c r="BT1152" s="1" t="str">
        <f>HYPERLINK("https%3A%2F%2Fwww.webofscience.com%2Fwos%2Fwoscc%2Ffull-record%2FWOS:000739150200009","View Full Record in Web of Science")</f>
        <v>View Full Record in Web of Science</v>
      </c>
      <c r="BU1152" s="1"/>
      <c r="BV1152" s="1"/>
      <c r="BW1152" s="1"/>
    </row>
    <row r="1153" spans="1:75" customHeight="1" ht="12.75">
      <c r="A1153" s="1" t="s">
        <v>72</v>
      </c>
      <c r="B1153" s="1" t="s">
        <v>7457</v>
      </c>
      <c r="C1153" s="1"/>
      <c r="D1153" s="1"/>
      <c r="E1153" s="1"/>
      <c r="F1153" s="1" t="s">
        <v>7458</v>
      </c>
      <c r="G1153" s="1"/>
      <c r="H1153" s="1"/>
      <c r="I1153" s="1" t="s">
        <v>7459</v>
      </c>
      <c r="J1153" s="1" t="s">
        <v>95</v>
      </c>
      <c r="K1153" s="1"/>
      <c r="L1153" s="1"/>
      <c r="M1153" s="1"/>
      <c r="N1153" s="1"/>
      <c r="O1153" s="1"/>
      <c r="P1153" s="1"/>
      <c r="Q1153" s="1"/>
      <c r="R1153" s="1"/>
      <c r="S1153" s="1"/>
      <c r="T1153" s="1"/>
      <c r="U1153" s="1"/>
      <c r="V1153" s="1"/>
      <c r="W1153" s="1"/>
      <c r="X1153" s="1"/>
      <c r="Y1153" s="1"/>
      <c r="Z1153" s="1"/>
      <c r="AA1153" s="1" t="s">
        <v>7247</v>
      </c>
      <c r="AB1153" s="1" t="s">
        <v>7073</v>
      </c>
      <c r="AC1153" s="1"/>
      <c r="AD1153" s="1"/>
      <c r="AE1153" s="1"/>
      <c r="AF1153" s="1"/>
      <c r="AG1153" s="1"/>
      <c r="AH1153" s="1"/>
      <c r="AI1153" s="1"/>
      <c r="AJ1153" s="1"/>
      <c r="AK1153" s="1"/>
      <c r="AL1153" s="1"/>
      <c r="AM1153" s="1"/>
      <c r="AN1153" s="1"/>
      <c r="AO1153" s="1" t="s">
        <v>98</v>
      </c>
      <c r="AP1153" s="1" t="s">
        <v>99</v>
      </c>
      <c r="AQ1153" s="1"/>
      <c r="AR1153" s="1"/>
      <c r="AS1153" s="1"/>
      <c r="AT1153" s="1"/>
      <c r="AU1153" s="1">
        <v>2021</v>
      </c>
      <c r="AV1153" s="1"/>
      <c r="AW1153" s="1">
        <v>2</v>
      </c>
      <c r="AX1153" s="1"/>
      <c r="AY1153" s="1"/>
      <c r="AZ1153" s="1"/>
      <c r="BA1153" s="1"/>
      <c r="BB1153" s="1">
        <v>107</v>
      </c>
      <c r="BC1153" s="1">
        <v>114</v>
      </c>
      <c r="BD1153" s="1"/>
      <c r="BE1153" s="1" t="s">
        <v>7460</v>
      </c>
      <c r="BF1153" s="1" t="str">
        <f>HYPERLINK("http://dx.doi.org/10.25750/1995-4301-2021-2-107-114","http://dx.doi.org/10.25750/1995-4301-2021-2-107-114")</f>
        <v>http://dx.doi.org/10.25750/1995-4301-2021-2-107-114</v>
      </c>
      <c r="BG1153" s="1"/>
      <c r="BH1153" s="1"/>
      <c r="BI1153" s="1"/>
      <c r="BJ1153" s="1"/>
      <c r="BK1153" s="1"/>
      <c r="BL1153" s="1"/>
      <c r="BM1153" s="1"/>
      <c r="BN1153" s="1"/>
      <c r="BO1153" s="1"/>
      <c r="BP1153" s="1"/>
      <c r="BQ1153" s="1"/>
      <c r="BR1153" s="1"/>
      <c r="BS1153" s="1" t="s">
        <v>7461</v>
      </c>
      <c r="BT1153" s="1" t="str">
        <f>HYPERLINK("https%3A%2F%2Fwww.webofscience.com%2Fwos%2Fwoscc%2Ffull-record%2FWOS:000667025400015","View Full Record in Web of Science")</f>
        <v>View Full Record in Web of Science</v>
      </c>
      <c r="BU1153" s="1"/>
      <c r="BV1153" s="1"/>
      <c r="BW1153" s="1"/>
    </row>
    <row r="1154" spans="1:75" customHeight="1" ht="12.75">
      <c r="A1154" s="1" t="s">
        <v>72</v>
      </c>
      <c r="B1154" s="1" t="s">
        <v>6934</v>
      </c>
      <c r="C1154" s="1"/>
      <c r="D1154" s="1"/>
      <c r="E1154" s="1"/>
      <c r="F1154" s="1" t="s">
        <v>6935</v>
      </c>
      <c r="G1154" s="1"/>
      <c r="H1154" s="1"/>
      <c r="I1154" s="1" t="s">
        <v>7462</v>
      </c>
      <c r="J1154" s="1" t="s">
        <v>95</v>
      </c>
      <c r="K1154" s="1"/>
      <c r="L1154" s="1"/>
      <c r="M1154" s="1"/>
      <c r="N1154" s="1"/>
      <c r="O1154" s="1"/>
      <c r="P1154" s="1"/>
      <c r="Q1154" s="1"/>
      <c r="R1154" s="1"/>
      <c r="S1154" s="1"/>
      <c r="T1154" s="1"/>
      <c r="U1154" s="1"/>
      <c r="V1154" s="1"/>
      <c r="W1154" s="1"/>
      <c r="X1154" s="1"/>
      <c r="Y1154" s="1"/>
      <c r="Z1154" s="1"/>
      <c r="AA1154" s="1" t="s">
        <v>7463</v>
      </c>
      <c r="AB1154" s="1" t="s">
        <v>7464</v>
      </c>
      <c r="AC1154" s="1"/>
      <c r="AD1154" s="1"/>
      <c r="AE1154" s="1"/>
      <c r="AF1154" s="1"/>
      <c r="AG1154" s="1"/>
      <c r="AH1154" s="1"/>
      <c r="AI1154" s="1"/>
      <c r="AJ1154" s="1"/>
      <c r="AK1154" s="1"/>
      <c r="AL1154" s="1"/>
      <c r="AM1154" s="1"/>
      <c r="AN1154" s="1"/>
      <c r="AO1154" s="1" t="s">
        <v>98</v>
      </c>
      <c r="AP1154" s="1" t="s">
        <v>99</v>
      </c>
      <c r="AQ1154" s="1"/>
      <c r="AR1154" s="1"/>
      <c r="AS1154" s="1"/>
      <c r="AT1154" s="1"/>
      <c r="AU1154" s="1">
        <v>2020</v>
      </c>
      <c r="AV1154" s="1"/>
      <c r="AW1154" s="1">
        <v>3</v>
      </c>
      <c r="AX1154" s="1"/>
      <c r="AY1154" s="1"/>
      <c r="AZ1154" s="1"/>
      <c r="BA1154" s="1"/>
      <c r="BB1154" s="1">
        <v>36</v>
      </c>
      <c r="BC1154" s="1">
        <v>40</v>
      </c>
      <c r="BD1154" s="1"/>
      <c r="BE1154" s="1" t="s">
        <v>7465</v>
      </c>
      <c r="BF1154" s="1" t="str">
        <f>HYPERLINK("http://dx.doi.org/10.25750/1995-4301-2020-3-036-040","http://dx.doi.org/10.25750/1995-4301-2020-3-036-040")</f>
        <v>http://dx.doi.org/10.25750/1995-4301-2020-3-036-040</v>
      </c>
      <c r="BG1154" s="1"/>
      <c r="BH1154" s="1"/>
      <c r="BI1154" s="1"/>
      <c r="BJ1154" s="1"/>
      <c r="BK1154" s="1"/>
      <c r="BL1154" s="1"/>
      <c r="BM1154" s="1"/>
      <c r="BN1154" s="1"/>
      <c r="BO1154" s="1"/>
      <c r="BP1154" s="1"/>
      <c r="BQ1154" s="1"/>
      <c r="BR1154" s="1"/>
      <c r="BS1154" s="1" t="s">
        <v>7466</v>
      </c>
      <c r="BT1154" s="1" t="str">
        <f>HYPERLINK("https%3A%2F%2Fwww.webofscience.com%2Fwos%2Fwoscc%2Ffull-record%2FWOS:000580337700005","View Full Record in Web of Science")</f>
        <v>View Full Record in Web of Science</v>
      </c>
      <c r="BU1154" s="1"/>
      <c r="BV1154" s="1"/>
      <c r="BW1154" s="1"/>
    </row>
    <row r="1155" spans="1:75" customHeight="1" ht="12.75">
      <c r="A1155" s="1" t="s">
        <v>72</v>
      </c>
      <c r="B1155" s="1" t="s">
        <v>7467</v>
      </c>
      <c r="C1155" s="1"/>
      <c r="D1155" s="1"/>
      <c r="E1155" s="1"/>
      <c r="F1155" s="1" t="s">
        <v>7468</v>
      </c>
      <c r="G1155" s="1"/>
      <c r="H1155" s="1"/>
      <c r="I1155" s="1" t="s">
        <v>7469</v>
      </c>
      <c r="J1155" s="1" t="s">
        <v>6799</v>
      </c>
      <c r="K1155" s="1"/>
      <c r="L1155" s="1"/>
      <c r="M1155" s="1"/>
      <c r="N1155" s="1"/>
      <c r="O1155" s="1"/>
      <c r="P1155" s="1"/>
      <c r="Q1155" s="1"/>
      <c r="R1155" s="1"/>
      <c r="S1155" s="1"/>
      <c r="T1155" s="1"/>
      <c r="U1155" s="1"/>
      <c r="V1155" s="1"/>
      <c r="W1155" s="1"/>
      <c r="X1155" s="1"/>
      <c r="Y1155" s="1"/>
      <c r="Z1155" s="1"/>
      <c r="AA1155" s="1" t="s">
        <v>7470</v>
      </c>
      <c r="AB1155" s="1" t="s">
        <v>7471</v>
      </c>
      <c r="AC1155" s="1"/>
      <c r="AD1155" s="1"/>
      <c r="AE1155" s="1"/>
      <c r="AF1155" s="1"/>
      <c r="AG1155" s="1"/>
      <c r="AH1155" s="1"/>
      <c r="AI1155" s="1"/>
      <c r="AJ1155" s="1"/>
      <c r="AK1155" s="1"/>
      <c r="AL1155" s="1"/>
      <c r="AM1155" s="1"/>
      <c r="AN1155" s="1"/>
      <c r="AO1155" s="1" t="s">
        <v>6802</v>
      </c>
      <c r="AP1155" s="1" t="s">
        <v>6803</v>
      </c>
      <c r="AQ1155" s="1"/>
      <c r="AR1155" s="1"/>
      <c r="AS1155" s="1"/>
      <c r="AT1155" s="1" t="s">
        <v>7472</v>
      </c>
      <c r="AU1155" s="1">
        <v>2019</v>
      </c>
      <c r="AV1155" s="1">
        <v>138</v>
      </c>
      <c r="AW1155" s="1"/>
      <c r="AX1155" s="1"/>
      <c r="AY1155" s="1"/>
      <c r="AZ1155" s="1"/>
      <c r="BA1155" s="1"/>
      <c r="BB1155" s="1">
        <v>629</v>
      </c>
      <c r="BC1155" s="1">
        <v>635</v>
      </c>
      <c r="BD1155" s="1"/>
      <c r="BE1155" s="1" t="s">
        <v>7473</v>
      </c>
      <c r="BF1155" s="1" t="str">
        <f>HYPERLINK("http://dx.doi.org/10.1016/j.ijbiomac.2019.07.122","http://dx.doi.org/10.1016/j.ijbiomac.2019.07.122")</f>
        <v>http://dx.doi.org/10.1016/j.ijbiomac.2019.07.122</v>
      </c>
      <c r="BG1155" s="1"/>
      <c r="BH1155" s="1"/>
      <c r="BI1155" s="1"/>
      <c r="BJ1155" s="1"/>
      <c r="BK1155" s="1"/>
      <c r="BL1155" s="1"/>
      <c r="BM1155" s="1"/>
      <c r="BN1155" s="1">
        <v>31336115</v>
      </c>
      <c r="BO1155" s="1"/>
      <c r="BP1155" s="1"/>
      <c r="BQ1155" s="1"/>
      <c r="BR1155" s="1"/>
      <c r="BS1155" s="1" t="s">
        <v>7474</v>
      </c>
      <c r="BT1155" s="1" t="str">
        <f>HYPERLINK("https%3A%2F%2Fwww.webofscience.com%2Fwos%2Fwoscc%2Ffull-record%2FWOS:000487569000066","View Full Record in Web of Science")</f>
        <v>View Full Record in Web of Science</v>
      </c>
      <c r="BU1155" s="1"/>
      <c r="BV1155" s="1"/>
      <c r="BW1155" s="1"/>
    </row>
    <row r="1156" spans="1:75" customHeight="1" ht="12.75">
      <c r="A1156" s="1" t="s">
        <v>72</v>
      </c>
      <c r="B1156" s="1" t="s">
        <v>7475</v>
      </c>
      <c r="C1156" s="1"/>
      <c r="D1156" s="1"/>
      <c r="E1156" s="1"/>
      <c r="F1156" s="1" t="s">
        <v>7476</v>
      </c>
      <c r="G1156" s="1"/>
      <c r="H1156" s="1"/>
      <c r="I1156" s="1" t="s">
        <v>7477</v>
      </c>
      <c r="J1156" s="1" t="s">
        <v>7100</v>
      </c>
      <c r="K1156" s="1"/>
      <c r="L1156" s="1"/>
      <c r="M1156" s="1"/>
      <c r="N1156" s="1"/>
      <c r="O1156" s="1"/>
      <c r="P1156" s="1"/>
      <c r="Q1156" s="1"/>
      <c r="R1156" s="1"/>
      <c r="S1156" s="1"/>
      <c r="T1156" s="1"/>
      <c r="U1156" s="1"/>
      <c r="V1156" s="1"/>
      <c r="W1156" s="1"/>
      <c r="X1156" s="1"/>
      <c r="Y1156" s="1"/>
      <c r="Z1156" s="1"/>
      <c r="AA1156" s="1" t="s">
        <v>7478</v>
      </c>
      <c r="AB1156" s="1" t="s">
        <v>7479</v>
      </c>
      <c r="AC1156" s="1"/>
      <c r="AD1156" s="1"/>
      <c r="AE1156" s="1"/>
      <c r="AF1156" s="1"/>
      <c r="AG1156" s="1"/>
      <c r="AH1156" s="1"/>
      <c r="AI1156" s="1"/>
      <c r="AJ1156" s="1"/>
      <c r="AK1156" s="1"/>
      <c r="AL1156" s="1"/>
      <c r="AM1156" s="1"/>
      <c r="AN1156" s="1"/>
      <c r="AO1156" s="1" t="s">
        <v>7103</v>
      </c>
      <c r="AP1156" s="1" t="s">
        <v>7104</v>
      </c>
      <c r="AQ1156" s="1"/>
      <c r="AR1156" s="1"/>
      <c r="AS1156" s="1"/>
      <c r="AT1156" s="1" t="s">
        <v>7480</v>
      </c>
      <c r="AU1156" s="1">
        <v>2019</v>
      </c>
      <c r="AV1156" s="1">
        <v>216</v>
      </c>
      <c r="AW1156" s="1"/>
      <c r="AX1156" s="1"/>
      <c r="AY1156" s="1"/>
      <c r="AZ1156" s="1"/>
      <c r="BA1156" s="1"/>
      <c r="BB1156" s="1">
        <v>238</v>
      </c>
      <c r="BC1156" s="1">
        <v>246</v>
      </c>
      <c r="BD1156" s="1"/>
      <c r="BE1156" s="1" t="s">
        <v>7481</v>
      </c>
      <c r="BF1156" s="1" t="str">
        <f>HYPERLINK("http://dx.doi.org/10.1016/j.carbpol.2019.03.087","http://dx.doi.org/10.1016/j.carbpol.2019.03.087")</f>
        <v>http://dx.doi.org/10.1016/j.carbpol.2019.03.087</v>
      </c>
      <c r="BG1156" s="1"/>
      <c r="BH1156" s="1"/>
      <c r="BI1156" s="1"/>
      <c r="BJ1156" s="1"/>
      <c r="BK1156" s="1"/>
      <c r="BL1156" s="1"/>
      <c r="BM1156" s="1"/>
      <c r="BN1156" s="1">
        <v>31047063</v>
      </c>
      <c r="BO1156" s="1"/>
      <c r="BP1156" s="1"/>
      <c r="BQ1156" s="1"/>
      <c r="BR1156" s="1"/>
      <c r="BS1156" s="1" t="s">
        <v>7482</v>
      </c>
      <c r="BT1156" s="1" t="str">
        <f>HYPERLINK("https%3A%2F%2Fwww.webofscience.com%2Fwos%2Fwoscc%2Ffull-record%2FWOS:000466353300025","View Full Record in Web of Science")</f>
        <v>View Full Record in Web of Science</v>
      </c>
      <c r="BU1156" s="1"/>
      <c r="BV1156" s="1"/>
      <c r="BW1156" s="1"/>
    </row>
    <row r="1157" spans="1:75" customHeight="1" ht="12.75">
      <c r="A1157" s="1" t="s">
        <v>72</v>
      </c>
      <c r="B1157" s="1" t="s">
        <v>7483</v>
      </c>
      <c r="C1157" s="1"/>
      <c r="D1157" s="1"/>
      <c r="E1157" s="1"/>
      <c r="F1157" s="1" t="s">
        <v>7484</v>
      </c>
      <c r="G1157" s="1"/>
      <c r="H1157" s="1"/>
      <c r="I1157" s="1" t="s">
        <v>7485</v>
      </c>
      <c r="J1157" s="1" t="s">
        <v>95</v>
      </c>
      <c r="K1157" s="1"/>
      <c r="L1157" s="1"/>
      <c r="M1157" s="1"/>
      <c r="N1157" s="1"/>
      <c r="O1157" s="1"/>
      <c r="P1157" s="1"/>
      <c r="Q1157" s="1"/>
      <c r="R1157" s="1"/>
      <c r="S1157" s="1"/>
      <c r="T1157" s="1"/>
      <c r="U1157" s="1"/>
      <c r="V1157" s="1"/>
      <c r="W1157" s="1"/>
      <c r="X1157" s="1"/>
      <c r="Y1157" s="1"/>
      <c r="Z1157" s="1"/>
      <c r="AA1157" s="1" t="s">
        <v>7486</v>
      </c>
      <c r="AB1157" s="1" t="s">
        <v>7487</v>
      </c>
      <c r="AC1157" s="1"/>
      <c r="AD1157" s="1"/>
      <c r="AE1157" s="1"/>
      <c r="AF1157" s="1"/>
      <c r="AG1157" s="1"/>
      <c r="AH1157" s="1"/>
      <c r="AI1157" s="1"/>
      <c r="AJ1157" s="1"/>
      <c r="AK1157" s="1"/>
      <c r="AL1157" s="1"/>
      <c r="AM1157" s="1"/>
      <c r="AN1157" s="1"/>
      <c r="AO1157" s="1" t="s">
        <v>98</v>
      </c>
      <c r="AP1157" s="1" t="s">
        <v>99</v>
      </c>
      <c r="AQ1157" s="1"/>
      <c r="AR1157" s="1"/>
      <c r="AS1157" s="1"/>
      <c r="AT1157" s="1"/>
      <c r="AU1157" s="1">
        <v>2019</v>
      </c>
      <c r="AV1157" s="1"/>
      <c r="AW1157" s="1">
        <v>2</v>
      </c>
      <c r="AX1157" s="1"/>
      <c r="AY1157" s="1"/>
      <c r="AZ1157" s="1"/>
      <c r="BA1157" s="1"/>
      <c r="BB1157" s="1">
        <v>39</v>
      </c>
      <c r="BC1157" s="1">
        <v>43</v>
      </c>
      <c r="BD1157" s="1"/>
      <c r="BE1157" s="1" t="s">
        <v>7488</v>
      </c>
      <c r="BF1157" s="1" t="str">
        <f>HYPERLINK("http://dx.doi.org/10.25750/1995-4301-2019-2-039-043","http://dx.doi.org/10.25750/1995-4301-2019-2-039-043")</f>
        <v>http://dx.doi.org/10.25750/1995-4301-2019-2-039-043</v>
      </c>
      <c r="BG1157" s="1"/>
      <c r="BH1157" s="1"/>
      <c r="BI1157" s="1"/>
      <c r="BJ1157" s="1"/>
      <c r="BK1157" s="1"/>
      <c r="BL1157" s="1"/>
      <c r="BM1157" s="1"/>
      <c r="BN1157" s="1"/>
      <c r="BO1157" s="1"/>
      <c r="BP1157" s="1"/>
      <c r="BQ1157" s="1"/>
      <c r="BR1157" s="1"/>
      <c r="BS1157" s="1" t="s">
        <v>7489</v>
      </c>
      <c r="BT1157" s="1" t="str">
        <f>HYPERLINK("https%3A%2F%2Fwww.webofscience.com%2Fwos%2Fwoscc%2Ffull-record%2FWOS:000477826000004","View Full Record in Web of Science")</f>
        <v>View Full Record in Web of Science</v>
      </c>
      <c r="BU1157" s="1"/>
      <c r="BV1157" s="1"/>
      <c r="BW1157" s="1"/>
    </row>
    <row r="1158" spans="1:75" customHeight="1" ht="12.75">
      <c r="A1158" s="1" t="s">
        <v>72</v>
      </c>
      <c r="B1158" s="1" t="s">
        <v>7490</v>
      </c>
      <c r="C1158" s="1"/>
      <c r="D1158" s="1"/>
      <c r="E1158" s="1"/>
      <c r="F1158" s="1" t="s">
        <v>7491</v>
      </c>
      <c r="G1158" s="1"/>
      <c r="H1158" s="1"/>
      <c r="I1158" s="1" t="s">
        <v>7492</v>
      </c>
      <c r="J1158" s="1" t="s">
        <v>95</v>
      </c>
      <c r="K1158" s="1"/>
      <c r="L1158" s="1"/>
      <c r="M1158" s="1"/>
      <c r="N1158" s="1"/>
      <c r="O1158" s="1"/>
      <c r="P1158" s="1"/>
      <c r="Q1158" s="1"/>
      <c r="R1158" s="1"/>
      <c r="S1158" s="1"/>
      <c r="T1158" s="1"/>
      <c r="U1158" s="1"/>
      <c r="V1158" s="1"/>
      <c r="W1158" s="1"/>
      <c r="X1158" s="1"/>
      <c r="Y1158" s="1"/>
      <c r="Z1158" s="1"/>
      <c r="AA1158" s="1" t="s">
        <v>7493</v>
      </c>
      <c r="AB1158" s="1" t="s">
        <v>7494</v>
      </c>
      <c r="AC1158" s="1"/>
      <c r="AD1158" s="1"/>
      <c r="AE1158" s="1"/>
      <c r="AF1158" s="1"/>
      <c r="AG1158" s="1"/>
      <c r="AH1158" s="1"/>
      <c r="AI1158" s="1"/>
      <c r="AJ1158" s="1"/>
      <c r="AK1158" s="1"/>
      <c r="AL1158" s="1"/>
      <c r="AM1158" s="1"/>
      <c r="AN1158" s="1"/>
      <c r="AO1158" s="1" t="s">
        <v>98</v>
      </c>
      <c r="AP1158" s="1" t="s">
        <v>99</v>
      </c>
      <c r="AQ1158" s="1"/>
      <c r="AR1158" s="1"/>
      <c r="AS1158" s="1"/>
      <c r="AT1158" s="1"/>
      <c r="AU1158" s="1">
        <v>2018</v>
      </c>
      <c r="AV1158" s="1"/>
      <c r="AW1158" s="1">
        <v>2</v>
      </c>
      <c r="AX1158" s="1"/>
      <c r="AY1158" s="1"/>
      <c r="AZ1158" s="1"/>
      <c r="BA1158" s="1"/>
      <c r="BB1158" s="1">
        <v>35</v>
      </c>
      <c r="BC1158" s="1">
        <v>37</v>
      </c>
      <c r="BD1158" s="1"/>
      <c r="BE1158" s="1" t="s">
        <v>7495</v>
      </c>
      <c r="BF1158" s="1" t="str">
        <f>HYPERLINK("http://dx.doi.org/10.25750/1995-4301-2018-2-035-037","http://dx.doi.org/10.25750/1995-4301-2018-2-035-037")</f>
        <v>http://dx.doi.org/10.25750/1995-4301-2018-2-035-037</v>
      </c>
      <c r="BG1158" s="1"/>
      <c r="BH1158" s="1"/>
      <c r="BI1158" s="1"/>
      <c r="BJ1158" s="1"/>
      <c r="BK1158" s="1"/>
      <c r="BL1158" s="1"/>
      <c r="BM1158" s="1"/>
      <c r="BN1158" s="1"/>
      <c r="BO1158" s="1"/>
      <c r="BP1158" s="1"/>
      <c r="BQ1158" s="1"/>
      <c r="BR1158" s="1"/>
      <c r="BS1158" s="1" t="s">
        <v>7496</v>
      </c>
      <c r="BT1158" s="1" t="str">
        <f>HYPERLINK("https%3A%2F%2Fwww.webofscience.com%2Fwos%2Fwoscc%2Ffull-record%2FWOS:000468564500004","View Full Record in Web of Science")</f>
        <v>View Full Record in Web of Science</v>
      </c>
      <c r="BU1158" s="1"/>
      <c r="BV1158" s="1"/>
      <c r="BW1158" s="1"/>
    </row>
    <row r="1159" spans="1:75" customHeight="1" ht="12.75">
      <c r="A1159" s="1" t="s">
        <v>72</v>
      </c>
      <c r="B1159" s="1" t="s">
        <v>7497</v>
      </c>
      <c r="C1159" s="1"/>
      <c r="D1159" s="1"/>
      <c r="E1159" s="1"/>
      <c r="F1159" s="1" t="s">
        <v>7498</v>
      </c>
      <c r="G1159" s="1"/>
      <c r="H1159" s="1"/>
      <c r="I1159" s="1" t="s">
        <v>7499</v>
      </c>
      <c r="J1159" s="1" t="s">
        <v>7079</v>
      </c>
      <c r="K1159" s="1"/>
      <c r="L1159" s="1"/>
      <c r="M1159" s="1"/>
      <c r="N1159" s="1"/>
      <c r="O1159" s="1"/>
      <c r="P1159" s="1"/>
      <c r="Q1159" s="1"/>
      <c r="R1159" s="1"/>
      <c r="S1159" s="1"/>
      <c r="T1159" s="1"/>
      <c r="U1159" s="1"/>
      <c r="V1159" s="1"/>
      <c r="W1159" s="1"/>
      <c r="X1159" s="1"/>
      <c r="Y1159" s="1"/>
      <c r="Z1159" s="1"/>
      <c r="AA1159" s="1" t="s">
        <v>7500</v>
      </c>
      <c r="AB1159" s="1" t="s">
        <v>7501</v>
      </c>
      <c r="AC1159" s="1"/>
      <c r="AD1159" s="1"/>
      <c r="AE1159" s="1"/>
      <c r="AF1159" s="1"/>
      <c r="AG1159" s="1"/>
      <c r="AH1159" s="1"/>
      <c r="AI1159" s="1"/>
      <c r="AJ1159" s="1"/>
      <c r="AK1159" s="1"/>
      <c r="AL1159" s="1"/>
      <c r="AM1159" s="1"/>
      <c r="AN1159" s="1"/>
      <c r="AO1159" s="1" t="s">
        <v>7082</v>
      </c>
      <c r="AP1159" s="1" t="s">
        <v>7083</v>
      </c>
      <c r="AQ1159" s="1"/>
      <c r="AR1159" s="1"/>
      <c r="AS1159" s="1"/>
      <c r="AT1159" s="1" t="s">
        <v>830</v>
      </c>
      <c r="AU1159" s="1">
        <v>2017</v>
      </c>
      <c r="AV1159" s="1">
        <v>105</v>
      </c>
      <c r="AW1159" s="1">
        <v>9</v>
      </c>
      <c r="AX1159" s="1"/>
      <c r="AY1159" s="1"/>
      <c r="AZ1159" s="1"/>
      <c r="BA1159" s="1"/>
      <c r="BB1159" s="1">
        <v>2572</v>
      </c>
      <c r="BC1159" s="1">
        <v>2581</v>
      </c>
      <c r="BD1159" s="1"/>
      <c r="BE1159" s="1" t="s">
        <v>7502</v>
      </c>
      <c r="BF1159" s="1" t="str">
        <f>HYPERLINK("http://dx.doi.org/10.1002/jbm.a.36116","http://dx.doi.org/10.1002/jbm.a.36116")</f>
        <v>http://dx.doi.org/10.1002/jbm.a.36116</v>
      </c>
      <c r="BG1159" s="1"/>
      <c r="BH1159" s="1"/>
      <c r="BI1159" s="1"/>
      <c r="BJ1159" s="1"/>
      <c r="BK1159" s="1"/>
      <c r="BL1159" s="1"/>
      <c r="BM1159" s="1"/>
      <c r="BN1159" s="1">
        <v>28544261</v>
      </c>
      <c r="BO1159" s="1"/>
      <c r="BP1159" s="1"/>
      <c r="BQ1159" s="1"/>
      <c r="BR1159" s="1"/>
      <c r="BS1159" s="1" t="s">
        <v>7503</v>
      </c>
      <c r="BT1159" s="1" t="str">
        <f>HYPERLINK("https%3A%2F%2Fwww.webofscience.com%2Fwos%2Fwoscc%2Ffull-record%2FWOS:000406308500018","View Full Record in Web of Science")</f>
        <v>View Full Record in Web of Science</v>
      </c>
      <c r="BU1159" s="1"/>
      <c r="BV1159" s="1"/>
      <c r="BW1159" s="1"/>
    </row>
    <row r="1160" spans="1:75" customHeight="1" ht="12.75">
      <c r="A1160" s="1" t="s">
        <v>72</v>
      </c>
      <c r="B1160" s="1" t="s">
        <v>7504</v>
      </c>
      <c r="C1160" s="1"/>
      <c r="D1160" s="1"/>
      <c r="E1160" s="1"/>
      <c r="F1160" s="1" t="s">
        <v>7505</v>
      </c>
      <c r="G1160" s="1"/>
      <c r="H1160" s="1"/>
      <c r="I1160" s="1" t="s">
        <v>7506</v>
      </c>
      <c r="J1160" s="1" t="s">
        <v>5139</v>
      </c>
      <c r="K1160" s="1"/>
      <c r="L1160" s="1"/>
      <c r="M1160" s="1"/>
      <c r="N1160" s="1"/>
      <c r="O1160" s="1"/>
      <c r="P1160" s="1"/>
      <c r="Q1160" s="1"/>
      <c r="R1160" s="1"/>
      <c r="S1160" s="1"/>
      <c r="T1160" s="1"/>
      <c r="U1160" s="1"/>
      <c r="V1160" s="1"/>
      <c r="W1160" s="1"/>
      <c r="X1160" s="1"/>
      <c r="Y1160" s="1"/>
      <c r="Z1160" s="1"/>
      <c r="AA1160" s="1" t="s">
        <v>7507</v>
      </c>
      <c r="AB1160" s="1" t="s">
        <v>7508</v>
      </c>
      <c r="AC1160" s="1"/>
      <c r="AD1160" s="1"/>
      <c r="AE1160" s="1"/>
      <c r="AF1160" s="1"/>
      <c r="AG1160" s="1"/>
      <c r="AH1160" s="1"/>
      <c r="AI1160" s="1"/>
      <c r="AJ1160" s="1"/>
      <c r="AK1160" s="1"/>
      <c r="AL1160" s="1"/>
      <c r="AM1160" s="1"/>
      <c r="AN1160" s="1"/>
      <c r="AO1160" s="1" t="s">
        <v>5142</v>
      </c>
      <c r="AP1160" s="1" t="s">
        <v>5143</v>
      </c>
      <c r="AQ1160" s="1"/>
      <c r="AR1160" s="1"/>
      <c r="AS1160" s="1"/>
      <c r="AT1160" s="1" t="s">
        <v>125</v>
      </c>
      <c r="AU1160" s="1">
        <v>2017</v>
      </c>
      <c r="AV1160" s="1">
        <v>13</v>
      </c>
      <c r="AW1160" s="1">
        <v>7</v>
      </c>
      <c r="AX1160" s="1"/>
      <c r="AY1160" s="1"/>
      <c r="AZ1160" s="1"/>
      <c r="BA1160" s="1"/>
      <c r="BB1160" s="1">
        <v>2805</v>
      </c>
      <c r="BC1160" s="1">
        <v>2819</v>
      </c>
      <c r="BD1160" s="1"/>
      <c r="BE1160" s="1" t="s">
        <v>7509</v>
      </c>
      <c r="BF1160" s="1" t="str">
        <f>HYPERLINK("http://dx.doi.org/10.12973/eurasia.2017.00719a","http://dx.doi.org/10.12973/eurasia.2017.00719a")</f>
        <v>http://dx.doi.org/10.12973/eurasia.2017.00719a</v>
      </c>
      <c r="BG1160" s="1"/>
      <c r="BH1160" s="1"/>
      <c r="BI1160" s="1"/>
      <c r="BJ1160" s="1"/>
      <c r="BK1160" s="1"/>
      <c r="BL1160" s="1"/>
      <c r="BM1160" s="1"/>
      <c r="BN1160" s="1"/>
      <c r="BO1160" s="1"/>
      <c r="BP1160" s="1"/>
      <c r="BQ1160" s="1"/>
      <c r="BR1160" s="1"/>
      <c r="BS1160" s="1" t="s">
        <v>7510</v>
      </c>
      <c r="BT1160" s="1" t="str">
        <f>HYPERLINK("https%3A%2F%2Fwww.webofscience.com%2Fwos%2Fwoscc%2Ffull-record%2FWOS:000404607800001","View Full Record in Web of Science")</f>
        <v>View Full Record in Web of Science</v>
      </c>
      <c r="BU1160" s="1"/>
      <c r="BV1160" s="1"/>
      <c r="BW1160" s="1"/>
    </row>
    <row r="1161" spans="1:75" customHeight="1" ht="12.75">
      <c r="A1161" s="1" t="s">
        <v>72</v>
      </c>
      <c r="B1161" s="1" t="s">
        <v>7511</v>
      </c>
      <c r="C1161" s="1"/>
      <c r="D1161" s="1"/>
      <c r="E1161" s="1"/>
      <c r="F1161" s="1" t="s">
        <v>7512</v>
      </c>
      <c r="G1161" s="1"/>
      <c r="H1161" s="1"/>
      <c r="I1161" s="1" t="s">
        <v>7513</v>
      </c>
      <c r="J1161" s="1" t="s">
        <v>6419</v>
      </c>
      <c r="K1161" s="1"/>
      <c r="L1161" s="1"/>
      <c r="M1161" s="1"/>
      <c r="N1161" s="1"/>
      <c r="O1161" s="1"/>
      <c r="P1161" s="1"/>
      <c r="Q1161" s="1"/>
      <c r="R1161" s="1"/>
      <c r="S1161" s="1"/>
      <c r="T1161" s="1"/>
      <c r="U1161" s="1"/>
      <c r="V1161" s="1"/>
      <c r="W1161" s="1"/>
      <c r="X1161" s="1"/>
      <c r="Y1161" s="1"/>
      <c r="Z1161" s="1"/>
      <c r="AA1161" s="1" t="s">
        <v>6420</v>
      </c>
      <c r="AB1161" s="1" t="s">
        <v>6421</v>
      </c>
      <c r="AC1161" s="1"/>
      <c r="AD1161" s="1"/>
      <c r="AE1161" s="1"/>
      <c r="AF1161" s="1"/>
      <c r="AG1161" s="1"/>
      <c r="AH1161" s="1"/>
      <c r="AI1161" s="1"/>
      <c r="AJ1161" s="1"/>
      <c r="AK1161" s="1"/>
      <c r="AL1161" s="1"/>
      <c r="AM1161" s="1"/>
      <c r="AN1161" s="1"/>
      <c r="AO1161" s="1" t="s">
        <v>6422</v>
      </c>
      <c r="AP1161" s="1" t="s">
        <v>6423</v>
      </c>
      <c r="AQ1161" s="1"/>
      <c r="AR1161" s="1"/>
      <c r="AS1161" s="1"/>
      <c r="AT1161" s="1" t="s">
        <v>171</v>
      </c>
      <c r="AU1161" s="1">
        <v>2014</v>
      </c>
      <c r="AV1161" s="1">
        <v>40</v>
      </c>
      <c r="AW1161" s="1">
        <v>2</v>
      </c>
      <c r="AX1161" s="1"/>
      <c r="AY1161" s="1"/>
      <c r="AZ1161" s="1"/>
      <c r="BA1161" s="1"/>
      <c r="BB1161" s="1">
        <v>193</v>
      </c>
      <c r="BC1161" s="1">
        <v>197</v>
      </c>
      <c r="BD1161" s="1"/>
      <c r="BE1161" s="1" t="s">
        <v>7514</v>
      </c>
      <c r="BF1161" s="1" t="str">
        <f>HYPERLINK("http://dx.doi.org/10.1134/S1068162014020162","http://dx.doi.org/10.1134/S1068162014020162")</f>
        <v>http://dx.doi.org/10.1134/S1068162014020162</v>
      </c>
      <c r="BG1161" s="1"/>
      <c r="BH1161" s="1"/>
      <c r="BI1161" s="1"/>
      <c r="BJ1161" s="1"/>
      <c r="BK1161" s="1"/>
      <c r="BL1161" s="1"/>
      <c r="BM1161" s="1"/>
      <c r="BN1161" s="1"/>
      <c r="BO1161" s="1"/>
      <c r="BP1161" s="1"/>
      <c r="BQ1161" s="1"/>
      <c r="BR1161" s="1"/>
      <c r="BS1161" s="1" t="s">
        <v>7515</v>
      </c>
      <c r="BT1161" s="1" t="str">
        <f>HYPERLINK("https%3A%2F%2Fwww.webofscience.com%2Fwos%2Fwoscc%2Ffull-record%2FWOS:000336053700010","View Full Record in Web of Science")</f>
        <v>View Full Record in Web of Science</v>
      </c>
      <c r="BU1161" s="1"/>
      <c r="BV1161" s="1"/>
      <c r="BW1161" s="1"/>
    </row>
    <row r="1162" spans="1:75" customHeight="1" ht="12.75">
      <c r="A1162" s="1" t="s">
        <v>72</v>
      </c>
      <c r="B1162" s="1" t="s">
        <v>7516</v>
      </c>
      <c r="C1162" s="1"/>
      <c r="D1162" s="1"/>
      <c r="E1162" s="1"/>
      <c r="F1162" s="1" t="s">
        <v>7517</v>
      </c>
      <c r="G1162" s="1"/>
      <c r="H1162" s="1"/>
      <c r="I1162" s="1" t="s">
        <v>7518</v>
      </c>
      <c r="J1162" s="1" t="s">
        <v>1005</v>
      </c>
      <c r="K1162" s="1"/>
      <c r="L1162" s="1"/>
      <c r="M1162" s="1"/>
      <c r="N1162" s="1"/>
      <c r="O1162" s="1"/>
      <c r="P1162" s="1"/>
      <c r="Q1162" s="1"/>
      <c r="R1162" s="1"/>
      <c r="S1162" s="1"/>
      <c r="T1162" s="1"/>
      <c r="U1162" s="1"/>
      <c r="V1162" s="1"/>
      <c r="W1162" s="1"/>
      <c r="X1162" s="1"/>
      <c r="Y1162" s="1"/>
      <c r="Z1162" s="1"/>
      <c r="AA1162" s="1" t="s">
        <v>7259</v>
      </c>
      <c r="AB1162" s="1" t="s">
        <v>6972</v>
      </c>
      <c r="AC1162" s="1"/>
      <c r="AD1162" s="1"/>
      <c r="AE1162" s="1"/>
      <c r="AF1162" s="1"/>
      <c r="AG1162" s="1"/>
      <c r="AH1162" s="1"/>
      <c r="AI1162" s="1"/>
      <c r="AJ1162" s="1"/>
      <c r="AK1162" s="1"/>
      <c r="AL1162" s="1"/>
      <c r="AM1162" s="1"/>
      <c r="AN1162" s="1"/>
      <c r="AO1162" s="1" t="s">
        <v>1006</v>
      </c>
      <c r="AP1162" s="1" t="s">
        <v>1007</v>
      </c>
      <c r="AQ1162" s="1"/>
      <c r="AR1162" s="1"/>
      <c r="AS1162" s="1"/>
      <c r="AT1162" s="1" t="s">
        <v>403</v>
      </c>
      <c r="AU1162" s="1">
        <v>2010</v>
      </c>
      <c r="AV1162" s="1">
        <v>79</v>
      </c>
      <c r="AW1162" s="1">
        <v>6</v>
      </c>
      <c r="AX1162" s="1"/>
      <c r="AY1162" s="1"/>
      <c r="AZ1162" s="1"/>
      <c r="BA1162" s="1"/>
      <c r="BB1162" s="1">
        <v>871</v>
      </c>
      <c r="BC1162" s="1">
        <v>876</v>
      </c>
      <c r="BD1162" s="1"/>
      <c r="BE1162" s="1" t="s">
        <v>7519</v>
      </c>
      <c r="BF1162" s="1" t="str">
        <f>HYPERLINK("http://dx.doi.org/10.1134/S0026261710060263","http://dx.doi.org/10.1134/S0026261710060263")</f>
        <v>http://dx.doi.org/10.1134/S0026261710060263</v>
      </c>
      <c r="BG1162" s="1"/>
      <c r="BH1162" s="1"/>
      <c r="BI1162" s="1"/>
      <c r="BJ1162" s="1"/>
      <c r="BK1162" s="1"/>
      <c r="BL1162" s="1"/>
      <c r="BM1162" s="1"/>
      <c r="BN1162" s="1"/>
      <c r="BO1162" s="1"/>
      <c r="BP1162" s="1"/>
      <c r="BQ1162" s="1"/>
      <c r="BR1162" s="1"/>
      <c r="BS1162" s="1" t="s">
        <v>7520</v>
      </c>
      <c r="BT1162" s="1" t="str">
        <f>HYPERLINK("https%3A%2F%2Fwww.webofscience.com%2Fwos%2Fwoscc%2Ffull-record%2FWOS:000285067700025","View Full Record in Web of Science")</f>
        <v>View Full Record in Web of Science</v>
      </c>
      <c r="BU1162" s="1"/>
      <c r="BV1162" s="1"/>
      <c r="BW1162" s="1"/>
    </row>
    <row r="1163" spans="1:75" customHeight="1" ht="12.75">
      <c r="A1163" s="1" t="s">
        <v>72</v>
      </c>
      <c r="B1163" s="1" t="s">
        <v>7521</v>
      </c>
      <c r="C1163" s="1"/>
      <c r="D1163" s="1"/>
      <c r="E1163" s="1"/>
      <c r="F1163" s="1" t="s">
        <v>7522</v>
      </c>
      <c r="G1163" s="1"/>
      <c r="H1163" s="1"/>
      <c r="I1163" s="1" t="s">
        <v>7523</v>
      </c>
      <c r="J1163" s="1" t="s">
        <v>7524</v>
      </c>
      <c r="K1163" s="1"/>
      <c r="L1163" s="1"/>
      <c r="M1163" s="1"/>
      <c r="N1163" s="1"/>
      <c r="O1163" s="1"/>
      <c r="P1163" s="1"/>
      <c r="Q1163" s="1"/>
      <c r="R1163" s="1"/>
      <c r="S1163" s="1"/>
      <c r="T1163" s="1"/>
      <c r="U1163" s="1"/>
      <c r="V1163" s="1"/>
      <c r="W1163" s="1"/>
      <c r="X1163" s="1"/>
      <c r="Y1163" s="1"/>
      <c r="Z1163" s="1"/>
      <c r="AA1163" s="1" t="s">
        <v>7525</v>
      </c>
      <c r="AB1163" s="1" t="s">
        <v>7526</v>
      </c>
      <c r="AC1163" s="1"/>
      <c r="AD1163" s="1"/>
      <c r="AE1163" s="1"/>
      <c r="AF1163" s="1"/>
      <c r="AG1163" s="1"/>
      <c r="AH1163" s="1"/>
      <c r="AI1163" s="1"/>
      <c r="AJ1163" s="1"/>
      <c r="AK1163" s="1"/>
      <c r="AL1163" s="1"/>
      <c r="AM1163" s="1"/>
      <c r="AN1163" s="1"/>
      <c r="AO1163" s="1"/>
      <c r="AP1163" s="1" t="s">
        <v>7527</v>
      </c>
      <c r="AQ1163" s="1"/>
      <c r="AR1163" s="1"/>
      <c r="AS1163" s="1"/>
      <c r="AT1163" s="1" t="s">
        <v>403</v>
      </c>
      <c r="AU1163" s="1">
        <v>2022</v>
      </c>
      <c r="AV1163" s="1">
        <v>33</v>
      </c>
      <c r="AW1163" s="1"/>
      <c r="AX1163" s="1"/>
      <c r="AY1163" s="1"/>
      <c r="AZ1163" s="1"/>
      <c r="BA1163" s="1"/>
      <c r="BB1163" s="1"/>
      <c r="BC1163" s="1"/>
      <c r="BD1163" s="1">
        <v>104986</v>
      </c>
      <c r="BE1163" s="1" t="s">
        <v>7528</v>
      </c>
      <c r="BF1163" s="1" t="str">
        <f>HYPERLINK("http://dx.doi.org/10.1016/j.mtcomm.2022.104986","http://dx.doi.org/10.1016/j.mtcomm.2022.104986")</f>
        <v>http://dx.doi.org/10.1016/j.mtcomm.2022.104986</v>
      </c>
      <c r="BG1163" s="1"/>
      <c r="BH1163" s="1" t="s">
        <v>7529</v>
      </c>
      <c r="BI1163" s="1"/>
      <c r="BJ1163" s="1"/>
      <c r="BK1163" s="1"/>
      <c r="BL1163" s="1"/>
      <c r="BM1163" s="1"/>
      <c r="BN1163" s="1"/>
      <c r="BO1163" s="1"/>
      <c r="BP1163" s="1"/>
      <c r="BQ1163" s="1"/>
      <c r="BR1163" s="1"/>
      <c r="BS1163" s="1" t="s">
        <v>7530</v>
      </c>
      <c r="BT1163" s="1" t="str">
        <f>HYPERLINK("https%3A%2F%2Fwww.webofscience.com%2Fwos%2Fwoscc%2Ffull-record%2FWOS:000892588700003","View Full Record in Web of Science")</f>
        <v>View Full Record in Web of Science</v>
      </c>
      <c r="BU1163" s="1"/>
      <c r="BV1163" s="1"/>
      <c r="BW1163" s="1"/>
    </row>
    <row r="1164" spans="1:75" customHeight="1" ht="12.75">
      <c r="A1164" s="1" t="s">
        <v>72</v>
      </c>
      <c r="B1164" s="1" t="s">
        <v>7531</v>
      </c>
      <c r="C1164" s="1"/>
      <c r="D1164" s="1"/>
      <c r="E1164" s="1"/>
      <c r="F1164" s="1" t="s">
        <v>7532</v>
      </c>
      <c r="G1164" s="1"/>
      <c r="H1164" s="1"/>
      <c r="I1164" s="1" t="s">
        <v>7533</v>
      </c>
      <c r="J1164" s="1" t="s">
        <v>6419</v>
      </c>
      <c r="K1164" s="1"/>
      <c r="L1164" s="1"/>
      <c r="M1164" s="1"/>
      <c r="N1164" s="1"/>
      <c r="O1164" s="1"/>
      <c r="P1164" s="1"/>
      <c r="Q1164" s="1"/>
      <c r="R1164" s="1"/>
      <c r="S1164" s="1"/>
      <c r="T1164" s="1"/>
      <c r="U1164" s="1"/>
      <c r="V1164" s="1"/>
      <c r="W1164" s="1"/>
      <c r="X1164" s="1"/>
      <c r="Y1164" s="1"/>
      <c r="Z1164" s="1"/>
      <c r="AA1164" s="1" t="s">
        <v>7534</v>
      </c>
      <c r="AB1164" s="1" t="s">
        <v>7535</v>
      </c>
      <c r="AC1164" s="1"/>
      <c r="AD1164" s="1"/>
      <c r="AE1164" s="1"/>
      <c r="AF1164" s="1"/>
      <c r="AG1164" s="1"/>
      <c r="AH1164" s="1"/>
      <c r="AI1164" s="1"/>
      <c r="AJ1164" s="1"/>
      <c r="AK1164" s="1"/>
      <c r="AL1164" s="1"/>
      <c r="AM1164" s="1"/>
      <c r="AN1164" s="1"/>
      <c r="AO1164" s="1" t="s">
        <v>6422</v>
      </c>
      <c r="AP1164" s="1" t="s">
        <v>6423</v>
      </c>
      <c r="AQ1164" s="1"/>
      <c r="AR1164" s="1"/>
      <c r="AS1164" s="1"/>
      <c r="AT1164" s="1" t="s">
        <v>830</v>
      </c>
      <c r="AU1164" s="1">
        <v>2021</v>
      </c>
      <c r="AV1164" s="1">
        <v>47</v>
      </c>
      <c r="AW1164" s="1">
        <v>5</v>
      </c>
      <c r="AX1164" s="1"/>
      <c r="AY1164" s="1"/>
      <c r="AZ1164" s="1"/>
      <c r="BA1164" s="1"/>
      <c r="BB1164" s="1">
        <v>1066</v>
      </c>
      <c r="BC1164" s="1">
        <v>1076</v>
      </c>
      <c r="BD1164" s="1"/>
      <c r="BE1164" s="1" t="s">
        <v>7536</v>
      </c>
      <c r="BF1164" s="1" t="str">
        <f>HYPERLINK("http://dx.doi.org/10.1134/S1068162021040099","http://dx.doi.org/10.1134/S1068162021040099")</f>
        <v>http://dx.doi.org/10.1134/S1068162021040099</v>
      </c>
      <c r="BG1164" s="1"/>
      <c r="BH1164" s="1"/>
      <c r="BI1164" s="1"/>
      <c r="BJ1164" s="1"/>
      <c r="BK1164" s="1"/>
      <c r="BL1164" s="1"/>
      <c r="BM1164" s="1"/>
      <c r="BN1164" s="1"/>
      <c r="BO1164" s="1"/>
      <c r="BP1164" s="1"/>
      <c r="BQ1164" s="1"/>
      <c r="BR1164" s="1"/>
      <c r="BS1164" s="1" t="s">
        <v>7537</v>
      </c>
      <c r="BT1164" s="1" t="str">
        <f>HYPERLINK("https%3A%2F%2Fwww.webofscience.com%2Fwos%2Fwoscc%2Ffull-record%2FWOS:000709344500012","View Full Record in Web of Science")</f>
        <v>View Full Record in Web of Science</v>
      </c>
      <c r="BU1164" s="1"/>
      <c r="BV1164" s="1"/>
      <c r="BW1164" s="1"/>
    </row>
    <row r="1165" spans="1:75" customHeight="1" ht="12.75">
      <c r="A1165" s="1" t="s">
        <v>72</v>
      </c>
      <c r="B1165" s="1" t="s">
        <v>7538</v>
      </c>
      <c r="C1165" s="1"/>
      <c r="D1165" s="1"/>
      <c r="E1165" s="1"/>
      <c r="F1165" s="1" t="s">
        <v>7539</v>
      </c>
      <c r="G1165" s="1"/>
      <c r="H1165" s="1"/>
      <c r="I1165" s="1" t="s">
        <v>7540</v>
      </c>
      <c r="J1165" s="1" t="s">
        <v>95</v>
      </c>
      <c r="K1165" s="1"/>
      <c r="L1165" s="1"/>
      <c r="M1165" s="1"/>
      <c r="N1165" s="1"/>
      <c r="O1165" s="1"/>
      <c r="P1165" s="1"/>
      <c r="Q1165" s="1"/>
      <c r="R1165" s="1"/>
      <c r="S1165" s="1"/>
      <c r="T1165" s="1"/>
      <c r="U1165" s="1"/>
      <c r="V1165" s="1"/>
      <c r="W1165" s="1"/>
      <c r="X1165" s="1"/>
      <c r="Y1165" s="1"/>
      <c r="Z1165" s="1"/>
      <c r="AA1165" s="1" t="s">
        <v>7541</v>
      </c>
      <c r="AB1165" s="1" t="s">
        <v>7542</v>
      </c>
      <c r="AC1165" s="1"/>
      <c r="AD1165" s="1"/>
      <c r="AE1165" s="1"/>
      <c r="AF1165" s="1"/>
      <c r="AG1165" s="1"/>
      <c r="AH1165" s="1"/>
      <c r="AI1165" s="1"/>
      <c r="AJ1165" s="1"/>
      <c r="AK1165" s="1"/>
      <c r="AL1165" s="1"/>
      <c r="AM1165" s="1"/>
      <c r="AN1165" s="1"/>
      <c r="AO1165" s="1" t="s">
        <v>98</v>
      </c>
      <c r="AP1165" s="1" t="s">
        <v>99</v>
      </c>
      <c r="AQ1165" s="1"/>
      <c r="AR1165" s="1"/>
      <c r="AS1165" s="1"/>
      <c r="AT1165" s="1"/>
      <c r="AU1165" s="1">
        <v>2021</v>
      </c>
      <c r="AV1165" s="1"/>
      <c r="AW1165" s="1">
        <v>4</v>
      </c>
      <c r="AX1165" s="1"/>
      <c r="AY1165" s="1"/>
      <c r="AZ1165" s="1"/>
      <c r="BA1165" s="1"/>
      <c r="BB1165" s="1">
        <v>218</v>
      </c>
      <c r="BC1165" s="1">
        <v>223</v>
      </c>
      <c r="BD1165" s="1"/>
      <c r="BE1165" s="1" t="s">
        <v>7543</v>
      </c>
      <c r="BF1165" s="1" t="str">
        <f>HYPERLINK("http://dx.doi.org/10.25750/1995-4301-2021-4-218-223","http://dx.doi.org/10.25750/1995-4301-2021-4-218-223")</f>
        <v>http://dx.doi.org/10.25750/1995-4301-2021-4-218-223</v>
      </c>
      <c r="BG1165" s="1"/>
      <c r="BH1165" s="1"/>
      <c r="BI1165" s="1"/>
      <c r="BJ1165" s="1"/>
      <c r="BK1165" s="1"/>
      <c r="BL1165" s="1"/>
      <c r="BM1165" s="1"/>
      <c r="BN1165" s="1"/>
      <c r="BO1165" s="1"/>
      <c r="BP1165" s="1"/>
      <c r="BQ1165" s="1"/>
      <c r="BR1165" s="1"/>
      <c r="BS1165" s="1" t="s">
        <v>7544</v>
      </c>
      <c r="BT1165" s="1" t="str">
        <f>HYPERLINK("https%3A%2F%2Fwww.webofscience.com%2Fwos%2Fwoscc%2Ffull-record%2FWOS:000755154100031","View Full Record in Web of Science")</f>
        <v>View Full Record in Web of Science</v>
      </c>
      <c r="BU1165" s="1"/>
      <c r="BV1165" s="1"/>
      <c r="BW1165" s="1"/>
    </row>
    <row r="1166" spans="1:75" customHeight="1" ht="12.75">
      <c r="A1166" s="1" t="s">
        <v>72</v>
      </c>
      <c r="B1166" s="1" t="s">
        <v>7545</v>
      </c>
      <c r="C1166" s="1"/>
      <c r="D1166" s="1"/>
      <c r="E1166" s="1"/>
      <c r="F1166" s="1" t="s">
        <v>7546</v>
      </c>
      <c r="G1166" s="1"/>
      <c r="H1166" s="1"/>
      <c r="I1166" s="1" t="s">
        <v>7547</v>
      </c>
      <c r="J1166" s="1" t="s">
        <v>6799</v>
      </c>
      <c r="K1166" s="1"/>
      <c r="L1166" s="1"/>
      <c r="M1166" s="1"/>
      <c r="N1166" s="1"/>
      <c r="O1166" s="1"/>
      <c r="P1166" s="1"/>
      <c r="Q1166" s="1"/>
      <c r="R1166" s="1"/>
      <c r="S1166" s="1"/>
      <c r="T1166" s="1"/>
      <c r="U1166" s="1"/>
      <c r="V1166" s="1"/>
      <c r="W1166" s="1"/>
      <c r="X1166" s="1"/>
      <c r="Y1166" s="1"/>
      <c r="Z1166" s="1"/>
      <c r="AA1166" s="1" t="s">
        <v>7548</v>
      </c>
      <c r="AB1166" s="1" t="s">
        <v>7549</v>
      </c>
      <c r="AC1166" s="1"/>
      <c r="AD1166" s="1"/>
      <c r="AE1166" s="1"/>
      <c r="AF1166" s="1"/>
      <c r="AG1166" s="1"/>
      <c r="AH1166" s="1"/>
      <c r="AI1166" s="1"/>
      <c r="AJ1166" s="1"/>
      <c r="AK1166" s="1"/>
      <c r="AL1166" s="1"/>
      <c r="AM1166" s="1"/>
      <c r="AN1166" s="1"/>
      <c r="AO1166" s="1" t="s">
        <v>6802</v>
      </c>
      <c r="AP1166" s="1" t="s">
        <v>6803</v>
      </c>
      <c r="AQ1166" s="1"/>
      <c r="AR1166" s="1"/>
      <c r="AS1166" s="1"/>
      <c r="AT1166" s="1" t="s">
        <v>7550</v>
      </c>
      <c r="AU1166" s="1">
        <v>2020</v>
      </c>
      <c r="AV1166" s="1">
        <v>156</v>
      </c>
      <c r="AW1166" s="1"/>
      <c r="AX1166" s="1"/>
      <c r="AY1166" s="1"/>
      <c r="AZ1166" s="1"/>
      <c r="BA1166" s="1"/>
      <c r="BB1166" s="1">
        <v>841</v>
      </c>
      <c r="BC1166" s="1">
        <v>850</v>
      </c>
      <c r="BD1166" s="1"/>
      <c r="BE1166" s="1" t="s">
        <v>7551</v>
      </c>
      <c r="BF1166" s="1" t="str">
        <f>HYPERLINK("http://dx.doi.org/10.1016/j.ijbiomac.2020.04.055","http://dx.doi.org/10.1016/j.ijbiomac.2020.04.055")</f>
        <v>http://dx.doi.org/10.1016/j.ijbiomac.2020.04.055</v>
      </c>
      <c r="BG1166" s="1"/>
      <c r="BH1166" s="1"/>
      <c r="BI1166" s="1"/>
      <c r="BJ1166" s="1"/>
      <c r="BK1166" s="1"/>
      <c r="BL1166" s="1"/>
      <c r="BM1166" s="1"/>
      <c r="BN1166" s="1">
        <v>32305368</v>
      </c>
      <c r="BO1166" s="1"/>
      <c r="BP1166" s="1"/>
      <c r="BQ1166" s="1"/>
      <c r="BR1166" s="1"/>
      <c r="BS1166" s="1" t="s">
        <v>7552</v>
      </c>
      <c r="BT1166" s="1" t="str">
        <f>HYPERLINK("https%3A%2F%2Fwww.webofscience.com%2Fwos%2Fwoscc%2Ffull-record%2FWOS:000538104200086","View Full Record in Web of Science")</f>
        <v>View Full Record in Web of Science</v>
      </c>
      <c r="BU1166" s="1"/>
      <c r="BV1166" s="1"/>
      <c r="BW1166" s="1"/>
    </row>
    <row r="1167" spans="1:75" customHeight="1" ht="12.75">
      <c r="A1167" s="1" t="s">
        <v>72</v>
      </c>
      <c r="B1167" s="1" t="s">
        <v>7553</v>
      </c>
      <c r="C1167" s="1"/>
      <c r="D1167" s="1"/>
      <c r="E1167" s="1"/>
      <c r="F1167" s="1" t="s">
        <v>7554</v>
      </c>
      <c r="G1167" s="1"/>
      <c r="H1167" s="1"/>
      <c r="I1167" s="1" t="s">
        <v>7555</v>
      </c>
      <c r="J1167" s="1" t="s">
        <v>7556</v>
      </c>
      <c r="K1167" s="1"/>
      <c r="L1167" s="1"/>
      <c r="M1167" s="1"/>
      <c r="N1167" s="1"/>
      <c r="O1167" s="1"/>
      <c r="P1167" s="1"/>
      <c r="Q1167" s="1"/>
      <c r="R1167" s="1"/>
      <c r="S1167" s="1"/>
      <c r="T1167" s="1"/>
      <c r="U1167" s="1"/>
      <c r="V1167" s="1"/>
      <c r="W1167" s="1"/>
      <c r="X1167" s="1"/>
      <c r="Y1167" s="1"/>
      <c r="Z1167" s="1"/>
      <c r="AA1167" s="1" t="s">
        <v>7557</v>
      </c>
      <c r="AB1167" s="1" t="s">
        <v>7558</v>
      </c>
      <c r="AC1167" s="1"/>
      <c r="AD1167" s="1"/>
      <c r="AE1167" s="1"/>
      <c r="AF1167" s="1"/>
      <c r="AG1167" s="1"/>
      <c r="AH1167" s="1"/>
      <c r="AI1167" s="1"/>
      <c r="AJ1167" s="1"/>
      <c r="AK1167" s="1"/>
      <c r="AL1167" s="1"/>
      <c r="AM1167" s="1"/>
      <c r="AN1167" s="1"/>
      <c r="AO1167" s="1" t="s">
        <v>7559</v>
      </c>
      <c r="AP1167" s="1" t="s">
        <v>7560</v>
      </c>
      <c r="AQ1167" s="1"/>
      <c r="AR1167" s="1"/>
      <c r="AS1167" s="1"/>
      <c r="AT1167" s="1" t="s">
        <v>7561</v>
      </c>
      <c r="AU1167" s="1">
        <v>2020</v>
      </c>
      <c r="AV1167" s="1">
        <v>723</v>
      </c>
      <c r="AW1167" s="1"/>
      <c r="AX1167" s="1"/>
      <c r="AY1167" s="1"/>
      <c r="AZ1167" s="1"/>
      <c r="BA1167" s="1"/>
      <c r="BB1167" s="1"/>
      <c r="BC1167" s="1"/>
      <c r="BD1167" s="1">
        <v>137920</v>
      </c>
      <c r="BE1167" s="1" t="s">
        <v>7562</v>
      </c>
      <c r="BF1167" s="1" t="str">
        <f>HYPERLINK("http://dx.doi.org/10.1016/j.scitotenv.2020.137920","http://dx.doi.org/10.1016/j.scitotenv.2020.137920")</f>
        <v>http://dx.doi.org/10.1016/j.scitotenv.2020.137920</v>
      </c>
      <c r="BG1167" s="1"/>
      <c r="BH1167" s="1"/>
      <c r="BI1167" s="1"/>
      <c r="BJ1167" s="1"/>
      <c r="BK1167" s="1"/>
      <c r="BL1167" s="1"/>
      <c r="BM1167" s="1"/>
      <c r="BN1167" s="1">
        <v>32213403</v>
      </c>
      <c r="BO1167" s="1"/>
      <c r="BP1167" s="1"/>
      <c r="BQ1167" s="1"/>
      <c r="BR1167" s="1"/>
      <c r="BS1167" s="1" t="s">
        <v>7563</v>
      </c>
      <c r="BT1167" s="1" t="str">
        <f>HYPERLINK("https%3A%2F%2Fwww.webofscience.com%2Fwos%2Fwoscc%2Ffull-record%2FWOS:000535465200014","View Full Record in Web of Science")</f>
        <v>View Full Record in Web of Science</v>
      </c>
      <c r="BU1167" s="1"/>
      <c r="BV1167" s="1"/>
      <c r="BW1167" s="1"/>
    </row>
    <row r="1168" spans="1:75" customHeight="1" ht="12.75">
      <c r="A1168" s="1" t="s">
        <v>72</v>
      </c>
      <c r="B1168" s="1" t="s">
        <v>7564</v>
      </c>
      <c r="C1168" s="1"/>
      <c r="D1168" s="1"/>
      <c r="E1168" s="1"/>
      <c r="F1168" s="1" t="s">
        <v>7565</v>
      </c>
      <c r="G1168" s="1"/>
      <c r="H1168" s="1"/>
      <c r="I1168" s="1" t="s">
        <v>7566</v>
      </c>
      <c r="J1168" s="1" t="s">
        <v>95</v>
      </c>
      <c r="K1168" s="1"/>
      <c r="L1168" s="1"/>
      <c r="M1168" s="1"/>
      <c r="N1168" s="1"/>
      <c r="O1168" s="1"/>
      <c r="P1168" s="1"/>
      <c r="Q1168" s="1"/>
      <c r="R1168" s="1"/>
      <c r="S1168" s="1"/>
      <c r="T1168" s="1"/>
      <c r="U1168" s="1"/>
      <c r="V1168" s="1"/>
      <c r="W1168" s="1"/>
      <c r="X1168" s="1"/>
      <c r="Y1168" s="1"/>
      <c r="Z1168" s="1"/>
      <c r="AA1168" s="1" t="s">
        <v>7567</v>
      </c>
      <c r="AB1168" s="1" t="s">
        <v>7568</v>
      </c>
      <c r="AC1168" s="1"/>
      <c r="AD1168" s="1"/>
      <c r="AE1168" s="1"/>
      <c r="AF1168" s="1"/>
      <c r="AG1168" s="1"/>
      <c r="AH1168" s="1"/>
      <c r="AI1168" s="1"/>
      <c r="AJ1168" s="1"/>
      <c r="AK1168" s="1"/>
      <c r="AL1168" s="1"/>
      <c r="AM1168" s="1"/>
      <c r="AN1168" s="1"/>
      <c r="AO1168" s="1" t="s">
        <v>98</v>
      </c>
      <c r="AP1168" s="1" t="s">
        <v>99</v>
      </c>
      <c r="AQ1168" s="1"/>
      <c r="AR1168" s="1"/>
      <c r="AS1168" s="1"/>
      <c r="AT1168" s="1"/>
      <c r="AU1168" s="1">
        <v>2019</v>
      </c>
      <c r="AV1168" s="1"/>
      <c r="AW1168" s="1">
        <v>2</v>
      </c>
      <c r="AX1168" s="1"/>
      <c r="AY1168" s="1"/>
      <c r="AZ1168" s="1"/>
      <c r="BA1168" s="1"/>
      <c r="BB1168" s="1">
        <v>44</v>
      </c>
      <c r="BC1168" s="1">
        <v>52</v>
      </c>
      <c r="BD1168" s="1"/>
      <c r="BE1168" s="1" t="s">
        <v>7569</v>
      </c>
      <c r="BF1168" s="1" t="str">
        <f>HYPERLINK("http://dx.doi.org/10.25750/1995-4301-2019-2-044-052","http://dx.doi.org/10.25750/1995-4301-2019-2-044-052")</f>
        <v>http://dx.doi.org/10.25750/1995-4301-2019-2-044-052</v>
      </c>
      <c r="BG1168" s="1"/>
      <c r="BH1168" s="1"/>
      <c r="BI1168" s="1"/>
      <c r="BJ1168" s="1"/>
      <c r="BK1168" s="1"/>
      <c r="BL1168" s="1"/>
      <c r="BM1168" s="1"/>
      <c r="BN1168" s="1"/>
      <c r="BO1168" s="1"/>
      <c r="BP1168" s="1"/>
      <c r="BQ1168" s="1"/>
      <c r="BR1168" s="1"/>
      <c r="BS1168" s="1" t="s">
        <v>7570</v>
      </c>
      <c r="BT1168" s="1" t="str">
        <f>HYPERLINK("https%3A%2F%2Fwww.webofscience.com%2Fwos%2Fwoscc%2Ffull-record%2FWOS:000477826000005","View Full Record in Web of Science")</f>
        <v>View Full Record in Web of Science</v>
      </c>
      <c r="BU1168" s="1"/>
      <c r="BV1168" s="1"/>
      <c r="BW1168" s="1"/>
    </row>
    <row r="1169" spans="1:75" customHeight="1" ht="12.75">
      <c r="A1169" s="1" t="s">
        <v>72</v>
      </c>
      <c r="B1169" s="1" t="s">
        <v>7571</v>
      </c>
      <c r="C1169" s="1"/>
      <c r="D1169" s="1"/>
      <c r="E1169" s="1"/>
      <c r="F1169" s="1" t="s">
        <v>7572</v>
      </c>
      <c r="G1169" s="1"/>
      <c r="H1169" s="1"/>
      <c r="I1169" s="1" t="s">
        <v>7573</v>
      </c>
      <c r="J1169" s="1" t="s">
        <v>325</v>
      </c>
      <c r="K1169" s="1"/>
      <c r="L1169" s="1"/>
      <c r="M1169" s="1"/>
      <c r="N1169" s="1"/>
      <c r="O1169" s="1"/>
      <c r="P1169" s="1"/>
      <c r="Q1169" s="1"/>
      <c r="R1169" s="1"/>
      <c r="S1169" s="1"/>
      <c r="T1169" s="1"/>
      <c r="U1169" s="1"/>
      <c r="V1169" s="1"/>
      <c r="W1169" s="1"/>
      <c r="X1169" s="1"/>
      <c r="Y1169" s="1"/>
      <c r="Z1169" s="1"/>
      <c r="AA1169" s="1" t="s">
        <v>6509</v>
      </c>
      <c r="AB1169" s="1" t="s">
        <v>6510</v>
      </c>
      <c r="AC1169" s="1"/>
      <c r="AD1169" s="1"/>
      <c r="AE1169" s="1"/>
      <c r="AF1169" s="1"/>
      <c r="AG1169" s="1"/>
      <c r="AH1169" s="1"/>
      <c r="AI1169" s="1"/>
      <c r="AJ1169" s="1"/>
      <c r="AK1169" s="1"/>
      <c r="AL1169" s="1"/>
      <c r="AM1169" s="1"/>
      <c r="AN1169" s="1"/>
      <c r="AO1169" s="1" t="s">
        <v>328</v>
      </c>
      <c r="AP1169" s="1" t="s">
        <v>329</v>
      </c>
      <c r="AQ1169" s="1"/>
      <c r="AR1169" s="1"/>
      <c r="AS1169" s="1"/>
      <c r="AT1169" s="1"/>
      <c r="AU1169" s="1">
        <v>2019</v>
      </c>
      <c r="AV1169" s="1">
        <v>13</v>
      </c>
      <c r="AW1169" s="1">
        <v>4</v>
      </c>
      <c r="AX1169" s="1"/>
      <c r="AY1169" s="1"/>
      <c r="AZ1169" s="1"/>
      <c r="BA1169" s="1"/>
      <c r="BB1169" s="1">
        <v>915</v>
      </c>
      <c r="BC1169" s="1">
        <v>929</v>
      </c>
      <c r="BD1169" s="1"/>
      <c r="BE1169" s="1" t="s">
        <v>7574</v>
      </c>
      <c r="BF1169" s="1" t="str">
        <f>HYPERLINK("http://dx.doi.org/10.24874/IJQR13.04-12","http://dx.doi.org/10.24874/IJQR13.04-12")</f>
        <v>http://dx.doi.org/10.24874/IJQR13.04-12</v>
      </c>
      <c r="BG1169" s="1"/>
      <c r="BH1169" s="1"/>
      <c r="BI1169" s="1"/>
      <c r="BJ1169" s="1"/>
      <c r="BK1169" s="1"/>
      <c r="BL1169" s="1"/>
      <c r="BM1169" s="1"/>
      <c r="BN1169" s="1"/>
      <c r="BO1169" s="1"/>
      <c r="BP1169" s="1"/>
      <c r="BQ1169" s="1"/>
      <c r="BR1169" s="1"/>
      <c r="BS1169" s="1" t="s">
        <v>7575</v>
      </c>
      <c r="BT1169" s="1" t="str">
        <f>HYPERLINK("https%3A%2F%2Fwww.webofscience.com%2Fwos%2Fwoscc%2Ffull-record%2FWOS:000498886400012","View Full Record in Web of Science")</f>
        <v>View Full Record in Web of Science</v>
      </c>
      <c r="BU1169" s="1"/>
      <c r="BV1169" s="1"/>
      <c r="BW1169" s="1"/>
    </row>
    <row r="1170" spans="1:75" customHeight="1" ht="12.75">
      <c r="A1170" s="1" t="s">
        <v>72</v>
      </c>
      <c r="B1170" s="1" t="s">
        <v>7576</v>
      </c>
      <c r="C1170" s="1"/>
      <c r="D1170" s="1"/>
      <c r="E1170" s="1"/>
      <c r="F1170" s="1" t="s">
        <v>7577</v>
      </c>
      <c r="G1170" s="1"/>
      <c r="H1170" s="1"/>
      <c r="I1170" s="1" t="s">
        <v>7578</v>
      </c>
      <c r="J1170" s="1" t="s">
        <v>95</v>
      </c>
      <c r="K1170" s="1"/>
      <c r="L1170" s="1"/>
      <c r="M1170" s="1"/>
      <c r="N1170" s="1"/>
      <c r="O1170" s="1"/>
      <c r="P1170" s="1"/>
      <c r="Q1170" s="1"/>
      <c r="R1170" s="1"/>
      <c r="S1170" s="1"/>
      <c r="T1170" s="1"/>
      <c r="U1170" s="1"/>
      <c r="V1170" s="1"/>
      <c r="W1170" s="1"/>
      <c r="X1170" s="1"/>
      <c r="Y1170" s="1"/>
      <c r="Z1170" s="1"/>
      <c r="AA1170" s="1" t="s">
        <v>7579</v>
      </c>
      <c r="AB1170" s="1" t="s">
        <v>7580</v>
      </c>
      <c r="AC1170" s="1"/>
      <c r="AD1170" s="1"/>
      <c r="AE1170" s="1"/>
      <c r="AF1170" s="1"/>
      <c r="AG1170" s="1"/>
      <c r="AH1170" s="1"/>
      <c r="AI1170" s="1"/>
      <c r="AJ1170" s="1"/>
      <c r="AK1170" s="1"/>
      <c r="AL1170" s="1"/>
      <c r="AM1170" s="1"/>
      <c r="AN1170" s="1"/>
      <c r="AO1170" s="1" t="s">
        <v>98</v>
      </c>
      <c r="AP1170" s="1" t="s">
        <v>99</v>
      </c>
      <c r="AQ1170" s="1"/>
      <c r="AR1170" s="1"/>
      <c r="AS1170" s="1"/>
      <c r="AT1170" s="1"/>
      <c r="AU1170" s="1">
        <v>2019</v>
      </c>
      <c r="AV1170" s="1"/>
      <c r="AW1170" s="1">
        <v>1</v>
      </c>
      <c r="AX1170" s="1"/>
      <c r="AY1170" s="1"/>
      <c r="AZ1170" s="1"/>
      <c r="BA1170" s="1"/>
      <c r="BB1170" s="1">
        <v>102</v>
      </c>
      <c r="BC1170" s="1" t="s">
        <v>107</v>
      </c>
      <c r="BD1170" s="1"/>
      <c r="BE1170" s="1" t="s">
        <v>7581</v>
      </c>
      <c r="BF1170" s="1" t="str">
        <f>HYPERLINK("http://dx.doi.org/10.25750/1995-4301-2019-1-102-110","http://dx.doi.org/10.25750/1995-4301-2019-1-102-110")</f>
        <v>http://dx.doi.org/10.25750/1995-4301-2019-1-102-110</v>
      </c>
      <c r="BG1170" s="1"/>
      <c r="BH1170" s="1"/>
      <c r="BI1170" s="1"/>
      <c r="BJ1170" s="1"/>
      <c r="BK1170" s="1"/>
      <c r="BL1170" s="1"/>
      <c r="BM1170" s="1"/>
      <c r="BN1170" s="1"/>
      <c r="BO1170" s="1"/>
      <c r="BP1170" s="1"/>
      <c r="BQ1170" s="1"/>
      <c r="BR1170" s="1"/>
      <c r="BS1170" s="1" t="s">
        <v>7582</v>
      </c>
      <c r="BT1170" s="1" t="str">
        <f>HYPERLINK("https%3A%2F%2Fwww.webofscience.com%2Fwos%2Fwoscc%2Ffull-record%2FWOS:000468565900015","View Full Record in Web of Science")</f>
        <v>View Full Record in Web of Science</v>
      </c>
      <c r="BU1170" s="1"/>
      <c r="BV1170" s="1"/>
      <c r="BW1170" s="1"/>
    </row>
    <row r="1171" spans="1:75" customHeight="1" ht="12.75">
      <c r="A1171" s="1" t="s">
        <v>72</v>
      </c>
      <c r="B1171" s="1" t="s">
        <v>7583</v>
      </c>
      <c r="C1171" s="1"/>
      <c r="D1171" s="1"/>
      <c r="E1171" s="1"/>
      <c r="F1171" s="1" t="s">
        <v>7584</v>
      </c>
      <c r="G1171" s="1"/>
      <c r="H1171" s="1"/>
      <c r="I1171" s="1" t="s">
        <v>7585</v>
      </c>
      <c r="J1171" s="1" t="s">
        <v>5139</v>
      </c>
      <c r="K1171" s="1"/>
      <c r="L1171" s="1"/>
      <c r="M1171" s="1"/>
      <c r="N1171" s="1"/>
      <c r="O1171" s="1"/>
      <c r="P1171" s="1"/>
      <c r="Q1171" s="1"/>
      <c r="R1171" s="1"/>
      <c r="S1171" s="1"/>
      <c r="T1171" s="1"/>
      <c r="U1171" s="1"/>
      <c r="V1171" s="1"/>
      <c r="W1171" s="1"/>
      <c r="X1171" s="1"/>
      <c r="Y1171" s="1"/>
      <c r="Z1171" s="1"/>
      <c r="AA1171" s="1" t="s">
        <v>7586</v>
      </c>
      <c r="AB1171" s="1" t="s">
        <v>7587</v>
      </c>
      <c r="AC1171" s="1"/>
      <c r="AD1171" s="1"/>
      <c r="AE1171" s="1"/>
      <c r="AF1171" s="1"/>
      <c r="AG1171" s="1"/>
      <c r="AH1171" s="1"/>
      <c r="AI1171" s="1"/>
      <c r="AJ1171" s="1"/>
      <c r="AK1171" s="1"/>
      <c r="AL1171" s="1"/>
      <c r="AM1171" s="1"/>
      <c r="AN1171" s="1"/>
      <c r="AO1171" s="1" t="s">
        <v>5142</v>
      </c>
      <c r="AP1171" s="1" t="s">
        <v>5143</v>
      </c>
      <c r="AQ1171" s="1"/>
      <c r="AR1171" s="1"/>
      <c r="AS1171" s="1"/>
      <c r="AT1171" s="1" t="s">
        <v>125</v>
      </c>
      <c r="AU1171" s="1">
        <v>2017</v>
      </c>
      <c r="AV1171" s="1">
        <v>13</v>
      </c>
      <c r="AW1171" s="1">
        <v>7</v>
      </c>
      <c r="AX1171" s="1"/>
      <c r="AY1171" s="1"/>
      <c r="AZ1171" s="1"/>
      <c r="BA1171" s="1"/>
      <c r="BB1171" s="1">
        <v>3539</v>
      </c>
      <c r="BC1171" s="1">
        <v>3552</v>
      </c>
      <c r="BD1171" s="1"/>
      <c r="BE1171" s="1" t="s">
        <v>7588</v>
      </c>
      <c r="BF1171" s="1" t="str">
        <f>HYPERLINK("http://dx.doi.org/10.12973/eurasia.2017.00743a","http://dx.doi.org/10.12973/eurasia.2017.00743a")</f>
        <v>http://dx.doi.org/10.12973/eurasia.2017.00743a</v>
      </c>
      <c r="BG1171" s="1"/>
      <c r="BH1171" s="1"/>
      <c r="BI1171" s="1"/>
      <c r="BJ1171" s="1"/>
      <c r="BK1171" s="1"/>
      <c r="BL1171" s="1"/>
      <c r="BM1171" s="1"/>
      <c r="BN1171" s="1"/>
      <c r="BO1171" s="1"/>
      <c r="BP1171" s="1"/>
      <c r="BQ1171" s="1"/>
      <c r="BR1171" s="1"/>
      <c r="BS1171" s="1" t="s">
        <v>7589</v>
      </c>
      <c r="BT1171" s="1" t="str">
        <f>HYPERLINK("https%3A%2F%2Fwww.webofscience.com%2Fwos%2Fwoscc%2Ffull-record%2FWOS:000404607800043","View Full Record in Web of Science")</f>
        <v>View Full Record in Web of Science</v>
      </c>
      <c r="BU1171" s="1"/>
      <c r="BV1171" s="1"/>
      <c r="BW1171" s="1"/>
    </row>
    <row r="1172" spans="1:75" customHeight="1" ht="12.75">
      <c r="A1172" s="1" t="s">
        <v>72</v>
      </c>
      <c r="B1172" s="1" t="s">
        <v>7590</v>
      </c>
      <c r="C1172" s="1"/>
      <c r="D1172" s="1"/>
      <c r="E1172" s="1"/>
      <c r="F1172" s="1" t="s">
        <v>7591</v>
      </c>
      <c r="G1172" s="1"/>
      <c r="H1172" s="1"/>
      <c r="I1172" s="1" t="s">
        <v>7592</v>
      </c>
      <c r="J1172" s="1" t="s">
        <v>95</v>
      </c>
      <c r="K1172" s="1"/>
      <c r="L1172" s="1"/>
      <c r="M1172" s="1"/>
      <c r="N1172" s="1"/>
      <c r="O1172" s="1"/>
      <c r="P1172" s="1"/>
      <c r="Q1172" s="1"/>
      <c r="R1172" s="1"/>
      <c r="S1172" s="1"/>
      <c r="T1172" s="1"/>
      <c r="U1172" s="1"/>
      <c r="V1172" s="1"/>
      <c r="W1172" s="1"/>
      <c r="X1172" s="1"/>
      <c r="Y1172" s="1"/>
      <c r="Z1172" s="1"/>
      <c r="AA1172" s="1" t="s">
        <v>7593</v>
      </c>
      <c r="AB1172" s="1"/>
      <c r="AC1172" s="1"/>
      <c r="AD1172" s="1"/>
      <c r="AE1172" s="1"/>
      <c r="AF1172" s="1"/>
      <c r="AG1172" s="1"/>
      <c r="AH1172" s="1"/>
      <c r="AI1172" s="1"/>
      <c r="AJ1172" s="1"/>
      <c r="AK1172" s="1"/>
      <c r="AL1172" s="1"/>
      <c r="AM1172" s="1"/>
      <c r="AN1172" s="1"/>
      <c r="AO1172" s="1" t="s">
        <v>98</v>
      </c>
      <c r="AP1172" s="1" t="s">
        <v>99</v>
      </c>
      <c r="AQ1172" s="1"/>
      <c r="AR1172" s="1"/>
      <c r="AS1172" s="1"/>
      <c r="AT1172" s="1"/>
      <c r="AU1172" s="1">
        <v>2022</v>
      </c>
      <c r="AV1172" s="1"/>
      <c r="AW1172" s="1">
        <v>2</v>
      </c>
      <c r="AX1172" s="1"/>
      <c r="AY1172" s="1"/>
      <c r="AZ1172" s="1"/>
      <c r="BA1172" s="1"/>
      <c r="BB1172" s="1">
        <v>209</v>
      </c>
      <c r="BC1172" s="1">
        <v>215</v>
      </c>
      <c r="BD1172" s="1"/>
      <c r="BE1172" s="1" t="s">
        <v>7594</v>
      </c>
      <c r="BF1172" s="1" t="str">
        <f>HYPERLINK("http://dx.doi.org/10.5750/1995-4301-2022-2-209-215","http://dx.doi.org/10.5750/1995-4301-2022-2-209-215")</f>
        <v>http://dx.doi.org/10.5750/1995-4301-2022-2-209-215</v>
      </c>
      <c r="BG1172" s="1"/>
      <c r="BH1172" s="1"/>
      <c r="BI1172" s="1"/>
      <c r="BJ1172" s="1"/>
      <c r="BK1172" s="1"/>
      <c r="BL1172" s="1"/>
      <c r="BM1172" s="1"/>
      <c r="BN1172" s="1"/>
      <c r="BO1172" s="1"/>
      <c r="BP1172" s="1"/>
      <c r="BQ1172" s="1"/>
      <c r="BR1172" s="1"/>
      <c r="BS1172" s="1" t="s">
        <v>7595</v>
      </c>
      <c r="BT1172" s="1" t="str">
        <f>HYPERLINK("https%3A%2F%2Fwww.webofscience.com%2Fwos%2Fwoscc%2Ffull-record%2FWOS:000820802000026","View Full Record in Web of Science")</f>
        <v>View Full Record in Web of Science</v>
      </c>
      <c r="BU1172" s="1"/>
      <c r="BV1172" s="1"/>
      <c r="BW1172" s="1"/>
    </row>
    <row r="1173" spans="1:75" customHeight="1" ht="12.75">
      <c r="A1173" s="1" t="s">
        <v>72</v>
      </c>
      <c r="B1173" s="1" t="s">
        <v>7596</v>
      </c>
      <c r="C1173" s="1"/>
      <c r="D1173" s="1"/>
      <c r="E1173" s="1"/>
      <c r="F1173" s="1" t="s">
        <v>7597</v>
      </c>
      <c r="G1173" s="1"/>
      <c r="H1173" s="1"/>
      <c r="I1173" s="1" t="s">
        <v>7598</v>
      </c>
      <c r="J1173" s="1" t="s">
        <v>7599</v>
      </c>
      <c r="K1173" s="1"/>
      <c r="L1173" s="1"/>
      <c r="M1173" s="1"/>
      <c r="N1173" s="1"/>
      <c r="O1173" s="1"/>
      <c r="P1173" s="1"/>
      <c r="Q1173" s="1"/>
      <c r="R1173" s="1"/>
      <c r="S1173" s="1"/>
      <c r="T1173" s="1"/>
      <c r="U1173" s="1"/>
      <c r="V1173" s="1"/>
      <c r="W1173" s="1"/>
      <c r="X1173" s="1"/>
      <c r="Y1173" s="1"/>
      <c r="Z1173" s="1"/>
      <c r="AA1173" s="1" t="s">
        <v>7600</v>
      </c>
      <c r="AB1173" s="1" t="s">
        <v>7601</v>
      </c>
      <c r="AC1173" s="1"/>
      <c r="AD1173" s="1"/>
      <c r="AE1173" s="1"/>
      <c r="AF1173" s="1"/>
      <c r="AG1173" s="1"/>
      <c r="AH1173" s="1"/>
      <c r="AI1173" s="1"/>
      <c r="AJ1173" s="1"/>
      <c r="AK1173" s="1"/>
      <c r="AL1173" s="1"/>
      <c r="AM1173" s="1"/>
      <c r="AN1173" s="1"/>
      <c r="AO1173" s="1" t="s">
        <v>7602</v>
      </c>
      <c r="AP1173" s="1" t="s">
        <v>7603</v>
      </c>
      <c r="AQ1173" s="1"/>
      <c r="AR1173" s="1"/>
      <c r="AS1173" s="1"/>
      <c r="AT1173" s="1" t="s">
        <v>655</v>
      </c>
      <c r="AU1173" s="1">
        <v>2022</v>
      </c>
      <c r="AV1173" s="1">
        <v>176</v>
      </c>
      <c r="AW1173" s="1"/>
      <c r="AX1173" s="1"/>
      <c r="AY1173" s="1"/>
      <c r="AZ1173" s="1"/>
      <c r="BA1173" s="1"/>
      <c r="BB1173" s="1"/>
      <c r="BC1173" s="1"/>
      <c r="BD1173" s="1">
        <v>114382</v>
      </c>
      <c r="BE1173" s="1" t="s">
        <v>7604</v>
      </c>
      <c r="BF1173" s="1" t="str">
        <f>HYPERLINK("http://dx.doi.org/10.1016/j.indcrop.2021.114382","http://dx.doi.org/10.1016/j.indcrop.2021.114382")</f>
        <v>http://dx.doi.org/10.1016/j.indcrop.2021.114382</v>
      </c>
      <c r="BG1173" s="1"/>
      <c r="BH1173" s="1" t="s">
        <v>7605</v>
      </c>
      <c r="BI1173" s="1"/>
      <c r="BJ1173" s="1"/>
      <c r="BK1173" s="1"/>
      <c r="BL1173" s="1"/>
      <c r="BM1173" s="1"/>
      <c r="BN1173" s="1"/>
      <c r="BO1173" s="1"/>
      <c r="BP1173" s="1"/>
      <c r="BQ1173" s="1"/>
      <c r="BR1173" s="1"/>
      <c r="BS1173" s="1" t="s">
        <v>7606</v>
      </c>
      <c r="BT1173" s="1" t="str">
        <f>HYPERLINK("https%3A%2F%2Fwww.webofscience.com%2Fwos%2Fwoscc%2Ffull-record%2FWOS:000736977300004","View Full Record in Web of Science")</f>
        <v>View Full Record in Web of Science</v>
      </c>
      <c r="BU1173" s="1"/>
      <c r="BV1173" s="1"/>
      <c r="BW1173" s="1"/>
    </row>
    <row r="1174" spans="1:75" customHeight="1" ht="12.75">
      <c r="A1174" s="1" t="s">
        <v>147</v>
      </c>
      <c r="B1174" s="1" t="s">
        <v>7607</v>
      </c>
      <c r="C1174" s="1"/>
      <c r="D1174" s="1"/>
      <c r="E1174" s="1" t="s">
        <v>210</v>
      </c>
      <c r="F1174" s="1" t="s">
        <v>7608</v>
      </c>
      <c r="G1174" s="1"/>
      <c r="H1174" s="1"/>
      <c r="I1174" s="1" t="s">
        <v>7609</v>
      </c>
      <c r="J1174" s="1" t="s">
        <v>5413</v>
      </c>
      <c r="K1174" s="1" t="s">
        <v>2114</v>
      </c>
      <c r="L1174" s="1"/>
      <c r="M1174" s="1"/>
      <c r="N1174" s="1"/>
      <c r="O1174" s="1" t="s">
        <v>5414</v>
      </c>
      <c r="P1174" s="1" t="s">
        <v>5415</v>
      </c>
      <c r="Q1174" s="1" t="s">
        <v>5416</v>
      </c>
      <c r="R1174" s="1" t="s">
        <v>210</v>
      </c>
      <c r="S1174" s="1" t="s">
        <v>5417</v>
      </c>
      <c r="T1174" s="1"/>
      <c r="U1174" s="1"/>
      <c r="V1174" s="1"/>
      <c r="W1174" s="1"/>
      <c r="X1174" s="1"/>
      <c r="Y1174" s="1"/>
      <c r="Z1174" s="1"/>
      <c r="AA1174" s="1"/>
      <c r="AB1174" s="1" t="s">
        <v>7610</v>
      </c>
      <c r="AC1174" s="1"/>
      <c r="AD1174" s="1"/>
      <c r="AE1174" s="1"/>
      <c r="AF1174" s="1"/>
      <c r="AG1174" s="1"/>
      <c r="AH1174" s="1"/>
      <c r="AI1174" s="1"/>
      <c r="AJ1174" s="1"/>
      <c r="AK1174" s="1"/>
      <c r="AL1174" s="1"/>
      <c r="AM1174" s="1"/>
      <c r="AN1174" s="1"/>
      <c r="AO1174" s="1" t="s">
        <v>2122</v>
      </c>
      <c r="AP1174" s="1"/>
      <c r="AQ1174" s="1" t="s">
        <v>5420</v>
      </c>
      <c r="AR1174" s="1"/>
      <c r="AS1174" s="1"/>
      <c r="AT1174" s="1"/>
      <c r="AU1174" s="1">
        <v>2021</v>
      </c>
      <c r="AV1174" s="1"/>
      <c r="AW1174" s="1"/>
      <c r="AX1174" s="1"/>
      <c r="AY1174" s="1"/>
      <c r="AZ1174" s="1"/>
      <c r="BA1174" s="1"/>
      <c r="BB1174" s="1">
        <v>1275</v>
      </c>
      <c r="BC1174" s="1">
        <v>1280</v>
      </c>
      <c r="BD1174" s="1"/>
      <c r="BE1174" s="1" t="s">
        <v>7611</v>
      </c>
      <c r="BF1174" s="1" t="str">
        <f>HYPERLINK("http://dx.doi.org/10.1109/ElConRus51938.2021.9396276","http://dx.doi.org/10.1109/ElConRus51938.2021.9396276")</f>
        <v>http://dx.doi.org/10.1109/ElConRus51938.2021.9396276</v>
      </c>
      <c r="BG1174" s="1"/>
      <c r="BH1174" s="1"/>
      <c r="BI1174" s="1"/>
      <c r="BJ1174" s="1"/>
      <c r="BK1174" s="1"/>
      <c r="BL1174" s="1"/>
      <c r="BM1174" s="1"/>
      <c r="BN1174" s="1"/>
      <c r="BO1174" s="1"/>
      <c r="BP1174" s="1"/>
      <c r="BQ1174" s="1"/>
      <c r="BR1174" s="1"/>
      <c r="BS1174" s="1" t="s">
        <v>7612</v>
      </c>
      <c r="BT1174" s="1" t="str">
        <f>HYPERLINK("https%3A%2F%2Fwww.webofscience.com%2Fwos%2Fwoscc%2Ffull-record%2FWOS:000669709801069","View Full Record in Web of Science")</f>
        <v>View Full Record in Web of Science</v>
      </c>
      <c r="BU1174" s="1"/>
      <c r="BV1174" s="1"/>
      <c r="BW1174" s="1"/>
    </row>
    <row r="1175" spans="1:75" customHeight="1" ht="12.75">
      <c r="A1175" s="1" t="s">
        <v>72</v>
      </c>
      <c r="B1175" s="1" t="s">
        <v>378</v>
      </c>
      <c r="C1175" s="1"/>
      <c r="D1175" s="1"/>
      <c r="E1175" s="1"/>
      <c r="F1175" s="1" t="s">
        <v>1226</v>
      </c>
      <c r="G1175" s="1"/>
      <c r="H1175" s="1"/>
      <c r="I1175" s="1" t="s">
        <v>7613</v>
      </c>
      <c r="J1175" s="1" t="s">
        <v>6678</v>
      </c>
      <c r="K1175" s="1"/>
      <c r="L1175" s="1"/>
      <c r="M1175" s="1"/>
      <c r="N1175" s="1"/>
      <c r="O1175" s="1"/>
      <c r="P1175" s="1"/>
      <c r="Q1175" s="1"/>
      <c r="R1175" s="1"/>
      <c r="S1175" s="1"/>
      <c r="T1175" s="1"/>
      <c r="U1175" s="1"/>
      <c r="V1175" s="1"/>
      <c r="W1175" s="1"/>
      <c r="X1175" s="1"/>
      <c r="Y1175" s="1"/>
      <c r="Z1175" s="1"/>
      <c r="AA1175" s="1" t="s">
        <v>553</v>
      </c>
      <c r="AB1175" s="1" t="s">
        <v>554</v>
      </c>
      <c r="AC1175" s="1"/>
      <c r="AD1175" s="1"/>
      <c r="AE1175" s="1"/>
      <c r="AF1175" s="1"/>
      <c r="AG1175" s="1"/>
      <c r="AH1175" s="1"/>
      <c r="AI1175" s="1"/>
      <c r="AJ1175" s="1"/>
      <c r="AK1175" s="1"/>
      <c r="AL1175" s="1"/>
      <c r="AM1175" s="1"/>
      <c r="AN1175" s="1"/>
      <c r="AO1175" s="1" t="s">
        <v>6679</v>
      </c>
      <c r="AP1175" s="1"/>
      <c r="AQ1175" s="1"/>
      <c r="AR1175" s="1"/>
      <c r="AS1175" s="1"/>
      <c r="AT1175" s="1"/>
      <c r="AU1175" s="1">
        <v>2021</v>
      </c>
      <c r="AV1175" s="1">
        <v>12</v>
      </c>
      <c r="AW1175" s="1">
        <v>6</v>
      </c>
      <c r="AX1175" s="1"/>
      <c r="AY1175" s="1"/>
      <c r="AZ1175" s="1"/>
      <c r="BA1175" s="1"/>
      <c r="BB1175" s="1">
        <v>15</v>
      </c>
      <c r="BC1175" s="1">
        <v>18</v>
      </c>
      <c r="BD1175" s="1"/>
      <c r="BE1175" s="1" t="s">
        <v>7614</v>
      </c>
      <c r="BF1175" s="1" t="str">
        <f>HYPERLINK("http://dx.doi.org/10.51847/oCGvk8tmjd","http://dx.doi.org/10.51847/oCGvk8tmjd")</f>
        <v>http://dx.doi.org/10.51847/oCGvk8tmjd</v>
      </c>
      <c r="BG1175" s="1"/>
      <c r="BH1175" s="1"/>
      <c r="BI1175" s="1"/>
      <c r="BJ1175" s="1"/>
      <c r="BK1175" s="1"/>
      <c r="BL1175" s="1"/>
      <c r="BM1175" s="1"/>
      <c r="BN1175" s="1"/>
      <c r="BO1175" s="1"/>
      <c r="BP1175" s="1"/>
      <c r="BQ1175" s="1"/>
      <c r="BR1175" s="1"/>
      <c r="BS1175" s="1" t="s">
        <v>7615</v>
      </c>
      <c r="BT1175" s="1" t="str">
        <f>HYPERLINK("https%3A%2F%2Fwww.webofscience.com%2Fwos%2Fwoscc%2Ffull-record%2FWOS:000741358800004","View Full Record in Web of Science")</f>
        <v>View Full Record in Web of Science</v>
      </c>
      <c r="BU1175" s="1"/>
      <c r="BV1175" s="1"/>
      <c r="BW1175" s="1"/>
    </row>
    <row r="1176" spans="1:75" customHeight="1" ht="12.75">
      <c r="A1176" s="1" t="s">
        <v>72</v>
      </c>
      <c r="B1176" s="1" t="s">
        <v>7616</v>
      </c>
      <c r="C1176" s="1"/>
      <c r="D1176" s="1"/>
      <c r="E1176" s="1"/>
      <c r="F1176" s="1" t="s">
        <v>7617</v>
      </c>
      <c r="G1176" s="1"/>
      <c r="H1176" s="1"/>
      <c r="I1176" s="1" t="s">
        <v>7618</v>
      </c>
      <c r="J1176" s="1" t="s">
        <v>7619</v>
      </c>
      <c r="K1176" s="1"/>
      <c r="L1176" s="1"/>
      <c r="M1176" s="1"/>
      <c r="N1176" s="1"/>
      <c r="O1176" s="1"/>
      <c r="P1176" s="1"/>
      <c r="Q1176" s="1"/>
      <c r="R1176" s="1"/>
      <c r="S1176" s="1"/>
      <c r="T1176" s="1"/>
      <c r="U1176" s="1"/>
      <c r="V1176" s="1"/>
      <c r="W1176" s="1"/>
      <c r="X1176" s="1"/>
      <c r="Y1176" s="1"/>
      <c r="Z1176" s="1"/>
      <c r="AA1176" s="1" t="s">
        <v>7620</v>
      </c>
      <c r="AB1176" s="1" t="s">
        <v>7621</v>
      </c>
      <c r="AC1176" s="1"/>
      <c r="AD1176" s="1"/>
      <c r="AE1176" s="1"/>
      <c r="AF1176" s="1"/>
      <c r="AG1176" s="1"/>
      <c r="AH1176" s="1"/>
      <c r="AI1176" s="1"/>
      <c r="AJ1176" s="1"/>
      <c r="AK1176" s="1"/>
      <c r="AL1176" s="1"/>
      <c r="AM1176" s="1"/>
      <c r="AN1176" s="1"/>
      <c r="AO1176" s="1" t="s">
        <v>7622</v>
      </c>
      <c r="AP1176" s="1" t="s">
        <v>7623</v>
      </c>
      <c r="AQ1176" s="1"/>
      <c r="AR1176" s="1"/>
      <c r="AS1176" s="1"/>
      <c r="AT1176" s="1" t="s">
        <v>1167</v>
      </c>
      <c r="AU1176" s="1">
        <v>2020</v>
      </c>
      <c r="AV1176" s="1">
        <v>168</v>
      </c>
      <c r="AW1176" s="1"/>
      <c r="AX1176" s="1"/>
      <c r="AY1176" s="1"/>
      <c r="AZ1176" s="1"/>
      <c r="BA1176" s="1"/>
      <c r="BB1176" s="1"/>
      <c r="BC1176" s="1"/>
      <c r="BD1176" s="1">
        <v>110537</v>
      </c>
      <c r="BE1176" s="1" t="s">
        <v>7624</v>
      </c>
      <c r="BF1176" s="1" t="str">
        <f>HYPERLINK("http://dx.doi.org/10.1016/j.matchar.2020.110537","http://dx.doi.org/10.1016/j.matchar.2020.110537")</f>
        <v>http://dx.doi.org/10.1016/j.matchar.2020.110537</v>
      </c>
      <c r="BG1176" s="1"/>
      <c r="BH1176" s="1"/>
      <c r="BI1176" s="1"/>
      <c r="BJ1176" s="1"/>
      <c r="BK1176" s="1"/>
      <c r="BL1176" s="1"/>
      <c r="BM1176" s="1"/>
      <c r="BN1176" s="1"/>
      <c r="BO1176" s="1"/>
      <c r="BP1176" s="1"/>
      <c r="BQ1176" s="1"/>
      <c r="BR1176" s="1"/>
      <c r="BS1176" s="1" t="s">
        <v>7625</v>
      </c>
      <c r="BT1176" s="1" t="str">
        <f>HYPERLINK("https%3A%2F%2Fwww.webofscience.com%2Fwos%2Fwoscc%2Ffull-record%2FWOS:000571812800004","View Full Record in Web of Science")</f>
        <v>View Full Record in Web of Science</v>
      </c>
      <c r="BU1176" s="1"/>
      <c r="BV1176" s="1"/>
      <c r="BW1176" s="1"/>
    </row>
    <row r="1177" spans="1:75" customHeight="1" ht="12.75">
      <c r="A1177" s="1" t="s">
        <v>72</v>
      </c>
      <c r="B1177" s="1" t="s">
        <v>7626</v>
      </c>
      <c r="C1177" s="1"/>
      <c r="D1177" s="1"/>
      <c r="E1177" s="1"/>
      <c r="F1177" s="1" t="s">
        <v>7627</v>
      </c>
      <c r="G1177" s="1"/>
      <c r="H1177" s="1"/>
      <c r="I1177" s="1" t="s">
        <v>7628</v>
      </c>
      <c r="J1177" s="1" t="s">
        <v>335</v>
      </c>
      <c r="K1177" s="1"/>
      <c r="L1177" s="1"/>
      <c r="M1177" s="1"/>
      <c r="N1177" s="1"/>
      <c r="O1177" s="1"/>
      <c r="P1177" s="1"/>
      <c r="Q1177" s="1"/>
      <c r="R1177" s="1"/>
      <c r="S1177" s="1"/>
      <c r="T1177" s="1"/>
      <c r="U1177" s="1"/>
      <c r="V1177" s="1"/>
      <c r="W1177" s="1"/>
      <c r="X1177" s="1"/>
      <c r="Y1177" s="1"/>
      <c r="Z1177" s="1"/>
      <c r="AA1177" s="1"/>
      <c r="AB1177" s="1"/>
      <c r="AC1177" s="1"/>
      <c r="AD1177" s="1"/>
      <c r="AE1177" s="1"/>
      <c r="AF1177" s="1"/>
      <c r="AG1177" s="1"/>
      <c r="AH1177" s="1"/>
      <c r="AI1177" s="1"/>
      <c r="AJ1177" s="1"/>
      <c r="AK1177" s="1"/>
      <c r="AL1177" s="1"/>
      <c r="AM1177" s="1"/>
      <c r="AN1177" s="1"/>
      <c r="AO1177" s="1" t="s">
        <v>337</v>
      </c>
      <c r="AP1177" s="1"/>
      <c r="AQ1177" s="1"/>
      <c r="AR1177" s="1"/>
      <c r="AS1177" s="1"/>
      <c r="AT1177" s="1" t="s">
        <v>338</v>
      </c>
      <c r="AU1177" s="1">
        <v>2020</v>
      </c>
      <c r="AV1177" s="1">
        <v>7</v>
      </c>
      <c r="AW1177" s="1"/>
      <c r="AX1177" s="1"/>
      <c r="AY1177" s="1"/>
      <c r="AZ1177" s="1" t="s">
        <v>339</v>
      </c>
      <c r="BA1177" s="1"/>
      <c r="BB1177" s="1">
        <v>21</v>
      </c>
      <c r="BC1177" s="1">
        <v>33</v>
      </c>
      <c r="BD1177" s="1"/>
      <c r="BE1177" s="1"/>
      <c r="BF1177" s="1"/>
      <c r="BG1177" s="1"/>
      <c r="BH1177" s="1"/>
      <c r="BI1177" s="1"/>
      <c r="BJ1177" s="1"/>
      <c r="BK1177" s="1"/>
      <c r="BL1177" s="1"/>
      <c r="BM1177" s="1"/>
      <c r="BN1177" s="1"/>
      <c r="BO1177" s="1"/>
      <c r="BP1177" s="1"/>
      <c r="BQ1177" s="1"/>
      <c r="BR1177" s="1"/>
      <c r="BS1177" s="1" t="s">
        <v>7629</v>
      </c>
      <c r="BT1177" s="1" t="str">
        <f>HYPERLINK("https%3A%2F%2Fwww.webofscience.com%2Fwos%2Fwoscc%2Ffull-record%2FWOS:000583783100003","View Full Record in Web of Science")</f>
        <v>View Full Record in Web of Science</v>
      </c>
      <c r="BU1177" s="1"/>
      <c r="BV1177" s="1"/>
      <c r="BW1177" s="1"/>
    </row>
    <row r="1178" spans="1:75" customHeight="1" ht="12.75">
      <c r="A1178" s="1" t="s">
        <v>72</v>
      </c>
      <c r="B1178" s="1" t="s">
        <v>7189</v>
      </c>
      <c r="C1178" s="1"/>
      <c r="D1178" s="1"/>
      <c r="E1178" s="1"/>
      <c r="F1178" s="1" t="s">
        <v>7271</v>
      </c>
      <c r="G1178" s="1"/>
      <c r="H1178" s="1"/>
      <c r="I1178" s="1" t="s">
        <v>7630</v>
      </c>
      <c r="J1178" s="1" t="s">
        <v>95</v>
      </c>
      <c r="K1178" s="1"/>
      <c r="L1178" s="1"/>
      <c r="M1178" s="1"/>
      <c r="N1178" s="1"/>
      <c r="O1178" s="1"/>
      <c r="P1178" s="1"/>
      <c r="Q1178" s="1"/>
      <c r="R1178" s="1"/>
      <c r="S1178" s="1"/>
      <c r="T1178" s="1"/>
      <c r="U1178" s="1"/>
      <c r="V1178" s="1"/>
      <c r="W1178" s="1"/>
      <c r="X1178" s="1"/>
      <c r="Y1178" s="1"/>
      <c r="Z1178" s="1"/>
      <c r="AA1178" s="1" t="s">
        <v>7631</v>
      </c>
      <c r="AB1178" s="1" t="s">
        <v>7632</v>
      </c>
      <c r="AC1178" s="1"/>
      <c r="AD1178" s="1"/>
      <c r="AE1178" s="1"/>
      <c r="AF1178" s="1"/>
      <c r="AG1178" s="1"/>
      <c r="AH1178" s="1"/>
      <c r="AI1178" s="1"/>
      <c r="AJ1178" s="1"/>
      <c r="AK1178" s="1"/>
      <c r="AL1178" s="1"/>
      <c r="AM1178" s="1"/>
      <c r="AN1178" s="1"/>
      <c r="AO1178" s="1" t="s">
        <v>98</v>
      </c>
      <c r="AP1178" s="1" t="s">
        <v>99</v>
      </c>
      <c r="AQ1178" s="1"/>
      <c r="AR1178" s="1"/>
      <c r="AS1178" s="1"/>
      <c r="AT1178" s="1"/>
      <c r="AU1178" s="1">
        <v>2020</v>
      </c>
      <c r="AV1178" s="1"/>
      <c r="AW1178" s="1">
        <v>3</v>
      </c>
      <c r="AX1178" s="1"/>
      <c r="AY1178" s="1"/>
      <c r="AZ1178" s="1"/>
      <c r="BA1178" s="1"/>
      <c r="BB1178" s="1">
        <v>41</v>
      </c>
      <c r="BC1178" s="1">
        <v>45</v>
      </c>
      <c r="BD1178" s="1"/>
      <c r="BE1178" s="1" t="s">
        <v>7633</v>
      </c>
      <c r="BF1178" s="1" t="str">
        <f>HYPERLINK("http://dx.doi.org/10.25750/1995-4301-2020-3-041-045","http://dx.doi.org/10.25750/1995-4301-2020-3-041-045")</f>
        <v>http://dx.doi.org/10.25750/1995-4301-2020-3-041-045</v>
      </c>
      <c r="BG1178" s="1"/>
      <c r="BH1178" s="1"/>
      <c r="BI1178" s="1"/>
      <c r="BJ1178" s="1"/>
      <c r="BK1178" s="1"/>
      <c r="BL1178" s="1"/>
      <c r="BM1178" s="1"/>
      <c r="BN1178" s="1"/>
      <c r="BO1178" s="1"/>
      <c r="BP1178" s="1"/>
      <c r="BQ1178" s="1"/>
      <c r="BR1178" s="1"/>
      <c r="BS1178" s="1" t="s">
        <v>7634</v>
      </c>
      <c r="BT1178" s="1" t="str">
        <f>HYPERLINK("https%3A%2F%2Fwww.webofscience.com%2Fwos%2Fwoscc%2Ffull-record%2FWOS:000580337700006","View Full Record in Web of Science")</f>
        <v>View Full Record in Web of Science</v>
      </c>
      <c r="BU1178" s="1"/>
      <c r="BV1178" s="1"/>
      <c r="BW1178" s="1"/>
    </row>
    <row r="1179" spans="1:75" customHeight="1" ht="12.75">
      <c r="A1179" s="1" t="s">
        <v>72</v>
      </c>
      <c r="B1179" s="1" t="s">
        <v>7635</v>
      </c>
      <c r="C1179" s="1"/>
      <c r="D1179" s="1"/>
      <c r="E1179" s="1"/>
      <c r="F1179" s="1" t="s">
        <v>7636</v>
      </c>
      <c r="G1179" s="1"/>
      <c r="H1179" s="1"/>
      <c r="I1179" s="1" t="s">
        <v>7637</v>
      </c>
      <c r="J1179" s="1" t="s">
        <v>506</v>
      </c>
      <c r="K1179" s="1"/>
      <c r="L1179" s="1"/>
      <c r="M1179" s="1"/>
      <c r="N1179" s="1"/>
      <c r="O1179" s="1"/>
      <c r="P1179" s="1"/>
      <c r="Q1179" s="1"/>
      <c r="R1179" s="1"/>
      <c r="S1179" s="1"/>
      <c r="T1179" s="1"/>
      <c r="U1179" s="1"/>
      <c r="V1179" s="1"/>
      <c r="W1179" s="1"/>
      <c r="X1179" s="1"/>
      <c r="Y1179" s="1"/>
      <c r="Z1179" s="1"/>
      <c r="AA1179" s="1"/>
      <c r="AB1179" s="1"/>
      <c r="AC1179" s="1"/>
      <c r="AD1179" s="1"/>
      <c r="AE1179" s="1"/>
      <c r="AF1179" s="1"/>
      <c r="AG1179" s="1"/>
      <c r="AH1179" s="1"/>
      <c r="AI1179" s="1"/>
      <c r="AJ1179" s="1"/>
      <c r="AK1179" s="1"/>
      <c r="AL1179" s="1"/>
      <c r="AM1179" s="1"/>
      <c r="AN1179" s="1"/>
      <c r="AO1179" s="1" t="s">
        <v>509</v>
      </c>
      <c r="AP1179" s="1" t="s">
        <v>510</v>
      </c>
      <c r="AQ1179" s="1"/>
      <c r="AR1179" s="1"/>
      <c r="AS1179" s="1"/>
      <c r="AT1179" s="1"/>
      <c r="AU1179" s="1">
        <v>2018</v>
      </c>
      <c r="AV1179" s="1">
        <v>9</v>
      </c>
      <c r="AW1179" s="1">
        <v>4</v>
      </c>
      <c r="AX1179" s="1"/>
      <c r="AY1179" s="1"/>
      <c r="AZ1179" s="1"/>
      <c r="BA1179" s="1"/>
      <c r="BB1179" s="1">
        <v>501</v>
      </c>
      <c r="BC1179" s="1">
        <v>521</v>
      </c>
      <c r="BD1179" s="1"/>
      <c r="BE1179" s="1" t="s">
        <v>7638</v>
      </c>
      <c r="BF1179" s="1" t="str">
        <f>HYPERLINK("http://dx.doi.org/10.21638/spbu14.2018.404","http://dx.doi.org/10.21638/spbu14.2018.404")</f>
        <v>http://dx.doi.org/10.21638/spbu14.2018.404</v>
      </c>
      <c r="BG1179" s="1"/>
      <c r="BH1179" s="1"/>
      <c r="BI1179" s="1"/>
      <c r="BJ1179" s="1"/>
      <c r="BK1179" s="1"/>
      <c r="BL1179" s="1"/>
      <c r="BM1179" s="1"/>
      <c r="BN1179" s="1"/>
      <c r="BO1179" s="1"/>
      <c r="BP1179" s="1"/>
      <c r="BQ1179" s="1"/>
      <c r="BR1179" s="1"/>
      <c r="BS1179" s="1" t="s">
        <v>7639</v>
      </c>
      <c r="BT1179" s="1" t="str">
        <f>HYPERLINK("https%3A%2F%2Fwww.webofscience.com%2Fwos%2Fwoscc%2Ffull-record%2FWOS:000457701400004","View Full Record in Web of Science")</f>
        <v>View Full Record in Web of Science</v>
      </c>
      <c r="BU1179" s="1"/>
      <c r="BV1179" s="1"/>
      <c r="BW1179" s="1"/>
    </row>
    <row r="1180" spans="1:75" customHeight="1" ht="12.75">
      <c r="A1180" s="1" t="s">
        <v>72</v>
      </c>
      <c r="B1180" s="1" t="s">
        <v>7640</v>
      </c>
      <c r="C1180" s="1"/>
      <c r="D1180" s="1"/>
      <c r="E1180" s="1"/>
      <c r="F1180" s="1" t="s">
        <v>7641</v>
      </c>
      <c r="G1180" s="1"/>
      <c r="H1180" s="1"/>
      <c r="I1180" s="1" t="s">
        <v>7642</v>
      </c>
      <c r="J1180" s="1" t="s">
        <v>166</v>
      </c>
      <c r="K1180" s="1"/>
      <c r="L1180" s="1"/>
      <c r="M1180" s="1"/>
      <c r="N1180" s="1"/>
      <c r="O1180" s="1"/>
      <c r="P1180" s="1"/>
      <c r="Q1180" s="1"/>
      <c r="R1180" s="1"/>
      <c r="S1180" s="1"/>
      <c r="T1180" s="1"/>
      <c r="U1180" s="1"/>
      <c r="V1180" s="1"/>
      <c r="W1180" s="1"/>
      <c r="X1180" s="1"/>
      <c r="Y1180" s="1"/>
      <c r="Z1180" s="1"/>
      <c r="AA1180" s="1" t="s">
        <v>7643</v>
      </c>
      <c r="AB1180" s="1" t="s">
        <v>7644</v>
      </c>
      <c r="AC1180" s="1"/>
      <c r="AD1180" s="1"/>
      <c r="AE1180" s="1"/>
      <c r="AF1180" s="1"/>
      <c r="AG1180" s="1"/>
      <c r="AH1180" s="1"/>
      <c r="AI1180" s="1"/>
      <c r="AJ1180" s="1"/>
      <c r="AK1180" s="1"/>
      <c r="AL1180" s="1"/>
      <c r="AM1180" s="1"/>
      <c r="AN1180" s="1"/>
      <c r="AO1180" s="1" t="s">
        <v>169</v>
      </c>
      <c r="AP1180" s="1" t="s">
        <v>170</v>
      </c>
      <c r="AQ1180" s="1"/>
      <c r="AR1180" s="1"/>
      <c r="AS1180" s="1"/>
      <c r="AT1180" s="1" t="s">
        <v>830</v>
      </c>
      <c r="AU1180" s="1">
        <v>2022</v>
      </c>
      <c r="AV1180" s="1">
        <v>11</v>
      </c>
      <c r="AW1180" s="1">
        <v>3</v>
      </c>
      <c r="AX1180" s="1"/>
      <c r="AY1180" s="1"/>
      <c r="AZ1180" s="1"/>
      <c r="BA1180" s="1"/>
      <c r="BB1180" s="1">
        <v>817</v>
      </c>
      <c r="BC1180" s="1">
        <v>830</v>
      </c>
      <c r="BD1180" s="1"/>
      <c r="BE1180" s="1" t="s">
        <v>7645</v>
      </c>
      <c r="BF1180" s="1" t="str">
        <f>HYPERLINK("http://dx.doi.org/10.13187/ejced.2022.3.817","http://dx.doi.org/10.13187/ejced.2022.3.817")</f>
        <v>http://dx.doi.org/10.13187/ejced.2022.3.817</v>
      </c>
      <c r="BG1180" s="1"/>
      <c r="BH1180" s="1"/>
      <c r="BI1180" s="1"/>
      <c r="BJ1180" s="1"/>
      <c r="BK1180" s="1"/>
      <c r="BL1180" s="1"/>
      <c r="BM1180" s="1"/>
      <c r="BN1180" s="1"/>
      <c r="BO1180" s="1"/>
      <c r="BP1180" s="1"/>
      <c r="BQ1180" s="1"/>
      <c r="BR1180" s="1"/>
      <c r="BS1180" s="1" t="s">
        <v>7646</v>
      </c>
      <c r="BT1180" s="1" t="str">
        <f>HYPERLINK("https%3A%2F%2Fwww.webofscience.com%2Fwos%2Fwoscc%2Ffull-record%2FWOS:000862890700012","View Full Record in Web of Science")</f>
        <v>View Full Record in Web of Science</v>
      </c>
      <c r="BU1180" s="1"/>
      <c r="BV1180" s="1"/>
      <c r="BW1180" s="1"/>
    </row>
    <row r="1181" spans="1:75" customHeight="1" ht="12.75">
      <c r="A1181" s="1" t="s">
        <v>72</v>
      </c>
      <c r="B1181" s="1" t="s">
        <v>7647</v>
      </c>
      <c r="C1181" s="1"/>
      <c r="D1181" s="1"/>
      <c r="E1181" s="1"/>
      <c r="F1181" s="1" t="s">
        <v>7648</v>
      </c>
      <c r="G1181" s="1"/>
      <c r="H1181" s="1"/>
      <c r="I1181" s="1" t="s">
        <v>7649</v>
      </c>
      <c r="J1181" s="1" t="s">
        <v>95</v>
      </c>
      <c r="K1181" s="1"/>
      <c r="L1181" s="1"/>
      <c r="M1181" s="1"/>
      <c r="N1181" s="1"/>
      <c r="O1181" s="1"/>
      <c r="P1181" s="1"/>
      <c r="Q1181" s="1"/>
      <c r="R1181" s="1"/>
      <c r="S1181" s="1"/>
      <c r="T1181" s="1"/>
      <c r="U1181" s="1"/>
      <c r="V1181" s="1"/>
      <c r="W1181" s="1"/>
      <c r="X1181" s="1"/>
      <c r="Y1181" s="1"/>
      <c r="Z1181" s="1"/>
      <c r="AA1181" s="1" t="s">
        <v>7650</v>
      </c>
      <c r="AB1181" s="1" t="s">
        <v>7651</v>
      </c>
      <c r="AC1181" s="1"/>
      <c r="AD1181" s="1"/>
      <c r="AE1181" s="1"/>
      <c r="AF1181" s="1"/>
      <c r="AG1181" s="1"/>
      <c r="AH1181" s="1"/>
      <c r="AI1181" s="1"/>
      <c r="AJ1181" s="1"/>
      <c r="AK1181" s="1"/>
      <c r="AL1181" s="1"/>
      <c r="AM1181" s="1"/>
      <c r="AN1181" s="1"/>
      <c r="AO1181" s="1" t="s">
        <v>98</v>
      </c>
      <c r="AP1181" s="1" t="s">
        <v>99</v>
      </c>
      <c r="AQ1181" s="1"/>
      <c r="AR1181" s="1"/>
      <c r="AS1181" s="1"/>
      <c r="AT1181" s="1"/>
      <c r="AU1181" s="1">
        <v>2021</v>
      </c>
      <c r="AV1181" s="1"/>
      <c r="AW1181" s="1">
        <v>1</v>
      </c>
      <c r="AX1181" s="1"/>
      <c r="AY1181" s="1"/>
      <c r="AZ1181" s="1"/>
      <c r="BA1181" s="1"/>
      <c r="BB1181" s="1">
        <v>104</v>
      </c>
      <c r="BC1181" s="1">
        <v>111</v>
      </c>
      <c r="BD1181" s="1"/>
      <c r="BE1181" s="1" t="s">
        <v>7652</v>
      </c>
      <c r="BF1181" s="1" t="str">
        <f>HYPERLINK("http://dx.doi.org/10.25750/1995-4301-2021-1-104-111","http://dx.doi.org/10.25750/1995-4301-2021-1-104-111")</f>
        <v>http://dx.doi.org/10.25750/1995-4301-2021-1-104-111</v>
      </c>
      <c r="BG1181" s="1"/>
      <c r="BH1181" s="1"/>
      <c r="BI1181" s="1"/>
      <c r="BJ1181" s="1"/>
      <c r="BK1181" s="1"/>
      <c r="BL1181" s="1"/>
      <c r="BM1181" s="1"/>
      <c r="BN1181" s="1"/>
      <c r="BO1181" s="1"/>
      <c r="BP1181" s="1"/>
      <c r="BQ1181" s="1"/>
      <c r="BR1181" s="1"/>
      <c r="BS1181" s="1" t="s">
        <v>7653</v>
      </c>
      <c r="BT1181" s="1" t="str">
        <f>HYPERLINK("https%3A%2F%2Fwww.webofscience.com%2Fwos%2Fwoscc%2Ffull-record%2FWOS:000632219100014","View Full Record in Web of Science")</f>
        <v>View Full Record in Web of Science</v>
      </c>
      <c r="BU1181" s="1"/>
      <c r="BV1181" s="1"/>
      <c r="BW1181" s="1"/>
    </row>
    <row r="1182" spans="1:75" customHeight="1" ht="12.75">
      <c r="A1182" s="1" t="s">
        <v>72</v>
      </c>
      <c r="B1182" s="1" t="s">
        <v>7654</v>
      </c>
      <c r="C1182" s="1"/>
      <c r="D1182" s="1"/>
      <c r="E1182" s="1"/>
      <c r="F1182" s="1" t="s">
        <v>7655</v>
      </c>
      <c r="G1182" s="1"/>
      <c r="H1182" s="1"/>
      <c r="I1182" s="1" t="s">
        <v>7656</v>
      </c>
      <c r="J1182" s="1" t="s">
        <v>335</v>
      </c>
      <c r="K1182" s="1"/>
      <c r="L1182" s="1"/>
      <c r="M1182" s="1"/>
      <c r="N1182" s="1"/>
      <c r="O1182" s="1"/>
      <c r="P1182" s="1"/>
      <c r="Q1182" s="1"/>
      <c r="R1182" s="1"/>
      <c r="S1182" s="1"/>
      <c r="T1182" s="1"/>
      <c r="U1182" s="1"/>
      <c r="V1182" s="1"/>
      <c r="W1182" s="1"/>
      <c r="X1182" s="1"/>
      <c r="Y1182" s="1"/>
      <c r="Z1182" s="1"/>
      <c r="AA1182" s="1" t="s">
        <v>7657</v>
      </c>
      <c r="AB1182" s="1" t="s">
        <v>7658</v>
      </c>
      <c r="AC1182" s="1"/>
      <c r="AD1182" s="1"/>
      <c r="AE1182" s="1"/>
      <c r="AF1182" s="1"/>
      <c r="AG1182" s="1"/>
      <c r="AH1182" s="1"/>
      <c r="AI1182" s="1"/>
      <c r="AJ1182" s="1"/>
      <c r="AK1182" s="1"/>
      <c r="AL1182" s="1"/>
      <c r="AM1182" s="1"/>
      <c r="AN1182" s="1"/>
      <c r="AO1182" s="1" t="s">
        <v>337</v>
      </c>
      <c r="AP1182" s="1"/>
      <c r="AQ1182" s="1"/>
      <c r="AR1182" s="1"/>
      <c r="AS1182" s="1"/>
      <c r="AT1182" s="1" t="s">
        <v>338</v>
      </c>
      <c r="AU1182" s="1">
        <v>2020</v>
      </c>
      <c r="AV1182" s="1">
        <v>7</v>
      </c>
      <c r="AW1182" s="1"/>
      <c r="AX1182" s="1"/>
      <c r="AY1182" s="1"/>
      <c r="AZ1182" s="1" t="s">
        <v>339</v>
      </c>
      <c r="BA1182" s="1"/>
      <c r="BB1182" s="1">
        <v>421</v>
      </c>
      <c r="BC1182" s="1">
        <v>430</v>
      </c>
      <c r="BD1182" s="1"/>
      <c r="BE1182" s="1"/>
      <c r="BF1182" s="1"/>
      <c r="BG1182" s="1"/>
      <c r="BH1182" s="1"/>
      <c r="BI1182" s="1"/>
      <c r="BJ1182" s="1"/>
      <c r="BK1182" s="1"/>
      <c r="BL1182" s="1"/>
      <c r="BM1182" s="1"/>
      <c r="BN1182" s="1"/>
      <c r="BO1182" s="1"/>
      <c r="BP1182" s="1"/>
      <c r="BQ1182" s="1"/>
      <c r="BR1182" s="1"/>
      <c r="BS1182" s="1" t="s">
        <v>7659</v>
      </c>
      <c r="BT1182" s="1" t="str">
        <f>HYPERLINK("https%3A%2F%2Fwww.webofscience.com%2Fwos%2Fwoscc%2Ffull-record%2FWOS:000583783100035","View Full Record in Web of Science")</f>
        <v>View Full Record in Web of Science</v>
      </c>
      <c r="BU1182" s="1"/>
      <c r="BV1182" s="1"/>
      <c r="BW1182" s="1"/>
    </row>
    <row r="1183" spans="1:75" customHeight="1" ht="12.75">
      <c r="A1183" s="1" t="s">
        <v>72</v>
      </c>
      <c r="B1183" s="1" t="s">
        <v>7660</v>
      </c>
      <c r="C1183" s="1"/>
      <c r="D1183" s="1"/>
      <c r="E1183" s="1"/>
      <c r="F1183" s="1" t="s">
        <v>7661</v>
      </c>
      <c r="G1183" s="1"/>
      <c r="H1183" s="1"/>
      <c r="I1183" s="1" t="s">
        <v>7662</v>
      </c>
      <c r="J1183" s="1" t="s">
        <v>1780</v>
      </c>
      <c r="K1183" s="1"/>
      <c r="L1183" s="1"/>
      <c r="M1183" s="1"/>
      <c r="N1183" s="1"/>
      <c r="O1183" s="1"/>
      <c r="P1183" s="1"/>
      <c r="Q1183" s="1"/>
      <c r="R1183" s="1"/>
      <c r="S1183" s="1"/>
      <c r="T1183" s="1"/>
      <c r="U1183" s="1"/>
      <c r="V1183" s="1"/>
      <c r="W1183" s="1"/>
      <c r="X1183" s="1"/>
      <c r="Y1183" s="1"/>
      <c r="Z1183" s="1"/>
      <c r="AA1183" s="1" t="s">
        <v>7663</v>
      </c>
      <c r="AB1183" s="1" t="s">
        <v>7664</v>
      </c>
      <c r="AC1183" s="1"/>
      <c r="AD1183" s="1"/>
      <c r="AE1183" s="1"/>
      <c r="AF1183" s="1"/>
      <c r="AG1183" s="1"/>
      <c r="AH1183" s="1"/>
      <c r="AI1183" s="1"/>
      <c r="AJ1183" s="1"/>
      <c r="AK1183" s="1"/>
      <c r="AL1183" s="1"/>
      <c r="AM1183" s="1"/>
      <c r="AN1183" s="1"/>
      <c r="AO1183" s="1" t="s">
        <v>1783</v>
      </c>
      <c r="AP1183" s="1"/>
      <c r="AQ1183" s="1"/>
      <c r="AR1183" s="1"/>
      <c r="AS1183" s="1"/>
      <c r="AT1183" s="1" t="s">
        <v>1012</v>
      </c>
      <c r="AU1183" s="1">
        <v>2018</v>
      </c>
      <c r="AV1183" s="1"/>
      <c r="AW1183" s="1">
        <v>5</v>
      </c>
      <c r="AX1183" s="1"/>
      <c r="AY1183" s="1"/>
      <c r="AZ1183" s="1"/>
      <c r="BA1183" s="1"/>
      <c r="BB1183" s="1">
        <v>98</v>
      </c>
      <c r="BC1183" s="1">
        <v>109</v>
      </c>
      <c r="BD1183" s="1"/>
      <c r="BE1183" s="1" t="s">
        <v>7665</v>
      </c>
      <c r="BF1183" s="1" t="str">
        <f>HYPERLINK("http://dx.doi.org/10.15211/soveurope5201898109","http://dx.doi.org/10.15211/soveurope5201898109")</f>
        <v>http://dx.doi.org/10.15211/soveurope5201898109</v>
      </c>
      <c r="BG1183" s="1"/>
      <c r="BH1183" s="1"/>
      <c r="BI1183" s="1"/>
      <c r="BJ1183" s="1"/>
      <c r="BK1183" s="1"/>
      <c r="BL1183" s="1"/>
      <c r="BM1183" s="1"/>
      <c r="BN1183" s="1"/>
      <c r="BO1183" s="1"/>
      <c r="BP1183" s="1"/>
      <c r="BQ1183" s="1"/>
      <c r="BR1183" s="1"/>
      <c r="BS1183" s="1" t="s">
        <v>7666</v>
      </c>
      <c r="BT1183" s="1" t="str">
        <f>HYPERLINK("https%3A%2F%2Fwww.webofscience.com%2Fwos%2Fwoscc%2Ffull-record%2FWOS:000454872800010","View Full Record in Web of Science")</f>
        <v>View Full Record in Web of Science</v>
      </c>
      <c r="BU1183" s="1"/>
      <c r="BV1183" s="1"/>
      <c r="BW1183" s="1"/>
    </row>
    <row r="1184" spans="1:75" customHeight="1" ht="12.75">
      <c r="A1184" s="1" t="s">
        <v>72</v>
      </c>
      <c r="B1184" s="1" t="s">
        <v>7667</v>
      </c>
      <c r="C1184" s="1"/>
      <c r="D1184" s="1"/>
      <c r="E1184" s="1"/>
      <c r="F1184" s="1" t="s">
        <v>7668</v>
      </c>
      <c r="G1184" s="1"/>
      <c r="H1184" s="1"/>
      <c r="I1184" s="1" t="s">
        <v>7669</v>
      </c>
      <c r="J1184" s="1" t="s">
        <v>5139</v>
      </c>
      <c r="K1184" s="1"/>
      <c r="L1184" s="1"/>
      <c r="M1184" s="1"/>
      <c r="N1184" s="1"/>
      <c r="O1184" s="1"/>
      <c r="P1184" s="1"/>
      <c r="Q1184" s="1"/>
      <c r="R1184" s="1"/>
      <c r="S1184" s="1"/>
      <c r="T1184" s="1"/>
      <c r="U1184" s="1"/>
      <c r="V1184" s="1"/>
      <c r="W1184" s="1"/>
      <c r="X1184" s="1"/>
      <c r="Y1184" s="1"/>
      <c r="Z1184" s="1"/>
      <c r="AA1184" s="1" t="s">
        <v>7670</v>
      </c>
      <c r="AB1184" s="1" t="s">
        <v>7671</v>
      </c>
      <c r="AC1184" s="1"/>
      <c r="AD1184" s="1"/>
      <c r="AE1184" s="1"/>
      <c r="AF1184" s="1"/>
      <c r="AG1184" s="1"/>
      <c r="AH1184" s="1"/>
      <c r="AI1184" s="1"/>
      <c r="AJ1184" s="1"/>
      <c r="AK1184" s="1"/>
      <c r="AL1184" s="1"/>
      <c r="AM1184" s="1"/>
      <c r="AN1184" s="1"/>
      <c r="AO1184" s="1" t="s">
        <v>5142</v>
      </c>
      <c r="AP1184" s="1" t="s">
        <v>5143</v>
      </c>
      <c r="AQ1184" s="1"/>
      <c r="AR1184" s="1"/>
      <c r="AS1184" s="1"/>
      <c r="AT1184" s="1" t="s">
        <v>491</v>
      </c>
      <c r="AU1184" s="1">
        <v>2017</v>
      </c>
      <c r="AV1184" s="1">
        <v>13</v>
      </c>
      <c r="AW1184" s="1">
        <v>6</v>
      </c>
      <c r="AX1184" s="1"/>
      <c r="AY1184" s="1"/>
      <c r="AZ1184" s="1"/>
      <c r="BA1184" s="1"/>
      <c r="BB1184" s="1">
        <v>2111</v>
      </c>
      <c r="BC1184" s="1">
        <v>2131</v>
      </c>
      <c r="BD1184" s="1"/>
      <c r="BE1184" s="1" t="s">
        <v>7672</v>
      </c>
      <c r="BF1184" s="1" t="str">
        <f>HYPERLINK("http://dx.doi.org/10.12973/eurasia.2017.01217a","http://dx.doi.org/10.12973/eurasia.2017.01217a")</f>
        <v>http://dx.doi.org/10.12973/eurasia.2017.01217a</v>
      </c>
      <c r="BG1184" s="1"/>
      <c r="BH1184" s="1"/>
      <c r="BI1184" s="1"/>
      <c r="BJ1184" s="1"/>
      <c r="BK1184" s="1"/>
      <c r="BL1184" s="1"/>
      <c r="BM1184" s="1"/>
      <c r="BN1184" s="1"/>
      <c r="BO1184" s="1"/>
      <c r="BP1184" s="1"/>
      <c r="BQ1184" s="1"/>
      <c r="BR1184" s="1"/>
      <c r="BS1184" s="1" t="s">
        <v>7673</v>
      </c>
      <c r="BT1184" s="1" t="str">
        <f>HYPERLINK("https%3A%2F%2Fwww.webofscience.com%2Fwos%2Fwoscc%2Ffull-record%2FWOS:000404604700031","View Full Record in Web of Science")</f>
        <v>View Full Record in Web of Science</v>
      </c>
      <c r="BU1184" s="1"/>
      <c r="BV1184" s="1"/>
      <c r="BW1184" s="1"/>
    </row>
    <row r="1185" spans="1:75" customHeight="1" ht="12.75">
      <c r="A1185" s="1" t="s">
        <v>147</v>
      </c>
      <c r="B1185" s="1" t="s">
        <v>7674</v>
      </c>
      <c r="C1185" s="1"/>
      <c r="D1185" s="1" t="s">
        <v>1876</v>
      </c>
      <c r="E1185" s="1"/>
      <c r="F1185" s="1" t="s">
        <v>7675</v>
      </c>
      <c r="G1185" s="1"/>
      <c r="H1185" s="1"/>
      <c r="I1185" s="1" t="s">
        <v>7676</v>
      </c>
      <c r="J1185" s="1" t="s">
        <v>1879</v>
      </c>
      <c r="K1185" s="1" t="s">
        <v>1276</v>
      </c>
      <c r="L1185" s="1"/>
      <c r="M1185" s="1"/>
      <c r="N1185" s="1"/>
      <c r="O1185" s="1" t="s">
        <v>1880</v>
      </c>
      <c r="P1185" s="1" t="s">
        <v>1881</v>
      </c>
      <c r="Q1185" s="1" t="s">
        <v>1882</v>
      </c>
      <c r="R1185" s="1" t="s">
        <v>1883</v>
      </c>
      <c r="S1185" s="1" t="s">
        <v>1884</v>
      </c>
      <c r="T1185" s="1"/>
      <c r="U1185" s="1"/>
      <c r="V1185" s="1"/>
      <c r="W1185" s="1"/>
      <c r="X1185" s="1"/>
      <c r="Y1185" s="1"/>
      <c r="Z1185" s="1"/>
      <c r="AA1185" s="1" t="s">
        <v>7677</v>
      </c>
      <c r="AB1185" s="1" t="s">
        <v>7678</v>
      </c>
      <c r="AC1185" s="1"/>
      <c r="AD1185" s="1"/>
      <c r="AE1185" s="1"/>
      <c r="AF1185" s="1"/>
      <c r="AG1185" s="1"/>
      <c r="AH1185" s="1"/>
      <c r="AI1185" s="1"/>
      <c r="AJ1185" s="1"/>
      <c r="AK1185" s="1"/>
      <c r="AL1185" s="1"/>
      <c r="AM1185" s="1"/>
      <c r="AN1185" s="1"/>
      <c r="AO1185" s="1" t="s">
        <v>1282</v>
      </c>
      <c r="AP1185" s="1"/>
      <c r="AQ1185" s="1"/>
      <c r="AR1185" s="1"/>
      <c r="AS1185" s="1"/>
      <c r="AT1185" s="1"/>
      <c r="AU1185" s="1">
        <v>2017</v>
      </c>
      <c r="AV1185" s="1">
        <v>106</v>
      </c>
      <c r="AW1185" s="1"/>
      <c r="AX1185" s="1"/>
      <c r="AY1185" s="1"/>
      <c r="AZ1185" s="1"/>
      <c r="BA1185" s="1"/>
      <c r="BB1185" s="1"/>
      <c r="BC1185" s="1"/>
      <c r="BD1185" s="1">
        <v>8074</v>
      </c>
      <c r="BE1185" s="1" t="s">
        <v>7679</v>
      </c>
      <c r="BF1185" s="1" t="str">
        <f>HYPERLINK("http://dx.doi.org/10.1051/matecconf/201710608074","http://dx.doi.org/10.1051/matecconf/201710608074")</f>
        <v>http://dx.doi.org/10.1051/matecconf/201710608074</v>
      </c>
      <c r="BG1185" s="1"/>
      <c r="BH1185" s="1"/>
      <c r="BI1185" s="1"/>
      <c r="BJ1185" s="1"/>
      <c r="BK1185" s="1"/>
      <c r="BL1185" s="1"/>
      <c r="BM1185" s="1"/>
      <c r="BN1185" s="1"/>
      <c r="BO1185" s="1"/>
      <c r="BP1185" s="1"/>
      <c r="BQ1185" s="1"/>
      <c r="BR1185" s="1"/>
      <c r="BS1185" s="1" t="s">
        <v>7680</v>
      </c>
      <c r="BT1185" s="1" t="str">
        <f>HYPERLINK("https%3A%2F%2Fwww.webofscience.com%2Fwos%2Fwoscc%2Ffull-record%2FWOS:000426426600259","View Full Record in Web of Science")</f>
        <v>View Full Record in Web of Science</v>
      </c>
      <c r="BU1185" s="1"/>
      <c r="BV1185" s="1"/>
      <c r="BW1185" s="1"/>
    </row>
    <row r="1186" spans="1:75" customHeight="1" ht="12.75">
      <c r="A1186" s="1" t="s">
        <v>72</v>
      </c>
      <c r="B1186" s="1" t="s">
        <v>7681</v>
      </c>
      <c r="C1186" s="1"/>
      <c r="D1186" s="1"/>
      <c r="E1186" s="1"/>
      <c r="F1186" s="1" t="s">
        <v>7682</v>
      </c>
      <c r="G1186" s="1"/>
      <c r="H1186" s="1"/>
      <c r="I1186" s="1" t="s">
        <v>7683</v>
      </c>
      <c r="J1186" s="1" t="s">
        <v>7684</v>
      </c>
      <c r="K1186" s="1"/>
      <c r="L1186" s="1"/>
      <c r="M1186" s="1"/>
      <c r="N1186" s="1"/>
      <c r="O1186" s="1"/>
      <c r="P1186" s="1"/>
      <c r="Q1186" s="1"/>
      <c r="R1186" s="1"/>
      <c r="S1186" s="1"/>
      <c r="T1186" s="1"/>
      <c r="U1186" s="1"/>
      <c r="V1186" s="1"/>
      <c r="W1186" s="1"/>
      <c r="X1186" s="1"/>
      <c r="Y1186" s="1"/>
      <c r="Z1186" s="1"/>
      <c r="AA1186" s="1" t="s">
        <v>7685</v>
      </c>
      <c r="AB1186" s="1" t="s">
        <v>7686</v>
      </c>
      <c r="AC1186" s="1"/>
      <c r="AD1186" s="1"/>
      <c r="AE1186" s="1"/>
      <c r="AF1186" s="1"/>
      <c r="AG1186" s="1"/>
      <c r="AH1186" s="1"/>
      <c r="AI1186" s="1"/>
      <c r="AJ1186" s="1"/>
      <c r="AK1186" s="1"/>
      <c r="AL1186" s="1"/>
      <c r="AM1186" s="1"/>
      <c r="AN1186" s="1"/>
      <c r="AO1186" s="1" t="s">
        <v>7687</v>
      </c>
      <c r="AP1186" s="1" t="s">
        <v>7688</v>
      </c>
      <c r="AQ1186" s="1"/>
      <c r="AR1186" s="1"/>
      <c r="AS1186" s="1"/>
      <c r="AT1186" s="1" t="s">
        <v>198</v>
      </c>
      <c r="AU1186" s="1">
        <v>2015</v>
      </c>
      <c r="AV1186" s="1">
        <v>30</v>
      </c>
      <c r="AW1186" s="1">
        <v>2</v>
      </c>
      <c r="AX1186" s="1"/>
      <c r="AY1186" s="1"/>
      <c r="AZ1186" s="1"/>
      <c r="BA1186" s="1"/>
      <c r="BB1186" s="1">
        <v>93</v>
      </c>
      <c r="BC1186" s="1">
        <v>100</v>
      </c>
      <c r="BD1186" s="1"/>
      <c r="BE1186" s="1" t="s">
        <v>7689</v>
      </c>
      <c r="BF1186" s="1" t="str">
        <f>HYPERLINK("http://dx.doi.org/10.3103/S0891416815020032","http://dx.doi.org/10.3103/S0891416815020032")</f>
        <v>http://dx.doi.org/10.3103/S0891416815020032</v>
      </c>
      <c r="BG1186" s="1"/>
      <c r="BH1186" s="1"/>
      <c r="BI1186" s="1"/>
      <c r="BJ1186" s="1"/>
      <c r="BK1186" s="1"/>
      <c r="BL1186" s="1"/>
      <c r="BM1186" s="1"/>
      <c r="BN1186" s="1"/>
      <c r="BO1186" s="1"/>
      <c r="BP1186" s="1"/>
      <c r="BQ1186" s="1"/>
      <c r="BR1186" s="1"/>
      <c r="BS1186" s="1" t="s">
        <v>7690</v>
      </c>
      <c r="BT1186" s="1" t="str">
        <f>HYPERLINK("https%3A%2F%2Fwww.webofscience.com%2Fwos%2Fwoscc%2Ffull-record%2FWOS:000358668400006","View Full Record in Web of Science")</f>
        <v>View Full Record in Web of Science</v>
      </c>
      <c r="BU1186" s="1"/>
      <c r="BV1186" s="1"/>
      <c r="BW1186" s="1"/>
    </row>
    <row r="1187" spans="1:75" customHeight="1" ht="12.75">
      <c r="A1187" s="1" t="s">
        <v>72</v>
      </c>
      <c r="B1187" s="1" t="s">
        <v>7691</v>
      </c>
      <c r="C1187" s="1"/>
      <c r="D1187" s="1"/>
      <c r="E1187" s="1"/>
      <c r="F1187" s="1" t="s">
        <v>7692</v>
      </c>
      <c r="G1187" s="1"/>
      <c r="H1187" s="1"/>
      <c r="I1187" s="1" t="s">
        <v>7693</v>
      </c>
      <c r="J1187" s="1" t="s">
        <v>6846</v>
      </c>
      <c r="K1187" s="1"/>
      <c r="L1187" s="1"/>
      <c r="M1187" s="1"/>
      <c r="N1187" s="1"/>
      <c r="O1187" s="1"/>
      <c r="P1187" s="1"/>
      <c r="Q1187" s="1"/>
      <c r="R1187" s="1"/>
      <c r="S1187" s="1"/>
      <c r="T1187" s="1"/>
      <c r="U1187" s="1"/>
      <c r="V1187" s="1"/>
      <c r="W1187" s="1"/>
      <c r="X1187" s="1"/>
      <c r="Y1187" s="1"/>
      <c r="Z1187" s="1"/>
      <c r="AA1187" s="1"/>
      <c r="AB1187" s="1"/>
      <c r="AC1187" s="1"/>
      <c r="AD1187" s="1"/>
      <c r="AE1187" s="1"/>
      <c r="AF1187" s="1"/>
      <c r="AG1187" s="1"/>
      <c r="AH1187" s="1"/>
      <c r="AI1187" s="1"/>
      <c r="AJ1187" s="1"/>
      <c r="AK1187" s="1"/>
      <c r="AL1187" s="1"/>
      <c r="AM1187" s="1"/>
      <c r="AN1187" s="1"/>
      <c r="AO1187" s="1" t="s">
        <v>6849</v>
      </c>
      <c r="AP1187" s="1" t="s">
        <v>6850</v>
      </c>
      <c r="AQ1187" s="1"/>
      <c r="AR1187" s="1"/>
      <c r="AS1187" s="1"/>
      <c r="AT1187" s="1" t="s">
        <v>541</v>
      </c>
      <c r="AU1187" s="1">
        <v>2023</v>
      </c>
      <c r="AV1187" s="1">
        <v>59</v>
      </c>
      <c r="AW1187" s="1">
        <v>1</v>
      </c>
      <c r="AX1187" s="1"/>
      <c r="AY1187" s="1"/>
      <c r="AZ1187" s="1"/>
      <c r="BA1187" s="1"/>
      <c r="BB1187" s="1">
        <v>67</v>
      </c>
      <c r="BC1187" s="1">
        <v>77</v>
      </c>
      <c r="BD1187" s="1"/>
      <c r="BE1187" s="1" t="s">
        <v>7694</v>
      </c>
      <c r="BF1187" s="1" t="str">
        <f>HYPERLINK("http://dx.doi.org/10.1134/S1070428023010074","http://dx.doi.org/10.1134/S1070428023010074")</f>
        <v>http://dx.doi.org/10.1134/S1070428023010074</v>
      </c>
      <c r="BG1187" s="1"/>
      <c r="BH1187" s="1"/>
      <c r="BI1187" s="1"/>
      <c r="BJ1187" s="1"/>
      <c r="BK1187" s="1"/>
      <c r="BL1187" s="1"/>
      <c r="BM1187" s="1"/>
      <c r="BN1187" s="1"/>
      <c r="BO1187" s="1"/>
      <c r="BP1187" s="1"/>
      <c r="BQ1187" s="1"/>
      <c r="BR1187" s="1"/>
      <c r="BS1187" s="1" t="s">
        <v>7695</v>
      </c>
      <c r="BT1187" s="1" t="str">
        <f>HYPERLINK("https%3A%2F%2Fwww.webofscience.com%2Fwos%2Fwoscc%2Ffull-record%2FWOS:000959623400007","View Full Record in Web of Science")</f>
        <v>View Full Record in Web of Science</v>
      </c>
      <c r="BU1187" s="1"/>
      <c r="BV1187" s="1"/>
      <c r="BW1187" s="1"/>
    </row>
    <row r="1188" spans="1:75" customHeight="1" ht="12.75">
      <c r="A1188" s="1" t="s">
        <v>72</v>
      </c>
      <c r="B1188" s="1" t="s">
        <v>7696</v>
      </c>
      <c r="C1188" s="1"/>
      <c r="D1188" s="1"/>
      <c r="E1188" s="1"/>
      <c r="F1188" s="1" t="s">
        <v>7697</v>
      </c>
      <c r="G1188" s="1"/>
      <c r="H1188" s="1"/>
      <c r="I1188" s="1" t="s">
        <v>7698</v>
      </c>
      <c r="J1188" s="1" t="s">
        <v>7699</v>
      </c>
      <c r="K1188" s="1"/>
      <c r="L1188" s="1"/>
      <c r="M1188" s="1"/>
      <c r="N1188" s="1"/>
      <c r="O1188" s="1"/>
      <c r="P1188" s="1"/>
      <c r="Q1188" s="1"/>
      <c r="R1188" s="1"/>
      <c r="S1188" s="1"/>
      <c r="T1188" s="1"/>
      <c r="U1188" s="1"/>
      <c r="V1188" s="1"/>
      <c r="W1188" s="1"/>
      <c r="X1188" s="1"/>
      <c r="Y1188" s="1"/>
      <c r="Z1188" s="1"/>
      <c r="AA1188" s="1" t="s">
        <v>7700</v>
      </c>
      <c r="AB1188" s="1" t="s">
        <v>7701</v>
      </c>
      <c r="AC1188" s="1"/>
      <c r="AD1188" s="1"/>
      <c r="AE1188" s="1"/>
      <c r="AF1188" s="1"/>
      <c r="AG1188" s="1"/>
      <c r="AH1188" s="1"/>
      <c r="AI1188" s="1"/>
      <c r="AJ1188" s="1"/>
      <c r="AK1188" s="1"/>
      <c r="AL1188" s="1"/>
      <c r="AM1188" s="1"/>
      <c r="AN1188" s="1"/>
      <c r="AO1188" s="1" t="s">
        <v>7702</v>
      </c>
      <c r="AP1188" s="1" t="s">
        <v>7703</v>
      </c>
      <c r="AQ1188" s="1"/>
      <c r="AR1188" s="1"/>
      <c r="AS1188" s="1"/>
      <c r="AT1188" s="1" t="s">
        <v>655</v>
      </c>
      <c r="AU1188" s="1">
        <v>2022</v>
      </c>
      <c r="AV1188" s="1">
        <v>375</v>
      </c>
      <c r="AW1188" s="1"/>
      <c r="AX1188" s="1"/>
      <c r="AY1188" s="1"/>
      <c r="AZ1188" s="1"/>
      <c r="BA1188" s="1"/>
      <c r="BB1188" s="1"/>
      <c r="BC1188" s="1"/>
      <c r="BD1188" s="1">
        <v>115850</v>
      </c>
      <c r="BE1188" s="1" t="s">
        <v>7704</v>
      </c>
      <c r="BF1188" s="1" t="str">
        <f>HYPERLINK("http://dx.doi.org/10.1016/j.ssi.2021.115850","http://dx.doi.org/10.1016/j.ssi.2021.115850")</f>
        <v>http://dx.doi.org/10.1016/j.ssi.2021.115850</v>
      </c>
      <c r="BG1188" s="1"/>
      <c r="BH1188" s="1" t="s">
        <v>6583</v>
      </c>
      <c r="BI1188" s="1"/>
      <c r="BJ1188" s="1"/>
      <c r="BK1188" s="1"/>
      <c r="BL1188" s="1"/>
      <c r="BM1188" s="1"/>
      <c r="BN1188" s="1"/>
      <c r="BO1188" s="1"/>
      <c r="BP1188" s="1"/>
      <c r="BQ1188" s="1"/>
      <c r="BR1188" s="1"/>
      <c r="BS1188" s="1" t="s">
        <v>7705</v>
      </c>
      <c r="BT1188" s="1" t="str">
        <f>HYPERLINK("https%3A%2F%2Fwww.webofscience.com%2Fwos%2Fwoscc%2Ffull-record%2FWOS:000791263100008","View Full Record in Web of Science")</f>
        <v>View Full Record in Web of Science</v>
      </c>
      <c r="BU1188" s="1"/>
      <c r="BV1188" s="1"/>
      <c r="BW1188" s="1"/>
    </row>
    <row r="1189" spans="1:75" customHeight="1" ht="12.75">
      <c r="A1189" s="1" t="s">
        <v>72</v>
      </c>
      <c r="B1189" s="1" t="s">
        <v>6934</v>
      </c>
      <c r="C1189" s="1"/>
      <c r="D1189" s="1"/>
      <c r="E1189" s="1"/>
      <c r="F1189" s="1" t="s">
        <v>7706</v>
      </c>
      <c r="G1189" s="1"/>
      <c r="H1189" s="1"/>
      <c r="I1189" s="1" t="s">
        <v>7707</v>
      </c>
      <c r="J1189" s="1" t="s">
        <v>95</v>
      </c>
      <c r="K1189" s="1"/>
      <c r="L1189" s="1"/>
      <c r="M1189" s="1"/>
      <c r="N1189" s="1"/>
      <c r="O1189" s="1"/>
      <c r="P1189" s="1"/>
      <c r="Q1189" s="1"/>
      <c r="R1189" s="1"/>
      <c r="S1189" s="1"/>
      <c r="T1189" s="1"/>
      <c r="U1189" s="1"/>
      <c r="V1189" s="1"/>
      <c r="W1189" s="1"/>
      <c r="X1189" s="1"/>
      <c r="Y1189" s="1"/>
      <c r="Z1189" s="1"/>
      <c r="AA1189" s="1" t="s">
        <v>7200</v>
      </c>
      <c r="AB1189" s="1" t="s">
        <v>7201</v>
      </c>
      <c r="AC1189" s="1"/>
      <c r="AD1189" s="1"/>
      <c r="AE1189" s="1"/>
      <c r="AF1189" s="1"/>
      <c r="AG1189" s="1"/>
      <c r="AH1189" s="1"/>
      <c r="AI1189" s="1"/>
      <c r="AJ1189" s="1"/>
      <c r="AK1189" s="1"/>
      <c r="AL1189" s="1"/>
      <c r="AM1189" s="1"/>
      <c r="AN1189" s="1"/>
      <c r="AO1189" s="1" t="s">
        <v>98</v>
      </c>
      <c r="AP1189" s="1" t="s">
        <v>99</v>
      </c>
      <c r="AQ1189" s="1"/>
      <c r="AR1189" s="1"/>
      <c r="AS1189" s="1"/>
      <c r="AT1189" s="1"/>
      <c r="AU1189" s="1">
        <v>2022</v>
      </c>
      <c r="AV1189" s="1"/>
      <c r="AW1189" s="1">
        <v>2</v>
      </c>
      <c r="AX1189" s="1"/>
      <c r="AY1189" s="1"/>
      <c r="AZ1189" s="1"/>
      <c r="BA1189" s="1"/>
      <c r="BB1189" s="1">
        <v>35</v>
      </c>
      <c r="BC1189" s="1" t="s">
        <v>107</v>
      </c>
      <c r="BD1189" s="1"/>
      <c r="BE1189" s="1" t="s">
        <v>7708</v>
      </c>
      <c r="BF1189" s="1" t="str">
        <f>HYPERLINK("http://dx.doi.org/10.25750/1995-4301-2022-2-035-041","http://dx.doi.org/10.25750/1995-4301-2022-2-035-041")</f>
        <v>http://dx.doi.org/10.25750/1995-4301-2022-2-035-041</v>
      </c>
      <c r="BG1189" s="1"/>
      <c r="BH1189" s="1"/>
      <c r="BI1189" s="1"/>
      <c r="BJ1189" s="1"/>
      <c r="BK1189" s="1"/>
      <c r="BL1189" s="1"/>
      <c r="BM1189" s="1"/>
      <c r="BN1189" s="1"/>
      <c r="BO1189" s="1"/>
      <c r="BP1189" s="1"/>
      <c r="BQ1189" s="1"/>
      <c r="BR1189" s="1"/>
      <c r="BS1189" s="1" t="s">
        <v>7709</v>
      </c>
      <c r="BT1189" s="1" t="str">
        <f>HYPERLINK("https%3A%2F%2Fwww.webofscience.com%2Fwos%2Fwoscc%2Ffull-record%2FWOS:000820802000004","View Full Record in Web of Science")</f>
        <v>View Full Record in Web of Science</v>
      </c>
      <c r="BU1189" s="1"/>
      <c r="BV1189" s="1"/>
      <c r="BW1189" s="1"/>
    </row>
    <row r="1190" spans="1:75" customHeight="1" ht="12.75">
      <c r="A1190" s="1" t="s">
        <v>72</v>
      </c>
      <c r="B1190" s="1" t="s">
        <v>7710</v>
      </c>
      <c r="C1190" s="1"/>
      <c r="D1190" s="1"/>
      <c r="E1190" s="1"/>
      <c r="F1190" s="1" t="s">
        <v>7711</v>
      </c>
      <c r="G1190" s="1"/>
      <c r="H1190" s="1"/>
      <c r="I1190" s="1" t="s">
        <v>7712</v>
      </c>
      <c r="J1190" s="1" t="s">
        <v>7713</v>
      </c>
      <c r="K1190" s="1"/>
      <c r="L1190" s="1"/>
      <c r="M1190" s="1"/>
      <c r="N1190" s="1"/>
      <c r="O1190" s="1"/>
      <c r="P1190" s="1"/>
      <c r="Q1190" s="1"/>
      <c r="R1190" s="1"/>
      <c r="S1190" s="1"/>
      <c r="T1190" s="1"/>
      <c r="U1190" s="1"/>
      <c r="V1190" s="1"/>
      <c r="W1190" s="1"/>
      <c r="X1190" s="1"/>
      <c r="Y1190" s="1"/>
      <c r="Z1190" s="1"/>
      <c r="AA1190" s="1" t="s">
        <v>7620</v>
      </c>
      <c r="AB1190" s="1" t="s">
        <v>7621</v>
      </c>
      <c r="AC1190" s="1"/>
      <c r="AD1190" s="1"/>
      <c r="AE1190" s="1"/>
      <c r="AF1190" s="1"/>
      <c r="AG1190" s="1"/>
      <c r="AH1190" s="1"/>
      <c r="AI1190" s="1"/>
      <c r="AJ1190" s="1"/>
      <c r="AK1190" s="1"/>
      <c r="AL1190" s="1"/>
      <c r="AM1190" s="1"/>
      <c r="AN1190" s="1"/>
      <c r="AO1190" s="1" t="s">
        <v>7714</v>
      </c>
      <c r="AP1190" s="1"/>
      <c r="AQ1190" s="1"/>
      <c r="AR1190" s="1"/>
      <c r="AS1190" s="1"/>
      <c r="AT1190" s="1" t="s">
        <v>171</v>
      </c>
      <c r="AU1190" s="1">
        <v>2021</v>
      </c>
      <c r="AV1190" s="1">
        <v>15</v>
      </c>
      <c r="AW1190" s="1"/>
      <c r="AX1190" s="1"/>
      <c r="AY1190" s="1"/>
      <c r="AZ1190" s="1"/>
      <c r="BA1190" s="1"/>
      <c r="BB1190" s="1"/>
      <c r="BC1190" s="1"/>
      <c r="BD1190" s="1">
        <v>100981</v>
      </c>
      <c r="BE1190" s="1" t="s">
        <v>7715</v>
      </c>
      <c r="BF1190" s="1" t="str">
        <f>HYPERLINK("http://dx.doi.org/10.1016/j.mtla.2020.100981","http://dx.doi.org/10.1016/j.mtla.2020.100981")</f>
        <v>http://dx.doi.org/10.1016/j.mtla.2020.100981</v>
      </c>
      <c r="BG1190" s="1"/>
      <c r="BH1190" s="1"/>
      <c r="BI1190" s="1"/>
      <c r="BJ1190" s="1"/>
      <c r="BK1190" s="1"/>
      <c r="BL1190" s="1"/>
      <c r="BM1190" s="1"/>
      <c r="BN1190" s="1"/>
      <c r="BO1190" s="1"/>
      <c r="BP1190" s="1"/>
      <c r="BQ1190" s="1"/>
      <c r="BR1190" s="1"/>
      <c r="BS1190" s="1" t="s">
        <v>7716</v>
      </c>
      <c r="BT1190" s="1" t="str">
        <f>HYPERLINK("https%3A%2F%2Fwww.webofscience.com%2Fwos%2Fwoscc%2Ffull-record%2FWOS:000636280500015","View Full Record in Web of Science")</f>
        <v>View Full Record in Web of Science</v>
      </c>
      <c r="BU1190" s="1"/>
      <c r="BV1190" s="1"/>
      <c r="BW1190" s="1"/>
    </row>
    <row r="1191" spans="1:75" customHeight="1" ht="12.75">
      <c r="A1191" s="1" t="s">
        <v>147</v>
      </c>
      <c r="B1191" s="1" t="s">
        <v>7717</v>
      </c>
      <c r="C1191" s="1"/>
      <c r="D1191" s="1" t="s">
        <v>7718</v>
      </c>
      <c r="E1191" s="1"/>
      <c r="F1191" s="1" t="s">
        <v>7719</v>
      </c>
      <c r="G1191" s="1"/>
      <c r="H1191" s="1"/>
      <c r="I1191" s="1" t="s">
        <v>7720</v>
      </c>
      <c r="J1191" s="1" t="s">
        <v>7721</v>
      </c>
      <c r="K1191" s="1"/>
      <c r="L1191" s="1"/>
      <c r="M1191" s="1"/>
      <c r="N1191" s="1"/>
      <c r="O1191" s="1" t="s">
        <v>7722</v>
      </c>
      <c r="P1191" s="1" t="s">
        <v>7723</v>
      </c>
      <c r="Q1191" s="1" t="s">
        <v>7724</v>
      </c>
      <c r="R1191" s="1" t="s">
        <v>7725</v>
      </c>
      <c r="S1191" s="1" t="s">
        <v>7726</v>
      </c>
      <c r="T1191" s="1"/>
      <c r="U1191" s="1"/>
      <c r="V1191" s="1"/>
      <c r="W1191" s="1"/>
      <c r="X1191" s="1"/>
      <c r="Y1191" s="1"/>
      <c r="Z1191" s="1"/>
      <c r="AA1191" s="1" t="s">
        <v>7727</v>
      </c>
      <c r="AB1191" s="1" t="s">
        <v>7728</v>
      </c>
      <c r="AC1191" s="1"/>
      <c r="AD1191" s="1"/>
      <c r="AE1191" s="1"/>
      <c r="AF1191" s="1"/>
      <c r="AG1191" s="1"/>
      <c r="AH1191" s="1"/>
      <c r="AI1191" s="1"/>
      <c r="AJ1191" s="1"/>
      <c r="AK1191" s="1"/>
      <c r="AL1191" s="1"/>
      <c r="AM1191" s="1"/>
      <c r="AN1191" s="1"/>
      <c r="AO1191" s="1"/>
      <c r="AP1191" s="1"/>
      <c r="AQ1191" s="1" t="s">
        <v>7729</v>
      </c>
      <c r="AR1191" s="1"/>
      <c r="AS1191" s="1"/>
      <c r="AT1191" s="1"/>
      <c r="AU1191" s="1">
        <v>2015</v>
      </c>
      <c r="AV1191" s="1"/>
      <c r="AW1191" s="1"/>
      <c r="AX1191" s="1"/>
      <c r="AY1191" s="1"/>
      <c r="AZ1191" s="1"/>
      <c r="BA1191" s="1"/>
      <c r="BB1191" s="1">
        <v>361</v>
      </c>
      <c r="BC1191" s="1">
        <v>364</v>
      </c>
      <c r="BD1191" s="1"/>
      <c r="BE1191" s="1"/>
      <c r="BF1191" s="1"/>
      <c r="BG1191" s="1"/>
      <c r="BH1191" s="1"/>
      <c r="BI1191" s="1"/>
      <c r="BJ1191" s="1"/>
      <c r="BK1191" s="1"/>
      <c r="BL1191" s="1"/>
      <c r="BM1191" s="1"/>
      <c r="BN1191" s="1"/>
      <c r="BO1191" s="1"/>
      <c r="BP1191" s="1"/>
      <c r="BQ1191" s="1"/>
      <c r="BR1191" s="1"/>
      <c r="BS1191" s="1" t="s">
        <v>7730</v>
      </c>
      <c r="BT1191" s="1" t="str">
        <f>HYPERLINK("https%3A%2F%2Fwww.webofscience.com%2Fwos%2Fwoscc%2Ffull-record%2FWOS:000380532400067","View Full Record in Web of Science")</f>
        <v>View Full Record in Web of Science</v>
      </c>
      <c r="BU1191" s="1"/>
      <c r="BV1191" s="1"/>
      <c r="BW1191" s="1"/>
    </row>
    <row r="1192" spans="1:75" customHeight="1" ht="12.75">
      <c r="A1192" s="1" t="s">
        <v>72</v>
      </c>
      <c r="B1192" s="1" t="s">
        <v>7731</v>
      </c>
      <c r="C1192" s="1"/>
      <c r="D1192" s="1"/>
      <c r="E1192" s="1"/>
      <c r="F1192" s="1" t="s">
        <v>7732</v>
      </c>
      <c r="G1192" s="1"/>
      <c r="H1192" s="1"/>
      <c r="I1192" s="1" t="s">
        <v>7733</v>
      </c>
      <c r="J1192" s="1" t="s">
        <v>7734</v>
      </c>
      <c r="K1192" s="1"/>
      <c r="L1192" s="1"/>
      <c r="M1192" s="1"/>
      <c r="N1192" s="1"/>
      <c r="O1192" s="1"/>
      <c r="P1192" s="1"/>
      <c r="Q1192" s="1"/>
      <c r="R1192" s="1"/>
      <c r="S1192" s="1"/>
      <c r="T1192" s="1"/>
      <c r="U1192" s="1"/>
      <c r="V1192" s="1"/>
      <c r="W1192" s="1"/>
      <c r="X1192" s="1"/>
      <c r="Y1192" s="1"/>
      <c r="Z1192" s="1"/>
      <c r="AA1192" s="1" t="s">
        <v>7735</v>
      </c>
      <c r="AB1192" s="1" t="s">
        <v>7736</v>
      </c>
      <c r="AC1192" s="1"/>
      <c r="AD1192" s="1"/>
      <c r="AE1192" s="1"/>
      <c r="AF1192" s="1"/>
      <c r="AG1192" s="1"/>
      <c r="AH1192" s="1"/>
      <c r="AI1192" s="1"/>
      <c r="AJ1192" s="1"/>
      <c r="AK1192" s="1"/>
      <c r="AL1192" s="1"/>
      <c r="AM1192" s="1"/>
      <c r="AN1192" s="1"/>
      <c r="AO1192" s="1" t="s">
        <v>7737</v>
      </c>
      <c r="AP1192" s="1" t="s">
        <v>7738</v>
      </c>
      <c r="AQ1192" s="1"/>
      <c r="AR1192" s="1"/>
      <c r="AS1192" s="1"/>
      <c r="AT1192" s="1" t="s">
        <v>125</v>
      </c>
      <c r="AU1192" s="1">
        <v>2013</v>
      </c>
      <c r="AV1192" s="1">
        <v>44</v>
      </c>
      <c r="AW1192" s="1">
        <v>4</v>
      </c>
      <c r="AX1192" s="1"/>
      <c r="AY1192" s="1"/>
      <c r="AZ1192" s="1"/>
      <c r="BA1192" s="1"/>
      <c r="BB1192" s="1">
        <v>282</v>
      </c>
      <c r="BC1192" s="1">
        <v>290</v>
      </c>
      <c r="BD1192" s="1"/>
      <c r="BE1192" s="1" t="s">
        <v>7739</v>
      </c>
      <c r="BF1192" s="1" t="str">
        <f>HYPERLINK("http://dx.doi.org/10.1134/S1067413613030144","http://dx.doi.org/10.1134/S1067413613030144")</f>
        <v>http://dx.doi.org/10.1134/S1067413613030144</v>
      </c>
      <c r="BG1192" s="1"/>
      <c r="BH1192" s="1"/>
      <c r="BI1192" s="1"/>
      <c r="BJ1192" s="1"/>
      <c r="BK1192" s="1"/>
      <c r="BL1192" s="1"/>
      <c r="BM1192" s="1"/>
      <c r="BN1192" s="1"/>
      <c r="BO1192" s="1"/>
      <c r="BP1192" s="1"/>
      <c r="BQ1192" s="1"/>
      <c r="BR1192" s="1"/>
      <c r="BS1192" s="1" t="s">
        <v>7740</v>
      </c>
      <c r="BT1192" s="1" t="str">
        <f>HYPERLINK("https%3A%2F%2Fwww.webofscience.com%2Fwos%2Fwoscc%2Ffull-record%2FWOS:000321871500002","View Full Record in Web of Science")</f>
        <v>View Full Record in Web of Science</v>
      </c>
      <c r="BU1192" s="1"/>
      <c r="BV1192" s="1"/>
      <c r="BW1192" s="1"/>
    </row>
    <row r="1193" spans="1:75" customHeight="1" ht="12.75">
      <c r="A1193" s="1" t="s">
        <v>72</v>
      </c>
      <c r="B1193" s="1" t="s">
        <v>7741</v>
      </c>
      <c r="C1193" s="1"/>
      <c r="D1193" s="1"/>
      <c r="E1193" s="1"/>
      <c r="F1193" s="1" t="s">
        <v>7742</v>
      </c>
      <c r="G1193" s="1"/>
      <c r="H1193" s="1"/>
      <c r="I1193" s="1" t="s">
        <v>7743</v>
      </c>
      <c r="J1193" s="1" t="s">
        <v>95</v>
      </c>
      <c r="K1193" s="1"/>
      <c r="L1193" s="1"/>
      <c r="M1193" s="1"/>
      <c r="N1193" s="1"/>
      <c r="O1193" s="1"/>
      <c r="P1193" s="1"/>
      <c r="Q1193" s="1"/>
      <c r="R1193" s="1"/>
      <c r="S1193" s="1"/>
      <c r="T1193" s="1"/>
      <c r="U1193" s="1"/>
      <c r="V1193" s="1"/>
      <c r="W1193" s="1"/>
      <c r="X1193" s="1"/>
      <c r="Y1193" s="1"/>
      <c r="Z1193" s="1"/>
      <c r="AA1193" s="1" t="s">
        <v>7337</v>
      </c>
      <c r="AB1193" s="1" t="s">
        <v>7338</v>
      </c>
      <c r="AC1193" s="1"/>
      <c r="AD1193" s="1"/>
      <c r="AE1193" s="1"/>
      <c r="AF1193" s="1"/>
      <c r="AG1193" s="1"/>
      <c r="AH1193" s="1"/>
      <c r="AI1193" s="1"/>
      <c r="AJ1193" s="1"/>
      <c r="AK1193" s="1"/>
      <c r="AL1193" s="1"/>
      <c r="AM1193" s="1"/>
      <c r="AN1193" s="1"/>
      <c r="AO1193" s="1" t="s">
        <v>98</v>
      </c>
      <c r="AP1193" s="1" t="s">
        <v>99</v>
      </c>
      <c r="AQ1193" s="1"/>
      <c r="AR1193" s="1"/>
      <c r="AS1193" s="1"/>
      <c r="AT1193" s="1"/>
      <c r="AU1193" s="1">
        <v>2022</v>
      </c>
      <c r="AV1193" s="1"/>
      <c r="AW1193" s="1">
        <v>1</v>
      </c>
      <c r="AX1193" s="1"/>
      <c r="AY1193" s="1"/>
      <c r="AZ1193" s="1"/>
      <c r="BA1193" s="1"/>
      <c r="BB1193" s="1">
        <v>198</v>
      </c>
      <c r="BC1193" s="1">
        <v>204</v>
      </c>
      <c r="BD1193" s="1"/>
      <c r="BE1193" s="1" t="s">
        <v>7744</v>
      </c>
      <c r="BF1193" s="1" t="str">
        <f>HYPERLINK("http://dx.doi.org/10.25750/1995-4301-2022-1-198-204","http://dx.doi.org/10.25750/1995-4301-2022-1-198-204")</f>
        <v>http://dx.doi.org/10.25750/1995-4301-2022-1-198-204</v>
      </c>
      <c r="BG1193" s="1"/>
      <c r="BH1193" s="1"/>
      <c r="BI1193" s="1"/>
      <c r="BJ1193" s="1"/>
      <c r="BK1193" s="1"/>
      <c r="BL1193" s="1"/>
      <c r="BM1193" s="1"/>
      <c r="BN1193" s="1"/>
      <c r="BO1193" s="1"/>
      <c r="BP1193" s="1"/>
      <c r="BQ1193" s="1"/>
      <c r="BR1193" s="1"/>
      <c r="BS1193" s="1" t="s">
        <v>7745</v>
      </c>
      <c r="BT1193" s="1" t="str">
        <f>HYPERLINK("https%3A%2F%2Fwww.webofscience.com%2Fwos%2Fwoscc%2Ffull-record%2FWOS:000819811100028","View Full Record in Web of Science")</f>
        <v>View Full Record in Web of Science</v>
      </c>
      <c r="BU1193" s="1"/>
      <c r="BV1193" s="1"/>
      <c r="BW1193" s="1"/>
    </row>
    <row r="1194" spans="1:75" customHeight="1" ht="12.75">
      <c r="A1194" s="1" t="s">
        <v>72</v>
      </c>
      <c r="B1194" s="1" t="s">
        <v>7746</v>
      </c>
      <c r="C1194" s="1"/>
      <c r="D1194" s="1"/>
      <c r="E1194" s="1"/>
      <c r="F1194" s="1" t="s">
        <v>7747</v>
      </c>
      <c r="G1194" s="1"/>
      <c r="H1194" s="1"/>
      <c r="I1194" s="1" t="s">
        <v>7748</v>
      </c>
      <c r="J1194" s="1" t="s">
        <v>95</v>
      </c>
      <c r="K1194" s="1"/>
      <c r="L1194" s="1"/>
      <c r="M1194" s="1"/>
      <c r="N1194" s="1"/>
      <c r="O1194" s="1"/>
      <c r="P1194" s="1"/>
      <c r="Q1194" s="1"/>
      <c r="R1194" s="1"/>
      <c r="S1194" s="1"/>
      <c r="T1194" s="1"/>
      <c r="U1194" s="1"/>
      <c r="V1194" s="1"/>
      <c r="W1194" s="1"/>
      <c r="X1194" s="1"/>
      <c r="Y1194" s="1"/>
      <c r="Z1194" s="1"/>
      <c r="AA1194" s="1" t="s">
        <v>7200</v>
      </c>
      <c r="AB1194" s="1" t="s">
        <v>7201</v>
      </c>
      <c r="AC1194" s="1"/>
      <c r="AD1194" s="1"/>
      <c r="AE1194" s="1"/>
      <c r="AF1194" s="1"/>
      <c r="AG1194" s="1"/>
      <c r="AH1194" s="1"/>
      <c r="AI1194" s="1"/>
      <c r="AJ1194" s="1"/>
      <c r="AK1194" s="1"/>
      <c r="AL1194" s="1"/>
      <c r="AM1194" s="1"/>
      <c r="AN1194" s="1"/>
      <c r="AO1194" s="1" t="s">
        <v>98</v>
      </c>
      <c r="AP1194" s="1" t="s">
        <v>99</v>
      </c>
      <c r="AQ1194" s="1"/>
      <c r="AR1194" s="1"/>
      <c r="AS1194" s="1"/>
      <c r="AT1194" s="1"/>
      <c r="AU1194" s="1">
        <v>2021</v>
      </c>
      <c r="AV1194" s="1"/>
      <c r="AW1194" s="1">
        <v>2</v>
      </c>
      <c r="AX1194" s="1"/>
      <c r="AY1194" s="1"/>
      <c r="AZ1194" s="1"/>
      <c r="BA1194" s="1"/>
      <c r="BB1194" s="1">
        <v>13</v>
      </c>
      <c r="BC1194" s="1">
        <v>21</v>
      </c>
      <c r="BD1194" s="1"/>
      <c r="BE1194" s="1" t="s">
        <v>7749</v>
      </c>
      <c r="BF1194" s="1" t="str">
        <f>HYPERLINK("http://dx.doi.org/10.25750/1995-4301-2021-2-013-021","http://dx.doi.org/10.25750/1995-4301-2021-2-013-021")</f>
        <v>http://dx.doi.org/10.25750/1995-4301-2021-2-013-021</v>
      </c>
      <c r="BG1194" s="1"/>
      <c r="BH1194" s="1"/>
      <c r="BI1194" s="1"/>
      <c r="BJ1194" s="1"/>
      <c r="BK1194" s="1"/>
      <c r="BL1194" s="1"/>
      <c r="BM1194" s="1"/>
      <c r="BN1194" s="1"/>
      <c r="BO1194" s="1"/>
      <c r="BP1194" s="1"/>
      <c r="BQ1194" s="1"/>
      <c r="BR1194" s="1"/>
      <c r="BS1194" s="1" t="s">
        <v>7750</v>
      </c>
      <c r="BT1194" s="1" t="str">
        <f>HYPERLINK("https%3A%2F%2Fwww.webofscience.com%2Fwos%2Fwoscc%2Ffull-record%2FWOS:000667025400002","View Full Record in Web of Science")</f>
        <v>View Full Record in Web of Science</v>
      </c>
      <c r="BU1194" s="1"/>
      <c r="BV1194" s="1"/>
      <c r="BW1194" s="1"/>
    </row>
    <row r="1195" spans="1:75" customHeight="1" ht="12.75">
      <c r="A1195" s="1" t="s">
        <v>147</v>
      </c>
      <c r="B1195" s="1" t="s">
        <v>7751</v>
      </c>
      <c r="C1195" s="1"/>
      <c r="D1195" s="1"/>
      <c r="E1195" s="1" t="s">
        <v>210</v>
      </c>
      <c r="F1195" s="1" t="s">
        <v>7752</v>
      </c>
      <c r="G1195" s="1"/>
      <c r="H1195" s="1"/>
      <c r="I1195" s="1" t="s">
        <v>7753</v>
      </c>
      <c r="J1195" s="1" t="s">
        <v>5413</v>
      </c>
      <c r="K1195" s="1" t="s">
        <v>2114</v>
      </c>
      <c r="L1195" s="1"/>
      <c r="M1195" s="1"/>
      <c r="N1195" s="1"/>
      <c r="O1195" s="1" t="s">
        <v>5414</v>
      </c>
      <c r="P1195" s="1" t="s">
        <v>5415</v>
      </c>
      <c r="Q1195" s="1" t="s">
        <v>5416</v>
      </c>
      <c r="R1195" s="1" t="s">
        <v>210</v>
      </c>
      <c r="S1195" s="1" t="s">
        <v>5417</v>
      </c>
      <c r="T1195" s="1"/>
      <c r="U1195" s="1"/>
      <c r="V1195" s="1"/>
      <c r="W1195" s="1"/>
      <c r="X1195" s="1"/>
      <c r="Y1195" s="1"/>
      <c r="Z1195" s="1"/>
      <c r="AA1195" s="1"/>
      <c r="AB1195" s="1" t="s">
        <v>7754</v>
      </c>
      <c r="AC1195" s="1"/>
      <c r="AD1195" s="1"/>
      <c r="AE1195" s="1"/>
      <c r="AF1195" s="1"/>
      <c r="AG1195" s="1"/>
      <c r="AH1195" s="1"/>
      <c r="AI1195" s="1"/>
      <c r="AJ1195" s="1"/>
      <c r="AK1195" s="1"/>
      <c r="AL1195" s="1"/>
      <c r="AM1195" s="1"/>
      <c r="AN1195" s="1"/>
      <c r="AO1195" s="1" t="s">
        <v>2122</v>
      </c>
      <c r="AP1195" s="1"/>
      <c r="AQ1195" s="1" t="s">
        <v>5420</v>
      </c>
      <c r="AR1195" s="1"/>
      <c r="AS1195" s="1"/>
      <c r="AT1195" s="1"/>
      <c r="AU1195" s="1">
        <v>2021</v>
      </c>
      <c r="AV1195" s="1"/>
      <c r="AW1195" s="1"/>
      <c r="AX1195" s="1"/>
      <c r="AY1195" s="1"/>
      <c r="AZ1195" s="1"/>
      <c r="BA1195" s="1"/>
      <c r="BB1195" s="1">
        <v>1269</v>
      </c>
      <c r="BC1195" s="1">
        <v>1274</v>
      </c>
      <c r="BD1195" s="1"/>
      <c r="BE1195" s="1" t="s">
        <v>7755</v>
      </c>
      <c r="BF1195" s="1" t="str">
        <f>HYPERLINK("http://dx.doi.org/10.1109/ElConRus51938.2021.9396694","http://dx.doi.org/10.1109/ElConRus51938.2021.9396694")</f>
        <v>http://dx.doi.org/10.1109/ElConRus51938.2021.9396694</v>
      </c>
      <c r="BG1195" s="1"/>
      <c r="BH1195" s="1"/>
      <c r="BI1195" s="1"/>
      <c r="BJ1195" s="1"/>
      <c r="BK1195" s="1"/>
      <c r="BL1195" s="1"/>
      <c r="BM1195" s="1"/>
      <c r="BN1195" s="1"/>
      <c r="BO1195" s="1"/>
      <c r="BP1195" s="1"/>
      <c r="BQ1195" s="1"/>
      <c r="BR1195" s="1"/>
      <c r="BS1195" s="1" t="s">
        <v>7756</v>
      </c>
      <c r="BT1195" s="1" t="str">
        <f>HYPERLINK("https%3A%2F%2Fwww.webofscience.com%2Fwos%2Fwoscc%2Ffull-record%2FWOS:000669709801068","View Full Record in Web of Science")</f>
        <v>View Full Record in Web of Science</v>
      </c>
      <c r="BU1195" s="1"/>
      <c r="BV1195" s="1"/>
      <c r="BW1195" s="1"/>
    </row>
    <row r="1196" spans="1:75" customHeight="1" ht="12.75">
      <c r="A1196" s="1" t="s">
        <v>72</v>
      </c>
      <c r="B1196" s="1" t="s">
        <v>7757</v>
      </c>
      <c r="C1196" s="1"/>
      <c r="D1196" s="1"/>
      <c r="E1196" s="1"/>
      <c r="F1196" s="1" t="s">
        <v>7758</v>
      </c>
      <c r="G1196" s="1"/>
      <c r="H1196" s="1"/>
      <c r="I1196" s="1" t="s">
        <v>7759</v>
      </c>
      <c r="J1196" s="1" t="s">
        <v>95</v>
      </c>
      <c r="K1196" s="1"/>
      <c r="L1196" s="1"/>
      <c r="M1196" s="1"/>
      <c r="N1196" s="1"/>
      <c r="O1196" s="1"/>
      <c r="P1196" s="1"/>
      <c r="Q1196" s="1"/>
      <c r="R1196" s="1"/>
      <c r="S1196" s="1"/>
      <c r="T1196" s="1"/>
      <c r="U1196" s="1"/>
      <c r="V1196" s="1"/>
      <c r="W1196" s="1"/>
      <c r="X1196" s="1"/>
      <c r="Y1196" s="1"/>
      <c r="Z1196" s="1"/>
      <c r="AA1196" s="1" t="s">
        <v>5529</v>
      </c>
      <c r="AB1196" s="1" t="s">
        <v>7760</v>
      </c>
      <c r="AC1196" s="1"/>
      <c r="AD1196" s="1"/>
      <c r="AE1196" s="1"/>
      <c r="AF1196" s="1"/>
      <c r="AG1196" s="1"/>
      <c r="AH1196" s="1"/>
      <c r="AI1196" s="1"/>
      <c r="AJ1196" s="1"/>
      <c r="AK1196" s="1"/>
      <c r="AL1196" s="1"/>
      <c r="AM1196" s="1"/>
      <c r="AN1196" s="1"/>
      <c r="AO1196" s="1" t="s">
        <v>98</v>
      </c>
      <c r="AP1196" s="1" t="s">
        <v>99</v>
      </c>
      <c r="AQ1196" s="1"/>
      <c r="AR1196" s="1"/>
      <c r="AS1196" s="1"/>
      <c r="AT1196" s="1"/>
      <c r="AU1196" s="1">
        <v>2021</v>
      </c>
      <c r="AV1196" s="1"/>
      <c r="AW1196" s="1">
        <v>2</v>
      </c>
      <c r="AX1196" s="1"/>
      <c r="AY1196" s="1"/>
      <c r="AZ1196" s="1"/>
      <c r="BA1196" s="1"/>
      <c r="BB1196" s="1">
        <v>22</v>
      </c>
      <c r="BC1196" s="1">
        <v>30</v>
      </c>
      <c r="BD1196" s="1"/>
      <c r="BE1196" s="1" t="s">
        <v>7761</v>
      </c>
      <c r="BF1196" s="1" t="str">
        <f>HYPERLINK("http://dx.doi.org/10.25750/1995-4301-2021-2-022-030","http://dx.doi.org/10.25750/1995-4301-2021-2-022-030")</f>
        <v>http://dx.doi.org/10.25750/1995-4301-2021-2-022-030</v>
      </c>
      <c r="BG1196" s="1"/>
      <c r="BH1196" s="1"/>
      <c r="BI1196" s="1"/>
      <c r="BJ1196" s="1"/>
      <c r="BK1196" s="1"/>
      <c r="BL1196" s="1"/>
      <c r="BM1196" s="1"/>
      <c r="BN1196" s="1"/>
      <c r="BO1196" s="1"/>
      <c r="BP1196" s="1"/>
      <c r="BQ1196" s="1"/>
      <c r="BR1196" s="1"/>
      <c r="BS1196" s="1" t="s">
        <v>7762</v>
      </c>
      <c r="BT1196" s="1" t="str">
        <f>HYPERLINK("https%3A%2F%2Fwww.webofscience.com%2Fwos%2Fwoscc%2Ffull-record%2FWOS:000667025400003","View Full Record in Web of Science")</f>
        <v>View Full Record in Web of Science</v>
      </c>
      <c r="BU1196" s="1"/>
      <c r="BV1196" s="1"/>
      <c r="BW1196" s="1"/>
    </row>
    <row r="1197" spans="1:75" customHeight="1" ht="12.75">
      <c r="A1197" s="1" t="s">
        <v>72</v>
      </c>
      <c r="B1197" s="1" t="s">
        <v>378</v>
      </c>
      <c r="C1197" s="1"/>
      <c r="D1197" s="1"/>
      <c r="E1197" s="1"/>
      <c r="F1197" s="1" t="s">
        <v>1226</v>
      </c>
      <c r="G1197" s="1"/>
      <c r="H1197" s="1"/>
      <c r="I1197" s="1" t="s">
        <v>7763</v>
      </c>
      <c r="J1197" s="1" t="s">
        <v>6678</v>
      </c>
      <c r="K1197" s="1"/>
      <c r="L1197" s="1"/>
      <c r="M1197" s="1"/>
      <c r="N1197" s="1"/>
      <c r="O1197" s="1"/>
      <c r="P1197" s="1"/>
      <c r="Q1197" s="1"/>
      <c r="R1197" s="1"/>
      <c r="S1197" s="1"/>
      <c r="T1197" s="1"/>
      <c r="U1197" s="1"/>
      <c r="V1197" s="1"/>
      <c r="W1197" s="1"/>
      <c r="X1197" s="1"/>
      <c r="Y1197" s="1"/>
      <c r="Z1197" s="1"/>
      <c r="AA1197" s="1" t="s">
        <v>553</v>
      </c>
      <c r="AB1197" s="1" t="s">
        <v>554</v>
      </c>
      <c r="AC1197" s="1"/>
      <c r="AD1197" s="1"/>
      <c r="AE1197" s="1"/>
      <c r="AF1197" s="1"/>
      <c r="AG1197" s="1"/>
      <c r="AH1197" s="1"/>
      <c r="AI1197" s="1"/>
      <c r="AJ1197" s="1"/>
      <c r="AK1197" s="1"/>
      <c r="AL1197" s="1"/>
      <c r="AM1197" s="1"/>
      <c r="AN1197" s="1"/>
      <c r="AO1197" s="1" t="s">
        <v>6679</v>
      </c>
      <c r="AP1197" s="1"/>
      <c r="AQ1197" s="1"/>
      <c r="AR1197" s="1"/>
      <c r="AS1197" s="1"/>
      <c r="AT1197" s="1"/>
      <c r="AU1197" s="1">
        <v>2021</v>
      </c>
      <c r="AV1197" s="1">
        <v>12</v>
      </c>
      <c r="AW1197" s="1">
        <v>6</v>
      </c>
      <c r="AX1197" s="1"/>
      <c r="AY1197" s="1"/>
      <c r="AZ1197" s="1"/>
      <c r="BA1197" s="1"/>
      <c r="BB1197" s="1">
        <v>32</v>
      </c>
      <c r="BC1197" s="1">
        <v>36</v>
      </c>
      <c r="BD1197" s="1"/>
      <c r="BE1197" s="1" t="s">
        <v>7764</v>
      </c>
      <c r="BF1197" s="1" t="str">
        <f>HYPERLINK("http://dx.doi.org/10.51847/bzkZmBKa9f","http://dx.doi.org/10.51847/bzkZmBKa9f")</f>
        <v>http://dx.doi.org/10.51847/bzkZmBKa9f</v>
      </c>
      <c r="BG1197" s="1"/>
      <c r="BH1197" s="1"/>
      <c r="BI1197" s="1"/>
      <c r="BJ1197" s="1"/>
      <c r="BK1197" s="1"/>
      <c r="BL1197" s="1"/>
      <c r="BM1197" s="1"/>
      <c r="BN1197" s="1"/>
      <c r="BO1197" s="1"/>
      <c r="BP1197" s="1"/>
      <c r="BQ1197" s="1"/>
      <c r="BR1197" s="1"/>
      <c r="BS1197" s="1" t="s">
        <v>7765</v>
      </c>
      <c r="BT1197" s="1" t="str">
        <f>HYPERLINK("https%3A%2F%2Fwww.webofscience.com%2Fwos%2Fwoscc%2Ffull-record%2FWOS:000741358800008","View Full Record in Web of Science")</f>
        <v>View Full Record in Web of Science</v>
      </c>
      <c r="BU1197" s="1"/>
      <c r="BV1197" s="1"/>
      <c r="BW1197" s="1"/>
    </row>
    <row r="1198" spans="1:75" customHeight="1" ht="12.75">
      <c r="A1198" s="1" t="s">
        <v>72</v>
      </c>
      <c r="B1198" s="1" t="s">
        <v>7766</v>
      </c>
      <c r="C1198" s="1"/>
      <c r="D1198" s="1"/>
      <c r="E1198" s="1"/>
      <c r="F1198" s="1" t="s">
        <v>7767</v>
      </c>
      <c r="G1198" s="1"/>
      <c r="H1198" s="1"/>
      <c r="I1198" s="1" t="s">
        <v>7768</v>
      </c>
      <c r="J1198" s="1" t="s">
        <v>95</v>
      </c>
      <c r="K1198" s="1"/>
      <c r="L1198" s="1"/>
      <c r="M1198" s="1"/>
      <c r="N1198" s="1"/>
      <c r="O1198" s="1"/>
      <c r="P1198" s="1"/>
      <c r="Q1198" s="1"/>
      <c r="R1198" s="1"/>
      <c r="S1198" s="1"/>
      <c r="T1198" s="1"/>
      <c r="U1198" s="1"/>
      <c r="V1198" s="1"/>
      <c r="W1198" s="1"/>
      <c r="X1198" s="1"/>
      <c r="Y1198" s="1"/>
      <c r="Z1198" s="1"/>
      <c r="AA1198" s="1" t="s">
        <v>7769</v>
      </c>
      <c r="AB1198" s="1" t="s">
        <v>7770</v>
      </c>
      <c r="AC1198" s="1"/>
      <c r="AD1198" s="1"/>
      <c r="AE1198" s="1"/>
      <c r="AF1198" s="1"/>
      <c r="AG1198" s="1"/>
      <c r="AH1198" s="1"/>
      <c r="AI1198" s="1"/>
      <c r="AJ1198" s="1"/>
      <c r="AK1198" s="1"/>
      <c r="AL1198" s="1"/>
      <c r="AM1198" s="1"/>
      <c r="AN1198" s="1"/>
      <c r="AO1198" s="1" t="s">
        <v>98</v>
      </c>
      <c r="AP1198" s="1" t="s">
        <v>99</v>
      </c>
      <c r="AQ1198" s="1"/>
      <c r="AR1198" s="1"/>
      <c r="AS1198" s="1"/>
      <c r="AT1198" s="1"/>
      <c r="AU1198" s="1">
        <v>2020</v>
      </c>
      <c r="AV1198" s="1"/>
      <c r="AW1198" s="1">
        <v>2</v>
      </c>
      <c r="AX1198" s="1"/>
      <c r="AY1198" s="1"/>
      <c r="AZ1198" s="1"/>
      <c r="BA1198" s="1"/>
      <c r="BB1198" s="1">
        <v>44</v>
      </c>
      <c r="BC1198" s="1">
        <v>50</v>
      </c>
      <c r="BD1198" s="1"/>
      <c r="BE1198" s="1" t="s">
        <v>7771</v>
      </c>
      <c r="BF1198" s="1" t="str">
        <f>HYPERLINK("http://dx.doi.org/10.25750/1995-4301-2020-2-044-050","http://dx.doi.org/10.25750/1995-4301-2020-2-044-050")</f>
        <v>http://dx.doi.org/10.25750/1995-4301-2020-2-044-050</v>
      </c>
      <c r="BG1198" s="1"/>
      <c r="BH1198" s="1"/>
      <c r="BI1198" s="1"/>
      <c r="BJ1198" s="1"/>
      <c r="BK1198" s="1"/>
      <c r="BL1198" s="1"/>
      <c r="BM1198" s="1"/>
      <c r="BN1198" s="1"/>
      <c r="BO1198" s="1"/>
      <c r="BP1198" s="1"/>
      <c r="BQ1198" s="1"/>
      <c r="BR1198" s="1"/>
      <c r="BS1198" s="1" t="s">
        <v>7772</v>
      </c>
      <c r="BT1198" s="1" t="str">
        <f>HYPERLINK("https%3A%2F%2Fwww.webofscience.com%2Fwos%2Fwoscc%2Ffull-record%2FWOS:000545295600005","View Full Record in Web of Science")</f>
        <v>View Full Record in Web of Science</v>
      </c>
      <c r="BU1198" s="1"/>
      <c r="BV1198" s="1"/>
      <c r="BW1198" s="1"/>
    </row>
    <row r="1199" spans="1:75" customHeight="1" ht="12.75">
      <c r="A1199" s="1" t="s">
        <v>72</v>
      </c>
      <c r="B1199" s="1" t="s">
        <v>6837</v>
      </c>
      <c r="C1199" s="1"/>
      <c r="D1199" s="1"/>
      <c r="E1199" s="1"/>
      <c r="F1199" s="1" t="s">
        <v>6838</v>
      </c>
      <c r="G1199" s="1"/>
      <c r="H1199" s="1"/>
      <c r="I1199" s="1" t="s">
        <v>7773</v>
      </c>
      <c r="J1199" s="1" t="s">
        <v>7774</v>
      </c>
      <c r="K1199" s="1"/>
      <c r="L1199" s="1"/>
      <c r="M1199" s="1"/>
      <c r="N1199" s="1"/>
      <c r="O1199" s="1"/>
      <c r="P1199" s="1"/>
      <c r="Q1199" s="1"/>
      <c r="R1199" s="1"/>
      <c r="S1199" s="1"/>
      <c r="T1199" s="1"/>
      <c r="U1199" s="1"/>
      <c r="V1199" s="1"/>
      <c r="W1199" s="1"/>
      <c r="X1199" s="1"/>
      <c r="Y1199" s="1"/>
      <c r="Z1199" s="1"/>
      <c r="AA1199" s="1" t="s">
        <v>6058</v>
      </c>
      <c r="AB1199" s="1" t="s">
        <v>7041</v>
      </c>
      <c r="AC1199" s="1"/>
      <c r="AD1199" s="1"/>
      <c r="AE1199" s="1"/>
      <c r="AF1199" s="1"/>
      <c r="AG1199" s="1"/>
      <c r="AH1199" s="1"/>
      <c r="AI1199" s="1"/>
      <c r="AJ1199" s="1"/>
      <c r="AK1199" s="1"/>
      <c r="AL1199" s="1"/>
      <c r="AM1199" s="1"/>
      <c r="AN1199" s="1"/>
      <c r="AO1199" s="1" t="s">
        <v>7775</v>
      </c>
      <c r="AP1199" s="1" t="s">
        <v>7776</v>
      </c>
      <c r="AQ1199" s="1"/>
      <c r="AR1199" s="1"/>
      <c r="AS1199" s="1"/>
      <c r="AT1199" s="1" t="s">
        <v>171</v>
      </c>
      <c r="AU1199" s="1">
        <v>2019</v>
      </c>
      <c r="AV1199" s="1">
        <v>48</v>
      </c>
      <c r="AW1199" s="1">
        <v>2</v>
      </c>
      <c r="AX1199" s="1"/>
      <c r="AY1199" s="1"/>
      <c r="AZ1199" s="1"/>
      <c r="BA1199" s="1"/>
      <c r="BB1199" s="1">
        <v>119</v>
      </c>
      <c r="BC1199" s="1">
        <v>129</v>
      </c>
      <c r="BD1199" s="1"/>
      <c r="BE1199" s="1" t="s">
        <v>7777</v>
      </c>
      <c r="BF1199" s="1" t="str">
        <f>HYPERLINK("http://dx.doi.org/10.3103/S1052618819020110","http://dx.doi.org/10.3103/S1052618819020110")</f>
        <v>http://dx.doi.org/10.3103/S1052618819020110</v>
      </c>
      <c r="BG1199" s="1"/>
      <c r="BH1199" s="1"/>
      <c r="BI1199" s="1"/>
      <c r="BJ1199" s="1"/>
      <c r="BK1199" s="1"/>
      <c r="BL1199" s="1"/>
      <c r="BM1199" s="1"/>
      <c r="BN1199" s="1"/>
      <c r="BO1199" s="1"/>
      <c r="BP1199" s="1"/>
      <c r="BQ1199" s="1"/>
      <c r="BR1199" s="1"/>
      <c r="BS1199" s="1" t="s">
        <v>7778</v>
      </c>
      <c r="BT1199" s="1" t="str">
        <f>HYPERLINK("https%3A%2F%2Fwww.webofscience.com%2Fwos%2Fwoscc%2Ffull-record%2FWOS:000470169700004","View Full Record in Web of Science")</f>
        <v>View Full Record in Web of Science</v>
      </c>
      <c r="BU1199" s="1"/>
      <c r="BV1199" s="1"/>
      <c r="BW1199" s="1"/>
    </row>
    <row r="1200" spans="1:75" customHeight="1" ht="12.75">
      <c r="A1200" s="1" t="s">
        <v>72</v>
      </c>
      <c r="B1200" s="1" t="s">
        <v>7779</v>
      </c>
      <c r="C1200" s="1"/>
      <c r="D1200" s="1"/>
      <c r="E1200" s="1"/>
      <c r="F1200" s="1" t="s">
        <v>7780</v>
      </c>
      <c r="G1200" s="1"/>
      <c r="H1200" s="1"/>
      <c r="I1200" s="1" t="s">
        <v>7781</v>
      </c>
      <c r="J1200" s="1" t="s">
        <v>7782</v>
      </c>
      <c r="K1200" s="1"/>
      <c r="L1200" s="1"/>
      <c r="M1200" s="1"/>
      <c r="N1200" s="1"/>
      <c r="O1200" s="1"/>
      <c r="P1200" s="1"/>
      <c r="Q1200" s="1"/>
      <c r="R1200" s="1"/>
      <c r="S1200" s="1"/>
      <c r="T1200" s="1"/>
      <c r="U1200" s="1"/>
      <c r="V1200" s="1"/>
      <c r="W1200" s="1"/>
      <c r="X1200" s="1"/>
      <c r="Y1200" s="1"/>
      <c r="Z1200" s="1"/>
      <c r="AA1200" s="1" t="s">
        <v>7783</v>
      </c>
      <c r="AB1200" s="1" t="s">
        <v>7784</v>
      </c>
      <c r="AC1200" s="1"/>
      <c r="AD1200" s="1"/>
      <c r="AE1200" s="1"/>
      <c r="AF1200" s="1"/>
      <c r="AG1200" s="1"/>
      <c r="AH1200" s="1"/>
      <c r="AI1200" s="1"/>
      <c r="AJ1200" s="1"/>
      <c r="AK1200" s="1"/>
      <c r="AL1200" s="1"/>
      <c r="AM1200" s="1"/>
      <c r="AN1200" s="1"/>
      <c r="AO1200" s="1" t="s">
        <v>7785</v>
      </c>
      <c r="AP1200" s="1" t="s">
        <v>7786</v>
      </c>
      <c r="AQ1200" s="1"/>
      <c r="AR1200" s="1"/>
      <c r="AS1200" s="1"/>
      <c r="AT1200" s="1" t="s">
        <v>655</v>
      </c>
      <c r="AU1200" s="1">
        <v>2018</v>
      </c>
      <c r="AV1200" s="1">
        <v>37</v>
      </c>
      <c r="AW1200" s="1">
        <v>2</v>
      </c>
      <c r="AX1200" s="1"/>
      <c r="AY1200" s="1"/>
      <c r="AZ1200" s="1"/>
      <c r="BA1200" s="1"/>
      <c r="BB1200" s="1">
        <v>376</v>
      </c>
      <c r="BC1200" s="1">
        <v>384</v>
      </c>
      <c r="BD1200" s="1"/>
      <c r="BE1200" s="1" t="s">
        <v>7787</v>
      </c>
      <c r="BF1200" s="1" t="str">
        <f>HYPERLINK("http://dx.doi.org/10.1002/etc.3956","http://dx.doi.org/10.1002/etc.3956")</f>
        <v>http://dx.doi.org/10.1002/etc.3956</v>
      </c>
      <c r="BG1200" s="1"/>
      <c r="BH1200" s="1"/>
      <c r="BI1200" s="1"/>
      <c r="BJ1200" s="1"/>
      <c r="BK1200" s="1"/>
      <c r="BL1200" s="1"/>
      <c r="BM1200" s="1"/>
      <c r="BN1200" s="1">
        <v>28833442</v>
      </c>
      <c r="BO1200" s="1"/>
      <c r="BP1200" s="1"/>
      <c r="BQ1200" s="1"/>
      <c r="BR1200" s="1"/>
      <c r="BS1200" s="1" t="s">
        <v>7788</v>
      </c>
      <c r="BT1200" s="1" t="str">
        <f>HYPERLINK("https%3A%2F%2Fwww.webofscience.com%2Fwos%2Fwoscc%2Ffull-record%2FWOS:000423425700008","View Full Record in Web of Science")</f>
        <v>View Full Record in Web of Science</v>
      </c>
      <c r="BU1200" s="1"/>
      <c r="BV1200" s="1"/>
      <c r="BW1200" s="1"/>
    </row>
    <row r="1201" spans="1:75" customHeight="1" ht="12.75">
      <c r="A1201" s="1" t="s">
        <v>72</v>
      </c>
      <c r="B1201" s="1" t="s">
        <v>7789</v>
      </c>
      <c r="C1201" s="1"/>
      <c r="D1201" s="1"/>
      <c r="E1201" s="1"/>
      <c r="F1201" s="1" t="s">
        <v>7790</v>
      </c>
      <c r="G1201" s="1"/>
      <c r="H1201" s="1"/>
      <c r="I1201" s="1" t="s">
        <v>7791</v>
      </c>
      <c r="J1201" s="1" t="s">
        <v>95</v>
      </c>
      <c r="K1201" s="1"/>
      <c r="L1201" s="1"/>
      <c r="M1201" s="1"/>
      <c r="N1201" s="1"/>
      <c r="O1201" s="1"/>
      <c r="P1201" s="1"/>
      <c r="Q1201" s="1"/>
      <c r="R1201" s="1"/>
      <c r="S1201" s="1"/>
      <c r="T1201" s="1"/>
      <c r="U1201" s="1"/>
      <c r="V1201" s="1"/>
      <c r="W1201" s="1"/>
      <c r="X1201" s="1"/>
      <c r="Y1201" s="1"/>
      <c r="Z1201" s="1"/>
      <c r="AA1201" s="1" t="s">
        <v>7792</v>
      </c>
      <c r="AB1201" s="1" t="s">
        <v>7793</v>
      </c>
      <c r="AC1201" s="1"/>
      <c r="AD1201" s="1"/>
      <c r="AE1201" s="1"/>
      <c r="AF1201" s="1"/>
      <c r="AG1201" s="1"/>
      <c r="AH1201" s="1"/>
      <c r="AI1201" s="1"/>
      <c r="AJ1201" s="1"/>
      <c r="AK1201" s="1"/>
      <c r="AL1201" s="1"/>
      <c r="AM1201" s="1"/>
      <c r="AN1201" s="1"/>
      <c r="AO1201" s="1" t="s">
        <v>98</v>
      </c>
      <c r="AP1201" s="1" t="s">
        <v>99</v>
      </c>
      <c r="AQ1201" s="1"/>
      <c r="AR1201" s="1"/>
      <c r="AS1201" s="1"/>
      <c r="AT1201" s="1"/>
      <c r="AU1201" s="1">
        <v>2022</v>
      </c>
      <c r="AV1201" s="1"/>
      <c r="AW1201" s="1">
        <v>2</v>
      </c>
      <c r="AX1201" s="1"/>
      <c r="AY1201" s="1"/>
      <c r="AZ1201" s="1"/>
      <c r="BA1201" s="1"/>
      <c r="BB1201" s="1">
        <v>6</v>
      </c>
      <c r="BC1201" s="1">
        <v>14</v>
      </c>
      <c r="BD1201" s="1"/>
      <c r="BE1201" s="1" t="s">
        <v>7794</v>
      </c>
      <c r="BF1201" s="1" t="str">
        <f>HYPERLINK("http://dx.doi.org/10.25750/1995-4301-2022-2-006-014","http://dx.doi.org/10.25750/1995-4301-2022-2-006-014")</f>
        <v>http://dx.doi.org/10.25750/1995-4301-2022-2-006-014</v>
      </c>
      <c r="BG1201" s="1"/>
      <c r="BH1201" s="1"/>
      <c r="BI1201" s="1"/>
      <c r="BJ1201" s="1"/>
      <c r="BK1201" s="1"/>
      <c r="BL1201" s="1"/>
      <c r="BM1201" s="1"/>
      <c r="BN1201" s="1"/>
      <c r="BO1201" s="1"/>
      <c r="BP1201" s="1"/>
      <c r="BQ1201" s="1"/>
      <c r="BR1201" s="1"/>
      <c r="BS1201" s="1" t="s">
        <v>7795</v>
      </c>
      <c r="BT1201" s="1" t="str">
        <f>HYPERLINK("https%3A%2F%2Fwww.webofscience.com%2Fwos%2Fwoscc%2Ffull-record%2FWOS:000820802000001","View Full Record in Web of Science")</f>
        <v>View Full Record in Web of Science</v>
      </c>
      <c r="BU1201" s="1"/>
      <c r="BV1201" s="1"/>
      <c r="BW1201" s="1"/>
    </row>
    <row r="1202" spans="1:75" customHeight="1" ht="12.75">
      <c r="A1202" s="1" t="s">
        <v>72</v>
      </c>
      <c r="B1202" s="1" t="s">
        <v>7796</v>
      </c>
      <c r="C1202" s="1"/>
      <c r="D1202" s="1"/>
      <c r="E1202" s="1"/>
      <c r="F1202" s="1" t="s">
        <v>7797</v>
      </c>
      <c r="G1202" s="1"/>
      <c r="H1202" s="1"/>
      <c r="I1202" s="1" t="s">
        <v>7798</v>
      </c>
      <c r="J1202" s="1" t="s">
        <v>6322</v>
      </c>
      <c r="K1202" s="1"/>
      <c r="L1202" s="1"/>
      <c r="M1202" s="1"/>
      <c r="N1202" s="1"/>
      <c r="O1202" s="1"/>
      <c r="P1202" s="1"/>
      <c r="Q1202" s="1"/>
      <c r="R1202" s="1"/>
      <c r="S1202" s="1"/>
      <c r="T1202" s="1"/>
      <c r="U1202" s="1"/>
      <c r="V1202" s="1"/>
      <c r="W1202" s="1"/>
      <c r="X1202" s="1"/>
      <c r="Y1202" s="1"/>
      <c r="Z1202" s="1"/>
      <c r="AA1202" s="1" t="s">
        <v>7799</v>
      </c>
      <c r="AB1202" s="1" t="s">
        <v>7800</v>
      </c>
      <c r="AC1202" s="1"/>
      <c r="AD1202" s="1"/>
      <c r="AE1202" s="1"/>
      <c r="AF1202" s="1"/>
      <c r="AG1202" s="1"/>
      <c r="AH1202" s="1"/>
      <c r="AI1202" s="1"/>
      <c r="AJ1202" s="1"/>
      <c r="AK1202" s="1"/>
      <c r="AL1202" s="1"/>
      <c r="AM1202" s="1"/>
      <c r="AN1202" s="1"/>
      <c r="AO1202" s="1"/>
      <c r="AP1202" s="1" t="s">
        <v>6325</v>
      </c>
      <c r="AQ1202" s="1"/>
      <c r="AR1202" s="1"/>
      <c r="AS1202" s="1"/>
      <c r="AT1202" s="1" t="s">
        <v>403</v>
      </c>
      <c r="AU1202" s="1">
        <v>2022</v>
      </c>
      <c r="AV1202" s="1">
        <v>14</v>
      </c>
      <c r="AW1202" s="1">
        <v>23</v>
      </c>
      <c r="AX1202" s="1"/>
      <c r="AY1202" s="1"/>
      <c r="AZ1202" s="1"/>
      <c r="BA1202" s="1"/>
      <c r="BB1202" s="1"/>
      <c r="BC1202" s="1"/>
      <c r="BD1202" s="1">
        <v>5283</v>
      </c>
      <c r="BE1202" s="1" t="s">
        <v>7801</v>
      </c>
      <c r="BF1202" s="1" t="str">
        <f>HYPERLINK("http://dx.doi.org/10.3390/polym14235283","http://dx.doi.org/10.3390/polym14235283")</f>
        <v>http://dx.doi.org/10.3390/polym14235283</v>
      </c>
      <c r="BG1202" s="1"/>
      <c r="BH1202" s="1"/>
      <c r="BI1202" s="1"/>
      <c r="BJ1202" s="1"/>
      <c r="BK1202" s="1"/>
      <c r="BL1202" s="1"/>
      <c r="BM1202" s="1"/>
      <c r="BN1202" s="1">
        <v>36501681</v>
      </c>
      <c r="BO1202" s="1"/>
      <c r="BP1202" s="1"/>
      <c r="BQ1202" s="1"/>
      <c r="BR1202" s="1"/>
      <c r="BS1202" s="1" t="s">
        <v>7802</v>
      </c>
      <c r="BT1202" s="1" t="str">
        <f>HYPERLINK("https%3A%2F%2Fwww.webofscience.com%2Fwos%2Fwoscc%2Ffull-record%2FWOS:000896480200001","View Full Record in Web of Science")</f>
        <v>View Full Record in Web of Science</v>
      </c>
      <c r="BU1202" s="1"/>
      <c r="BV1202" s="1"/>
      <c r="BW1202" s="1"/>
    </row>
    <row r="1203" spans="1:75" customHeight="1" ht="12.75">
      <c r="A1203" s="1" t="s">
        <v>147</v>
      </c>
      <c r="B1203" s="1" t="s">
        <v>7803</v>
      </c>
      <c r="C1203" s="1"/>
      <c r="D1203" s="1" t="s">
        <v>2517</v>
      </c>
      <c r="E1203" s="1"/>
      <c r="F1203" s="1" t="s">
        <v>7804</v>
      </c>
      <c r="G1203" s="1"/>
      <c r="H1203" s="1"/>
      <c r="I1203" s="1" t="s">
        <v>7805</v>
      </c>
      <c r="J1203" s="1" t="s">
        <v>7806</v>
      </c>
      <c r="K1203" s="1" t="s">
        <v>2521</v>
      </c>
      <c r="L1203" s="1"/>
      <c r="M1203" s="1"/>
      <c r="N1203" s="1"/>
      <c r="O1203" s="1" t="s">
        <v>7807</v>
      </c>
      <c r="P1203" s="1" t="s">
        <v>7808</v>
      </c>
      <c r="Q1203" s="1" t="s">
        <v>2524</v>
      </c>
      <c r="R1203" s="1" t="s">
        <v>7809</v>
      </c>
      <c r="S1203" s="1"/>
      <c r="T1203" s="1"/>
      <c r="U1203" s="1"/>
      <c r="V1203" s="1"/>
      <c r="W1203" s="1"/>
      <c r="X1203" s="1"/>
      <c r="Y1203" s="1"/>
      <c r="Z1203" s="1"/>
      <c r="AA1203" s="1" t="s">
        <v>7810</v>
      </c>
      <c r="AB1203" s="1" t="s">
        <v>7811</v>
      </c>
      <c r="AC1203" s="1"/>
      <c r="AD1203" s="1"/>
      <c r="AE1203" s="1"/>
      <c r="AF1203" s="1"/>
      <c r="AG1203" s="1"/>
      <c r="AH1203" s="1"/>
      <c r="AI1203" s="1"/>
      <c r="AJ1203" s="1"/>
      <c r="AK1203" s="1"/>
      <c r="AL1203" s="1"/>
      <c r="AM1203" s="1"/>
      <c r="AN1203" s="1"/>
      <c r="AO1203" s="1" t="s">
        <v>2527</v>
      </c>
      <c r="AP1203" s="1" t="s">
        <v>2528</v>
      </c>
      <c r="AQ1203" s="1"/>
      <c r="AR1203" s="1"/>
      <c r="AS1203" s="1"/>
      <c r="AT1203" s="1"/>
      <c r="AU1203" s="1">
        <v>2021</v>
      </c>
      <c r="AV1203" s="1"/>
      <c r="AW1203" s="1"/>
      <c r="AX1203" s="1"/>
      <c r="AY1203" s="1"/>
      <c r="AZ1203" s="1"/>
      <c r="BA1203" s="1"/>
      <c r="BB1203" s="1">
        <v>199</v>
      </c>
      <c r="BC1203" s="1">
        <v>204</v>
      </c>
      <c r="BD1203" s="1"/>
      <c r="BE1203" s="1" t="s">
        <v>7812</v>
      </c>
      <c r="BF1203" s="1" t="str">
        <f>HYPERLINK("http://dx.doi.org/10.22616/ERDev.2021.20.TF043","http://dx.doi.org/10.22616/ERDev.2021.20.TF043")</f>
        <v>http://dx.doi.org/10.22616/ERDev.2021.20.TF043</v>
      </c>
      <c r="BG1203" s="1"/>
      <c r="BH1203" s="1"/>
      <c r="BI1203" s="1"/>
      <c r="BJ1203" s="1"/>
      <c r="BK1203" s="1"/>
      <c r="BL1203" s="1"/>
      <c r="BM1203" s="1"/>
      <c r="BN1203" s="1"/>
      <c r="BO1203" s="1"/>
      <c r="BP1203" s="1"/>
      <c r="BQ1203" s="1"/>
      <c r="BR1203" s="1"/>
      <c r="BS1203" s="1" t="s">
        <v>7813</v>
      </c>
      <c r="BT1203" s="1" t="str">
        <f>HYPERLINK("https%3A%2F%2Fwww.webofscience.com%2Fwos%2Fwoscc%2Ffull-record%2FWOS:000817951600028","View Full Record in Web of Science")</f>
        <v>View Full Record in Web of Science</v>
      </c>
      <c r="BU1203" s="1"/>
      <c r="BV1203" s="1"/>
      <c r="BW1203" s="1"/>
    </row>
    <row r="1204" spans="1:75" customHeight="1" ht="12.75">
      <c r="A1204" s="1" t="s">
        <v>147</v>
      </c>
      <c r="B1204" s="1" t="s">
        <v>7814</v>
      </c>
      <c r="C1204" s="1"/>
      <c r="D1204" s="1" t="s">
        <v>7815</v>
      </c>
      <c r="E1204" s="1"/>
      <c r="F1204" s="1" t="s">
        <v>7816</v>
      </c>
      <c r="G1204" s="1"/>
      <c r="H1204" s="1"/>
      <c r="I1204" s="1" t="s">
        <v>7817</v>
      </c>
      <c r="J1204" s="1" t="s">
        <v>7818</v>
      </c>
      <c r="K1204" s="1" t="s">
        <v>1669</v>
      </c>
      <c r="L1204" s="1"/>
      <c r="M1204" s="1"/>
      <c r="N1204" s="1"/>
      <c r="O1204" s="1" t="s">
        <v>7819</v>
      </c>
      <c r="P1204" s="1" t="s">
        <v>7820</v>
      </c>
      <c r="Q1204" s="1" t="s">
        <v>7821</v>
      </c>
      <c r="R1204" s="1" t="s">
        <v>7822</v>
      </c>
      <c r="S1204" s="1"/>
      <c r="T1204" s="1"/>
      <c r="U1204" s="1"/>
      <c r="V1204" s="1"/>
      <c r="W1204" s="1"/>
      <c r="X1204" s="1"/>
      <c r="Y1204" s="1"/>
      <c r="Z1204" s="1"/>
      <c r="AA1204" s="1"/>
      <c r="AB1204" s="1" t="s">
        <v>7823</v>
      </c>
      <c r="AC1204" s="1"/>
      <c r="AD1204" s="1"/>
      <c r="AE1204" s="1"/>
      <c r="AF1204" s="1"/>
      <c r="AG1204" s="1"/>
      <c r="AH1204" s="1"/>
      <c r="AI1204" s="1"/>
      <c r="AJ1204" s="1"/>
      <c r="AK1204" s="1"/>
      <c r="AL1204" s="1"/>
      <c r="AM1204" s="1"/>
      <c r="AN1204" s="1"/>
      <c r="AO1204" s="1" t="s">
        <v>1675</v>
      </c>
      <c r="AP1204" s="1" t="s">
        <v>1676</v>
      </c>
      <c r="AQ1204" s="1" t="s">
        <v>7824</v>
      </c>
      <c r="AR1204" s="1"/>
      <c r="AS1204" s="1"/>
      <c r="AT1204" s="1"/>
      <c r="AU1204" s="1">
        <v>2019</v>
      </c>
      <c r="AV1204" s="1">
        <v>1063</v>
      </c>
      <c r="AW1204" s="1"/>
      <c r="AX1204" s="1"/>
      <c r="AY1204" s="1"/>
      <c r="AZ1204" s="1"/>
      <c r="BA1204" s="1"/>
      <c r="BB1204" s="1">
        <v>211</v>
      </c>
      <c r="BC1204" s="1">
        <v>224</v>
      </c>
      <c r="BD1204" s="1"/>
      <c r="BE1204" s="1" t="s">
        <v>7825</v>
      </c>
      <c r="BF1204" s="1" t="str">
        <f>HYPERLINK("http://dx.doi.org/10.1007/978-3-030-28163-2_15","http://dx.doi.org/10.1007/978-3-030-28163-2_15")</f>
        <v>http://dx.doi.org/10.1007/978-3-030-28163-2_15</v>
      </c>
      <c r="BG1204" s="1"/>
      <c r="BH1204" s="1"/>
      <c r="BI1204" s="1"/>
      <c r="BJ1204" s="1"/>
      <c r="BK1204" s="1"/>
      <c r="BL1204" s="1"/>
      <c r="BM1204" s="1"/>
      <c r="BN1204" s="1"/>
      <c r="BO1204" s="1"/>
      <c r="BP1204" s="1"/>
      <c r="BQ1204" s="1"/>
      <c r="BR1204" s="1"/>
      <c r="BS1204" s="1" t="s">
        <v>7826</v>
      </c>
      <c r="BT1204" s="1" t="str">
        <f>HYPERLINK("https%3A%2F%2Fwww.webofscience.com%2Fwos%2Fwoscc%2Ffull-record%2FWOS:000558285700015","View Full Record in Web of Science")</f>
        <v>View Full Record in Web of Science</v>
      </c>
      <c r="BU1204" s="1"/>
      <c r="BV1204" s="1"/>
      <c r="BW1204" s="1"/>
    </row>
    <row r="1205" spans="1:75" customHeight="1" ht="12.75">
      <c r="A1205" s="1" t="s">
        <v>72</v>
      </c>
      <c r="B1205" s="1" t="s">
        <v>7827</v>
      </c>
      <c r="C1205" s="1"/>
      <c r="D1205" s="1"/>
      <c r="E1205" s="1"/>
      <c r="F1205" s="1" t="s">
        <v>7828</v>
      </c>
      <c r="G1205" s="1"/>
      <c r="H1205" s="1"/>
      <c r="I1205" s="1" t="s">
        <v>7829</v>
      </c>
      <c r="J1205" s="1" t="s">
        <v>95</v>
      </c>
      <c r="K1205" s="1"/>
      <c r="L1205" s="1"/>
      <c r="M1205" s="1"/>
      <c r="N1205" s="1"/>
      <c r="O1205" s="1"/>
      <c r="P1205" s="1"/>
      <c r="Q1205" s="1"/>
      <c r="R1205" s="1"/>
      <c r="S1205" s="1"/>
      <c r="T1205" s="1"/>
      <c r="U1205" s="1"/>
      <c r="V1205" s="1"/>
      <c r="W1205" s="1"/>
      <c r="X1205" s="1"/>
      <c r="Y1205" s="1"/>
      <c r="Z1205" s="1"/>
      <c r="AA1205" s="1" t="s">
        <v>7830</v>
      </c>
      <c r="AB1205" s="1" t="s">
        <v>7831</v>
      </c>
      <c r="AC1205" s="1"/>
      <c r="AD1205" s="1"/>
      <c r="AE1205" s="1"/>
      <c r="AF1205" s="1"/>
      <c r="AG1205" s="1"/>
      <c r="AH1205" s="1"/>
      <c r="AI1205" s="1"/>
      <c r="AJ1205" s="1"/>
      <c r="AK1205" s="1"/>
      <c r="AL1205" s="1"/>
      <c r="AM1205" s="1"/>
      <c r="AN1205" s="1"/>
      <c r="AO1205" s="1" t="s">
        <v>98</v>
      </c>
      <c r="AP1205" s="1" t="s">
        <v>99</v>
      </c>
      <c r="AQ1205" s="1"/>
      <c r="AR1205" s="1"/>
      <c r="AS1205" s="1"/>
      <c r="AT1205" s="1"/>
      <c r="AU1205" s="1">
        <v>2018</v>
      </c>
      <c r="AV1205" s="1"/>
      <c r="AW1205" s="1">
        <v>2</v>
      </c>
      <c r="AX1205" s="1"/>
      <c r="AY1205" s="1"/>
      <c r="AZ1205" s="1"/>
      <c r="BA1205" s="1"/>
      <c r="BB1205" s="1">
        <v>87</v>
      </c>
      <c r="BC1205" s="1">
        <v>93</v>
      </c>
      <c r="BD1205" s="1"/>
      <c r="BE1205" s="1" t="s">
        <v>7832</v>
      </c>
      <c r="BF1205" s="1" t="str">
        <f>HYPERLINK("http://dx.doi.org/10.25750/1995-4301-2018-2-087-093","http://dx.doi.org/10.25750/1995-4301-2018-2-087-093")</f>
        <v>http://dx.doi.org/10.25750/1995-4301-2018-2-087-093</v>
      </c>
      <c r="BG1205" s="1"/>
      <c r="BH1205" s="1"/>
      <c r="BI1205" s="1"/>
      <c r="BJ1205" s="1"/>
      <c r="BK1205" s="1"/>
      <c r="BL1205" s="1"/>
      <c r="BM1205" s="1"/>
      <c r="BN1205" s="1"/>
      <c r="BO1205" s="1"/>
      <c r="BP1205" s="1"/>
      <c r="BQ1205" s="1"/>
      <c r="BR1205" s="1"/>
      <c r="BS1205" s="1" t="s">
        <v>7833</v>
      </c>
      <c r="BT1205" s="1" t="str">
        <f>HYPERLINK("https%3A%2F%2Fwww.webofscience.com%2Fwos%2Fwoscc%2Ffull-record%2FWOS:000468564500011","View Full Record in Web of Science")</f>
        <v>View Full Record in Web of Science</v>
      </c>
      <c r="BU1205" s="1"/>
      <c r="BV1205" s="1"/>
      <c r="BW1205" s="1"/>
    </row>
    <row r="1206" spans="1:75" customHeight="1" ht="12.75">
      <c r="A1206" s="1" t="s">
        <v>147</v>
      </c>
      <c r="B1206" s="1" t="s">
        <v>7834</v>
      </c>
      <c r="C1206" s="1"/>
      <c r="D1206" s="1"/>
      <c r="E1206" s="1" t="s">
        <v>210</v>
      </c>
      <c r="F1206" s="1" t="s">
        <v>7835</v>
      </c>
      <c r="G1206" s="1"/>
      <c r="H1206" s="1"/>
      <c r="I1206" s="1" t="s">
        <v>7836</v>
      </c>
      <c r="J1206" s="1" t="s">
        <v>7837</v>
      </c>
      <c r="K1206" s="1" t="s">
        <v>2589</v>
      </c>
      <c r="L1206" s="1"/>
      <c r="M1206" s="1"/>
      <c r="N1206" s="1"/>
      <c r="O1206" s="1" t="s">
        <v>2590</v>
      </c>
      <c r="P1206" s="1" t="s">
        <v>7838</v>
      </c>
      <c r="Q1206" s="1" t="s">
        <v>7839</v>
      </c>
      <c r="R1206" s="1" t="s">
        <v>7840</v>
      </c>
      <c r="S1206" s="1"/>
      <c r="T1206" s="1"/>
      <c r="U1206" s="1"/>
      <c r="V1206" s="1"/>
      <c r="W1206" s="1"/>
      <c r="X1206" s="1"/>
      <c r="Y1206" s="1"/>
      <c r="Z1206" s="1"/>
      <c r="AA1206" s="1"/>
      <c r="AB1206" s="1"/>
      <c r="AC1206" s="1"/>
      <c r="AD1206" s="1"/>
      <c r="AE1206" s="1"/>
      <c r="AF1206" s="1"/>
      <c r="AG1206" s="1"/>
      <c r="AH1206" s="1"/>
      <c r="AI1206" s="1"/>
      <c r="AJ1206" s="1"/>
      <c r="AK1206" s="1"/>
      <c r="AL1206" s="1"/>
      <c r="AM1206" s="1"/>
      <c r="AN1206" s="1"/>
      <c r="AO1206" s="1" t="s">
        <v>2593</v>
      </c>
      <c r="AP1206" s="1"/>
      <c r="AQ1206" s="1" t="s">
        <v>7841</v>
      </c>
      <c r="AR1206" s="1"/>
      <c r="AS1206" s="1"/>
      <c r="AT1206" s="1"/>
      <c r="AU1206" s="1">
        <v>2013</v>
      </c>
      <c r="AV1206" s="1"/>
      <c r="AW1206" s="1"/>
      <c r="AX1206" s="1"/>
      <c r="AY1206" s="1"/>
      <c r="AZ1206" s="1"/>
      <c r="BA1206" s="1"/>
      <c r="BB1206" s="1"/>
      <c r="BC1206" s="1"/>
      <c r="BD1206" s="1"/>
      <c r="BE1206" s="1"/>
      <c r="BF1206" s="1"/>
      <c r="BG1206" s="1"/>
      <c r="BH1206" s="1"/>
      <c r="BI1206" s="1"/>
      <c r="BJ1206" s="1"/>
      <c r="BK1206" s="1"/>
      <c r="BL1206" s="1"/>
      <c r="BM1206" s="1"/>
      <c r="BN1206" s="1"/>
      <c r="BO1206" s="1"/>
      <c r="BP1206" s="1"/>
      <c r="BQ1206" s="1"/>
      <c r="BR1206" s="1"/>
      <c r="BS1206" s="1" t="s">
        <v>7842</v>
      </c>
      <c r="BT1206" s="1" t="str">
        <f>HYPERLINK("https%3A%2F%2Fwww.webofscience.com%2Fwos%2Fwoscc%2Ffull-record%2FWOS:000349557200073","View Full Record in Web of Science")</f>
        <v>View Full Record in Web of Science</v>
      </c>
      <c r="BU1206" s="1"/>
      <c r="BV1206" s="1"/>
      <c r="BW1206" s="1"/>
    </row>
    <row r="1207" spans="1:75" customHeight="1" ht="12.75">
      <c r="A1207" s="1" t="s">
        <v>72</v>
      </c>
      <c r="B1207" s="1" t="s">
        <v>7843</v>
      </c>
      <c r="C1207" s="1"/>
      <c r="D1207" s="1"/>
      <c r="E1207" s="1"/>
      <c r="F1207" s="1" t="s">
        <v>7844</v>
      </c>
      <c r="G1207" s="1"/>
      <c r="H1207" s="1"/>
      <c r="I1207" s="1" t="s">
        <v>7845</v>
      </c>
      <c r="J1207" s="1" t="s">
        <v>971</v>
      </c>
      <c r="K1207" s="1"/>
      <c r="L1207" s="1"/>
      <c r="M1207" s="1"/>
      <c r="N1207" s="1"/>
      <c r="O1207" s="1"/>
      <c r="P1207" s="1"/>
      <c r="Q1207" s="1"/>
      <c r="R1207" s="1"/>
      <c r="S1207" s="1"/>
      <c r="T1207" s="1"/>
      <c r="U1207" s="1"/>
      <c r="V1207" s="1"/>
      <c r="W1207" s="1"/>
      <c r="X1207" s="1"/>
      <c r="Y1207" s="1"/>
      <c r="Z1207" s="1"/>
      <c r="AA1207" s="1" t="s">
        <v>7846</v>
      </c>
      <c r="AB1207" s="1" t="s">
        <v>7847</v>
      </c>
      <c r="AC1207" s="1"/>
      <c r="AD1207" s="1"/>
      <c r="AE1207" s="1"/>
      <c r="AF1207" s="1"/>
      <c r="AG1207" s="1"/>
      <c r="AH1207" s="1"/>
      <c r="AI1207" s="1"/>
      <c r="AJ1207" s="1"/>
      <c r="AK1207" s="1"/>
      <c r="AL1207" s="1"/>
      <c r="AM1207" s="1"/>
      <c r="AN1207" s="1"/>
      <c r="AO1207" s="1" t="s">
        <v>973</v>
      </c>
      <c r="AP1207" s="1" t="s">
        <v>974</v>
      </c>
      <c r="AQ1207" s="1"/>
      <c r="AR1207" s="1"/>
      <c r="AS1207" s="1"/>
      <c r="AT1207" s="1" t="s">
        <v>1173</v>
      </c>
      <c r="AU1207" s="1">
        <v>2022</v>
      </c>
      <c r="AV1207" s="1">
        <v>58</v>
      </c>
      <c r="AW1207" s="1">
        <v>4</v>
      </c>
      <c r="AX1207" s="1"/>
      <c r="AY1207" s="1"/>
      <c r="AZ1207" s="1"/>
      <c r="BA1207" s="1"/>
      <c r="BB1207" s="1">
        <v>394</v>
      </c>
      <c r="BC1207" s="1">
        <v>400</v>
      </c>
      <c r="BD1207" s="1"/>
      <c r="BE1207" s="1" t="s">
        <v>7848</v>
      </c>
      <c r="BF1207" s="1" t="str">
        <f>HYPERLINK("http://dx.doi.org/10.1134/S0003683822040081","http://dx.doi.org/10.1134/S0003683822040081")</f>
        <v>http://dx.doi.org/10.1134/S0003683822040081</v>
      </c>
      <c r="BG1207" s="1"/>
      <c r="BH1207" s="1"/>
      <c r="BI1207" s="1"/>
      <c r="BJ1207" s="1"/>
      <c r="BK1207" s="1"/>
      <c r="BL1207" s="1"/>
      <c r="BM1207" s="1"/>
      <c r="BN1207" s="1"/>
      <c r="BO1207" s="1"/>
      <c r="BP1207" s="1"/>
      <c r="BQ1207" s="1"/>
      <c r="BR1207" s="1"/>
      <c r="BS1207" s="1" t="s">
        <v>7849</v>
      </c>
      <c r="BT1207" s="1" t="str">
        <f>HYPERLINK("https%3A%2F%2Fwww.webofscience.com%2Fwos%2Fwoscc%2Ffull-record%2FWOS:000824879100006","View Full Record in Web of Science")</f>
        <v>View Full Record in Web of Science</v>
      </c>
      <c r="BU1207" s="1"/>
      <c r="BV1207" s="1"/>
      <c r="BW1207" s="1"/>
    </row>
    <row r="1208" spans="1:75" customHeight="1" ht="12.75">
      <c r="A1208" s="1" t="s">
        <v>72</v>
      </c>
      <c r="B1208" s="1" t="s">
        <v>7850</v>
      </c>
      <c r="C1208" s="1"/>
      <c r="D1208" s="1"/>
      <c r="E1208" s="1"/>
      <c r="F1208" s="1" t="s">
        <v>7851</v>
      </c>
      <c r="G1208" s="1"/>
      <c r="H1208" s="1"/>
      <c r="I1208" s="1" t="s">
        <v>7852</v>
      </c>
      <c r="J1208" s="1" t="s">
        <v>7853</v>
      </c>
      <c r="K1208" s="1"/>
      <c r="L1208" s="1"/>
      <c r="M1208" s="1"/>
      <c r="N1208" s="1"/>
      <c r="O1208" s="1"/>
      <c r="P1208" s="1"/>
      <c r="Q1208" s="1"/>
      <c r="R1208" s="1"/>
      <c r="S1208" s="1"/>
      <c r="T1208" s="1"/>
      <c r="U1208" s="1"/>
      <c r="V1208" s="1"/>
      <c r="W1208" s="1"/>
      <c r="X1208" s="1"/>
      <c r="Y1208" s="1"/>
      <c r="Z1208" s="1"/>
      <c r="AA1208" s="1" t="s">
        <v>7854</v>
      </c>
      <c r="AB1208" s="1" t="s">
        <v>7855</v>
      </c>
      <c r="AC1208" s="1"/>
      <c r="AD1208" s="1"/>
      <c r="AE1208" s="1"/>
      <c r="AF1208" s="1"/>
      <c r="AG1208" s="1"/>
      <c r="AH1208" s="1"/>
      <c r="AI1208" s="1"/>
      <c r="AJ1208" s="1"/>
      <c r="AK1208" s="1"/>
      <c r="AL1208" s="1"/>
      <c r="AM1208" s="1"/>
      <c r="AN1208" s="1"/>
      <c r="AO1208" s="1" t="s">
        <v>7856</v>
      </c>
      <c r="AP1208" s="1"/>
      <c r="AQ1208" s="1"/>
      <c r="AR1208" s="1"/>
      <c r="AS1208" s="1"/>
      <c r="AT1208" s="1" t="s">
        <v>7857</v>
      </c>
      <c r="AU1208" s="1">
        <v>2022</v>
      </c>
      <c r="AV1208" s="1">
        <v>12</v>
      </c>
      <c r="AW1208" s="1"/>
      <c r="AX1208" s="1"/>
      <c r="AY1208" s="1"/>
      <c r="AZ1208" s="1" t="s">
        <v>339</v>
      </c>
      <c r="BA1208" s="1"/>
      <c r="BB1208" s="1"/>
      <c r="BC1208" s="1"/>
      <c r="BD1208" s="1"/>
      <c r="BE1208" s="1"/>
      <c r="BF1208" s="1"/>
      <c r="BG1208" s="1"/>
      <c r="BH1208" s="1"/>
      <c r="BI1208" s="1"/>
      <c r="BJ1208" s="1"/>
      <c r="BK1208" s="1"/>
      <c r="BL1208" s="1"/>
      <c r="BM1208" s="1"/>
      <c r="BN1208" s="1"/>
      <c r="BO1208" s="1"/>
      <c r="BP1208" s="1"/>
      <c r="BQ1208" s="1"/>
      <c r="BR1208" s="1"/>
      <c r="BS1208" s="1" t="s">
        <v>7858</v>
      </c>
      <c r="BT1208" s="1" t="str">
        <f>HYPERLINK("https%3A%2F%2Fwww.webofscience.com%2Fwos%2Fwoscc%2Ffull-record%2FWOS:000934358700002","View Full Record in Web of Science")</f>
        <v>View Full Record in Web of Science</v>
      </c>
      <c r="BU1208" s="1"/>
      <c r="BV1208" s="1"/>
      <c r="BW1208" s="1"/>
    </row>
    <row r="1209" spans="1:75" customHeight="1" ht="12.75">
      <c r="A1209" s="1" t="s">
        <v>72</v>
      </c>
      <c r="B1209" s="1" t="s">
        <v>7859</v>
      </c>
      <c r="C1209" s="1"/>
      <c r="D1209" s="1"/>
      <c r="E1209" s="1"/>
      <c r="F1209" s="1" t="s">
        <v>7860</v>
      </c>
      <c r="G1209" s="1"/>
      <c r="H1209" s="1"/>
      <c r="I1209" s="1" t="s">
        <v>7861</v>
      </c>
      <c r="J1209" s="1" t="s">
        <v>95</v>
      </c>
      <c r="K1209" s="1"/>
      <c r="L1209" s="1"/>
      <c r="M1209" s="1"/>
      <c r="N1209" s="1"/>
      <c r="O1209" s="1"/>
      <c r="P1209" s="1"/>
      <c r="Q1209" s="1"/>
      <c r="R1209" s="1"/>
      <c r="S1209" s="1"/>
      <c r="T1209" s="1"/>
      <c r="U1209" s="1"/>
      <c r="V1209" s="1"/>
      <c r="W1209" s="1"/>
      <c r="X1209" s="1"/>
      <c r="Y1209" s="1"/>
      <c r="Z1209" s="1"/>
      <c r="AA1209" s="1"/>
      <c r="AB1209" s="1" t="s">
        <v>7862</v>
      </c>
      <c r="AC1209" s="1"/>
      <c r="AD1209" s="1"/>
      <c r="AE1209" s="1"/>
      <c r="AF1209" s="1"/>
      <c r="AG1209" s="1"/>
      <c r="AH1209" s="1"/>
      <c r="AI1209" s="1"/>
      <c r="AJ1209" s="1"/>
      <c r="AK1209" s="1"/>
      <c r="AL1209" s="1"/>
      <c r="AM1209" s="1"/>
      <c r="AN1209" s="1"/>
      <c r="AO1209" s="1" t="s">
        <v>98</v>
      </c>
      <c r="AP1209" s="1" t="s">
        <v>99</v>
      </c>
      <c r="AQ1209" s="1"/>
      <c r="AR1209" s="1"/>
      <c r="AS1209" s="1"/>
      <c r="AT1209" s="1"/>
      <c r="AU1209" s="1">
        <v>2022</v>
      </c>
      <c r="AV1209" s="1"/>
      <c r="AW1209" s="1">
        <v>4</v>
      </c>
      <c r="AX1209" s="1"/>
      <c r="AY1209" s="1"/>
      <c r="AZ1209" s="1"/>
      <c r="BA1209" s="1"/>
      <c r="BB1209" s="1">
        <v>6</v>
      </c>
      <c r="BC1209" s="1">
        <v>13</v>
      </c>
      <c r="BD1209" s="1"/>
      <c r="BE1209" s="1" t="s">
        <v>7863</v>
      </c>
      <c r="BF1209" s="1" t="str">
        <f>HYPERLINK("http://dx.doi.org/10.25750/1995-4301-2022-4-006-013","http://dx.doi.org/10.25750/1995-4301-2022-4-006-013")</f>
        <v>http://dx.doi.org/10.25750/1995-4301-2022-4-006-013</v>
      </c>
      <c r="BG1209" s="1"/>
      <c r="BH1209" s="1"/>
      <c r="BI1209" s="1"/>
      <c r="BJ1209" s="1"/>
      <c r="BK1209" s="1"/>
      <c r="BL1209" s="1"/>
      <c r="BM1209" s="1"/>
      <c r="BN1209" s="1"/>
      <c r="BO1209" s="1"/>
      <c r="BP1209" s="1"/>
      <c r="BQ1209" s="1"/>
      <c r="BR1209" s="1"/>
      <c r="BS1209" s="1" t="s">
        <v>7864</v>
      </c>
      <c r="BT1209" s="1" t="str">
        <f>HYPERLINK("https%3A%2F%2Fwww.webofscience.com%2Fwos%2Fwoscc%2Ffull-record%2FWOS:000929704700001","View Full Record in Web of Science")</f>
        <v>View Full Record in Web of Science</v>
      </c>
      <c r="BU1209" s="1"/>
      <c r="BV1209" s="1"/>
      <c r="BW1209" s="1"/>
    </row>
    <row r="1210" spans="1:75" customHeight="1" ht="12.75">
      <c r="A1210" s="1" t="s">
        <v>72</v>
      </c>
      <c r="B1210" s="1" t="s">
        <v>7865</v>
      </c>
      <c r="C1210" s="1"/>
      <c r="D1210" s="1"/>
      <c r="E1210" s="1"/>
      <c r="F1210" s="1" t="s">
        <v>7866</v>
      </c>
      <c r="G1210" s="1"/>
      <c r="H1210" s="1"/>
      <c r="I1210" s="1" t="s">
        <v>7867</v>
      </c>
      <c r="J1210" s="1" t="s">
        <v>7868</v>
      </c>
      <c r="K1210" s="1"/>
      <c r="L1210" s="1"/>
      <c r="M1210" s="1"/>
      <c r="N1210" s="1"/>
      <c r="O1210" s="1"/>
      <c r="P1210" s="1"/>
      <c r="Q1210" s="1"/>
      <c r="R1210" s="1"/>
      <c r="S1210" s="1"/>
      <c r="T1210" s="1"/>
      <c r="U1210" s="1"/>
      <c r="V1210" s="1"/>
      <c r="W1210" s="1"/>
      <c r="X1210" s="1"/>
      <c r="Y1210" s="1"/>
      <c r="Z1210" s="1"/>
      <c r="AA1210" s="1" t="s">
        <v>7869</v>
      </c>
      <c r="AB1210" s="1" t="s">
        <v>7870</v>
      </c>
      <c r="AC1210" s="1"/>
      <c r="AD1210" s="1"/>
      <c r="AE1210" s="1"/>
      <c r="AF1210" s="1"/>
      <c r="AG1210" s="1"/>
      <c r="AH1210" s="1"/>
      <c r="AI1210" s="1"/>
      <c r="AJ1210" s="1"/>
      <c r="AK1210" s="1"/>
      <c r="AL1210" s="1"/>
      <c r="AM1210" s="1"/>
      <c r="AN1210" s="1"/>
      <c r="AO1210" s="1" t="s">
        <v>7871</v>
      </c>
      <c r="AP1210" s="1" t="s">
        <v>7872</v>
      </c>
      <c r="AQ1210" s="1"/>
      <c r="AR1210" s="1"/>
      <c r="AS1210" s="1"/>
      <c r="AT1210" s="1" t="s">
        <v>125</v>
      </c>
      <c r="AU1210" s="1">
        <v>2019</v>
      </c>
      <c r="AV1210" s="1">
        <v>12</v>
      </c>
      <c r="AW1210" s="1">
        <v>3</v>
      </c>
      <c r="AX1210" s="1"/>
      <c r="AY1210" s="1"/>
      <c r="AZ1210" s="1"/>
      <c r="BA1210" s="1"/>
      <c r="BB1210" s="1">
        <v>759</v>
      </c>
      <c r="BC1210" s="1">
        <v>780</v>
      </c>
      <c r="BD1210" s="1"/>
      <c r="BE1210" s="1" t="s">
        <v>7873</v>
      </c>
      <c r="BF1210" s="1" t="str">
        <f>HYPERLINK("http://dx.doi.org/10.29333/iji.2019.12346a","http://dx.doi.org/10.29333/iji.2019.12346a")</f>
        <v>http://dx.doi.org/10.29333/iji.2019.12346a</v>
      </c>
      <c r="BG1210" s="1"/>
      <c r="BH1210" s="1"/>
      <c r="BI1210" s="1"/>
      <c r="BJ1210" s="1"/>
      <c r="BK1210" s="1"/>
      <c r="BL1210" s="1"/>
      <c r="BM1210" s="1"/>
      <c r="BN1210" s="1"/>
      <c r="BO1210" s="1"/>
      <c r="BP1210" s="1"/>
      <c r="BQ1210" s="1"/>
      <c r="BR1210" s="1"/>
      <c r="BS1210" s="1" t="s">
        <v>7874</v>
      </c>
      <c r="BT1210" s="1" t="str">
        <f>HYPERLINK("https%3A%2F%2Fwww.webofscience.com%2Fwos%2Fwoscc%2Ffull-record%2FWOS:000473529000047","View Full Record in Web of Science")</f>
        <v>View Full Record in Web of Science</v>
      </c>
      <c r="BU1210" s="1"/>
      <c r="BV1210" s="1"/>
      <c r="BW1210" s="1"/>
    </row>
    <row r="1211" spans="1:75" customHeight="1" ht="12.75">
      <c r="A1211" s="1" t="s">
        <v>72</v>
      </c>
      <c r="B1211" s="1" t="s">
        <v>7875</v>
      </c>
      <c r="C1211" s="1"/>
      <c r="D1211" s="1"/>
      <c r="E1211" s="1"/>
      <c r="F1211" s="1" t="s">
        <v>7876</v>
      </c>
      <c r="G1211" s="1"/>
      <c r="H1211" s="1"/>
      <c r="I1211" s="1" t="s">
        <v>7877</v>
      </c>
      <c r="J1211" s="1" t="s">
        <v>95</v>
      </c>
      <c r="K1211" s="1"/>
      <c r="L1211" s="1"/>
      <c r="M1211" s="1"/>
      <c r="N1211" s="1"/>
      <c r="O1211" s="1"/>
      <c r="P1211" s="1"/>
      <c r="Q1211" s="1"/>
      <c r="R1211" s="1"/>
      <c r="S1211" s="1"/>
      <c r="T1211" s="1"/>
      <c r="U1211" s="1"/>
      <c r="V1211" s="1"/>
      <c r="W1211" s="1"/>
      <c r="X1211" s="1"/>
      <c r="Y1211" s="1"/>
      <c r="Z1211" s="1"/>
      <c r="AA1211" s="1" t="s">
        <v>7878</v>
      </c>
      <c r="AB1211" s="1" t="s">
        <v>7879</v>
      </c>
      <c r="AC1211" s="1"/>
      <c r="AD1211" s="1"/>
      <c r="AE1211" s="1"/>
      <c r="AF1211" s="1"/>
      <c r="AG1211" s="1"/>
      <c r="AH1211" s="1"/>
      <c r="AI1211" s="1"/>
      <c r="AJ1211" s="1"/>
      <c r="AK1211" s="1"/>
      <c r="AL1211" s="1"/>
      <c r="AM1211" s="1"/>
      <c r="AN1211" s="1"/>
      <c r="AO1211" s="1" t="s">
        <v>98</v>
      </c>
      <c r="AP1211" s="1" t="s">
        <v>99</v>
      </c>
      <c r="AQ1211" s="1"/>
      <c r="AR1211" s="1"/>
      <c r="AS1211" s="1"/>
      <c r="AT1211" s="1"/>
      <c r="AU1211" s="1">
        <v>2019</v>
      </c>
      <c r="AV1211" s="1"/>
      <c r="AW1211" s="1">
        <v>2</v>
      </c>
      <c r="AX1211" s="1"/>
      <c r="AY1211" s="1"/>
      <c r="AZ1211" s="1"/>
      <c r="BA1211" s="1"/>
      <c r="BB1211" s="1">
        <v>53</v>
      </c>
      <c r="BC1211" s="1">
        <v>60</v>
      </c>
      <c r="BD1211" s="1"/>
      <c r="BE1211" s="1" t="s">
        <v>7880</v>
      </c>
      <c r="BF1211" s="1" t="str">
        <f>HYPERLINK("http://dx.doi.org/10.25750/1995-4301-2019-2-053-060","http://dx.doi.org/10.25750/1995-4301-2019-2-053-060")</f>
        <v>http://dx.doi.org/10.25750/1995-4301-2019-2-053-060</v>
      </c>
      <c r="BG1211" s="1"/>
      <c r="BH1211" s="1"/>
      <c r="BI1211" s="1"/>
      <c r="BJ1211" s="1"/>
      <c r="BK1211" s="1"/>
      <c r="BL1211" s="1"/>
      <c r="BM1211" s="1"/>
      <c r="BN1211" s="1"/>
      <c r="BO1211" s="1"/>
      <c r="BP1211" s="1"/>
      <c r="BQ1211" s="1"/>
      <c r="BR1211" s="1"/>
      <c r="BS1211" s="1" t="s">
        <v>7881</v>
      </c>
      <c r="BT1211" s="1" t="str">
        <f>HYPERLINK("https%3A%2F%2Fwww.webofscience.com%2Fwos%2Fwoscc%2Ffull-record%2FWOS:000477826000006","View Full Record in Web of Science")</f>
        <v>View Full Record in Web of Science</v>
      </c>
      <c r="BU1211" s="1"/>
      <c r="BV1211" s="1"/>
      <c r="BW1211" s="1"/>
    </row>
    <row r="1212" spans="1:75" customHeight="1" ht="12.75">
      <c r="A1212" s="1" t="s">
        <v>72</v>
      </c>
      <c r="B1212" s="1" t="s">
        <v>7882</v>
      </c>
      <c r="C1212" s="1"/>
      <c r="D1212" s="1"/>
      <c r="E1212" s="1"/>
      <c r="F1212" s="1" t="s">
        <v>7883</v>
      </c>
      <c r="G1212" s="1"/>
      <c r="H1212" s="1"/>
      <c r="I1212" s="1" t="s">
        <v>7884</v>
      </c>
      <c r="J1212" s="1" t="s">
        <v>7885</v>
      </c>
      <c r="K1212" s="1"/>
      <c r="L1212" s="1"/>
      <c r="M1212" s="1"/>
      <c r="N1212" s="1"/>
      <c r="O1212" s="1"/>
      <c r="P1212" s="1"/>
      <c r="Q1212" s="1"/>
      <c r="R1212" s="1"/>
      <c r="S1212" s="1"/>
      <c r="T1212" s="1"/>
      <c r="U1212" s="1"/>
      <c r="V1212" s="1"/>
      <c r="W1212" s="1"/>
      <c r="X1212" s="1"/>
      <c r="Y1212" s="1"/>
      <c r="Z1212" s="1"/>
      <c r="AA1212" s="1" t="s">
        <v>7886</v>
      </c>
      <c r="AB1212" s="1" t="s">
        <v>7887</v>
      </c>
      <c r="AC1212" s="1"/>
      <c r="AD1212" s="1"/>
      <c r="AE1212" s="1"/>
      <c r="AF1212" s="1"/>
      <c r="AG1212" s="1"/>
      <c r="AH1212" s="1"/>
      <c r="AI1212" s="1"/>
      <c r="AJ1212" s="1"/>
      <c r="AK1212" s="1"/>
      <c r="AL1212" s="1"/>
      <c r="AM1212" s="1"/>
      <c r="AN1212" s="1"/>
      <c r="AO1212" s="1" t="s">
        <v>7888</v>
      </c>
      <c r="AP1212" s="1" t="s">
        <v>7889</v>
      </c>
      <c r="AQ1212" s="1"/>
      <c r="AR1212" s="1"/>
      <c r="AS1212" s="1"/>
      <c r="AT1212" s="1"/>
      <c r="AU1212" s="1">
        <v>2017</v>
      </c>
      <c r="AV1212" s="1">
        <v>28</v>
      </c>
      <c r="AW1212" s="1">
        <v>3</v>
      </c>
      <c r="AX1212" s="1"/>
      <c r="AY1212" s="1"/>
      <c r="AZ1212" s="1"/>
      <c r="BA1212" s="1"/>
      <c r="BB1212" s="1">
        <v>293</v>
      </c>
      <c r="BC1212" s="1">
        <v>311</v>
      </c>
      <c r="BD1212" s="1"/>
      <c r="BE1212" s="1" t="s">
        <v>7890</v>
      </c>
      <c r="BF1212" s="1" t="str">
        <f>HYPERLINK("http://dx.doi.org/10.1080/09205063.2016.1268461","http://dx.doi.org/10.1080/09205063.2016.1268461")</f>
        <v>http://dx.doi.org/10.1080/09205063.2016.1268461</v>
      </c>
      <c r="BG1212" s="1"/>
      <c r="BH1212" s="1"/>
      <c r="BI1212" s="1"/>
      <c r="BJ1212" s="1"/>
      <c r="BK1212" s="1"/>
      <c r="BL1212" s="1"/>
      <c r="BM1212" s="1"/>
      <c r="BN1212" s="1">
        <v>27929366</v>
      </c>
      <c r="BO1212" s="1"/>
      <c r="BP1212" s="1"/>
      <c r="BQ1212" s="1"/>
      <c r="BR1212" s="1"/>
      <c r="BS1212" s="1" t="s">
        <v>7891</v>
      </c>
      <c r="BT1212" s="1" t="str">
        <f>HYPERLINK("https%3A%2F%2Fwww.webofscience.com%2Fwos%2Fwoscc%2Ffull-record%2FWOS:000391090000006","View Full Record in Web of Science")</f>
        <v>View Full Record in Web of Science</v>
      </c>
      <c r="BU1212" s="1"/>
      <c r="BV1212" s="1"/>
      <c r="BW1212" s="1"/>
    </row>
    <row r="1213" spans="1:75" customHeight="1" ht="12.75">
      <c r="A1213" s="1" t="s">
        <v>72</v>
      </c>
      <c r="B1213" s="1" t="s">
        <v>7892</v>
      </c>
      <c r="C1213" s="1"/>
      <c r="D1213" s="1"/>
      <c r="E1213" s="1"/>
      <c r="F1213" s="1" t="s">
        <v>7893</v>
      </c>
      <c r="G1213" s="1"/>
      <c r="H1213" s="1"/>
      <c r="I1213" s="1" t="s">
        <v>7894</v>
      </c>
      <c r="J1213" s="1" t="s">
        <v>3610</v>
      </c>
      <c r="K1213" s="1"/>
      <c r="L1213" s="1"/>
      <c r="M1213" s="1"/>
      <c r="N1213" s="1"/>
      <c r="O1213" s="1"/>
      <c r="P1213" s="1"/>
      <c r="Q1213" s="1"/>
      <c r="R1213" s="1"/>
      <c r="S1213" s="1"/>
      <c r="T1213" s="1"/>
      <c r="U1213" s="1"/>
      <c r="V1213" s="1"/>
      <c r="W1213" s="1"/>
      <c r="X1213" s="1"/>
      <c r="Y1213" s="1"/>
      <c r="Z1213" s="1"/>
      <c r="AA1213" s="1" t="s">
        <v>7895</v>
      </c>
      <c r="AB1213" s="1" t="s">
        <v>7896</v>
      </c>
      <c r="AC1213" s="1"/>
      <c r="AD1213" s="1"/>
      <c r="AE1213" s="1"/>
      <c r="AF1213" s="1"/>
      <c r="AG1213" s="1"/>
      <c r="AH1213" s="1"/>
      <c r="AI1213" s="1"/>
      <c r="AJ1213" s="1"/>
      <c r="AK1213" s="1"/>
      <c r="AL1213" s="1"/>
      <c r="AM1213" s="1"/>
      <c r="AN1213" s="1"/>
      <c r="AO1213" s="1" t="s">
        <v>3613</v>
      </c>
      <c r="AP1213" s="1" t="s">
        <v>4602</v>
      </c>
      <c r="AQ1213" s="1"/>
      <c r="AR1213" s="1"/>
      <c r="AS1213" s="1"/>
      <c r="AT1213" s="1" t="s">
        <v>125</v>
      </c>
      <c r="AU1213" s="1">
        <v>2018</v>
      </c>
      <c r="AV1213" s="1">
        <v>51</v>
      </c>
      <c r="AW1213" s="1">
        <v>7</v>
      </c>
      <c r="AX1213" s="1"/>
      <c r="AY1213" s="1"/>
      <c r="AZ1213" s="1"/>
      <c r="BA1213" s="1"/>
      <c r="BB1213" s="1">
        <v>857</v>
      </c>
      <c r="BC1213" s="1">
        <v>864</v>
      </c>
      <c r="BD1213" s="1"/>
      <c r="BE1213" s="1" t="s">
        <v>7897</v>
      </c>
      <c r="BF1213" s="1" t="str">
        <f>HYPERLINK("http://dx.doi.org/10.1134/S1064229318050113","http://dx.doi.org/10.1134/S1064229318050113")</f>
        <v>http://dx.doi.org/10.1134/S1064229318050113</v>
      </c>
      <c r="BG1213" s="1"/>
      <c r="BH1213" s="1"/>
      <c r="BI1213" s="1"/>
      <c r="BJ1213" s="1"/>
      <c r="BK1213" s="1"/>
      <c r="BL1213" s="1"/>
      <c r="BM1213" s="1"/>
      <c r="BN1213" s="1"/>
      <c r="BO1213" s="1"/>
      <c r="BP1213" s="1"/>
      <c r="BQ1213" s="1"/>
      <c r="BR1213" s="1"/>
      <c r="BS1213" s="1" t="s">
        <v>7898</v>
      </c>
      <c r="BT1213" s="1" t="str">
        <f>HYPERLINK("https%3A%2F%2Fwww.webofscience.com%2Fwos%2Fwoscc%2Ffull-record%2FWOS:000441009400011","View Full Record in Web of Science")</f>
        <v>View Full Record in Web of Science</v>
      </c>
      <c r="BU1213" s="1"/>
      <c r="BV1213" s="1"/>
      <c r="BW1213" s="1"/>
    </row>
    <row r="1214" spans="1:75" customHeight="1" ht="12.75">
      <c r="A1214" s="1" t="s">
        <v>72</v>
      </c>
      <c r="B1214" s="1" t="s">
        <v>7899</v>
      </c>
      <c r="C1214" s="1"/>
      <c r="D1214" s="1"/>
      <c r="E1214" s="1"/>
      <c r="F1214" s="1" t="s">
        <v>7900</v>
      </c>
      <c r="G1214" s="1"/>
      <c r="H1214" s="1"/>
      <c r="I1214" s="1" t="s">
        <v>7901</v>
      </c>
      <c r="J1214" s="1" t="s">
        <v>95</v>
      </c>
      <c r="K1214" s="1"/>
      <c r="L1214" s="1"/>
      <c r="M1214" s="1"/>
      <c r="N1214" s="1"/>
      <c r="O1214" s="1"/>
      <c r="P1214" s="1"/>
      <c r="Q1214" s="1"/>
      <c r="R1214" s="1"/>
      <c r="S1214" s="1"/>
      <c r="T1214" s="1"/>
      <c r="U1214" s="1"/>
      <c r="V1214" s="1"/>
      <c r="W1214" s="1"/>
      <c r="X1214" s="1"/>
      <c r="Y1214" s="1"/>
      <c r="Z1214" s="1"/>
      <c r="AA1214" s="1"/>
      <c r="AB1214" s="1"/>
      <c r="AC1214" s="1"/>
      <c r="AD1214" s="1"/>
      <c r="AE1214" s="1"/>
      <c r="AF1214" s="1"/>
      <c r="AG1214" s="1"/>
      <c r="AH1214" s="1"/>
      <c r="AI1214" s="1"/>
      <c r="AJ1214" s="1"/>
      <c r="AK1214" s="1"/>
      <c r="AL1214" s="1"/>
      <c r="AM1214" s="1"/>
      <c r="AN1214" s="1"/>
      <c r="AO1214" s="1" t="s">
        <v>98</v>
      </c>
      <c r="AP1214" s="1" t="s">
        <v>99</v>
      </c>
      <c r="AQ1214" s="1"/>
      <c r="AR1214" s="1"/>
      <c r="AS1214" s="1"/>
      <c r="AT1214" s="1"/>
      <c r="AU1214" s="1">
        <v>2022</v>
      </c>
      <c r="AV1214" s="1"/>
      <c r="AW1214" s="1">
        <v>2</v>
      </c>
      <c r="AX1214" s="1"/>
      <c r="AY1214" s="1"/>
      <c r="AZ1214" s="1"/>
      <c r="BA1214" s="1"/>
      <c r="BB1214" s="1">
        <v>84</v>
      </c>
      <c r="BC1214" s="1">
        <v>92</v>
      </c>
      <c r="BD1214" s="1"/>
      <c r="BE1214" s="1" t="s">
        <v>7902</v>
      </c>
      <c r="BF1214" s="1" t="str">
        <f>HYPERLINK("http://dx.doi.org/10.25750/1995-4301-2022-2-084-092","http://dx.doi.org/10.25750/1995-4301-2022-2-084-092")</f>
        <v>http://dx.doi.org/10.25750/1995-4301-2022-2-084-092</v>
      </c>
      <c r="BG1214" s="1"/>
      <c r="BH1214" s="1"/>
      <c r="BI1214" s="1"/>
      <c r="BJ1214" s="1"/>
      <c r="BK1214" s="1"/>
      <c r="BL1214" s="1"/>
      <c r="BM1214" s="1"/>
      <c r="BN1214" s="1"/>
      <c r="BO1214" s="1"/>
      <c r="BP1214" s="1"/>
      <c r="BQ1214" s="1"/>
      <c r="BR1214" s="1"/>
      <c r="BS1214" s="1" t="s">
        <v>7903</v>
      </c>
      <c r="BT1214" s="1" t="str">
        <f>HYPERLINK("https%3A%2F%2Fwww.webofscience.com%2Fwos%2Fwoscc%2Ffull-record%2FWOS:000820802000011","View Full Record in Web of Science")</f>
        <v>View Full Record in Web of Science</v>
      </c>
      <c r="BU1214" s="1"/>
      <c r="BV1214" s="1"/>
      <c r="BW1214" s="1"/>
    </row>
    <row r="1215" spans="1:75" customHeight="1" ht="12.75">
      <c r="A1215" s="1" t="s">
        <v>72</v>
      </c>
      <c r="B1215" s="1" t="s">
        <v>7904</v>
      </c>
      <c r="C1215" s="1"/>
      <c r="D1215" s="1"/>
      <c r="E1215" s="1"/>
      <c r="F1215" s="1" t="s">
        <v>7905</v>
      </c>
      <c r="G1215" s="1"/>
      <c r="H1215" s="1"/>
      <c r="I1215" s="1" t="s">
        <v>7906</v>
      </c>
      <c r="J1215" s="1" t="s">
        <v>95</v>
      </c>
      <c r="K1215" s="1"/>
      <c r="L1215" s="1"/>
      <c r="M1215" s="1"/>
      <c r="N1215" s="1"/>
      <c r="O1215" s="1"/>
      <c r="P1215" s="1"/>
      <c r="Q1215" s="1"/>
      <c r="R1215" s="1"/>
      <c r="S1215" s="1"/>
      <c r="T1215" s="1"/>
      <c r="U1215" s="1"/>
      <c r="V1215" s="1"/>
      <c r="W1215" s="1"/>
      <c r="X1215" s="1"/>
      <c r="Y1215" s="1"/>
      <c r="Z1215" s="1"/>
      <c r="AA1215" s="1" t="s">
        <v>7907</v>
      </c>
      <c r="AB1215" s="1" t="s">
        <v>7908</v>
      </c>
      <c r="AC1215" s="1"/>
      <c r="AD1215" s="1"/>
      <c r="AE1215" s="1"/>
      <c r="AF1215" s="1"/>
      <c r="AG1215" s="1"/>
      <c r="AH1215" s="1"/>
      <c r="AI1215" s="1"/>
      <c r="AJ1215" s="1"/>
      <c r="AK1215" s="1"/>
      <c r="AL1215" s="1"/>
      <c r="AM1215" s="1"/>
      <c r="AN1215" s="1"/>
      <c r="AO1215" s="1" t="s">
        <v>98</v>
      </c>
      <c r="AP1215" s="1" t="s">
        <v>99</v>
      </c>
      <c r="AQ1215" s="1"/>
      <c r="AR1215" s="1"/>
      <c r="AS1215" s="1"/>
      <c r="AT1215" s="1"/>
      <c r="AU1215" s="1">
        <v>2019</v>
      </c>
      <c r="AV1215" s="1"/>
      <c r="AW1215" s="1">
        <v>3</v>
      </c>
      <c r="AX1215" s="1"/>
      <c r="AY1215" s="1"/>
      <c r="AZ1215" s="1"/>
      <c r="BA1215" s="1"/>
      <c r="BB1215" s="1">
        <v>28</v>
      </c>
      <c r="BC1215" s="1">
        <v>33</v>
      </c>
      <c r="BD1215" s="1"/>
      <c r="BE1215" s="1" t="s">
        <v>7909</v>
      </c>
      <c r="BF1215" s="1" t="str">
        <f>HYPERLINK("http://dx.doi.org/10.25750/1995-4301-2019-3-028-033","http://dx.doi.org/10.25750/1995-4301-2019-3-028-033")</f>
        <v>http://dx.doi.org/10.25750/1995-4301-2019-3-028-033</v>
      </c>
      <c r="BG1215" s="1"/>
      <c r="BH1215" s="1"/>
      <c r="BI1215" s="1"/>
      <c r="BJ1215" s="1"/>
      <c r="BK1215" s="1"/>
      <c r="BL1215" s="1"/>
      <c r="BM1215" s="1"/>
      <c r="BN1215" s="1"/>
      <c r="BO1215" s="1"/>
      <c r="BP1215" s="1"/>
      <c r="BQ1215" s="1"/>
      <c r="BR1215" s="1"/>
      <c r="BS1215" s="1" t="s">
        <v>7910</v>
      </c>
      <c r="BT1215" s="1" t="str">
        <f>HYPERLINK("https%3A%2F%2Fwww.webofscience.com%2Fwos%2Fwoscc%2Ffull-record%2FWOS:000490704900004","View Full Record in Web of Science")</f>
        <v>View Full Record in Web of Science</v>
      </c>
      <c r="BU1215" s="1"/>
      <c r="BV1215" s="1"/>
      <c r="BW1215" s="1"/>
    </row>
    <row r="1216" spans="1:75" customHeight="1" ht="12.75">
      <c r="A1216" s="1" t="s">
        <v>72</v>
      </c>
      <c r="B1216" s="1" t="s">
        <v>7911</v>
      </c>
      <c r="C1216" s="1"/>
      <c r="D1216" s="1"/>
      <c r="E1216" s="1"/>
      <c r="F1216" s="1" t="s">
        <v>7912</v>
      </c>
      <c r="G1216" s="1"/>
      <c r="H1216" s="1"/>
      <c r="I1216" s="1" t="s">
        <v>7913</v>
      </c>
      <c r="J1216" s="1" t="s">
        <v>3610</v>
      </c>
      <c r="K1216" s="1"/>
      <c r="L1216" s="1"/>
      <c r="M1216" s="1"/>
      <c r="N1216" s="1"/>
      <c r="O1216" s="1"/>
      <c r="P1216" s="1"/>
      <c r="Q1216" s="1"/>
      <c r="R1216" s="1"/>
      <c r="S1216" s="1"/>
      <c r="T1216" s="1"/>
      <c r="U1216" s="1"/>
      <c r="V1216" s="1"/>
      <c r="W1216" s="1"/>
      <c r="X1216" s="1"/>
      <c r="Y1216" s="1"/>
      <c r="Z1216" s="1"/>
      <c r="AA1216" s="1" t="s">
        <v>7914</v>
      </c>
      <c r="AB1216" s="1" t="s">
        <v>7915</v>
      </c>
      <c r="AC1216" s="1"/>
      <c r="AD1216" s="1"/>
      <c r="AE1216" s="1"/>
      <c r="AF1216" s="1"/>
      <c r="AG1216" s="1"/>
      <c r="AH1216" s="1"/>
      <c r="AI1216" s="1"/>
      <c r="AJ1216" s="1"/>
      <c r="AK1216" s="1"/>
      <c r="AL1216" s="1"/>
      <c r="AM1216" s="1"/>
      <c r="AN1216" s="1"/>
      <c r="AO1216" s="1" t="s">
        <v>3613</v>
      </c>
      <c r="AP1216" s="1" t="s">
        <v>4602</v>
      </c>
      <c r="AQ1216" s="1"/>
      <c r="AR1216" s="1"/>
      <c r="AS1216" s="1"/>
      <c r="AT1216" s="1" t="s">
        <v>541</v>
      </c>
      <c r="AU1216" s="1">
        <v>2017</v>
      </c>
      <c r="AV1216" s="1">
        <v>50</v>
      </c>
      <c r="AW1216" s="1">
        <v>1</v>
      </c>
      <c r="AX1216" s="1"/>
      <c r="AY1216" s="1"/>
      <c r="AZ1216" s="1"/>
      <c r="BA1216" s="1"/>
      <c r="BB1216" s="1">
        <v>70</v>
      </c>
      <c r="BC1216" s="1">
        <v>77</v>
      </c>
      <c r="BD1216" s="1"/>
      <c r="BE1216" s="1" t="s">
        <v>7916</v>
      </c>
      <c r="BF1216" s="1" t="str">
        <f>HYPERLINK("http://dx.doi.org/10.1134/S106422931611003X","http://dx.doi.org/10.1134/S106422931611003X")</f>
        <v>http://dx.doi.org/10.1134/S106422931611003X</v>
      </c>
      <c r="BG1216" s="1"/>
      <c r="BH1216" s="1"/>
      <c r="BI1216" s="1"/>
      <c r="BJ1216" s="1"/>
      <c r="BK1216" s="1"/>
      <c r="BL1216" s="1"/>
      <c r="BM1216" s="1"/>
      <c r="BN1216" s="1"/>
      <c r="BO1216" s="1"/>
      <c r="BP1216" s="1"/>
      <c r="BQ1216" s="1"/>
      <c r="BR1216" s="1"/>
      <c r="BS1216" s="1" t="s">
        <v>7917</v>
      </c>
      <c r="BT1216" s="1" t="str">
        <f>HYPERLINK("https%3A%2F%2Fwww.webofscience.com%2Fwos%2Fwoscc%2Ffull-record%2FWOS:000395058300010","View Full Record in Web of Science")</f>
        <v>View Full Record in Web of Science</v>
      </c>
      <c r="BU1216" s="1"/>
      <c r="BV1216" s="1"/>
      <c r="BW1216" s="1"/>
    </row>
    <row r="1217" spans="1:75" customHeight="1" ht="12.75">
      <c r="A1217" s="1" t="s">
        <v>147</v>
      </c>
      <c r="B1217" s="1" t="s">
        <v>7918</v>
      </c>
      <c r="C1217" s="1"/>
      <c r="D1217" s="1"/>
      <c r="E1217" s="1" t="s">
        <v>175</v>
      </c>
      <c r="F1217" s="1" t="s">
        <v>7919</v>
      </c>
      <c r="G1217" s="1"/>
      <c r="H1217" s="1"/>
      <c r="I1217" s="1" t="s">
        <v>7920</v>
      </c>
      <c r="J1217" s="1" t="s">
        <v>2671</v>
      </c>
      <c r="K1217" s="1" t="s">
        <v>1576</v>
      </c>
      <c r="L1217" s="1"/>
      <c r="M1217" s="1"/>
      <c r="N1217" s="1"/>
      <c r="O1217" s="1" t="s">
        <v>2672</v>
      </c>
      <c r="P1217" s="1" t="s">
        <v>2673</v>
      </c>
      <c r="Q1217" s="1" t="s">
        <v>2674</v>
      </c>
      <c r="R1217" s="1"/>
      <c r="S1217" s="1" t="s">
        <v>2675</v>
      </c>
      <c r="T1217" s="1"/>
      <c r="U1217" s="1"/>
      <c r="V1217" s="1"/>
      <c r="W1217" s="1"/>
      <c r="X1217" s="1"/>
      <c r="Y1217" s="1"/>
      <c r="Z1217" s="1"/>
      <c r="AA1217" s="1" t="s">
        <v>5715</v>
      </c>
      <c r="AB1217" s="1" t="s">
        <v>5716</v>
      </c>
      <c r="AC1217" s="1"/>
      <c r="AD1217" s="1"/>
      <c r="AE1217" s="1"/>
      <c r="AF1217" s="1"/>
      <c r="AG1217" s="1"/>
      <c r="AH1217" s="1"/>
      <c r="AI1217" s="1"/>
      <c r="AJ1217" s="1"/>
      <c r="AK1217" s="1"/>
      <c r="AL1217" s="1"/>
      <c r="AM1217" s="1"/>
      <c r="AN1217" s="1"/>
      <c r="AO1217" s="1" t="s">
        <v>1581</v>
      </c>
      <c r="AP1217" s="1"/>
      <c r="AQ1217" s="1"/>
      <c r="AR1217" s="1"/>
      <c r="AS1217" s="1"/>
      <c r="AT1217" s="1"/>
      <c r="AU1217" s="1">
        <v>2017</v>
      </c>
      <c r="AV1217" s="1">
        <v>90</v>
      </c>
      <c r="AW1217" s="1"/>
      <c r="AX1217" s="1"/>
      <c r="AY1217" s="1"/>
      <c r="AZ1217" s="1"/>
      <c r="BA1217" s="1"/>
      <c r="BB1217" s="1"/>
      <c r="BC1217" s="1"/>
      <c r="BD1217" s="1">
        <v>12138</v>
      </c>
      <c r="BE1217" s="1" t="s">
        <v>7921</v>
      </c>
      <c r="BF1217" s="1" t="str">
        <f>HYPERLINK("http://dx.doi.org/10.1088/1755-1315/90/1/012138","http://dx.doi.org/10.1088/1755-1315/90/1/012138")</f>
        <v>http://dx.doi.org/10.1088/1755-1315/90/1/012138</v>
      </c>
      <c r="BG1217" s="1"/>
      <c r="BH1217" s="1"/>
      <c r="BI1217" s="1"/>
      <c r="BJ1217" s="1"/>
      <c r="BK1217" s="1"/>
      <c r="BL1217" s="1"/>
      <c r="BM1217" s="1"/>
      <c r="BN1217" s="1"/>
      <c r="BO1217" s="1"/>
      <c r="BP1217" s="1"/>
      <c r="BQ1217" s="1"/>
      <c r="BR1217" s="1"/>
      <c r="BS1217" s="1" t="s">
        <v>7922</v>
      </c>
      <c r="BT1217" s="1" t="str">
        <f>HYPERLINK("https%3A%2F%2Fwww.webofscience.com%2Fwos%2Fwoscc%2Ffull-record%2FWOS:000419816700138","View Full Record in Web of Science")</f>
        <v>View Full Record in Web of Science</v>
      </c>
      <c r="BU1217" s="1"/>
      <c r="BV1217" s="1"/>
      <c r="BW1217" s="1"/>
    </row>
    <row r="1218" spans="1:75" customHeight="1" ht="12.75">
      <c r="A1218" s="1" t="s">
        <v>72</v>
      </c>
      <c r="B1218" s="1" t="s">
        <v>7923</v>
      </c>
      <c r="C1218" s="1"/>
      <c r="D1218" s="1"/>
      <c r="E1218" s="1"/>
      <c r="F1218" s="1" t="s">
        <v>7924</v>
      </c>
      <c r="G1218" s="1"/>
      <c r="H1218" s="1"/>
      <c r="I1218" s="1" t="s">
        <v>7925</v>
      </c>
      <c r="J1218" s="1" t="s">
        <v>95</v>
      </c>
      <c r="K1218" s="1"/>
      <c r="L1218" s="1"/>
      <c r="M1218" s="1"/>
      <c r="N1218" s="1"/>
      <c r="O1218" s="1"/>
      <c r="P1218" s="1"/>
      <c r="Q1218" s="1"/>
      <c r="R1218" s="1"/>
      <c r="S1218" s="1"/>
      <c r="T1218" s="1"/>
      <c r="U1218" s="1"/>
      <c r="V1218" s="1"/>
      <c r="W1218" s="1"/>
      <c r="X1218" s="1"/>
      <c r="Y1218" s="1"/>
      <c r="Z1218" s="1"/>
      <c r="AA1218" s="1" t="s">
        <v>7769</v>
      </c>
      <c r="AB1218" s="1" t="s">
        <v>7770</v>
      </c>
      <c r="AC1218" s="1"/>
      <c r="AD1218" s="1"/>
      <c r="AE1218" s="1"/>
      <c r="AF1218" s="1"/>
      <c r="AG1218" s="1"/>
      <c r="AH1218" s="1"/>
      <c r="AI1218" s="1"/>
      <c r="AJ1218" s="1"/>
      <c r="AK1218" s="1"/>
      <c r="AL1218" s="1"/>
      <c r="AM1218" s="1"/>
      <c r="AN1218" s="1"/>
      <c r="AO1218" s="1" t="s">
        <v>98</v>
      </c>
      <c r="AP1218" s="1" t="s">
        <v>99</v>
      </c>
      <c r="AQ1218" s="1"/>
      <c r="AR1218" s="1"/>
      <c r="AS1218" s="1"/>
      <c r="AT1218" s="1"/>
      <c r="AU1218" s="1">
        <v>2021</v>
      </c>
      <c r="AV1218" s="1"/>
      <c r="AW1218" s="1">
        <v>3</v>
      </c>
      <c r="AX1218" s="1"/>
      <c r="AY1218" s="1"/>
      <c r="AZ1218" s="1"/>
      <c r="BA1218" s="1"/>
      <c r="BB1218" s="1">
        <v>44</v>
      </c>
      <c r="BC1218" s="1">
        <v>51</v>
      </c>
      <c r="BD1218" s="1"/>
      <c r="BE1218" s="1" t="s">
        <v>7926</v>
      </c>
      <c r="BF1218" s="1" t="str">
        <f>HYPERLINK("http://dx.doi.org/10.25750/1995-4301-2021-3-044-051","http://dx.doi.org/10.25750/1995-4301-2021-3-044-051")</f>
        <v>http://dx.doi.org/10.25750/1995-4301-2021-3-044-051</v>
      </c>
      <c r="BG1218" s="1"/>
      <c r="BH1218" s="1"/>
      <c r="BI1218" s="1"/>
      <c r="BJ1218" s="1"/>
      <c r="BK1218" s="1"/>
      <c r="BL1218" s="1"/>
      <c r="BM1218" s="1"/>
      <c r="BN1218" s="1"/>
      <c r="BO1218" s="1"/>
      <c r="BP1218" s="1"/>
      <c r="BQ1218" s="1"/>
      <c r="BR1218" s="1"/>
      <c r="BS1218" s="1" t="s">
        <v>7927</v>
      </c>
      <c r="BT1218" s="1" t="str">
        <f>HYPERLINK("https%3A%2F%2Fwww.webofscience.com%2Fwos%2Fwoscc%2Ffull-record%2FWOS:000700413300006","View Full Record in Web of Science")</f>
        <v>View Full Record in Web of Science</v>
      </c>
      <c r="BU1218" s="1"/>
      <c r="BV1218" s="1"/>
      <c r="BW1218" s="1"/>
    </row>
    <row r="1219" spans="1:75" customHeight="1" ht="12.75">
      <c r="A1219" s="1" t="s">
        <v>147</v>
      </c>
      <c r="B1219" s="1" t="s">
        <v>7928</v>
      </c>
      <c r="C1219" s="1"/>
      <c r="D1219" s="1" t="s">
        <v>1876</v>
      </c>
      <c r="E1219" s="1"/>
      <c r="F1219" s="1" t="s">
        <v>7929</v>
      </c>
      <c r="G1219" s="1"/>
      <c r="H1219" s="1"/>
      <c r="I1219" s="1" t="s">
        <v>7930</v>
      </c>
      <c r="J1219" s="1" t="s">
        <v>1879</v>
      </c>
      <c r="K1219" s="1" t="s">
        <v>1276</v>
      </c>
      <c r="L1219" s="1"/>
      <c r="M1219" s="1"/>
      <c r="N1219" s="1"/>
      <c r="O1219" s="1" t="s">
        <v>1880</v>
      </c>
      <c r="P1219" s="1" t="s">
        <v>1881</v>
      </c>
      <c r="Q1219" s="1" t="s">
        <v>1882</v>
      </c>
      <c r="R1219" s="1" t="s">
        <v>1883</v>
      </c>
      <c r="S1219" s="1" t="s">
        <v>1884</v>
      </c>
      <c r="T1219" s="1"/>
      <c r="U1219" s="1"/>
      <c r="V1219" s="1"/>
      <c r="W1219" s="1"/>
      <c r="X1219" s="1"/>
      <c r="Y1219" s="1"/>
      <c r="Z1219" s="1"/>
      <c r="AA1219" s="1" t="s">
        <v>1885</v>
      </c>
      <c r="AB1219" s="1" t="s">
        <v>1886</v>
      </c>
      <c r="AC1219" s="1"/>
      <c r="AD1219" s="1"/>
      <c r="AE1219" s="1"/>
      <c r="AF1219" s="1"/>
      <c r="AG1219" s="1"/>
      <c r="AH1219" s="1"/>
      <c r="AI1219" s="1"/>
      <c r="AJ1219" s="1"/>
      <c r="AK1219" s="1"/>
      <c r="AL1219" s="1"/>
      <c r="AM1219" s="1"/>
      <c r="AN1219" s="1"/>
      <c r="AO1219" s="1" t="s">
        <v>1282</v>
      </c>
      <c r="AP1219" s="1"/>
      <c r="AQ1219" s="1"/>
      <c r="AR1219" s="1"/>
      <c r="AS1219" s="1"/>
      <c r="AT1219" s="1"/>
      <c r="AU1219" s="1">
        <v>2017</v>
      </c>
      <c r="AV1219" s="1">
        <v>106</v>
      </c>
      <c r="AW1219" s="1"/>
      <c r="AX1219" s="1"/>
      <c r="AY1219" s="1"/>
      <c r="AZ1219" s="1"/>
      <c r="BA1219" s="1"/>
      <c r="BB1219" s="1"/>
      <c r="BC1219" s="1"/>
      <c r="BD1219" s="1">
        <v>8087</v>
      </c>
      <c r="BE1219" s="1" t="s">
        <v>7931</v>
      </c>
      <c r="BF1219" s="1" t="str">
        <f>HYPERLINK("http://dx.doi.org/10.1051/matecconf/201710608087","http://dx.doi.org/10.1051/matecconf/201710608087")</f>
        <v>http://dx.doi.org/10.1051/matecconf/201710608087</v>
      </c>
      <c r="BG1219" s="1"/>
      <c r="BH1219" s="1"/>
      <c r="BI1219" s="1"/>
      <c r="BJ1219" s="1"/>
      <c r="BK1219" s="1"/>
      <c r="BL1219" s="1"/>
      <c r="BM1219" s="1"/>
      <c r="BN1219" s="1"/>
      <c r="BO1219" s="1"/>
      <c r="BP1219" s="1"/>
      <c r="BQ1219" s="1"/>
      <c r="BR1219" s="1"/>
      <c r="BS1219" s="1" t="s">
        <v>7932</v>
      </c>
      <c r="BT1219" s="1" t="str">
        <f>HYPERLINK("https%3A%2F%2Fwww.webofscience.com%2Fwos%2Fwoscc%2Ffull-record%2FWOS:000426426600272","View Full Record in Web of Science")</f>
        <v>View Full Record in Web of Science</v>
      </c>
      <c r="BU1219" s="1"/>
      <c r="BV1219" s="1"/>
      <c r="BW1219" s="1"/>
    </row>
    <row r="1220" spans="1:75" customHeight="1" ht="12.75">
      <c r="A1220" s="1" t="s">
        <v>72</v>
      </c>
      <c r="B1220" s="1" t="s">
        <v>7933</v>
      </c>
      <c r="C1220" s="1"/>
      <c r="D1220" s="1"/>
      <c r="E1220" s="1"/>
      <c r="F1220" s="1" t="s">
        <v>7934</v>
      </c>
      <c r="G1220" s="1"/>
      <c r="H1220" s="1"/>
      <c r="I1220" s="1" t="s">
        <v>7935</v>
      </c>
      <c r="J1220" s="1" t="s">
        <v>95</v>
      </c>
      <c r="K1220" s="1"/>
      <c r="L1220" s="1"/>
      <c r="M1220" s="1"/>
      <c r="N1220" s="1"/>
      <c r="O1220" s="1"/>
      <c r="P1220" s="1"/>
      <c r="Q1220" s="1"/>
      <c r="R1220" s="1"/>
      <c r="S1220" s="1"/>
      <c r="T1220" s="1"/>
      <c r="U1220" s="1"/>
      <c r="V1220" s="1"/>
      <c r="W1220" s="1"/>
      <c r="X1220" s="1"/>
      <c r="Y1220" s="1"/>
      <c r="Z1220" s="1"/>
      <c r="AA1220" s="1"/>
      <c r="AB1220" s="1"/>
      <c r="AC1220" s="1"/>
      <c r="AD1220" s="1"/>
      <c r="AE1220" s="1"/>
      <c r="AF1220" s="1"/>
      <c r="AG1220" s="1"/>
      <c r="AH1220" s="1"/>
      <c r="AI1220" s="1"/>
      <c r="AJ1220" s="1"/>
      <c r="AK1220" s="1"/>
      <c r="AL1220" s="1"/>
      <c r="AM1220" s="1"/>
      <c r="AN1220" s="1"/>
      <c r="AO1220" s="1" t="s">
        <v>98</v>
      </c>
      <c r="AP1220" s="1" t="s">
        <v>99</v>
      </c>
      <c r="AQ1220" s="1"/>
      <c r="AR1220" s="1"/>
      <c r="AS1220" s="1"/>
      <c r="AT1220" s="1"/>
      <c r="AU1220" s="1">
        <v>2021</v>
      </c>
      <c r="AV1220" s="1"/>
      <c r="AW1220" s="1">
        <v>4</v>
      </c>
      <c r="AX1220" s="1"/>
      <c r="AY1220" s="1"/>
      <c r="AZ1220" s="1"/>
      <c r="BA1220" s="1"/>
      <c r="BB1220" s="1">
        <v>230</v>
      </c>
      <c r="BC1220" s="1">
        <v>236</v>
      </c>
      <c r="BD1220" s="1"/>
      <c r="BE1220" s="1" t="s">
        <v>7936</v>
      </c>
      <c r="BF1220" s="1" t="str">
        <f>HYPERLINK("http://dx.doi.org/10.25750/1995-4301-2021-4-230-236","http://dx.doi.org/10.25750/1995-4301-2021-4-230-236")</f>
        <v>http://dx.doi.org/10.25750/1995-4301-2021-4-230-236</v>
      </c>
      <c r="BG1220" s="1"/>
      <c r="BH1220" s="1"/>
      <c r="BI1220" s="1"/>
      <c r="BJ1220" s="1"/>
      <c r="BK1220" s="1"/>
      <c r="BL1220" s="1"/>
      <c r="BM1220" s="1"/>
      <c r="BN1220" s="1"/>
      <c r="BO1220" s="1"/>
      <c r="BP1220" s="1"/>
      <c r="BQ1220" s="1"/>
      <c r="BR1220" s="1"/>
      <c r="BS1220" s="1" t="s">
        <v>7937</v>
      </c>
      <c r="BT1220" s="1" t="str">
        <f>HYPERLINK("https%3A%2F%2Fwww.webofscience.com%2Fwos%2Fwoscc%2Ffull-record%2FWOS:000755154100033","View Full Record in Web of Science")</f>
        <v>View Full Record in Web of Science</v>
      </c>
      <c r="BU1220" s="1"/>
      <c r="BV1220" s="1"/>
      <c r="BW1220" s="1"/>
    </row>
    <row r="1221" spans="1:75" customHeight="1" ht="12.75">
      <c r="A1221" s="1" t="s">
        <v>72</v>
      </c>
      <c r="B1221" s="1" t="s">
        <v>7938</v>
      </c>
      <c r="C1221" s="1"/>
      <c r="D1221" s="1"/>
      <c r="E1221" s="1"/>
      <c r="F1221" s="1" t="s">
        <v>7939</v>
      </c>
      <c r="G1221" s="1"/>
      <c r="H1221" s="1"/>
      <c r="I1221" s="1" t="s">
        <v>7940</v>
      </c>
      <c r="J1221" s="1" t="s">
        <v>95</v>
      </c>
      <c r="K1221" s="1"/>
      <c r="L1221" s="1"/>
      <c r="M1221" s="1"/>
      <c r="N1221" s="1"/>
      <c r="O1221" s="1"/>
      <c r="P1221" s="1"/>
      <c r="Q1221" s="1"/>
      <c r="R1221" s="1"/>
      <c r="S1221" s="1"/>
      <c r="T1221" s="1"/>
      <c r="U1221" s="1"/>
      <c r="V1221" s="1"/>
      <c r="W1221" s="1"/>
      <c r="X1221" s="1"/>
      <c r="Y1221" s="1"/>
      <c r="Z1221" s="1"/>
      <c r="AA1221" s="1" t="s">
        <v>7941</v>
      </c>
      <c r="AB1221" s="1" t="s">
        <v>7942</v>
      </c>
      <c r="AC1221" s="1"/>
      <c r="AD1221" s="1"/>
      <c r="AE1221" s="1"/>
      <c r="AF1221" s="1"/>
      <c r="AG1221" s="1"/>
      <c r="AH1221" s="1"/>
      <c r="AI1221" s="1"/>
      <c r="AJ1221" s="1"/>
      <c r="AK1221" s="1"/>
      <c r="AL1221" s="1"/>
      <c r="AM1221" s="1"/>
      <c r="AN1221" s="1"/>
      <c r="AO1221" s="1" t="s">
        <v>98</v>
      </c>
      <c r="AP1221" s="1" t="s">
        <v>99</v>
      </c>
      <c r="AQ1221" s="1"/>
      <c r="AR1221" s="1"/>
      <c r="AS1221" s="1"/>
      <c r="AT1221" s="1"/>
      <c r="AU1221" s="1">
        <v>2019</v>
      </c>
      <c r="AV1221" s="1"/>
      <c r="AW1221" s="1">
        <v>4</v>
      </c>
      <c r="AX1221" s="1"/>
      <c r="AY1221" s="1"/>
      <c r="AZ1221" s="1"/>
      <c r="BA1221" s="1"/>
      <c r="BB1221" s="1">
        <v>142</v>
      </c>
      <c r="BC1221" s="1">
        <v>149</v>
      </c>
      <c r="BD1221" s="1"/>
      <c r="BE1221" s="1" t="s">
        <v>7943</v>
      </c>
      <c r="BF1221" s="1" t="str">
        <f>HYPERLINK("http://dx.doi.org/10.25750/1995-4301-2019-4-142-149","http://dx.doi.org/10.25750/1995-4301-2019-4-142-149")</f>
        <v>http://dx.doi.org/10.25750/1995-4301-2019-4-142-149</v>
      </c>
      <c r="BG1221" s="1"/>
      <c r="BH1221" s="1"/>
      <c r="BI1221" s="1"/>
      <c r="BJ1221" s="1"/>
      <c r="BK1221" s="1"/>
      <c r="BL1221" s="1"/>
      <c r="BM1221" s="1"/>
      <c r="BN1221" s="1"/>
      <c r="BO1221" s="1"/>
      <c r="BP1221" s="1"/>
      <c r="BQ1221" s="1"/>
      <c r="BR1221" s="1"/>
      <c r="BS1221" s="1" t="s">
        <v>7944</v>
      </c>
      <c r="BT1221" s="1" t="str">
        <f>HYPERLINK("https%3A%2F%2Fwww.webofscience.com%2Fwos%2Fwoscc%2Ffull-record%2FWOS:000504049400020","View Full Record in Web of Science")</f>
        <v>View Full Record in Web of Science</v>
      </c>
      <c r="BU1221" s="1"/>
      <c r="BV1221" s="1"/>
      <c r="BW1221" s="1"/>
    </row>
    <row r="1222" spans="1:75" customHeight="1" ht="12.75">
      <c r="A1222" s="1" t="s">
        <v>72</v>
      </c>
      <c r="B1222" s="1" t="s">
        <v>7945</v>
      </c>
      <c r="C1222" s="1"/>
      <c r="D1222" s="1"/>
      <c r="E1222" s="1"/>
      <c r="F1222" s="1" t="s">
        <v>7946</v>
      </c>
      <c r="G1222" s="1"/>
      <c r="H1222" s="1"/>
      <c r="I1222" s="1" t="s">
        <v>7947</v>
      </c>
      <c r="J1222" s="1" t="s">
        <v>95</v>
      </c>
      <c r="K1222" s="1"/>
      <c r="L1222" s="1"/>
      <c r="M1222" s="1"/>
      <c r="N1222" s="1"/>
      <c r="O1222" s="1"/>
      <c r="P1222" s="1"/>
      <c r="Q1222" s="1"/>
      <c r="R1222" s="1"/>
      <c r="S1222" s="1"/>
      <c r="T1222" s="1"/>
      <c r="U1222" s="1"/>
      <c r="V1222" s="1"/>
      <c r="W1222" s="1"/>
      <c r="X1222" s="1"/>
      <c r="Y1222" s="1"/>
      <c r="Z1222" s="1"/>
      <c r="AA1222" s="1" t="s">
        <v>7769</v>
      </c>
      <c r="AB1222" s="1" t="s">
        <v>7770</v>
      </c>
      <c r="AC1222" s="1"/>
      <c r="AD1222" s="1"/>
      <c r="AE1222" s="1"/>
      <c r="AF1222" s="1"/>
      <c r="AG1222" s="1"/>
      <c r="AH1222" s="1"/>
      <c r="AI1222" s="1"/>
      <c r="AJ1222" s="1"/>
      <c r="AK1222" s="1"/>
      <c r="AL1222" s="1"/>
      <c r="AM1222" s="1"/>
      <c r="AN1222" s="1"/>
      <c r="AO1222" s="1" t="s">
        <v>98</v>
      </c>
      <c r="AP1222" s="1" t="s">
        <v>99</v>
      </c>
      <c r="AQ1222" s="1"/>
      <c r="AR1222" s="1"/>
      <c r="AS1222" s="1"/>
      <c r="AT1222" s="1"/>
      <c r="AU1222" s="1">
        <v>2019</v>
      </c>
      <c r="AV1222" s="1"/>
      <c r="AW1222" s="1">
        <v>4</v>
      </c>
      <c r="AX1222" s="1"/>
      <c r="AY1222" s="1"/>
      <c r="AZ1222" s="1"/>
      <c r="BA1222" s="1"/>
      <c r="BB1222" s="1">
        <v>102</v>
      </c>
      <c r="BC1222" s="1">
        <v>109</v>
      </c>
      <c r="BD1222" s="1"/>
      <c r="BE1222" s="1" t="s">
        <v>7948</v>
      </c>
      <c r="BF1222" s="1" t="str">
        <f>HYPERLINK("http://dx.doi.org/10.25750/1995-4301-2019-4-103-109","http://dx.doi.org/10.25750/1995-4301-2019-4-103-109")</f>
        <v>http://dx.doi.org/10.25750/1995-4301-2019-4-103-109</v>
      </c>
      <c r="BG1222" s="1"/>
      <c r="BH1222" s="1"/>
      <c r="BI1222" s="1"/>
      <c r="BJ1222" s="1"/>
      <c r="BK1222" s="1"/>
      <c r="BL1222" s="1"/>
      <c r="BM1222" s="1"/>
      <c r="BN1222" s="1"/>
      <c r="BO1222" s="1"/>
      <c r="BP1222" s="1"/>
      <c r="BQ1222" s="1"/>
      <c r="BR1222" s="1"/>
      <c r="BS1222" s="1" t="s">
        <v>7949</v>
      </c>
      <c r="BT1222" s="1" t="str">
        <f>HYPERLINK("https%3A%2F%2Fwww.webofscience.com%2Fwos%2Fwoscc%2Ffull-record%2FWOS:000504049400014","View Full Record in Web of Science")</f>
        <v>View Full Record in Web of Science</v>
      </c>
      <c r="BU1222" s="1"/>
      <c r="BV1222" s="1"/>
      <c r="BW1222" s="1"/>
    </row>
    <row r="1223" spans="1:75" customHeight="1" ht="12.75">
      <c r="A1223" s="1" t="s">
        <v>147</v>
      </c>
      <c r="B1223" s="1" t="s">
        <v>7950</v>
      </c>
      <c r="C1223" s="1"/>
      <c r="D1223" s="1" t="s">
        <v>7951</v>
      </c>
      <c r="E1223" s="1"/>
      <c r="F1223" s="1" t="s">
        <v>7952</v>
      </c>
      <c r="G1223" s="1"/>
      <c r="H1223" s="1"/>
      <c r="I1223" s="1" t="s">
        <v>7953</v>
      </c>
      <c r="J1223" s="1" t="s">
        <v>7954</v>
      </c>
      <c r="K1223" s="1" t="s">
        <v>1469</v>
      </c>
      <c r="L1223" s="1"/>
      <c r="M1223" s="1"/>
      <c r="N1223" s="1"/>
      <c r="O1223" s="1" t="s">
        <v>7955</v>
      </c>
      <c r="P1223" s="1" t="s">
        <v>7956</v>
      </c>
      <c r="Q1223" s="1" t="s">
        <v>7957</v>
      </c>
      <c r="R1223" s="1" t="s">
        <v>7958</v>
      </c>
      <c r="S1223" s="1"/>
      <c r="T1223" s="1"/>
      <c r="U1223" s="1"/>
      <c r="V1223" s="1"/>
      <c r="W1223" s="1"/>
      <c r="X1223" s="1"/>
      <c r="Y1223" s="1"/>
      <c r="Z1223" s="1"/>
      <c r="AA1223" s="1" t="s">
        <v>7959</v>
      </c>
      <c r="AB1223" s="1" t="s">
        <v>7960</v>
      </c>
      <c r="AC1223" s="1"/>
      <c r="AD1223" s="1"/>
      <c r="AE1223" s="1"/>
      <c r="AF1223" s="1"/>
      <c r="AG1223" s="1"/>
      <c r="AH1223" s="1"/>
      <c r="AI1223" s="1"/>
      <c r="AJ1223" s="1"/>
      <c r="AK1223" s="1"/>
      <c r="AL1223" s="1"/>
      <c r="AM1223" s="1"/>
      <c r="AN1223" s="1"/>
      <c r="AO1223" s="1" t="s">
        <v>1472</v>
      </c>
      <c r="AP1223" s="1"/>
      <c r="AQ1223" s="1"/>
      <c r="AR1223" s="1"/>
      <c r="AS1223" s="1"/>
      <c r="AT1223" s="1"/>
      <c r="AU1223" s="1">
        <v>2015</v>
      </c>
      <c r="AV1223" s="1">
        <v>98</v>
      </c>
      <c r="AW1223" s="1"/>
      <c r="AX1223" s="1"/>
      <c r="AY1223" s="1"/>
      <c r="AZ1223" s="1"/>
      <c r="BA1223" s="1"/>
      <c r="BB1223" s="1"/>
      <c r="BC1223" s="1"/>
      <c r="BD1223" s="1">
        <v>12038</v>
      </c>
      <c r="BE1223" s="1" t="s">
        <v>7961</v>
      </c>
      <c r="BF1223" s="1" t="str">
        <f>HYPERLINK("http://dx.doi.org/10.1088/1757-899X/98/1/012038","http://dx.doi.org/10.1088/1757-899X/98/1/012038")</f>
        <v>http://dx.doi.org/10.1088/1757-899X/98/1/012038</v>
      </c>
      <c r="BG1223" s="1"/>
      <c r="BH1223" s="1"/>
      <c r="BI1223" s="1"/>
      <c r="BJ1223" s="1"/>
      <c r="BK1223" s="1"/>
      <c r="BL1223" s="1"/>
      <c r="BM1223" s="1"/>
      <c r="BN1223" s="1"/>
      <c r="BO1223" s="1"/>
      <c r="BP1223" s="1"/>
      <c r="BQ1223" s="1"/>
      <c r="BR1223" s="1"/>
      <c r="BS1223" s="1" t="s">
        <v>7962</v>
      </c>
      <c r="BT1223" s="1" t="str">
        <f>HYPERLINK("https%3A%2F%2Fwww.webofscience.com%2Fwos%2Fwoscc%2Ffull-record%2FWOS:000365043400037","View Full Record in Web of Science")</f>
        <v>View Full Record in Web of Science</v>
      </c>
      <c r="BU1223" s="1"/>
      <c r="BV1223" s="1"/>
      <c r="BW1223" s="1"/>
    </row>
    <row r="1224" spans="1:75" customHeight="1" ht="12.75">
      <c r="A1224" s="1" t="s">
        <v>72</v>
      </c>
      <c r="B1224" s="1" t="s">
        <v>7963</v>
      </c>
      <c r="C1224" s="1"/>
      <c r="D1224" s="1"/>
      <c r="E1224" s="1"/>
      <c r="F1224" s="1" t="s">
        <v>7964</v>
      </c>
      <c r="G1224" s="1"/>
      <c r="H1224" s="1"/>
      <c r="I1224" s="1" t="s">
        <v>7965</v>
      </c>
      <c r="J1224" s="1" t="s">
        <v>7966</v>
      </c>
      <c r="K1224" s="1"/>
      <c r="L1224" s="1"/>
      <c r="M1224" s="1"/>
      <c r="N1224" s="1"/>
      <c r="O1224" s="1"/>
      <c r="P1224" s="1"/>
      <c r="Q1224" s="1"/>
      <c r="R1224" s="1"/>
      <c r="S1224" s="1"/>
      <c r="T1224" s="1"/>
      <c r="U1224" s="1"/>
      <c r="V1224" s="1"/>
      <c r="W1224" s="1"/>
      <c r="X1224" s="1"/>
      <c r="Y1224" s="1"/>
      <c r="Z1224" s="1"/>
      <c r="AA1224" s="1" t="s">
        <v>7967</v>
      </c>
      <c r="AB1224" s="1" t="s">
        <v>7968</v>
      </c>
      <c r="AC1224" s="1"/>
      <c r="AD1224" s="1"/>
      <c r="AE1224" s="1"/>
      <c r="AF1224" s="1"/>
      <c r="AG1224" s="1"/>
      <c r="AH1224" s="1"/>
      <c r="AI1224" s="1"/>
      <c r="AJ1224" s="1"/>
      <c r="AK1224" s="1"/>
      <c r="AL1224" s="1"/>
      <c r="AM1224" s="1"/>
      <c r="AN1224" s="1"/>
      <c r="AO1224" s="1" t="s">
        <v>7969</v>
      </c>
      <c r="AP1224" s="1"/>
      <c r="AQ1224" s="1"/>
      <c r="AR1224" s="1"/>
      <c r="AS1224" s="1"/>
      <c r="AT1224" s="1" t="s">
        <v>198</v>
      </c>
      <c r="AU1224" s="1">
        <v>2017</v>
      </c>
      <c r="AV1224" s="1">
        <v>12</v>
      </c>
      <c r="AW1224" s="1"/>
      <c r="AX1224" s="1"/>
      <c r="AY1224" s="1"/>
      <c r="AZ1224" s="1"/>
      <c r="BA1224" s="1"/>
      <c r="BB1224" s="1">
        <v>25</v>
      </c>
      <c r="BC1224" s="1">
        <v>27</v>
      </c>
      <c r="BD1224" s="1"/>
      <c r="BE1224" s="1" t="s">
        <v>7970</v>
      </c>
      <c r="BF1224" s="1" t="str">
        <f>HYPERLINK("http://dx.doi.org/10.1016/j.jasrep.2017.01.005","http://dx.doi.org/10.1016/j.jasrep.2017.01.005")</f>
        <v>http://dx.doi.org/10.1016/j.jasrep.2017.01.005</v>
      </c>
      <c r="BG1224" s="1"/>
      <c r="BH1224" s="1"/>
      <c r="BI1224" s="1"/>
      <c r="BJ1224" s="1"/>
      <c r="BK1224" s="1"/>
      <c r="BL1224" s="1"/>
      <c r="BM1224" s="1"/>
      <c r="BN1224" s="1"/>
      <c r="BO1224" s="1"/>
      <c r="BP1224" s="1"/>
      <c r="BQ1224" s="1"/>
      <c r="BR1224" s="1"/>
      <c r="BS1224" s="1" t="s">
        <v>7971</v>
      </c>
      <c r="BT1224" s="1" t="str">
        <f>HYPERLINK("https%3A%2F%2Fwww.webofscience.com%2Fwos%2Fwoscc%2Ffull-record%2FWOS:000415616300003","View Full Record in Web of Science")</f>
        <v>View Full Record in Web of Science</v>
      </c>
      <c r="BU1224" s="1"/>
      <c r="BV1224" s="1"/>
      <c r="BW1224" s="1"/>
    </row>
    <row r="1225" spans="1:75" customHeight="1" ht="12.75">
      <c r="A1225" s="1" t="s">
        <v>72</v>
      </c>
      <c r="B1225" s="1" t="s">
        <v>7933</v>
      </c>
      <c r="C1225" s="1"/>
      <c r="D1225" s="1"/>
      <c r="E1225" s="1"/>
      <c r="F1225" s="1" t="s">
        <v>7934</v>
      </c>
      <c r="G1225" s="1"/>
      <c r="H1225" s="1"/>
      <c r="I1225" s="1" t="s">
        <v>7972</v>
      </c>
      <c r="J1225" s="1" t="s">
        <v>95</v>
      </c>
      <c r="K1225" s="1"/>
      <c r="L1225" s="1"/>
      <c r="M1225" s="1"/>
      <c r="N1225" s="1"/>
      <c r="O1225" s="1"/>
      <c r="P1225" s="1"/>
      <c r="Q1225" s="1"/>
      <c r="R1225" s="1"/>
      <c r="S1225" s="1"/>
      <c r="T1225" s="1"/>
      <c r="U1225" s="1"/>
      <c r="V1225" s="1"/>
      <c r="W1225" s="1"/>
      <c r="X1225" s="1"/>
      <c r="Y1225" s="1"/>
      <c r="Z1225" s="1"/>
      <c r="AA1225" s="1" t="s">
        <v>7973</v>
      </c>
      <c r="AB1225" s="1" t="s">
        <v>7974</v>
      </c>
      <c r="AC1225" s="1"/>
      <c r="AD1225" s="1"/>
      <c r="AE1225" s="1"/>
      <c r="AF1225" s="1"/>
      <c r="AG1225" s="1"/>
      <c r="AH1225" s="1"/>
      <c r="AI1225" s="1"/>
      <c r="AJ1225" s="1"/>
      <c r="AK1225" s="1"/>
      <c r="AL1225" s="1"/>
      <c r="AM1225" s="1"/>
      <c r="AN1225" s="1"/>
      <c r="AO1225" s="1" t="s">
        <v>98</v>
      </c>
      <c r="AP1225" s="1" t="s">
        <v>99</v>
      </c>
      <c r="AQ1225" s="1"/>
      <c r="AR1225" s="1"/>
      <c r="AS1225" s="1"/>
      <c r="AT1225" s="1"/>
      <c r="AU1225" s="1">
        <v>2020</v>
      </c>
      <c r="AV1225" s="1"/>
      <c r="AW1225" s="1">
        <v>4</v>
      </c>
      <c r="AX1225" s="1"/>
      <c r="AY1225" s="1"/>
      <c r="AZ1225" s="1"/>
      <c r="BA1225" s="1"/>
      <c r="BB1225" s="1">
        <v>237</v>
      </c>
      <c r="BC1225" s="1">
        <v>241</v>
      </c>
      <c r="BD1225" s="1"/>
      <c r="BE1225" s="1" t="s">
        <v>7975</v>
      </c>
      <c r="BF1225" s="1" t="str">
        <f>HYPERLINK("http://dx.doi.org/10.25750/1995-4301-2020-4-237-241","http://dx.doi.org/10.25750/1995-4301-2020-4-237-241")</f>
        <v>http://dx.doi.org/10.25750/1995-4301-2020-4-237-241</v>
      </c>
      <c r="BG1225" s="1"/>
      <c r="BH1225" s="1"/>
      <c r="BI1225" s="1"/>
      <c r="BJ1225" s="1"/>
      <c r="BK1225" s="1"/>
      <c r="BL1225" s="1"/>
      <c r="BM1225" s="1"/>
      <c r="BN1225" s="1"/>
      <c r="BO1225" s="1"/>
      <c r="BP1225" s="1"/>
      <c r="BQ1225" s="1"/>
      <c r="BR1225" s="1"/>
      <c r="BS1225" s="1" t="s">
        <v>7976</v>
      </c>
      <c r="BT1225" s="1" t="str">
        <f>HYPERLINK("https%3A%2F%2Fwww.webofscience.com%2Fwos%2Fwoscc%2Ffull-record%2FWOS:000597810500036","View Full Record in Web of Science")</f>
        <v>View Full Record in Web of Science</v>
      </c>
      <c r="BU1225" s="1"/>
      <c r="BV1225" s="1"/>
      <c r="BW1225" s="1"/>
    </row>
    <row r="1226" spans="1:75" customHeight="1" ht="12.75">
      <c r="A1226" s="1" t="s">
        <v>72</v>
      </c>
      <c r="B1226" s="1" t="s">
        <v>7977</v>
      </c>
      <c r="C1226" s="1"/>
      <c r="D1226" s="1"/>
      <c r="E1226" s="1"/>
      <c r="F1226" s="1" t="s">
        <v>7978</v>
      </c>
      <c r="G1226" s="1"/>
      <c r="H1226" s="1"/>
      <c r="I1226" s="1" t="s">
        <v>7979</v>
      </c>
      <c r="J1226" s="1" t="s">
        <v>95</v>
      </c>
      <c r="K1226" s="1"/>
      <c r="L1226" s="1"/>
      <c r="M1226" s="1"/>
      <c r="N1226" s="1"/>
      <c r="O1226" s="1"/>
      <c r="P1226" s="1"/>
      <c r="Q1226" s="1"/>
      <c r="R1226" s="1"/>
      <c r="S1226" s="1"/>
      <c r="T1226" s="1"/>
      <c r="U1226" s="1"/>
      <c r="V1226" s="1"/>
      <c r="W1226" s="1"/>
      <c r="X1226" s="1"/>
      <c r="Y1226" s="1"/>
      <c r="Z1226" s="1"/>
      <c r="AA1226" s="1" t="s">
        <v>7980</v>
      </c>
      <c r="AB1226" s="1" t="s">
        <v>7981</v>
      </c>
      <c r="AC1226" s="1"/>
      <c r="AD1226" s="1"/>
      <c r="AE1226" s="1"/>
      <c r="AF1226" s="1"/>
      <c r="AG1226" s="1"/>
      <c r="AH1226" s="1"/>
      <c r="AI1226" s="1"/>
      <c r="AJ1226" s="1"/>
      <c r="AK1226" s="1"/>
      <c r="AL1226" s="1"/>
      <c r="AM1226" s="1"/>
      <c r="AN1226" s="1"/>
      <c r="AO1226" s="1" t="s">
        <v>98</v>
      </c>
      <c r="AP1226" s="1" t="s">
        <v>99</v>
      </c>
      <c r="AQ1226" s="1"/>
      <c r="AR1226" s="1"/>
      <c r="AS1226" s="1"/>
      <c r="AT1226" s="1"/>
      <c r="AU1226" s="1">
        <v>2020</v>
      </c>
      <c r="AV1226" s="1"/>
      <c r="AW1226" s="1">
        <v>2</v>
      </c>
      <c r="AX1226" s="1"/>
      <c r="AY1226" s="1"/>
      <c r="AZ1226" s="1"/>
      <c r="BA1226" s="1"/>
      <c r="BB1226" s="1">
        <v>14</v>
      </c>
      <c r="BC1226" s="1">
        <v>25</v>
      </c>
      <c r="BD1226" s="1"/>
      <c r="BE1226" s="1" t="s">
        <v>7982</v>
      </c>
      <c r="BF1226" s="1" t="str">
        <f>HYPERLINK("http://dx.doi.org/10.25750/1995-4301-2020-2-014-025","http://dx.doi.org/10.25750/1995-4301-2020-2-014-025")</f>
        <v>http://dx.doi.org/10.25750/1995-4301-2020-2-014-025</v>
      </c>
      <c r="BG1226" s="1"/>
      <c r="BH1226" s="1"/>
      <c r="BI1226" s="1"/>
      <c r="BJ1226" s="1"/>
      <c r="BK1226" s="1"/>
      <c r="BL1226" s="1"/>
      <c r="BM1226" s="1"/>
      <c r="BN1226" s="1"/>
      <c r="BO1226" s="1"/>
      <c r="BP1226" s="1"/>
      <c r="BQ1226" s="1"/>
      <c r="BR1226" s="1"/>
      <c r="BS1226" s="1" t="s">
        <v>7983</v>
      </c>
      <c r="BT1226" s="1" t="str">
        <f>HYPERLINK("https%3A%2F%2Fwww.webofscience.com%2Fwos%2Fwoscc%2Ffull-record%2FWOS:000545295600002","View Full Record in Web of Science")</f>
        <v>View Full Record in Web of Science</v>
      </c>
      <c r="BU1226" s="1"/>
      <c r="BV1226" s="1"/>
      <c r="BW1226" s="1"/>
    </row>
    <row r="1227" spans="1:75" customHeight="1" ht="12.75">
      <c r="A1227" s="1" t="s">
        <v>72</v>
      </c>
      <c r="B1227" s="1" t="s">
        <v>7984</v>
      </c>
      <c r="C1227" s="1"/>
      <c r="D1227" s="1"/>
      <c r="E1227" s="1"/>
      <c r="F1227" s="1" t="s">
        <v>7985</v>
      </c>
      <c r="G1227" s="1"/>
      <c r="H1227" s="1"/>
      <c r="I1227" s="1" t="s">
        <v>7986</v>
      </c>
      <c r="J1227" s="1" t="s">
        <v>95</v>
      </c>
      <c r="K1227" s="1"/>
      <c r="L1227" s="1"/>
      <c r="M1227" s="1"/>
      <c r="N1227" s="1"/>
      <c r="O1227" s="1"/>
      <c r="P1227" s="1"/>
      <c r="Q1227" s="1"/>
      <c r="R1227" s="1"/>
      <c r="S1227" s="1"/>
      <c r="T1227" s="1"/>
      <c r="U1227" s="1"/>
      <c r="V1227" s="1"/>
      <c r="W1227" s="1"/>
      <c r="X1227" s="1"/>
      <c r="Y1227" s="1"/>
      <c r="Z1227" s="1"/>
      <c r="AA1227" s="1" t="s">
        <v>5529</v>
      </c>
      <c r="AB1227" s="1" t="s">
        <v>7987</v>
      </c>
      <c r="AC1227" s="1"/>
      <c r="AD1227" s="1"/>
      <c r="AE1227" s="1"/>
      <c r="AF1227" s="1"/>
      <c r="AG1227" s="1"/>
      <c r="AH1227" s="1"/>
      <c r="AI1227" s="1"/>
      <c r="AJ1227" s="1"/>
      <c r="AK1227" s="1"/>
      <c r="AL1227" s="1"/>
      <c r="AM1227" s="1"/>
      <c r="AN1227" s="1"/>
      <c r="AO1227" s="1" t="s">
        <v>98</v>
      </c>
      <c r="AP1227" s="1" t="s">
        <v>99</v>
      </c>
      <c r="AQ1227" s="1"/>
      <c r="AR1227" s="1"/>
      <c r="AS1227" s="1"/>
      <c r="AT1227" s="1"/>
      <c r="AU1227" s="1">
        <v>2021</v>
      </c>
      <c r="AV1227" s="1"/>
      <c r="AW1227" s="1">
        <v>2</v>
      </c>
      <c r="AX1227" s="1"/>
      <c r="AY1227" s="1"/>
      <c r="AZ1227" s="1"/>
      <c r="BA1227" s="1"/>
      <c r="BB1227" s="1">
        <v>122</v>
      </c>
      <c r="BC1227" s="1">
        <v>127</v>
      </c>
      <c r="BD1227" s="1"/>
      <c r="BE1227" s="1" t="s">
        <v>7988</v>
      </c>
      <c r="BF1227" s="1" t="str">
        <f>HYPERLINK("http://dx.doi.org/10.25750/1995-4301-2021-2-122-127","http://dx.doi.org/10.25750/1995-4301-2021-2-122-127")</f>
        <v>http://dx.doi.org/10.25750/1995-4301-2021-2-122-127</v>
      </c>
      <c r="BG1227" s="1"/>
      <c r="BH1227" s="1"/>
      <c r="BI1227" s="1"/>
      <c r="BJ1227" s="1"/>
      <c r="BK1227" s="1"/>
      <c r="BL1227" s="1"/>
      <c r="BM1227" s="1"/>
      <c r="BN1227" s="1"/>
      <c r="BO1227" s="1"/>
      <c r="BP1227" s="1"/>
      <c r="BQ1227" s="1"/>
      <c r="BR1227" s="1"/>
      <c r="BS1227" s="1" t="s">
        <v>7989</v>
      </c>
      <c r="BT1227" s="1" t="str">
        <f>HYPERLINK("https%3A%2F%2Fwww.webofscience.com%2Fwos%2Fwoscc%2Ffull-record%2FWOS:000667025400017","View Full Record in Web of Science")</f>
        <v>View Full Record in Web of Science</v>
      </c>
      <c r="BU1227" s="1"/>
      <c r="BV1227" s="1"/>
      <c r="BW1227" s="1"/>
    </row>
    <row r="1228" spans="1:75" customHeight="1" ht="12.75">
      <c r="A1228" s="1" t="s">
        <v>72</v>
      </c>
      <c r="B1228" s="1" t="s">
        <v>7990</v>
      </c>
      <c r="C1228" s="1"/>
      <c r="D1228" s="1"/>
      <c r="E1228" s="1"/>
      <c r="F1228" s="1" t="s">
        <v>7991</v>
      </c>
      <c r="G1228" s="1"/>
      <c r="H1228" s="1"/>
      <c r="I1228" s="1" t="s">
        <v>7992</v>
      </c>
      <c r="J1228" s="1" t="s">
        <v>95</v>
      </c>
      <c r="K1228" s="1"/>
      <c r="L1228" s="1"/>
      <c r="M1228" s="1"/>
      <c r="N1228" s="1"/>
      <c r="O1228" s="1"/>
      <c r="P1228" s="1"/>
      <c r="Q1228" s="1"/>
      <c r="R1228" s="1"/>
      <c r="S1228" s="1"/>
      <c r="T1228" s="1"/>
      <c r="U1228" s="1"/>
      <c r="V1228" s="1"/>
      <c r="W1228" s="1"/>
      <c r="X1228" s="1"/>
      <c r="Y1228" s="1"/>
      <c r="Z1228" s="1"/>
      <c r="AA1228" s="1" t="s">
        <v>7993</v>
      </c>
      <c r="AB1228" s="1" t="s">
        <v>7994</v>
      </c>
      <c r="AC1228" s="1"/>
      <c r="AD1228" s="1"/>
      <c r="AE1228" s="1"/>
      <c r="AF1228" s="1"/>
      <c r="AG1228" s="1"/>
      <c r="AH1228" s="1"/>
      <c r="AI1228" s="1"/>
      <c r="AJ1228" s="1"/>
      <c r="AK1228" s="1"/>
      <c r="AL1228" s="1"/>
      <c r="AM1228" s="1"/>
      <c r="AN1228" s="1"/>
      <c r="AO1228" s="1" t="s">
        <v>98</v>
      </c>
      <c r="AP1228" s="1" t="s">
        <v>99</v>
      </c>
      <c r="AQ1228" s="1"/>
      <c r="AR1228" s="1"/>
      <c r="AS1228" s="1"/>
      <c r="AT1228" s="1"/>
      <c r="AU1228" s="1">
        <v>2021</v>
      </c>
      <c r="AV1228" s="1"/>
      <c r="AW1228" s="1">
        <v>4</v>
      </c>
      <c r="AX1228" s="1"/>
      <c r="AY1228" s="1"/>
      <c r="AZ1228" s="1"/>
      <c r="BA1228" s="1"/>
      <c r="BB1228" s="1">
        <v>193</v>
      </c>
      <c r="BC1228" s="1">
        <v>202</v>
      </c>
      <c r="BD1228" s="1"/>
      <c r="BE1228" s="1" t="s">
        <v>7995</v>
      </c>
      <c r="BF1228" s="1" t="str">
        <f>HYPERLINK("http://dx.doi.org/10.25750/1995-4301-2021-4-193-202","http://dx.doi.org/10.25750/1995-4301-2021-4-193-202")</f>
        <v>http://dx.doi.org/10.25750/1995-4301-2021-4-193-202</v>
      </c>
      <c r="BG1228" s="1"/>
      <c r="BH1228" s="1"/>
      <c r="BI1228" s="1"/>
      <c r="BJ1228" s="1"/>
      <c r="BK1228" s="1"/>
      <c r="BL1228" s="1"/>
      <c r="BM1228" s="1"/>
      <c r="BN1228" s="1"/>
      <c r="BO1228" s="1"/>
      <c r="BP1228" s="1"/>
      <c r="BQ1228" s="1"/>
      <c r="BR1228" s="1"/>
      <c r="BS1228" s="1" t="s">
        <v>7996</v>
      </c>
      <c r="BT1228" s="1" t="str">
        <f>HYPERLINK("https%3A%2F%2Fwww.webofscience.com%2Fwos%2Fwoscc%2Ffull-record%2FWOS:000755154100028","View Full Record in Web of Science")</f>
        <v>View Full Record in Web of Science</v>
      </c>
      <c r="BU1228" s="1"/>
      <c r="BV1228" s="1"/>
      <c r="BW1228" s="1"/>
    </row>
    <row r="1229" spans="1:75" customHeight="1" ht="12.75">
      <c r="A1229" s="1" t="s">
        <v>72</v>
      </c>
      <c r="B1229" s="1" t="s">
        <v>7997</v>
      </c>
      <c r="C1229" s="1"/>
      <c r="D1229" s="1"/>
      <c r="E1229" s="1"/>
      <c r="F1229" s="1" t="s">
        <v>7998</v>
      </c>
      <c r="G1229" s="1"/>
      <c r="H1229" s="1"/>
      <c r="I1229" s="1" t="s">
        <v>7999</v>
      </c>
      <c r="J1229" s="1" t="s">
        <v>4996</v>
      </c>
      <c r="K1229" s="1"/>
      <c r="L1229" s="1"/>
      <c r="M1229" s="1"/>
      <c r="N1229" s="1"/>
      <c r="O1229" s="1"/>
      <c r="P1229" s="1"/>
      <c r="Q1229" s="1"/>
      <c r="R1229" s="1"/>
      <c r="S1229" s="1"/>
      <c r="T1229" s="1"/>
      <c r="U1229" s="1"/>
      <c r="V1229" s="1"/>
      <c r="W1229" s="1"/>
      <c r="X1229" s="1"/>
      <c r="Y1229" s="1"/>
      <c r="Z1229" s="1"/>
      <c r="AA1229" s="1" t="s">
        <v>8000</v>
      </c>
      <c r="AB1229" s="1"/>
      <c r="AC1229" s="1"/>
      <c r="AD1229" s="1"/>
      <c r="AE1229" s="1"/>
      <c r="AF1229" s="1"/>
      <c r="AG1229" s="1"/>
      <c r="AH1229" s="1"/>
      <c r="AI1229" s="1"/>
      <c r="AJ1229" s="1"/>
      <c r="AK1229" s="1"/>
      <c r="AL1229" s="1"/>
      <c r="AM1229" s="1"/>
      <c r="AN1229" s="1"/>
      <c r="AO1229" s="1" t="s">
        <v>4999</v>
      </c>
      <c r="AP1229" s="1" t="s">
        <v>5000</v>
      </c>
      <c r="AQ1229" s="1"/>
      <c r="AR1229" s="1"/>
      <c r="AS1229" s="1"/>
      <c r="AT1229" s="1"/>
      <c r="AU1229" s="1">
        <v>2020</v>
      </c>
      <c r="AV1229" s="1">
        <v>44</v>
      </c>
      <c r="AW1229" s="1">
        <v>3</v>
      </c>
      <c r="AX1229" s="1"/>
      <c r="AY1229" s="1"/>
      <c r="AZ1229" s="1"/>
      <c r="BA1229" s="1"/>
      <c r="BB1229" s="1">
        <v>433</v>
      </c>
      <c r="BC1229" s="1">
        <v>438</v>
      </c>
      <c r="BD1229" s="1"/>
      <c r="BE1229" s="1" t="s">
        <v>8001</v>
      </c>
      <c r="BF1229" s="1" t="str">
        <f>HYPERLINK("http://dx.doi.org/10.18720/MPM.4432020_14","http://dx.doi.org/10.18720/MPM.4432020_14")</f>
        <v>http://dx.doi.org/10.18720/MPM.4432020_14</v>
      </c>
      <c r="BG1229" s="1"/>
      <c r="BH1229" s="1"/>
      <c r="BI1229" s="1"/>
      <c r="BJ1229" s="1"/>
      <c r="BK1229" s="1"/>
      <c r="BL1229" s="1"/>
      <c r="BM1229" s="1"/>
      <c r="BN1229" s="1"/>
      <c r="BO1229" s="1"/>
      <c r="BP1229" s="1"/>
      <c r="BQ1229" s="1"/>
      <c r="BR1229" s="1"/>
      <c r="BS1229" s="1" t="s">
        <v>8002</v>
      </c>
      <c r="BT1229" s="1" t="str">
        <f>HYPERLINK("https%3A%2F%2Fwww.webofscience.com%2Fwos%2Fwoscc%2Ffull-record%2FWOS:000586664900014","View Full Record in Web of Science")</f>
        <v>View Full Record in Web of Science</v>
      </c>
      <c r="BU1229" s="1"/>
      <c r="BV1229" s="1"/>
      <c r="BW1229" s="1"/>
    </row>
    <row r="1230" spans="1:75" customHeight="1" ht="12.75">
      <c r="A1230" s="1" t="s">
        <v>72</v>
      </c>
      <c r="B1230" s="1" t="s">
        <v>7933</v>
      </c>
      <c r="C1230" s="1"/>
      <c r="D1230" s="1"/>
      <c r="E1230" s="1"/>
      <c r="F1230" s="1" t="s">
        <v>7934</v>
      </c>
      <c r="G1230" s="1"/>
      <c r="H1230" s="1"/>
      <c r="I1230" s="1" t="s">
        <v>8003</v>
      </c>
      <c r="J1230" s="1" t="s">
        <v>95</v>
      </c>
      <c r="K1230" s="1"/>
      <c r="L1230" s="1"/>
      <c r="M1230" s="1"/>
      <c r="N1230" s="1"/>
      <c r="O1230" s="1"/>
      <c r="P1230" s="1"/>
      <c r="Q1230" s="1"/>
      <c r="R1230" s="1"/>
      <c r="S1230" s="1"/>
      <c r="T1230" s="1"/>
      <c r="U1230" s="1"/>
      <c r="V1230" s="1"/>
      <c r="W1230" s="1"/>
      <c r="X1230" s="1"/>
      <c r="Y1230" s="1"/>
      <c r="Z1230" s="1"/>
      <c r="AA1230" s="1"/>
      <c r="AB1230" s="1" t="s">
        <v>7974</v>
      </c>
      <c r="AC1230" s="1"/>
      <c r="AD1230" s="1"/>
      <c r="AE1230" s="1"/>
      <c r="AF1230" s="1"/>
      <c r="AG1230" s="1"/>
      <c r="AH1230" s="1"/>
      <c r="AI1230" s="1"/>
      <c r="AJ1230" s="1"/>
      <c r="AK1230" s="1"/>
      <c r="AL1230" s="1"/>
      <c r="AM1230" s="1"/>
      <c r="AN1230" s="1"/>
      <c r="AO1230" s="1" t="s">
        <v>98</v>
      </c>
      <c r="AP1230" s="1" t="s">
        <v>99</v>
      </c>
      <c r="AQ1230" s="1"/>
      <c r="AR1230" s="1"/>
      <c r="AS1230" s="1"/>
      <c r="AT1230" s="1"/>
      <c r="AU1230" s="1">
        <v>2020</v>
      </c>
      <c r="AV1230" s="1"/>
      <c r="AW1230" s="1">
        <v>3</v>
      </c>
      <c r="AX1230" s="1"/>
      <c r="AY1230" s="1"/>
      <c r="AZ1230" s="1"/>
      <c r="BA1230" s="1"/>
      <c r="BB1230" s="1">
        <v>217</v>
      </c>
      <c r="BC1230" s="1">
        <v>223</v>
      </c>
      <c r="BD1230" s="1"/>
      <c r="BE1230" s="1" t="s">
        <v>8004</v>
      </c>
      <c r="BF1230" s="1" t="str">
        <f>HYPERLINK("http://dx.doi.org/10.25750/1995-4301-2020-3-217-223","http://dx.doi.org/10.25750/1995-4301-2020-3-217-223")</f>
        <v>http://dx.doi.org/10.25750/1995-4301-2020-3-217-223</v>
      </c>
      <c r="BG1230" s="1"/>
      <c r="BH1230" s="1"/>
      <c r="BI1230" s="1"/>
      <c r="BJ1230" s="1"/>
      <c r="BK1230" s="1"/>
      <c r="BL1230" s="1"/>
      <c r="BM1230" s="1"/>
      <c r="BN1230" s="1"/>
      <c r="BO1230" s="1"/>
      <c r="BP1230" s="1"/>
      <c r="BQ1230" s="1"/>
      <c r="BR1230" s="1"/>
      <c r="BS1230" s="1" t="s">
        <v>8005</v>
      </c>
      <c r="BT1230" s="1" t="str">
        <f>HYPERLINK("https%3A%2F%2Fwww.webofscience.com%2Fwos%2Fwoscc%2Ffull-record%2FWOS:000580337700032","View Full Record in Web of Science")</f>
        <v>View Full Record in Web of Science</v>
      </c>
      <c r="BU1230" s="1"/>
      <c r="BV1230" s="1"/>
      <c r="BW1230" s="1"/>
    </row>
    <row r="1231" spans="1:75" customHeight="1" ht="12.75">
      <c r="A1231" s="1" t="s">
        <v>72</v>
      </c>
      <c r="B1231" s="1" t="s">
        <v>8006</v>
      </c>
      <c r="C1231" s="1"/>
      <c r="D1231" s="1"/>
      <c r="E1231" s="1"/>
      <c r="F1231" s="1" t="s">
        <v>8007</v>
      </c>
      <c r="G1231" s="1"/>
      <c r="H1231" s="1"/>
      <c r="I1231" s="1" t="s">
        <v>8008</v>
      </c>
      <c r="J1231" s="1" t="s">
        <v>95</v>
      </c>
      <c r="K1231" s="1"/>
      <c r="L1231" s="1"/>
      <c r="M1231" s="1"/>
      <c r="N1231" s="1"/>
      <c r="O1231" s="1"/>
      <c r="P1231" s="1"/>
      <c r="Q1231" s="1"/>
      <c r="R1231" s="1"/>
      <c r="S1231" s="1"/>
      <c r="T1231" s="1"/>
      <c r="U1231" s="1"/>
      <c r="V1231" s="1"/>
      <c r="W1231" s="1"/>
      <c r="X1231" s="1"/>
      <c r="Y1231" s="1"/>
      <c r="Z1231" s="1"/>
      <c r="AA1231" s="1" t="s">
        <v>5529</v>
      </c>
      <c r="AB1231" s="1" t="s">
        <v>5530</v>
      </c>
      <c r="AC1231" s="1"/>
      <c r="AD1231" s="1"/>
      <c r="AE1231" s="1"/>
      <c r="AF1231" s="1"/>
      <c r="AG1231" s="1"/>
      <c r="AH1231" s="1"/>
      <c r="AI1231" s="1"/>
      <c r="AJ1231" s="1"/>
      <c r="AK1231" s="1"/>
      <c r="AL1231" s="1"/>
      <c r="AM1231" s="1"/>
      <c r="AN1231" s="1"/>
      <c r="AO1231" s="1" t="s">
        <v>98</v>
      </c>
      <c r="AP1231" s="1" t="s">
        <v>99</v>
      </c>
      <c r="AQ1231" s="1"/>
      <c r="AR1231" s="1"/>
      <c r="AS1231" s="1"/>
      <c r="AT1231" s="1"/>
      <c r="AU1231" s="1">
        <v>2021</v>
      </c>
      <c r="AV1231" s="1"/>
      <c r="AW1231" s="1">
        <v>3</v>
      </c>
      <c r="AX1231" s="1"/>
      <c r="AY1231" s="1"/>
      <c r="AZ1231" s="1"/>
      <c r="BA1231" s="1"/>
      <c r="BB1231" s="1">
        <v>21</v>
      </c>
      <c r="BC1231" s="1">
        <v>30</v>
      </c>
      <c r="BD1231" s="1"/>
      <c r="BE1231" s="1" t="s">
        <v>8009</v>
      </c>
      <c r="BF1231" s="1" t="str">
        <f>HYPERLINK("http://dx.doi.org/10.25750/1995-4301-2021-3-021-030","http://dx.doi.org/10.25750/1995-4301-2021-3-021-030")</f>
        <v>http://dx.doi.org/10.25750/1995-4301-2021-3-021-030</v>
      </c>
      <c r="BG1231" s="1"/>
      <c r="BH1231" s="1"/>
      <c r="BI1231" s="1"/>
      <c r="BJ1231" s="1"/>
      <c r="BK1231" s="1"/>
      <c r="BL1231" s="1"/>
      <c r="BM1231" s="1"/>
      <c r="BN1231" s="1"/>
      <c r="BO1231" s="1"/>
      <c r="BP1231" s="1"/>
      <c r="BQ1231" s="1"/>
      <c r="BR1231" s="1"/>
      <c r="BS1231" s="1" t="s">
        <v>8010</v>
      </c>
      <c r="BT1231" s="1" t="str">
        <f>HYPERLINK("https%3A%2F%2Fwww.webofscience.com%2Fwos%2Fwoscc%2Ffull-record%2FWOS:000700413300003","View Full Record in Web of Science")</f>
        <v>View Full Record in Web of Science</v>
      </c>
      <c r="BU1231" s="1"/>
      <c r="BV1231" s="1"/>
      <c r="BW1231" s="1"/>
    </row>
    <row r="1232" spans="1:75" customHeight="1" ht="12.75">
      <c r="A1232" s="1" t="s">
        <v>72</v>
      </c>
      <c r="B1232" s="1" t="s">
        <v>8011</v>
      </c>
      <c r="C1232" s="1"/>
      <c r="D1232" s="1"/>
      <c r="E1232" s="1"/>
      <c r="F1232" s="1" t="s">
        <v>8012</v>
      </c>
      <c r="G1232" s="1"/>
      <c r="H1232" s="1"/>
      <c r="I1232" s="1" t="s">
        <v>8013</v>
      </c>
      <c r="J1232" s="1" t="s">
        <v>95</v>
      </c>
      <c r="K1232" s="1"/>
      <c r="L1232" s="1"/>
      <c r="M1232" s="1"/>
      <c r="N1232" s="1"/>
      <c r="O1232" s="1"/>
      <c r="P1232" s="1"/>
      <c r="Q1232" s="1"/>
      <c r="R1232" s="1"/>
      <c r="S1232" s="1"/>
      <c r="T1232" s="1"/>
      <c r="U1232" s="1"/>
      <c r="V1232" s="1"/>
      <c r="W1232" s="1"/>
      <c r="X1232" s="1"/>
      <c r="Y1232" s="1"/>
      <c r="Z1232" s="1"/>
      <c r="AA1232" s="1" t="s">
        <v>7631</v>
      </c>
      <c r="AB1232" s="1" t="s">
        <v>7632</v>
      </c>
      <c r="AC1232" s="1"/>
      <c r="AD1232" s="1"/>
      <c r="AE1232" s="1"/>
      <c r="AF1232" s="1"/>
      <c r="AG1232" s="1"/>
      <c r="AH1232" s="1"/>
      <c r="AI1232" s="1"/>
      <c r="AJ1232" s="1"/>
      <c r="AK1232" s="1"/>
      <c r="AL1232" s="1"/>
      <c r="AM1232" s="1"/>
      <c r="AN1232" s="1"/>
      <c r="AO1232" s="1" t="s">
        <v>98</v>
      </c>
      <c r="AP1232" s="1" t="s">
        <v>99</v>
      </c>
      <c r="AQ1232" s="1"/>
      <c r="AR1232" s="1"/>
      <c r="AS1232" s="1"/>
      <c r="AT1232" s="1"/>
      <c r="AU1232" s="1">
        <v>2018</v>
      </c>
      <c r="AV1232" s="1"/>
      <c r="AW1232" s="1">
        <v>1</v>
      </c>
      <c r="AX1232" s="1"/>
      <c r="AY1232" s="1"/>
      <c r="AZ1232" s="1"/>
      <c r="BA1232" s="1"/>
      <c r="BB1232" s="1">
        <v>18</v>
      </c>
      <c r="BC1232" s="1">
        <v>24</v>
      </c>
      <c r="BD1232" s="1"/>
      <c r="BE1232" s="1"/>
      <c r="BF1232" s="1"/>
      <c r="BG1232" s="1"/>
      <c r="BH1232" s="1"/>
      <c r="BI1232" s="1"/>
      <c r="BJ1232" s="1"/>
      <c r="BK1232" s="1"/>
      <c r="BL1232" s="1"/>
      <c r="BM1232" s="1"/>
      <c r="BN1232" s="1"/>
      <c r="BO1232" s="1"/>
      <c r="BP1232" s="1"/>
      <c r="BQ1232" s="1"/>
      <c r="BR1232" s="1"/>
      <c r="BS1232" s="1" t="s">
        <v>8014</v>
      </c>
      <c r="BT1232" s="1" t="str">
        <f>HYPERLINK("https%3A%2F%2Fwww.webofscience.com%2Fwos%2Fwoscc%2Ffull-record%2FWOS:000468564100002","View Full Record in Web of Science")</f>
        <v>View Full Record in Web of Science</v>
      </c>
      <c r="BU1232" s="1"/>
      <c r="BV1232" s="1"/>
      <c r="BW1232" s="1"/>
    </row>
    <row r="1233" spans="1:75" customHeight="1" ht="12.75">
      <c r="A1233" s="1" t="s">
        <v>72</v>
      </c>
      <c r="B1233" s="1" t="s">
        <v>8015</v>
      </c>
      <c r="C1233" s="1"/>
      <c r="D1233" s="1"/>
      <c r="E1233" s="1"/>
      <c r="F1233" s="1" t="s">
        <v>8016</v>
      </c>
      <c r="G1233" s="1"/>
      <c r="H1233" s="1"/>
      <c r="I1233" s="1" t="s">
        <v>8017</v>
      </c>
      <c r="J1233" s="1" t="s">
        <v>95</v>
      </c>
      <c r="K1233" s="1"/>
      <c r="L1233" s="1"/>
      <c r="M1233" s="1"/>
      <c r="N1233" s="1"/>
      <c r="O1233" s="1"/>
      <c r="P1233" s="1"/>
      <c r="Q1233" s="1"/>
      <c r="R1233" s="1"/>
      <c r="S1233" s="1"/>
      <c r="T1233" s="1"/>
      <c r="U1233" s="1"/>
      <c r="V1233" s="1"/>
      <c r="W1233" s="1"/>
      <c r="X1233" s="1"/>
      <c r="Y1233" s="1"/>
      <c r="Z1233" s="1"/>
      <c r="AA1233" s="1" t="s">
        <v>8018</v>
      </c>
      <c r="AB1233" s="1" t="s">
        <v>8019</v>
      </c>
      <c r="AC1233" s="1"/>
      <c r="AD1233" s="1"/>
      <c r="AE1233" s="1"/>
      <c r="AF1233" s="1"/>
      <c r="AG1233" s="1"/>
      <c r="AH1233" s="1"/>
      <c r="AI1233" s="1"/>
      <c r="AJ1233" s="1"/>
      <c r="AK1233" s="1"/>
      <c r="AL1233" s="1"/>
      <c r="AM1233" s="1"/>
      <c r="AN1233" s="1"/>
      <c r="AO1233" s="1" t="s">
        <v>98</v>
      </c>
      <c r="AP1233" s="1" t="s">
        <v>99</v>
      </c>
      <c r="AQ1233" s="1"/>
      <c r="AR1233" s="1"/>
      <c r="AS1233" s="1"/>
      <c r="AT1233" s="1"/>
      <c r="AU1233" s="1">
        <v>2018</v>
      </c>
      <c r="AV1233" s="1"/>
      <c r="AW1233" s="1">
        <v>4</v>
      </c>
      <c r="AX1233" s="1"/>
      <c r="AY1233" s="1"/>
      <c r="AZ1233" s="1"/>
      <c r="BA1233" s="1"/>
      <c r="BB1233" s="1">
        <v>46</v>
      </c>
      <c r="BC1233" s="1">
        <v>52</v>
      </c>
      <c r="BD1233" s="1"/>
      <c r="BE1233" s="1" t="s">
        <v>8020</v>
      </c>
      <c r="BF1233" s="1" t="str">
        <f>HYPERLINK("http://dx.doi.org/10.25750/1995-4301-2018-4-046-052","http://dx.doi.org/10.25750/1995-4301-2018-4-046-052")</f>
        <v>http://dx.doi.org/10.25750/1995-4301-2018-4-046-052</v>
      </c>
      <c r="BG1233" s="1"/>
      <c r="BH1233" s="1"/>
      <c r="BI1233" s="1"/>
      <c r="BJ1233" s="1"/>
      <c r="BK1233" s="1"/>
      <c r="BL1233" s="1"/>
      <c r="BM1233" s="1"/>
      <c r="BN1233" s="1"/>
      <c r="BO1233" s="1"/>
      <c r="BP1233" s="1"/>
      <c r="BQ1233" s="1"/>
      <c r="BR1233" s="1"/>
      <c r="BS1233" s="1" t="s">
        <v>8021</v>
      </c>
      <c r="BT1233" s="1" t="str">
        <f>HYPERLINK("https%3A%2F%2Fwww.webofscience.com%2Fwos%2Fwoscc%2Ffull-record%2FWOS:000468565300006","View Full Record in Web of Science")</f>
        <v>View Full Record in Web of Science</v>
      </c>
      <c r="BU1233" s="1"/>
      <c r="BV1233" s="1"/>
      <c r="BW1233" s="1"/>
    </row>
    <row r="1234" spans="1:75" customHeight="1" ht="12.75">
      <c r="A1234" s="1" t="s">
        <v>72</v>
      </c>
      <c r="B1234" s="1" t="s">
        <v>8022</v>
      </c>
      <c r="C1234" s="1"/>
      <c r="D1234" s="1"/>
      <c r="E1234" s="1"/>
      <c r="F1234" s="1" t="s">
        <v>8023</v>
      </c>
      <c r="G1234" s="1"/>
      <c r="H1234" s="1"/>
      <c r="I1234" s="1" t="s">
        <v>8024</v>
      </c>
      <c r="J1234" s="1" t="s">
        <v>95</v>
      </c>
      <c r="K1234" s="1"/>
      <c r="L1234" s="1"/>
      <c r="M1234" s="1"/>
      <c r="N1234" s="1"/>
      <c r="O1234" s="1"/>
      <c r="P1234" s="1"/>
      <c r="Q1234" s="1"/>
      <c r="R1234" s="1"/>
      <c r="S1234" s="1"/>
      <c r="T1234" s="1"/>
      <c r="U1234" s="1"/>
      <c r="V1234" s="1"/>
      <c r="W1234" s="1"/>
      <c r="X1234" s="1"/>
      <c r="Y1234" s="1"/>
      <c r="Z1234" s="1"/>
      <c r="AA1234" s="1" t="s">
        <v>8025</v>
      </c>
      <c r="AB1234" s="1" t="s">
        <v>8026</v>
      </c>
      <c r="AC1234" s="1"/>
      <c r="AD1234" s="1"/>
      <c r="AE1234" s="1"/>
      <c r="AF1234" s="1"/>
      <c r="AG1234" s="1"/>
      <c r="AH1234" s="1"/>
      <c r="AI1234" s="1"/>
      <c r="AJ1234" s="1"/>
      <c r="AK1234" s="1"/>
      <c r="AL1234" s="1"/>
      <c r="AM1234" s="1"/>
      <c r="AN1234" s="1"/>
      <c r="AO1234" s="1" t="s">
        <v>98</v>
      </c>
      <c r="AP1234" s="1" t="s">
        <v>99</v>
      </c>
      <c r="AQ1234" s="1"/>
      <c r="AR1234" s="1"/>
      <c r="AS1234" s="1"/>
      <c r="AT1234" s="1"/>
      <c r="AU1234" s="1">
        <v>2018</v>
      </c>
      <c r="AV1234" s="1"/>
      <c r="AW1234" s="1">
        <v>1</v>
      </c>
      <c r="AX1234" s="1"/>
      <c r="AY1234" s="1"/>
      <c r="AZ1234" s="1"/>
      <c r="BA1234" s="1"/>
      <c r="BB1234" s="1">
        <v>80</v>
      </c>
      <c r="BC1234" s="1">
        <v>87</v>
      </c>
      <c r="BD1234" s="1"/>
      <c r="BE1234" s="1"/>
      <c r="BF1234" s="1"/>
      <c r="BG1234" s="1"/>
      <c r="BH1234" s="1"/>
      <c r="BI1234" s="1"/>
      <c r="BJ1234" s="1"/>
      <c r="BK1234" s="1"/>
      <c r="BL1234" s="1"/>
      <c r="BM1234" s="1"/>
      <c r="BN1234" s="1"/>
      <c r="BO1234" s="1"/>
      <c r="BP1234" s="1"/>
      <c r="BQ1234" s="1"/>
      <c r="BR1234" s="1"/>
      <c r="BS1234" s="1" t="s">
        <v>8027</v>
      </c>
      <c r="BT1234" s="1" t="str">
        <f>HYPERLINK("https%3A%2F%2Fwww.webofscience.com%2Fwos%2Fwoscc%2Ffull-record%2FWOS:000468564100009","View Full Record in Web of Science")</f>
        <v>View Full Record in Web of Science</v>
      </c>
      <c r="BU1234" s="1"/>
      <c r="BV1234" s="1"/>
      <c r="BW1234" s="1"/>
    </row>
    <row r="1235" spans="1:75" customHeight="1" ht="12.75">
      <c r="A1235" s="1" t="s">
        <v>72</v>
      </c>
      <c r="B1235" s="1" t="s">
        <v>8028</v>
      </c>
      <c r="C1235" s="1"/>
      <c r="D1235" s="1"/>
      <c r="E1235" s="1"/>
      <c r="F1235" s="1" t="s">
        <v>8029</v>
      </c>
      <c r="G1235" s="1"/>
      <c r="H1235" s="1"/>
      <c r="I1235" s="1" t="s">
        <v>8030</v>
      </c>
      <c r="J1235" s="1" t="s">
        <v>95</v>
      </c>
      <c r="K1235" s="1"/>
      <c r="L1235" s="1"/>
      <c r="M1235" s="1"/>
      <c r="N1235" s="1"/>
      <c r="O1235" s="1"/>
      <c r="P1235" s="1"/>
      <c r="Q1235" s="1"/>
      <c r="R1235" s="1"/>
      <c r="S1235" s="1"/>
      <c r="T1235" s="1"/>
      <c r="U1235" s="1"/>
      <c r="V1235" s="1"/>
      <c r="W1235" s="1"/>
      <c r="X1235" s="1"/>
      <c r="Y1235" s="1"/>
      <c r="Z1235" s="1"/>
      <c r="AA1235" s="1" t="s">
        <v>7337</v>
      </c>
      <c r="AB1235" s="1" t="s">
        <v>7338</v>
      </c>
      <c r="AC1235" s="1"/>
      <c r="AD1235" s="1"/>
      <c r="AE1235" s="1"/>
      <c r="AF1235" s="1"/>
      <c r="AG1235" s="1"/>
      <c r="AH1235" s="1"/>
      <c r="AI1235" s="1"/>
      <c r="AJ1235" s="1"/>
      <c r="AK1235" s="1"/>
      <c r="AL1235" s="1"/>
      <c r="AM1235" s="1"/>
      <c r="AN1235" s="1"/>
      <c r="AO1235" s="1" t="s">
        <v>98</v>
      </c>
      <c r="AP1235" s="1" t="s">
        <v>99</v>
      </c>
      <c r="AQ1235" s="1"/>
      <c r="AR1235" s="1"/>
      <c r="AS1235" s="1"/>
      <c r="AT1235" s="1"/>
      <c r="AU1235" s="1">
        <v>2022</v>
      </c>
      <c r="AV1235" s="1"/>
      <c r="AW1235" s="1">
        <v>2</v>
      </c>
      <c r="AX1235" s="1"/>
      <c r="AY1235" s="1"/>
      <c r="AZ1235" s="1"/>
      <c r="BA1235" s="1"/>
      <c r="BB1235" s="1">
        <v>26</v>
      </c>
      <c r="BC1235" s="1">
        <v>34</v>
      </c>
      <c r="BD1235" s="1"/>
      <c r="BE1235" s="1" t="s">
        <v>8031</v>
      </c>
      <c r="BF1235" s="1" t="str">
        <f>HYPERLINK("http://dx.doi.org/10.25750/1995-4301-2022-2-026-034","http://dx.doi.org/10.25750/1995-4301-2022-2-026-034")</f>
        <v>http://dx.doi.org/10.25750/1995-4301-2022-2-026-034</v>
      </c>
      <c r="BG1235" s="1"/>
      <c r="BH1235" s="1"/>
      <c r="BI1235" s="1"/>
      <c r="BJ1235" s="1"/>
      <c r="BK1235" s="1"/>
      <c r="BL1235" s="1"/>
      <c r="BM1235" s="1"/>
      <c r="BN1235" s="1"/>
      <c r="BO1235" s="1"/>
      <c r="BP1235" s="1"/>
      <c r="BQ1235" s="1"/>
      <c r="BR1235" s="1"/>
      <c r="BS1235" s="1" t="s">
        <v>8032</v>
      </c>
      <c r="BT1235" s="1" t="str">
        <f>HYPERLINK("https%3A%2F%2Fwww.webofscience.com%2Fwos%2Fwoscc%2Ffull-record%2FWOS:000820802000003","View Full Record in Web of Science")</f>
        <v>View Full Record in Web of Science</v>
      </c>
      <c r="BU1235" s="1"/>
      <c r="BV1235" s="1"/>
      <c r="BW1235" s="1"/>
    </row>
    <row r="1236" spans="1:75" customHeight="1" ht="12.75">
      <c r="A1236" s="1" t="s">
        <v>147</v>
      </c>
      <c r="B1236" s="1" t="s">
        <v>8033</v>
      </c>
      <c r="C1236" s="1"/>
      <c r="D1236" s="1" t="s">
        <v>5560</v>
      </c>
      <c r="E1236" s="1"/>
      <c r="F1236" s="1" t="s">
        <v>8034</v>
      </c>
      <c r="G1236" s="1"/>
      <c r="H1236" s="1"/>
      <c r="I1236" s="1" t="s">
        <v>8035</v>
      </c>
      <c r="J1236" s="1" t="s">
        <v>5563</v>
      </c>
      <c r="K1236" s="1" t="s">
        <v>1236</v>
      </c>
      <c r="L1236" s="1"/>
      <c r="M1236" s="1"/>
      <c r="N1236" s="1"/>
      <c r="O1236" s="1" t="s">
        <v>5564</v>
      </c>
      <c r="P1236" s="1" t="s">
        <v>5565</v>
      </c>
      <c r="Q1236" s="1" t="s">
        <v>5566</v>
      </c>
      <c r="R1236" s="1"/>
      <c r="S1236" s="1" t="s">
        <v>5567</v>
      </c>
      <c r="T1236" s="1"/>
      <c r="U1236" s="1"/>
      <c r="V1236" s="1"/>
      <c r="W1236" s="1"/>
      <c r="X1236" s="1"/>
      <c r="Y1236" s="1"/>
      <c r="Z1236" s="1"/>
      <c r="AA1236" s="1"/>
      <c r="AB1236" s="1"/>
      <c r="AC1236" s="1"/>
      <c r="AD1236" s="1"/>
      <c r="AE1236" s="1"/>
      <c r="AF1236" s="1"/>
      <c r="AG1236" s="1"/>
      <c r="AH1236" s="1"/>
      <c r="AI1236" s="1"/>
      <c r="AJ1236" s="1"/>
      <c r="AK1236" s="1"/>
      <c r="AL1236" s="1"/>
      <c r="AM1236" s="1"/>
      <c r="AN1236" s="1"/>
      <c r="AO1236" s="1" t="s">
        <v>1240</v>
      </c>
      <c r="AP1236" s="1"/>
      <c r="AQ1236" s="1"/>
      <c r="AR1236" s="1"/>
      <c r="AS1236" s="1"/>
      <c r="AT1236" s="1"/>
      <c r="AU1236" s="1">
        <v>2020</v>
      </c>
      <c r="AV1236" s="1">
        <v>210</v>
      </c>
      <c r="AW1236" s="1"/>
      <c r="AX1236" s="1"/>
      <c r="AY1236" s="1"/>
      <c r="AZ1236" s="1"/>
      <c r="BA1236" s="1"/>
      <c r="BB1236" s="1"/>
      <c r="BC1236" s="1"/>
      <c r="BD1236" s="1">
        <v>12005</v>
      </c>
      <c r="BE1236" s="1" t="s">
        <v>8036</v>
      </c>
      <c r="BF1236" s="1" t="str">
        <f>HYPERLINK("http://dx.doi.org/10.1051/e3sconf/202021012005","http://dx.doi.org/10.1051/e3sconf/202021012005")</f>
        <v>http://dx.doi.org/10.1051/e3sconf/202021012005</v>
      </c>
      <c r="BG1236" s="1"/>
      <c r="BH1236" s="1"/>
      <c r="BI1236" s="1"/>
      <c r="BJ1236" s="1"/>
      <c r="BK1236" s="1"/>
      <c r="BL1236" s="1"/>
      <c r="BM1236" s="1"/>
      <c r="BN1236" s="1"/>
      <c r="BO1236" s="1"/>
      <c r="BP1236" s="1"/>
      <c r="BQ1236" s="1"/>
      <c r="BR1236" s="1"/>
      <c r="BS1236" s="1" t="s">
        <v>8037</v>
      </c>
      <c r="BT1236" s="1" t="str">
        <f>HYPERLINK("https%3A%2F%2Fwww.webofscience.com%2Fwos%2Fwoscc%2Ffull-record%2FWOS:000659867301048","View Full Record in Web of Science")</f>
        <v>View Full Record in Web of Science</v>
      </c>
      <c r="BU1236" s="1"/>
      <c r="BV1236" s="1"/>
      <c r="BW1236" s="1"/>
    </row>
    <row r="1237" spans="1:75" customHeight="1" ht="12.75">
      <c r="A1237" s="1" t="s">
        <v>72</v>
      </c>
      <c r="B1237" s="1" t="s">
        <v>8038</v>
      </c>
      <c r="C1237" s="1"/>
      <c r="D1237" s="1"/>
      <c r="E1237" s="1"/>
      <c r="F1237" s="1" t="s">
        <v>8039</v>
      </c>
      <c r="G1237" s="1"/>
      <c r="H1237" s="1"/>
      <c r="I1237" s="1" t="s">
        <v>8040</v>
      </c>
      <c r="J1237" s="1" t="s">
        <v>95</v>
      </c>
      <c r="K1237" s="1"/>
      <c r="L1237" s="1"/>
      <c r="M1237" s="1"/>
      <c r="N1237" s="1"/>
      <c r="O1237" s="1"/>
      <c r="P1237" s="1"/>
      <c r="Q1237" s="1"/>
      <c r="R1237" s="1"/>
      <c r="S1237" s="1"/>
      <c r="T1237" s="1"/>
      <c r="U1237" s="1"/>
      <c r="V1237" s="1"/>
      <c r="W1237" s="1"/>
      <c r="X1237" s="1"/>
      <c r="Y1237" s="1"/>
      <c r="Z1237" s="1"/>
      <c r="AA1237" s="1" t="s">
        <v>7769</v>
      </c>
      <c r="AB1237" s="1" t="s">
        <v>8041</v>
      </c>
      <c r="AC1237" s="1"/>
      <c r="AD1237" s="1"/>
      <c r="AE1237" s="1"/>
      <c r="AF1237" s="1"/>
      <c r="AG1237" s="1"/>
      <c r="AH1237" s="1"/>
      <c r="AI1237" s="1"/>
      <c r="AJ1237" s="1"/>
      <c r="AK1237" s="1"/>
      <c r="AL1237" s="1"/>
      <c r="AM1237" s="1"/>
      <c r="AN1237" s="1"/>
      <c r="AO1237" s="1" t="s">
        <v>98</v>
      </c>
      <c r="AP1237" s="1" t="s">
        <v>99</v>
      </c>
      <c r="AQ1237" s="1"/>
      <c r="AR1237" s="1"/>
      <c r="AS1237" s="1"/>
      <c r="AT1237" s="1"/>
      <c r="AU1237" s="1">
        <v>2022</v>
      </c>
      <c r="AV1237" s="1"/>
      <c r="AW1237" s="1">
        <v>3</v>
      </c>
      <c r="AX1237" s="1"/>
      <c r="AY1237" s="1"/>
      <c r="AZ1237" s="1"/>
      <c r="BA1237" s="1"/>
      <c r="BB1237" s="1">
        <v>14</v>
      </c>
      <c r="BC1237" s="1">
        <v>25</v>
      </c>
      <c r="BD1237" s="1"/>
      <c r="BE1237" s="1" t="s">
        <v>8042</v>
      </c>
      <c r="BF1237" s="1" t="str">
        <f>HYPERLINK("http://dx.doi.org/10.25750/1995-4301-2022-3-014-025","http://dx.doi.org/10.25750/1995-4301-2022-3-014-025")</f>
        <v>http://dx.doi.org/10.25750/1995-4301-2022-3-014-025</v>
      </c>
      <c r="BG1237" s="1"/>
      <c r="BH1237" s="1"/>
      <c r="BI1237" s="1"/>
      <c r="BJ1237" s="1"/>
      <c r="BK1237" s="1"/>
      <c r="BL1237" s="1"/>
      <c r="BM1237" s="1"/>
      <c r="BN1237" s="1"/>
      <c r="BO1237" s="1"/>
      <c r="BP1237" s="1"/>
      <c r="BQ1237" s="1"/>
      <c r="BR1237" s="1"/>
      <c r="BS1237" s="1" t="s">
        <v>8043</v>
      </c>
      <c r="BT1237" s="1" t="str">
        <f>HYPERLINK("https%3A%2F%2Fwww.webofscience.com%2Fwos%2Fwoscc%2Ffull-record%2FWOS:000885393200002","View Full Record in Web of Science")</f>
        <v>View Full Record in Web of Science</v>
      </c>
      <c r="BU1237" s="1"/>
      <c r="BV1237" s="1"/>
      <c r="BW1237" s="1"/>
    </row>
    <row r="1238" spans="1:75" customHeight="1" ht="12.75">
      <c r="A1238" s="1" t="s">
        <v>72</v>
      </c>
      <c r="B1238" s="1" t="s">
        <v>8044</v>
      </c>
      <c r="C1238" s="1"/>
      <c r="D1238" s="1"/>
      <c r="E1238" s="1"/>
      <c r="F1238" s="1" t="s">
        <v>8045</v>
      </c>
      <c r="G1238" s="1"/>
      <c r="H1238" s="1"/>
      <c r="I1238" s="1" t="s">
        <v>8046</v>
      </c>
      <c r="J1238" s="1" t="s">
        <v>95</v>
      </c>
      <c r="K1238" s="1"/>
      <c r="L1238" s="1"/>
      <c r="M1238" s="1"/>
      <c r="N1238" s="1"/>
      <c r="O1238" s="1"/>
      <c r="P1238" s="1"/>
      <c r="Q1238" s="1"/>
      <c r="R1238" s="1"/>
      <c r="S1238" s="1"/>
      <c r="T1238" s="1"/>
      <c r="U1238" s="1"/>
      <c r="V1238" s="1"/>
      <c r="W1238" s="1"/>
      <c r="X1238" s="1"/>
      <c r="Y1238" s="1"/>
      <c r="Z1238" s="1"/>
      <c r="AA1238" s="1" t="s">
        <v>5529</v>
      </c>
      <c r="AB1238" s="1" t="s">
        <v>5530</v>
      </c>
      <c r="AC1238" s="1"/>
      <c r="AD1238" s="1"/>
      <c r="AE1238" s="1"/>
      <c r="AF1238" s="1"/>
      <c r="AG1238" s="1"/>
      <c r="AH1238" s="1"/>
      <c r="AI1238" s="1"/>
      <c r="AJ1238" s="1"/>
      <c r="AK1238" s="1"/>
      <c r="AL1238" s="1"/>
      <c r="AM1238" s="1"/>
      <c r="AN1238" s="1"/>
      <c r="AO1238" s="1" t="s">
        <v>98</v>
      </c>
      <c r="AP1238" s="1" t="s">
        <v>99</v>
      </c>
      <c r="AQ1238" s="1"/>
      <c r="AR1238" s="1"/>
      <c r="AS1238" s="1"/>
      <c r="AT1238" s="1"/>
      <c r="AU1238" s="1">
        <v>2021</v>
      </c>
      <c r="AV1238" s="1"/>
      <c r="AW1238" s="1">
        <v>1</v>
      </c>
      <c r="AX1238" s="1"/>
      <c r="AY1238" s="1"/>
      <c r="AZ1238" s="1"/>
      <c r="BA1238" s="1"/>
      <c r="BB1238" s="1">
        <v>139</v>
      </c>
      <c r="BC1238" s="1">
        <v>146</v>
      </c>
      <c r="BD1238" s="1"/>
      <c r="BE1238" s="1" t="s">
        <v>8047</v>
      </c>
      <c r="BF1238" s="1" t="str">
        <f>HYPERLINK("http://dx.doi.org/10.25750/1995-4301-2021-1-139-146","http://dx.doi.org/10.25750/1995-4301-2021-1-139-146")</f>
        <v>http://dx.doi.org/10.25750/1995-4301-2021-1-139-146</v>
      </c>
      <c r="BG1238" s="1"/>
      <c r="BH1238" s="1"/>
      <c r="BI1238" s="1"/>
      <c r="BJ1238" s="1"/>
      <c r="BK1238" s="1"/>
      <c r="BL1238" s="1"/>
      <c r="BM1238" s="1"/>
      <c r="BN1238" s="1"/>
      <c r="BO1238" s="1"/>
      <c r="BP1238" s="1"/>
      <c r="BQ1238" s="1"/>
      <c r="BR1238" s="1"/>
      <c r="BS1238" s="1" t="s">
        <v>8048</v>
      </c>
      <c r="BT1238" s="1" t="str">
        <f>HYPERLINK("https%3A%2F%2Fwww.webofscience.com%2Fwos%2Fwoscc%2Ffull-record%2FWOS:000632219100019","View Full Record in Web of Science")</f>
        <v>View Full Record in Web of Science</v>
      </c>
      <c r="BU1238" s="1"/>
      <c r="BV1238" s="1"/>
      <c r="BW1238" s="1"/>
    </row>
    <row r="1239" spans="1:75" customHeight="1" ht="12.75">
      <c r="A1239" s="1" t="s">
        <v>147</v>
      </c>
      <c r="B1239" s="1" t="s">
        <v>8049</v>
      </c>
      <c r="C1239" s="1" t="s">
        <v>1232</v>
      </c>
      <c r="D1239" s="1"/>
      <c r="E1239" s="1"/>
      <c r="F1239" s="1" t="s">
        <v>8050</v>
      </c>
      <c r="G1239" s="1" t="s">
        <v>1232</v>
      </c>
      <c r="H1239" s="1"/>
      <c r="I1239" s="1" t="s">
        <v>8051</v>
      </c>
      <c r="J1239" s="1" t="s">
        <v>1235</v>
      </c>
      <c r="K1239" s="1" t="s">
        <v>1236</v>
      </c>
      <c r="L1239" s="1"/>
      <c r="M1239" s="1"/>
      <c r="N1239" s="1"/>
      <c r="O1239" s="1" t="s">
        <v>1237</v>
      </c>
      <c r="P1239" s="1" t="s">
        <v>1238</v>
      </c>
      <c r="Q1239" s="1" t="s">
        <v>910</v>
      </c>
      <c r="R1239" s="1" t="s">
        <v>1239</v>
      </c>
      <c r="S1239" s="1"/>
      <c r="T1239" s="1"/>
      <c r="U1239" s="1"/>
      <c r="V1239" s="1"/>
      <c r="W1239" s="1"/>
      <c r="X1239" s="1"/>
      <c r="Y1239" s="1"/>
      <c r="Z1239" s="1"/>
      <c r="AA1239" s="1" t="s">
        <v>8052</v>
      </c>
      <c r="AB1239" s="1" t="s">
        <v>8053</v>
      </c>
      <c r="AC1239" s="1"/>
      <c r="AD1239" s="1"/>
      <c r="AE1239" s="1"/>
      <c r="AF1239" s="1"/>
      <c r="AG1239" s="1"/>
      <c r="AH1239" s="1"/>
      <c r="AI1239" s="1"/>
      <c r="AJ1239" s="1"/>
      <c r="AK1239" s="1"/>
      <c r="AL1239" s="1"/>
      <c r="AM1239" s="1"/>
      <c r="AN1239" s="1"/>
      <c r="AO1239" s="1" t="s">
        <v>1240</v>
      </c>
      <c r="AP1239" s="1"/>
      <c r="AQ1239" s="1"/>
      <c r="AR1239" s="1"/>
      <c r="AS1239" s="1"/>
      <c r="AT1239" s="1"/>
      <c r="AU1239" s="1">
        <v>2019</v>
      </c>
      <c r="AV1239" s="1">
        <v>110</v>
      </c>
      <c r="AW1239" s="1"/>
      <c r="AX1239" s="1"/>
      <c r="AY1239" s="1"/>
      <c r="AZ1239" s="1"/>
      <c r="BA1239" s="1"/>
      <c r="BB1239" s="1"/>
      <c r="BC1239" s="1"/>
      <c r="BD1239" s="1">
        <v>1077</v>
      </c>
      <c r="BE1239" s="1" t="s">
        <v>8054</v>
      </c>
      <c r="BF1239" s="1" t="str">
        <f>HYPERLINK("http://dx.doi.org/10.1051/e3sconf/201911001077","http://dx.doi.org/10.1051/e3sconf/201911001077")</f>
        <v>http://dx.doi.org/10.1051/e3sconf/201911001077</v>
      </c>
      <c r="BG1239" s="1"/>
      <c r="BH1239" s="1"/>
      <c r="BI1239" s="1"/>
      <c r="BJ1239" s="1"/>
      <c r="BK1239" s="1"/>
      <c r="BL1239" s="1"/>
      <c r="BM1239" s="1"/>
      <c r="BN1239" s="1"/>
      <c r="BO1239" s="1"/>
      <c r="BP1239" s="1"/>
      <c r="BQ1239" s="1"/>
      <c r="BR1239" s="1"/>
      <c r="BS1239" s="1" t="s">
        <v>8055</v>
      </c>
      <c r="BT1239" s="1" t="str">
        <f>HYPERLINK("https%3A%2F%2Fwww.webofscience.com%2Fwos%2Fwoscc%2Ffull-record%2FWOS:000569050000077","View Full Record in Web of Science")</f>
        <v>View Full Record in Web of Science</v>
      </c>
      <c r="BU1239" s="1"/>
      <c r="BV1239" s="1"/>
      <c r="BW1239" s="1"/>
    </row>
    <row r="1240" spans="1:75" customHeight="1" ht="12.75">
      <c r="A1240" s="1" t="s">
        <v>72</v>
      </c>
      <c r="B1240" s="1" t="s">
        <v>8056</v>
      </c>
      <c r="C1240" s="1"/>
      <c r="D1240" s="1"/>
      <c r="E1240" s="1"/>
      <c r="F1240" s="1" t="s">
        <v>8057</v>
      </c>
      <c r="G1240" s="1"/>
      <c r="H1240" s="1"/>
      <c r="I1240" s="1" t="s">
        <v>8058</v>
      </c>
      <c r="J1240" s="1" t="s">
        <v>3610</v>
      </c>
      <c r="K1240" s="1"/>
      <c r="L1240" s="1"/>
      <c r="M1240" s="1"/>
      <c r="N1240" s="1"/>
      <c r="O1240" s="1"/>
      <c r="P1240" s="1"/>
      <c r="Q1240" s="1"/>
      <c r="R1240" s="1"/>
      <c r="S1240" s="1"/>
      <c r="T1240" s="1"/>
      <c r="U1240" s="1"/>
      <c r="V1240" s="1"/>
      <c r="W1240" s="1"/>
      <c r="X1240" s="1"/>
      <c r="Y1240" s="1"/>
      <c r="Z1240" s="1"/>
      <c r="AA1240" s="1" t="s">
        <v>8059</v>
      </c>
      <c r="AB1240" s="1" t="s">
        <v>8060</v>
      </c>
      <c r="AC1240" s="1"/>
      <c r="AD1240" s="1"/>
      <c r="AE1240" s="1"/>
      <c r="AF1240" s="1"/>
      <c r="AG1240" s="1"/>
      <c r="AH1240" s="1"/>
      <c r="AI1240" s="1"/>
      <c r="AJ1240" s="1"/>
      <c r="AK1240" s="1"/>
      <c r="AL1240" s="1"/>
      <c r="AM1240" s="1"/>
      <c r="AN1240" s="1"/>
      <c r="AO1240" s="1" t="s">
        <v>3613</v>
      </c>
      <c r="AP1240" s="1" t="s">
        <v>4602</v>
      </c>
      <c r="AQ1240" s="1"/>
      <c r="AR1240" s="1"/>
      <c r="AS1240" s="1"/>
      <c r="AT1240" s="1" t="s">
        <v>655</v>
      </c>
      <c r="AU1240" s="1">
        <v>2014</v>
      </c>
      <c r="AV1240" s="1">
        <v>47</v>
      </c>
      <c r="AW1240" s="1">
        <v>2</v>
      </c>
      <c r="AX1240" s="1"/>
      <c r="AY1240" s="1"/>
      <c r="AZ1240" s="1"/>
      <c r="BA1240" s="1"/>
      <c r="BB1240" s="1">
        <v>89</v>
      </c>
      <c r="BC1240" s="1">
        <v>95</v>
      </c>
      <c r="BD1240" s="1"/>
      <c r="BE1240" s="1" t="s">
        <v>8061</v>
      </c>
      <c r="BF1240" s="1" t="str">
        <f>HYPERLINK("http://dx.doi.org/10.1134/S1064229313100062","http://dx.doi.org/10.1134/S1064229313100062")</f>
        <v>http://dx.doi.org/10.1134/S1064229313100062</v>
      </c>
      <c r="BG1240" s="1"/>
      <c r="BH1240" s="1"/>
      <c r="BI1240" s="1"/>
      <c r="BJ1240" s="1"/>
      <c r="BK1240" s="1"/>
      <c r="BL1240" s="1"/>
      <c r="BM1240" s="1"/>
      <c r="BN1240" s="1"/>
      <c r="BO1240" s="1"/>
      <c r="BP1240" s="1"/>
      <c r="BQ1240" s="1"/>
      <c r="BR1240" s="1"/>
      <c r="BS1240" s="1" t="s">
        <v>8062</v>
      </c>
      <c r="BT1240" s="1" t="str">
        <f>HYPERLINK("https%3A%2F%2Fwww.webofscience.com%2Fwos%2Fwoscc%2Ffull-record%2FWOS:000331650800006","View Full Record in Web of Science")</f>
        <v>View Full Record in Web of Science</v>
      </c>
      <c r="BU1240" s="1"/>
      <c r="BV1240" s="1"/>
      <c r="BW1240" s="1"/>
    </row>
    <row r="1241" spans="1:75" customHeight="1" ht="12.75">
      <c r="A1241" s="1" t="s">
        <v>72</v>
      </c>
      <c r="B1241" s="1" t="s">
        <v>8063</v>
      </c>
      <c r="C1241" s="1"/>
      <c r="D1241" s="1"/>
      <c r="E1241" s="1"/>
      <c r="F1241" s="1" t="s">
        <v>8064</v>
      </c>
      <c r="G1241" s="1"/>
      <c r="H1241" s="1"/>
      <c r="I1241" s="1" t="s">
        <v>8065</v>
      </c>
      <c r="J1241" s="1" t="s">
        <v>244</v>
      </c>
      <c r="K1241" s="1"/>
      <c r="L1241" s="1"/>
      <c r="M1241" s="1"/>
      <c r="N1241" s="1"/>
      <c r="O1241" s="1"/>
      <c r="P1241" s="1"/>
      <c r="Q1241" s="1"/>
      <c r="R1241" s="1"/>
      <c r="S1241" s="1"/>
      <c r="T1241" s="1"/>
      <c r="U1241" s="1"/>
      <c r="V1241" s="1"/>
      <c r="W1241" s="1"/>
      <c r="X1241" s="1"/>
      <c r="Y1241" s="1"/>
      <c r="Z1241" s="1"/>
      <c r="AA1241" s="1"/>
      <c r="AB1241" s="1"/>
      <c r="AC1241" s="1"/>
      <c r="AD1241" s="1"/>
      <c r="AE1241" s="1"/>
      <c r="AF1241" s="1"/>
      <c r="AG1241" s="1"/>
      <c r="AH1241" s="1"/>
      <c r="AI1241" s="1"/>
      <c r="AJ1241" s="1"/>
      <c r="AK1241" s="1"/>
      <c r="AL1241" s="1"/>
      <c r="AM1241" s="1"/>
      <c r="AN1241" s="1"/>
      <c r="AO1241" s="1" t="s">
        <v>245</v>
      </c>
      <c r="AP1241" s="1" t="s">
        <v>246</v>
      </c>
      <c r="AQ1241" s="1"/>
      <c r="AR1241" s="1"/>
      <c r="AS1241" s="1"/>
      <c r="AT1241" s="1"/>
      <c r="AU1241" s="1">
        <v>2021</v>
      </c>
      <c r="AV1241" s="1">
        <v>12</v>
      </c>
      <c r="AW1241" s="1">
        <v>4</v>
      </c>
      <c r="AX1241" s="1"/>
      <c r="AY1241" s="1"/>
      <c r="AZ1241" s="1"/>
      <c r="BA1241" s="1"/>
      <c r="BB1241" s="1">
        <v>264</v>
      </c>
      <c r="BC1241" s="1">
        <v>276</v>
      </c>
      <c r="BD1241" s="1"/>
      <c r="BE1241" s="1" t="s">
        <v>8066</v>
      </c>
      <c r="BF1241" s="1" t="str">
        <f>HYPERLINK("http://dx.doi.org/10.31166/VoprosyIstorii202112Statyi117","http://dx.doi.org/10.31166/VoprosyIstorii202112Statyi117")</f>
        <v>http://dx.doi.org/10.31166/VoprosyIstorii202112Statyi117</v>
      </c>
      <c r="BG1241" s="1"/>
      <c r="BH1241" s="1"/>
      <c r="BI1241" s="1"/>
      <c r="BJ1241" s="1"/>
      <c r="BK1241" s="1"/>
      <c r="BL1241" s="1"/>
      <c r="BM1241" s="1"/>
      <c r="BN1241" s="1"/>
      <c r="BO1241" s="1"/>
      <c r="BP1241" s="1"/>
      <c r="BQ1241" s="1"/>
      <c r="BR1241" s="1"/>
      <c r="BS1241" s="1" t="s">
        <v>8067</v>
      </c>
      <c r="BT1241" s="1" t="str">
        <f>HYPERLINK("https%3A%2F%2Fwww.webofscience.com%2Fwos%2Fwoscc%2Ffull-record%2FWOS:000757089800024","View Full Record in Web of Science")</f>
        <v>View Full Record in Web of Science</v>
      </c>
      <c r="BU1241" s="1"/>
      <c r="BV1241" s="1"/>
      <c r="BW1241" s="1"/>
    </row>
    <row r="1242" spans="1:75" customHeight="1" ht="12.75">
      <c r="A1242" s="1" t="s">
        <v>72</v>
      </c>
      <c r="B1242" s="1" t="s">
        <v>8068</v>
      </c>
      <c r="C1242" s="1"/>
      <c r="D1242" s="1"/>
      <c r="E1242" s="1"/>
      <c r="F1242" s="1" t="s">
        <v>8069</v>
      </c>
      <c r="G1242" s="1"/>
      <c r="H1242" s="1"/>
      <c r="I1242" s="1" t="s">
        <v>8070</v>
      </c>
      <c r="J1242" s="1" t="s">
        <v>95</v>
      </c>
      <c r="K1242" s="1"/>
      <c r="L1242" s="1"/>
      <c r="M1242" s="1"/>
      <c r="N1242" s="1"/>
      <c r="O1242" s="1"/>
      <c r="P1242" s="1"/>
      <c r="Q1242" s="1"/>
      <c r="R1242" s="1"/>
      <c r="S1242" s="1"/>
      <c r="T1242" s="1"/>
      <c r="U1242" s="1"/>
      <c r="V1242" s="1"/>
      <c r="W1242" s="1"/>
      <c r="X1242" s="1"/>
      <c r="Y1242" s="1"/>
      <c r="Z1242" s="1"/>
      <c r="AA1242" s="1" t="s">
        <v>8071</v>
      </c>
      <c r="AB1242" s="1" t="s">
        <v>8072</v>
      </c>
      <c r="AC1242" s="1"/>
      <c r="AD1242" s="1"/>
      <c r="AE1242" s="1"/>
      <c r="AF1242" s="1"/>
      <c r="AG1242" s="1"/>
      <c r="AH1242" s="1"/>
      <c r="AI1242" s="1"/>
      <c r="AJ1242" s="1"/>
      <c r="AK1242" s="1"/>
      <c r="AL1242" s="1"/>
      <c r="AM1242" s="1"/>
      <c r="AN1242" s="1"/>
      <c r="AO1242" s="1" t="s">
        <v>98</v>
      </c>
      <c r="AP1242" s="1" t="s">
        <v>99</v>
      </c>
      <c r="AQ1242" s="1"/>
      <c r="AR1242" s="1"/>
      <c r="AS1242" s="1"/>
      <c r="AT1242" s="1"/>
      <c r="AU1242" s="1">
        <v>2020</v>
      </c>
      <c r="AV1242" s="1"/>
      <c r="AW1242" s="1">
        <v>4</v>
      </c>
      <c r="AX1242" s="1"/>
      <c r="AY1242" s="1"/>
      <c r="AZ1242" s="1"/>
      <c r="BA1242" s="1"/>
      <c r="BB1242" s="1">
        <v>162</v>
      </c>
      <c r="BC1242" s="1">
        <v>168</v>
      </c>
      <c r="BD1242" s="1"/>
      <c r="BE1242" s="1" t="s">
        <v>8073</v>
      </c>
      <c r="BF1242" s="1" t="str">
        <f>HYPERLINK("http://dx.doi.org/10.25750/1995-4301-2020-4-162-168","http://dx.doi.org/10.25750/1995-4301-2020-4-162-168")</f>
        <v>http://dx.doi.org/10.25750/1995-4301-2020-4-162-168</v>
      </c>
      <c r="BG1242" s="1"/>
      <c r="BH1242" s="1"/>
      <c r="BI1242" s="1"/>
      <c r="BJ1242" s="1"/>
      <c r="BK1242" s="1"/>
      <c r="BL1242" s="1"/>
      <c r="BM1242" s="1"/>
      <c r="BN1242" s="1"/>
      <c r="BO1242" s="1"/>
      <c r="BP1242" s="1"/>
      <c r="BQ1242" s="1"/>
      <c r="BR1242" s="1"/>
      <c r="BS1242" s="1" t="s">
        <v>8074</v>
      </c>
      <c r="BT1242" s="1" t="str">
        <f>HYPERLINK("https%3A%2F%2Fwww.webofscience.com%2Fwos%2Fwoscc%2Ffull-record%2FWOS:000597810500025","View Full Record in Web of Science")</f>
        <v>View Full Record in Web of Science</v>
      </c>
      <c r="BU1242" s="1"/>
      <c r="BV1242" s="1"/>
      <c r="BW1242" s="1"/>
    </row>
    <row r="1243" spans="1:75" customHeight="1" ht="12.75">
      <c r="A1243" s="1" t="s">
        <v>72</v>
      </c>
      <c r="B1243" s="1" t="s">
        <v>8075</v>
      </c>
      <c r="C1243" s="1"/>
      <c r="D1243" s="1"/>
      <c r="E1243" s="1"/>
      <c r="F1243" s="1" t="s">
        <v>8076</v>
      </c>
      <c r="G1243" s="1"/>
      <c r="H1243" s="1"/>
      <c r="I1243" s="1" t="s">
        <v>8077</v>
      </c>
      <c r="J1243" s="1" t="s">
        <v>6419</v>
      </c>
      <c r="K1243" s="1"/>
      <c r="L1243" s="1"/>
      <c r="M1243" s="1"/>
      <c r="N1243" s="1"/>
      <c r="O1243" s="1"/>
      <c r="P1243" s="1"/>
      <c r="Q1243" s="1"/>
      <c r="R1243" s="1"/>
      <c r="S1243" s="1"/>
      <c r="T1243" s="1"/>
      <c r="U1243" s="1"/>
      <c r="V1243" s="1"/>
      <c r="W1243" s="1"/>
      <c r="X1243" s="1"/>
      <c r="Y1243" s="1"/>
      <c r="Z1243" s="1"/>
      <c r="AA1243" s="1" t="s">
        <v>8078</v>
      </c>
      <c r="AB1243" s="1"/>
      <c r="AC1243" s="1"/>
      <c r="AD1243" s="1"/>
      <c r="AE1243" s="1"/>
      <c r="AF1243" s="1"/>
      <c r="AG1243" s="1"/>
      <c r="AH1243" s="1"/>
      <c r="AI1243" s="1"/>
      <c r="AJ1243" s="1"/>
      <c r="AK1243" s="1"/>
      <c r="AL1243" s="1"/>
      <c r="AM1243" s="1"/>
      <c r="AN1243" s="1"/>
      <c r="AO1243" s="1" t="s">
        <v>6422</v>
      </c>
      <c r="AP1243" s="1" t="s">
        <v>6423</v>
      </c>
      <c r="AQ1243" s="1"/>
      <c r="AR1243" s="1"/>
      <c r="AS1243" s="1"/>
      <c r="AT1243" s="1" t="s">
        <v>319</v>
      </c>
      <c r="AU1243" s="1">
        <v>2019</v>
      </c>
      <c r="AV1243" s="1">
        <v>45</v>
      </c>
      <c r="AW1243" s="1">
        <v>6</v>
      </c>
      <c r="AX1243" s="1"/>
      <c r="AY1243" s="1"/>
      <c r="AZ1243" s="1"/>
      <c r="BA1243" s="1"/>
      <c r="BB1243" s="1">
        <v>522</v>
      </c>
      <c r="BC1243" s="1">
        <v>527</v>
      </c>
      <c r="BD1243" s="1"/>
      <c r="BE1243" s="1" t="s">
        <v>8079</v>
      </c>
      <c r="BF1243" s="1" t="str">
        <f>HYPERLINK("http://dx.doi.org/10.1134/S1068162019060165","http://dx.doi.org/10.1134/S1068162019060165")</f>
        <v>http://dx.doi.org/10.1134/S1068162019060165</v>
      </c>
      <c r="BG1243" s="1"/>
      <c r="BH1243" s="1"/>
      <c r="BI1243" s="1"/>
      <c r="BJ1243" s="1"/>
      <c r="BK1243" s="1"/>
      <c r="BL1243" s="1"/>
      <c r="BM1243" s="1"/>
      <c r="BN1243" s="1"/>
      <c r="BO1243" s="1"/>
      <c r="BP1243" s="1"/>
      <c r="BQ1243" s="1"/>
      <c r="BR1243" s="1"/>
      <c r="BS1243" s="1" t="s">
        <v>8080</v>
      </c>
      <c r="BT1243" s="1" t="str">
        <f>HYPERLINK("https%3A%2F%2Fwww.webofscience.com%2Fwos%2Fwoscc%2Ffull-record%2FWOS:000520225900008","View Full Record in Web of Science")</f>
        <v>View Full Record in Web of Science</v>
      </c>
      <c r="BU1243" s="1"/>
      <c r="BV1243" s="1"/>
      <c r="BW1243" s="1"/>
    </row>
    <row r="1244" spans="1:75" customHeight="1" ht="12.75">
      <c r="A1244" s="1" t="s">
        <v>72</v>
      </c>
      <c r="B1244" s="1" t="s">
        <v>8081</v>
      </c>
      <c r="C1244" s="1"/>
      <c r="D1244" s="1"/>
      <c r="E1244" s="1"/>
      <c r="F1244" s="1" t="s">
        <v>8082</v>
      </c>
      <c r="G1244" s="1"/>
      <c r="H1244" s="1"/>
      <c r="I1244" s="1" t="s">
        <v>8083</v>
      </c>
      <c r="J1244" s="1" t="s">
        <v>95</v>
      </c>
      <c r="K1244" s="1"/>
      <c r="L1244" s="1"/>
      <c r="M1244" s="1"/>
      <c r="N1244" s="1"/>
      <c r="O1244" s="1"/>
      <c r="P1244" s="1"/>
      <c r="Q1244" s="1"/>
      <c r="R1244" s="1"/>
      <c r="S1244" s="1"/>
      <c r="T1244" s="1"/>
      <c r="U1244" s="1"/>
      <c r="V1244" s="1"/>
      <c r="W1244" s="1"/>
      <c r="X1244" s="1"/>
      <c r="Y1244" s="1"/>
      <c r="Z1244" s="1"/>
      <c r="AA1244" s="1" t="s">
        <v>8084</v>
      </c>
      <c r="AB1244" s="1" t="s">
        <v>8085</v>
      </c>
      <c r="AC1244" s="1"/>
      <c r="AD1244" s="1"/>
      <c r="AE1244" s="1"/>
      <c r="AF1244" s="1"/>
      <c r="AG1244" s="1"/>
      <c r="AH1244" s="1"/>
      <c r="AI1244" s="1"/>
      <c r="AJ1244" s="1"/>
      <c r="AK1244" s="1"/>
      <c r="AL1244" s="1"/>
      <c r="AM1244" s="1"/>
      <c r="AN1244" s="1"/>
      <c r="AO1244" s="1" t="s">
        <v>98</v>
      </c>
      <c r="AP1244" s="1" t="s">
        <v>99</v>
      </c>
      <c r="AQ1244" s="1"/>
      <c r="AR1244" s="1"/>
      <c r="AS1244" s="1"/>
      <c r="AT1244" s="1"/>
      <c r="AU1244" s="1">
        <v>2018</v>
      </c>
      <c r="AV1244" s="1"/>
      <c r="AW1244" s="1">
        <v>4</v>
      </c>
      <c r="AX1244" s="1"/>
      <c r="AY1244" s="1"/>
      <c r="AZ1244" s="1"/>
      <c r="BA1244" s="1"/>
      <c r="BB1244" s="1">
        <v>61</v>
      </c>
      <c r="BC1244" s="1">
        <v>67</v>
      </c>
      <c r="BD1244" s="1"/>
      <c r="BE1244" s="1" t="s">
        <v>8086</v>
      </c>
      <c r="BF1244" s="1" t="str">
        <f>HYPERLINK("http://dx.doi.org/10.25750/1995-4301-2018-4-061-067","http://dx.doi.org/10.25750/1995-4301-2018-4-061-067")</f>
        <v>http://dx.doi.org/10.25750/1995-4301-2018-4-061-067</v>
      </c>
      <c r="BG1244" s="1"/>
      <c r="BH1244" s="1"/>
      <c r="BI1244" s="1"/>
      <c r="BJ1244" s="1"/>
      <c r="BK1244" s="1"/>
      <c r="BL1244" s="1"/>
      <c r="BM1244" s="1"/>
      <c r="BN1244" s="1"/>
      <c r="BO1244" s="1"/>
      <c r="BP1244" s="1"/>
      <c r="BQ1244" s="1"/>
      <c r="BR1244" s="1"/>
      <c r="BS1244" s="1" t="s">
        <v>8087</v>
      </c>
      <c r="BT1244" s="1" t="str">
        <f>HYPERLINK("https%3A%2F%2Fwww.webofscience.com%2Fwos%2Fwoscc%2Ffull-record%2FWOS:000468565300008","View Full Record in Web of Science")</f>
        <v>View Full Record in Web of Science</v>
      </c>
      <c r="BU1244" s="1"/>
      <c r="BV1244" s="1"/>
      <c r="BW1244" s="1"/>
    </row>
    <row r="1245" spans="1:75" customHeight="1" ht="12.75">
      <c r="A1245" s="1" t="s">
        <v>72</v>
      </c>
      <c r="B1245" s="1" t="s">
        <v>8088</v>
      </c>
      <c r="C1245" s="1"/>
      <c r="D1245" s="1"/>
      <c r="E1245" s="1"/>
      <c r="F1245" s="1" t="s">
        <v>8089</v>
      </c>
      <c r="G1245" s="1"/>
      <c r="H1245" s="1"/>
      <c r="I1245" s="1" t="s">
        <v>8090</v>
      </c>
      <c r="J1245" s="1" t="s">
        <v>971</v>
      </c>
      <c r="K1245" s="1"/>
      <c r="L1245" s="1"/>
      <c r="M1245" s="1"/>
      <c r="N1245" s="1"/>
      <c r="O1245" s="1"/>
      <c r="P1245" s="1"/>
      <c r="Q1245" s="1"/>
      <c r="R1245" s="1"/>
      <c r="S1245" s="1"/>
      <c r="T1245" s="1"/>
      <c r="U1245" s="1"/>
      <c r="V1245" s="1"/>
      <c r="W1245" s="1"/>
      <c r="X1245" s="1"/>
      <c r="Y1245" s="1"/>
      <c r="Z1245" s="1"/>
      <c r="AA1245" s="1" t="s">
        <v>8091</v>
      </c>
      <c r="AB1245" s="1" t="s">
        <v>8092</v>
      </c>
      <c r="AC1245" s="1"/>
      <c r="AD1245" s="1"/>
      <c r="AE1245" s="1"/>
      <c r="AF1245" s="1"/>
      <c r="AG1245" s="1"/>
      <c r="AH1245" s="1"/>
      <c r="AI1245" s="1"/>
      <c r="AJ1245" s="1"/>
      <c r="AK1245" s="1"/>
      <c r="AL1245" s="1"/>
      <c r="AM1245" s="1"/>
      <c r="AN1245" s="1"/>
      <c r="AO1245" s="1" t="s">
        <v>973</v>
      </c>
      <c r="AP1245" s="1" t="s">
        <v>974</v>
      </c>
      <c r="AQ1245" s="1"/>
      <c r="AR1245" s="1"/>
      <c r="AS1245" s="1"/>
      <c r="AT1245" s="1" t="s">
        <v>125</v>
      </c>
      <c r="AU1245" s="1">
        <v>2021</v>
      </c>
      <c r="AV1245" s="1">
        <v>57</v>
      </c>
      <c r="AW1245" s="1">
        <v>4</v>
      </c>
      <c r="AX1245" s="1"/>
      <c r="AY1245" s="1"/>
      <c r="AZ1245" s="1"/>
      <c r="BA1245" s="1"/>
      <c r="BB1245" s="1">
        <v>426</v>
      </c>
      <c r="BC1245" s="1">
        <v>433</v>
      </c>
      <c r="BD1245" s="1"/>
      <c r="BE1245" s="1" t="s">
        <v>8093</v>
      </c>
      <c r="BF1245" s="1" t="str">
        <f>HYPERLINK("http://dx.doi.org/10.1134/S0003683821040049","http://dx.doi.org/10.1134/S0003683821040049")</f>
        <v>http://dx.doi.org/10.1134/S0003683821040049</v>
      </c>
      <c r="BG1245" s="1"/>
      <c r="BH1245" s="1"/>
      <c r="BI1245" s="1"/>
      <c r="BJ1245" s="1"/>
      <c r="BK1245" s="1"/>
      <c r="BL1245" s="1"/>
      <c r="BM1245" s="1"/>
      <c r="BN1245" s="1"/>
      <c r="BO1245" s="1"/>
      <c r="BP1245" s="1"/>
      <c r="BQ1245" s="1"/>
      <c r="BR1245" s="1"/>
      <c r="BS1245" s="1" t="s">
        <v>8094</v>
      </c>
      <c r="BT1245" s="1" t="str">
        <f>HYPERLINK("https%3A%2F%2Fwww.webofscience.com%2Fwos%2Fwoscc%2Ffull-record%2FWOS:000678055500003","View Full Record in Web of Science")</f>
        <v>View Full Record in Web of Science</v>
      </c>
      <c r="BU1245" s="1"/>
      <c r="BV1245" s="1"/>
      <c r="BW1245" s="1"/>
    </row>
    <row r="1246" spans="1:75" customHeight="1" ht="12.75">
      <c r="A1246" s="1" t="s">
        <v>72</v>
      </c>
      <c r="B1246" s="1" t="s">
        <v>8095</v>
      </c>
      <c r="C1246" s="1"/>
      <c r="D1246" s="1"/>
      <c r="E1246" s="1"/>
      <c r="F1246" s="1" t="s">
        <v>8096</v>
      </c>
      <c r="G1246" s="1"/>
      <c r="H1246" s="1"/>
      <c r="I1246" s="1" t="s">
        <v>8097</v>
      </c>
      <c r="J1246" s="1" t="s">
        <v>95</v>
      </c>
      <c r="K1246" s="1"/>
      <c r="L1246" s="1"/>
      <c r="M1246" s="1"/>
      <c r="N1246" s="1"/>
      <c r="O1246" s="1"/>
      <c r="P1246" s="1"/>
      <c r="Q1246" s="1"/>
      <c r="R1246" s="1"/>
      <c r="S1246" s="1"/>
      <c r="T1246" s="1"/>
      <c r="U1246" s="1"/>
      <c r="V1246" s="1"/>
      <c r="W1246" s="1"/>
      <c r="X1246" s="1"/>
      <c r="Y1246" s="1"/>
      <c r="Z1246" s="1"/>
      <c r="AA1246" s="1" t="s">
        <v>8098</v>
      </c>
      <c r="AB1246" s="1" t="s">
        <v>8099</v>
      </c>
      <c r="AC1246" s="1"/>
      <c r="AD1246" s="1"/>
      <c r="AE1246" s="1"/>
      <c r="AF1246" s="1"/>
      <c r="AG1246" s="1"/>
      <c r="AH1246" s="1"/>
      <c r="AI1246" s="1"/>
      <c r="AJ1246" s="1"/>
      <c r="AK1246" s="1"/>
      <c r="AL1246" s="1"/>
      <c r="AM1246" s="1"/>
      <c r="AN1246" s="1"/>
      <c r="AO1246" s="1" t="s">
        <v>98</v>
      </c>
      <c r="AP1246" s="1" t="s">
        <v>99</v>
      </c>
      <c r="AQ1246" s="1"/>
      <c r="AR1246" s="1"/>
      <c r="AS1246" s="1"/>
      <c r="AT1246" s="1"/>
      <c r="AU1246" s="1">
        <v>2021</v>
      </c>
      <c r="AV1246" s="1"/>
      <c r="AW1246" s="1">
        <v>3</v>
      </c>
      <c r="AX1246" s="1"/>
      <c r="AY1246" s="1"/>
      <c r="AZ1246" s="1"/>
      <c r="BA1246" s="1"/>
      <c r="BB1246" s="1">
        <v>219</v>
      </c>
      <c r="BC1246" s="1">
        <v>227</v>
      </c>
      <c r="BD1246" s="1"/>
      <c r="BE1246" s="1" t="s">
        <v>8100</v>
      </c>
      <c r="BF1246" s="1" t="str">
        <f>HYPERLINK("http://dx.doi.org/10.25750/1995-4301-2021-3-219-227","http://dx.doi.org/10.25750/1995-4301-2021-3-219-227")</f>
        <v>http://dx.doi.org/10.25750/1995-4301-2021-3-219-227</v>
      </c>
      <c r="BG1246" s="1"/>
      <c r="BH1246" s="1"/>
      <c r="BI1246" s="1"/>
      <c r="BJ1246" s="1"/>
      <c r="BK1246" s="1"/>
      <c r="BL1246" s="1"/>
      <c r="BM1246" s="1"/>
      <c r="BN1246" s="1"/>
      <c r="BO1246" s="1"/>
      <c r="BP1246" s="1"/>
      <c r="BQ1246" s="1"/>
      <c r="BR1246" s="1"/>
      <c r="BS1246" s="1" t="s">
        <v>8101</v>
      </c>
      <c r="BT1246" s="1" t="str">
        <f>HYPERLINK("https%3A%2F%2Fwww.webofscience.com%2Fwos%2Fwoscc%2Ffull-record%2FWOS:000700413300031","View Full Record in Web of Science")</f>
        <v>View Full Record in Web of Science</v>
      </c>
      <c r="BU1246" s="1"/>
      <c r="BV1246" s="1"/>
      <c r="BW1246" s="1"/>
    </row>
    <row r="1247" spans="1:75" customHeight="1" ht="12.75">
      <c r="A1247" s="1" t="s">
        <v>72</v>
      </c>
      <c r="B1247" s="1" t="s">
        <v>6968</v>
      </c>
      <c r="C1247" s="1"/>
      <c r="D1247" s="1"/>
      <c r="E1247" s="1"/>
      <c r="F1247" s="1" t="s">
        <v>6969</v>
      </c>
      <c r="G1247" s="1"/>
      <c r="H1247" s="1"/>
      <c r="I1247" s="1" t="s">
        <v>8102</v>
      </c>
      <c r="J1247" s="1" t="s">
        <v>3610</v>
      </c>
      <c r="K1247" s="1"/>
      <c r="L1247" s="1"/>
      <c r="M1247" s="1"/>
      <c r="N1247" s="1"/>
      <c r="O1247" s="1"/>
      <c r="P1247" s="1"/>
      <c r="Q1247" s="1"/>
      <c r="R1247" s="1"/>
      <c r="S1247" s="1"/>
      <c r="T1247" s="1"/>
      <c r="U1247" s="1"/>
      <c r="V1247" s="1"/>
      <c r="W1247" s="1"/>
      <c r="X1247" s="1"/>
      <c r="Y1247" s="1"/>
      <c r="Z1247" s="1"/>
      <c r="AA1247" s="1" t="s">
        <v>8103</v>
      </c>
      <c r="AB1247" s="1" t="s">
        <v>8104</v>
      </c>
      <c r="AC1247" s="1"/>
      <c r="AD1247" s="1"/>
      <c r="AE1247" s="1"/>
      <c r="AF1247" s="1"/>
      <c r="AG1247" s="1"/>
      <c r="AH1247" s="1"/>
      <c r="AI1247" s="1"/>
      <c r="AJ1247" s="1"/>
      <c r="AK1247" s="1"/>
      <c r="AL1247" s="1"/>
      <c r="AM1247" s="1"/>
      <c r="AN1247" s="1"/>
      <c r="AO1247" s="1" t="s">
        <v>3613</v>
      </c>
      <c r="AP1247" s="1" t="s">
        <v>4602</v>
      </c>
      <c r="AQ1247" s="1"/>
      <c r="AR1247" s="1"/>
      <c r="AS1247" s="1"/>
      <c r="AT1247" s="1" t="s">
        <v>319</v>
      </c>
      <c r="AU1247" s="1">
        <v>2017</v>
      </c>
      <c r="AV1247" s="1">
        <v>50</v>
      </c>
      <c r="AW1247" s="1">
        <v>11</v>
      </c>
      <c r="AX1247" s="1"/>
      <c r="AY1247" s="1"/>
      <c r="AZ1247" s="1"/>
      <c r="BA1247" s="1"/>
      <c r="BB1247" s="1">
        <v>1311</v>
      </c>
      <c r="BC1247" s="1">
        <v>1317</v>
      </c>
      <c r="BD1247" s="1"/>
      <c r="BE1247" s="1" t="s">
        <v>8105</v>
      </c>
      <c r="BF1247" s="1" t="str">
        <f>HYPERLINK("http://dx.doi.org/10.1134/S1064229317110114","http://dx.doi.org/10.1134/S1064229317110114")</f>
        <v>http://dx.doi.org/10.1134/S1064229317110114</v>
      </c>
      <c r="BG1247" s="1"/>
      <c r="BH1247" s="1"/>
      <c r="BI1247" s="1"/>
      <c r="BJ1247" s="1"/>
      <c r="BK1247" s="1"/>
      <c r="BL1247" s="1"/>
      <c r="BM1247" s="1"/>
      <c r="BN1247" s="1"/>
      <c r="BO1247" s="1"/>
      <c r="BP1247" s="1"/>
      <c r="BQ1247" s="1"/>
      <c r="BR1247" s="1"/>
      <c r="BS1247" s="1" t="s">
        <v>8106</v>
      </c>
      <c r="BT1247" s="1" t="str">
        <f>HYPERLINK("https%3A%2F%2Fwww.webofscience.com%2Fwos%2Fwoscc%2Ffull-record%2FWOS:000414360100007","View Full Record in Web of Science")</f>
        <v>View Full Record in Web of Science</v>
      </c>
      <c r="BU1247" s="1"/>
      <c r="BV1247" s="1"/>
      <c r="BW1247" s="1"/>
    </row>
    <row r="1248" spans="1:75" customHeight="1" ht="12.75">
      <c r="A1248" s="1" t="s">
        <v>72</v>
      </c>
      <c r="B1248" s="1" t="s">
        <v>8107</v>
      </c>
      <c r="C1248" s="1"/>
      <c r="D1248" s="1"/>
      <c r="E1248" s="1"/>
      <c r="F1248" s="1" t="s">
        <v>8108</v>
      </c>
      <c r="G1248" s="1"/>
      <c r="H1248" s="1"/>
      <c r="I1248" s="1" t="s">
        <v>8109</v>
      </c>
      <c r="J1248" s="1" t="s">
        <v>95</v>
      </c>
      <c r="K1248" s="1"/>
      <c r="L1248" s="1"/>
      <c r="M1248" s="1"/>
      <c r="N1248" s="1"/>
      <c r="O1248" s="1"/>
      <c r="P1248" s="1"/>
      <c r="Q1248" s="1"/>
      <c r="R1248" s="1"/>
      <c r="S1248" s="1"/>
      <c r="T1248" s="1"/>
      <c r="U1248" s="1"/>
      <c r="V1248" s="1"/>
      <c r="W1248" s="1"/>
      <c r="X1248" s="1"/>
      <c r="Y1248" s="1"/>
      <c r="Z1248" s="1"/>
      <c r="AA1248" s="1" t="s">
        <v>8110</v>
      </c>
      <c r="AB1248" s="1" t="s">
        <v>8111</v>
      </c>
      <c r="AC1248" s="1"/>
      <c r="AD1248" s="1"/>
      <c r="AE1248" s="1"/>
      <c r="AF1248" s="1"/>
      <c r="AG1248" s="1"/>
      <c r="AH1248" s="1"/>
      <c r="AI1248" s="1"/>
      <c r="AJ1248" s="1"/>
      <c r="AK1248" s="1"/>
      <c r="AL1248" s="1"/>
      <c r="AM1248" s="1"/>
      <c r="AN1248" s="1"/>
      <c r="AO1248" s="1" t="s">
        <v>98</v>
      </c>
      <c r="AP1248" s="1" t="s">
        <v>99</v>
      </c>
      <c r="AQ1248" s="1"/>
      <c r="AR1248" s="1"/>
      <c r="AS1248" s="1"/>
      <c r="AT1248" s="1"/>
      <c r="AU1248" s="1">
        <v>2022</v>
      </c>
      <c r="AV1248" s="1"/>
      <c r="AW1248" s="1">
        <v>2</v>
      </c>
      <c r="AX1248" s="1"/>
      <c r="AY1248" s="1"/>
      <c r="AZ1248" s="1"/>
      <c r="BA1248" s="1"/>
      <c r="BB1248" s="1">
        <v>77</v>
      </c>
      <c r="BC1248" s="1">
        <v>83</v>
      </c>
      <c r="BD1248" s="1"/>
      <c r="BE1248" s="1" t="s">
        <v>8112</v>
      </c>
      <c r="BF1248" s="1" t="str">
        <f>HYPERLINK("http://dx.doi.org/10.25750/1995-4301-2022-2-077-083","http://dx.doi.org/10.25750/1995-4301-2022-2-077-083")</f>
        <v>http://dx.doi.org/10.25750/1995-4301-2022-2-077-083</v>
      </c>
      <c r="BG1248" s="1"/>
      <c r="BH1248" s="1"/>
      <c r="BI1248" s="1"/>
      <c r="BJ1248" s="1"/>
      <c r="BK1248" s="1"/>
      <c r="BL1248" s="1"/>
      <c r="BM1248" s="1"/>
      <c r="BN1248" s="1"/>
      <c r="BO1248" s="1"/>
      <c r="BP1248" s="1"/>
      <c r="BQ1248" s="1"/>
      <c r="BR1248" s="1"/>
      <c r="BS1248" s="1" t="s">
        <v>8113</v>
      </c>
      <c r="BT1248" s="1" t="str">
        <f>HYPERLINK("https%3A%2F%2Fwww.webofscience.com%2Fwos%2Fwoscc%2Ffull-record%2FWOS:000820802000010","View Full Record in Web of Science")</f>
        <v>View Full Record in Web of Science</v>
      </c>
      <c r="BU1248" s="1"/>
      <c r="BV1248" s="1"/>
      <c r="BW1248" s="1"/>
    </row>
    <row r="1249" spans="1:75" customHeight="1" ht="12.75">
      <c r="A1249" s="1" t="s">
        <v>72</v>
      </c>
      <c r="B1249" s="1" t="s">
        <v>8114</v>
      </c>
      <c r="C1249" s="1"/>
      <c r="D1249" s="1"/>
      <c r="E1249" s="1"/>
      <c r="F1249" s="1" t="s">
        <v>8115</v>
      </c>
      <c r="G1249" s="1"/>
      <c r="H1249" s="1"/>
      <c r="I1249" s="1" t="s">
        <v>8116</v>
      </c>
      <c r="J1249" s="1" t="s">
        <v>95</v>
      </c>
      <c r="K1249" s="1"/>
      <c r="L1249" s="1"/>
      <c r="M1249" s="1"/>
      <c r="N1249" s="1"/>
      <c r="O1249" s="1"/>
      <c r="P1249" s="1"/>
      <c r="Q1249" s="1"/>
      <c r="R1249" s="1"/>
      <c r="S1249" s="1"/>
      <c r="T1249" s="1"/>
      <c r="U1249" s="1"/>
      <c r="V1249" s="1"/>
      <c r="W1249" s="1"/>
      <c r="X1249" s="1"/>
      <c r="Y1249" s="1"/>
      <c r="Z1249" s="1"/>
      <c r="AA1249" s="1" t="s">
        <v>5529</v>
      </c>
      <c r="AB1249" s="1" t="s">
        <v>5530</v>
      </c>
      <c r="AC1249" s="1"/>
      <c r="AD1249" s="1"/>
      <c r="AE1249" s="1"/>
      <c r="AF1249" s="1"/>
      <c r="AG1249" s="1"/>
      <c r="AH1249" s="1"/>
      <c r="AI1249" s="1"/>
      <c r="AJ1249" s="1"/>
      <c r="AK1249" s="1"/>
      <c r="AL1249" s="1"/>
      <c r="AM1249" s="1"/>
      <c r="AN1249" s="1"/>
      <c r="AO1249" s="1" t="s">
        <v>98</v>
      </c>
      <c r="AP1249" s="1" t="s">
        <v>99</v>
      </c>
      <c r="AQ1249" s="1"/>
      <c r="AR1249" s="1"/>
      <c r="AS1249" s="1"/>
      <c r="AT1249" s="1"/>
      <c r="AU1249" s="1">
        <v>2019</v>
      </c>
      <c r="AV1249" s="1"/>
      <c r="AW1249" s="1">
        <v>4</v>
      </c>
      <c r="AX1249" s="1"/>
      <c r="AY1249" s="1"/>
      <c r="AZ1249" s="1"/>
      <c r="BA1249" s="1"/>
      <c r="BB1249" s="1">
        <v>61</v>
      </c>
      <c r="BC1249" s="1">
        <v>68</v>
      </c>
      <c r="BD1249" s="1"/>
      <c r="BE1249" s="1" t="s">
        <v>8117</v>
      </c>
      <c r="BF1249" s="1" t="str">
        <f>HYPERLINK("http://dx.doi.org/10.25750/1995-4301-2019-4-061-068","http://dx.doi.org/10.25750/1995-4301-2019-4-061-068")</f>
        <v>http://dx.doi.org/10.25750/1995-4301-2019-4-061-068</v>
      </c>
      <c r="BG1249" s="1"/>
      <c r="BH1249" s="1"/>
      <c r="BI1249" s="1"/>
      <c r="BJ1249" s="1"/>
      <c r="BK1249" s="1"/>
      <c r="BL1249" s="1"/>
      <c r="BM1249" s="1"/>
      <c r="BN1249" s="1"/>
      <c r="BO1249" s="1"/>
      <c r="BP1249" s="1"/>
      <c r="BQ1249" s="1"/>
      <c r="BR1249" s="1"/>
      <c r="BS1249" s="1" t="s">
        <v>8118</v>
      </c>
      <c r="BT1249" s="1" t="str">
        <f>HYPERLINK("https%3A%2F%2Fwww.webofscience.com%2Fwos%2Fwoscc%2Ffull-record%2FWOS:000504049400008","View Full Record in Web of Science")</f>
        <v>View Full Record in Web of Science</v>
      </c>
      <c r="BU1249" s="1"/>
      <c r="BV1249" s="1"/>
      <c r="BW1249" s="1"/>
    </row>
    <row r="1250" spans="1:75" customHeight="1" ht="12.75">
      <c r="A1250" s="1" t="s">
        <v>72</v>
      </c>
      <c r="B1250" s="1" t="s">
        <v>8119</v>
      </c>
      <c r="C1250" s="1"/>
      <c r="D1250" s="1"/>
      <c r="E1250" s="1"/>
      <c r="F1250" s="1" t="s">
        <v>8120</v>
      </c>
      <c r="G1250" s="1"/>
      <c r="H1250" s="1"/>
      <c r="I1250" s="1" t="s">
        <v>8121</v>
      </c>
      <c r="J1250" s="1" t="s">
        <v>971</v>
      </c>
      <c r="K1250" s="1"/>
      <c r="L1250" s="1"/>
      <c r="M1250" s="1"/>
      <c r="N1250" s="1"/>
      <c r="O1250" s="1"/>
      <c r="P1250" s="1"/>
      <c r="Q1250" s="1"/>
      <c r="R1250" s="1"/>
      <c r="S1250" s="1"/>
      <c r="T1250" s="1"/>
      <c r="U1250" s="1"/>
      <c r="V1250" s="1"/>
      <c r="W1250" s="1"/>
      <c r="X1250" s="1"/>
      <c r="Y1250" s="1"/>
      <c r="Z1250" s="1"/>
      <c r="AA1250" s="1" t="s">
        <v>8122</v>
      </c>
      <c r="AB1250" s="1" t="s">
        <v>8123</v>
      </c>
      <c r="AC1250" s="1"/>
      <c r="AD1250" s="1"/>
      <c r="AE1250" s="1"/>
      <c r="AF1250" s="1"/>
      <c r="AG1250" s="1"/>
      <c r="AH1250" s="1"/>
      <c r="AI1250" s="1"/>
      <c r="AJ1250" s="1"/>
      <c r="AK1250" s="1"/>
      <c r="AL1250" s="1"/>
      <c r="AM1250" s="1"/>
      <c r="AN1250" s="1"/>
      <c r="AO1250" s="1" t="s">
        <v>973</v>
      </c>
      <c r="AP1250" s="1" t="s">
        <v>974</v>
      </c>
      <c r="AQ1250" s="1"/>
      <c r="AR1250" s="1"/>
      <c r="AS1250" s="1"/>
      <c r="AT1250" s="1" t="s">
        <v>171</v>
      </c>
      <c r="AU1250" s="1">
        <v>2014</v>
      </c>
      <c r="AV1250" s="1">
        <v>50</v>
      </c>
      <c r="AW1250" s="1">
        <v>2</v>
      </c>
      <c r="AX1250" s="1"/>
      <c r="AY1250" s="1"/>
      <c r="AZ1250" s="1"/>
      <c r="BA1250" s="1"/>
      <c r="BB1250" s="1">
        <v>179</v>
      </c>
      <c r="BC1250" s="1">
        <v>186</v>
      </c>
      <c r="BD1250" s="1"/>
      <c r="BE1250" s="1" t="s">
        <v>8124</v>
      </c>
      <c r="BF1250" s="1" t="str">
        <f>HYPERLINK("http://dx.doi.org/10.1134/S0003683814020070","http://dx.doi.org/10.1134/S0003683814020070")</f>
        <v>http://dx.doi.org/10.1134/S0003683814020070</v>
      </c>
      <c r="BG1250" s="1"/>
      <c r="BH1250" s="1"/>
      <c r="BI1250" s="1"/>
      <c r="BJ1250" s="1"/>
      <c r="BK1250" s="1"/>
      <c r="BL1250" s="1"/>
      <c r="BM1250" s="1"/>
      <c r="BN1250" s="1"/>
      <c r="BO1250" s="1"/>
      <c r="BP1250" s="1"/>
      <c r="BQ1250" s="1"/>
      <c r="BR1250" s="1"/>
      <c r="BS1250" s="1" t="s">
        <v>8125</v>
      </c>
      <c r="BT1250" s="1" t="str">
        <f>HYPERLINK("https%3A%2F%2Fwww.webofscience.com%2Fwos%2Fwoscc%2Ffull-record%2FWOS:000332737500013","View Full Record in Web of Science")</f>
        <v>View Full Record in Web of Science</v>
      </c>
      <c r="BU1250" s="1"/>
      <c r="BV1250" s="1"/>
      <c r="BW1250" s="1"/>
    </row>
    <row r="1251" spans="1:75" customHeight="1" ht="12.75">
      <c r="A1251" s="1" t="s">
        <v>72</v>
      </c>
      <c r="B1251" s="1" t="s">
        <v>8126</v>
      </c>
      <c r="C1251" s="1"/>
      <c r="D1251" s="1"/>
      <c r="E1251" s="1"/>
      <c r="F1251" s="1" t="s">
        <v>8127</v>
      </c>
      <c r="G1251" s="1"/>
      <c r="H1251" s="1"/>
      <c r="I1251" s="1" t="s">
        <v>8128</v>
      </c>
      <c r="J1251" s="1" t="s">
        <v>8129</v>
      </c>
      <c r="K1251" s="1"/>
      <c r="L1251" s="1"/>
      <c r="M1251" s="1"/>
      <c r="N1251" s="1"/>
      <c r="O1251" s="1"/>
      <c r="P1251" s="1"/>
      <c r="Q1251" s="1"/>
      <c r="R1251" s="1"/>
      <c r="S1251" s="1"/>
      <c r="T1251" s="1"/>
      <c r="U1251" s="1"/>
      <c r="V1251" s="1"/>
      <c r="W1251" s="1"/>
      <c r="X1251" s="1"/>
      <c r="Y1251" s="1"/>
      <c r="Z1251" s="1"/>
      <c r="AA1251" s="1" t="s">
        <v>8130</v>
      </c>
      <c r="AB1251" s="1" t="s">
        <v>8131</v>
      </c>
      <c r="AC1251" s="1"/>
      <c r="AD1251" s="1"/>
      <c r="AE1251" s="1"/>
      <c r="AF1251" s="1"/>
      <c r="AG1251" s="1"/>
      <c r="AH1251" s="1"/>
      <c r="AI1251" s="1"/>
      <c r="AJ1251" s="1"/>
      <c r="AK1251" s="1"/>
      <c r="AL1251" s="1"/>
      <c r="AM1251" s="1"/>
      <c r="AN1251" s="1"/>
      <c r="AO1251" s="1" t="s">
        <v>8132</v>
      </c>
      <c r="AP1251" s="1"/>
      <c r="AQ1251" s="1"/>
      <c r="AR1251" s="1"/>
      <c r="AS1251" s="1"/>
      <c r="AT1251" s="1" t="s">
        <v>8133</v>
      </c>
      <c r="AU1251" s="1">
        <v>2022</v>
      </c>
      <c r="AV1251" s="1">
        <v>12</v>
      </c>
      <c r="AW1251" s="1">
        <v>2</v>
      </c>
      <c r="AX1251" s="1"/>
      <c r="AY1251" s="1"/>
      <c r="AZ1251" s="1"/>
      <c r="BA1251" s="1"/>
      <c r="BB1251" s="1">
        <v>657</v>
      </c>
      <c r="BC1251" s="1">
        <v>662</v>
      </c>
      <c r="BD1251" s="1"/>
      <c r="BE1251" s="1" t="s">
        <v>8134</v>
      </c>
      <c r="BF1251" s="1" t="str">
        <f>HYPERLINK("http://dx.doi.org/10.31407/ijees12.240","http://dx.doi.org/10.31407/ijees12.240")</f>
        <v>http://dx.doi.org/10.31407/ijees12.240</v>
      </c>
      <c r="BG1251" s="1"/>
      <c r="BH1251" s="1"/>
      <c r="BI1251" s="1"/>
      <c r="BJ1251" s="1"/>
      <c r="BK1251" s="1"/>
      <c r="BL1251" s="1"/>
      <c r="BM1251" s="1"/>
      <c r="BN1251" s="1"/>
      <c r="BO1251" s="1"/>
      <c r="BP1251" s="1"/>
      <c r="BQ1251" s="1"/>
      <c r="BR1251" s="1"/>
      <c r="BS1251" s="1" t="s">
        <v>8135</v>
      </c>
      <c r="BT1251" s="1" t="str">
        <f>HYPERLINK("https%3A%2F%2Fwww.webofscience.com%2Fwos%2Fwoscc%2Ffull-record%2FWOS:000798578400040","View Full Record in Web of Science")</f>
        <v>View Full Record in Web of Science</v>
      </c>
      <c r="BU1251" s="1"/>
      <c r="BV1251" s="1"/>
      <c r="BW1251" s="1"/>
    </row>
    <row r="1252" spans="1:75" customHeight="1" ht="12.75">
      <c r="A1252" s="1" t="s">
        <v>72</v>
      </c>
      <c r="B1252" s="1" t="s">
        <v>8136</v>
      </c>
      <c r="C1252" s="1"/>
      <c r="D1252" s="1"/>
      <c r="E1252" s="1"/>
      <c r="F1252" s="1" t="s">
        <v>8137</v>
      </c>
      <c r="G1252" s="1"/>
      <c r="H1252" s="1"/>
      <c r="I1252" s="1" t="s">
        <v>8138</v>
      </c>
      <c r="J1252" s="1" t="s">
        <v>5139</v>
      </c>
      <c r="K1252" s="1"/>
      <c r="L1252" s="1"/>
      <c r="M1252" s="1"/>
      <c r="N1252" s="1"/>
      <c r="O1252" s="1"/>
      <c r="P1252" s="1"/>
      <c r="Q1252" s="1"/>
      <c r="R1252" s="1"/>
      <c r="S1252" s="1"/>
      <c r="T1252" s="1"/>
      <c r="U1252" s="1"/>
      <c r="V1252" s="1"/>
      <c r="W1252" s="1"/>
      <c r="X1252" s="1"/>
      <c r="Y1252" s="1"/>
      <c r="Z1252" s="1"/>
      <c r="AA1252" s="1" t="s">
        <v>8139</v>
      </c>
      <c r="AB1252" s="1" t="s">
        <v>5393</v>
      </c>
      <c r="AC1252" s="1"/>
      <c r="AD1252" s="1"/>
      <c r="AE1252" s="1"/>
      <c r="AF1252" s="1"/>
      <c r="AG1252" s="1"/>
      <c r="AH1252" s="1"/>
      <c r="AI1252" s="1"/>
      <c r="AJ1252" s="1"/>
      <c r="AK1252" s="1"/>
      <c r="AL1252" s="1"/>
      <c r="AM1252" s="1"/>
      <c r="AN1252" s="1"/>
      <c r="AO1252" s="1" t="s">
        <v>5142</v>
      </c>
      <c r="AP1252" s="1" t="s">
        <v>5143</v>
      </c>
      <c r="AQ1252" s="1"/>
      <c r="AR1252" s="1"/>
      <c r="AS1252" s="1"/>
      <c r="AT1252" s="1" t="s">
        <v>491</v>
      </c>
      <c r="AU1252" s="1">
        <v>2017</v>
      </c>
      <c r="AV1252" s="1">
        <v>13</v>
      </c>
      <c r="AW1252" s="1">
        <v>6</v>
      </c>
      <c r="AX1252" s="1"/>
      <c r="AY1252" s="1"/>
      <c r="AZ1252" s="1"/>
      <c r="BA1252" s="1"/>
      <c r="BB1252" s="1">
        <v>1799</v>
      </c>
      <c r="BC1252" s="1">
        <v>1815</v>
      </c>
      <c r="BD1252" s="1"/>
      <c r="BE1252" s="1" t="s">
        <v>8140</v>
      </c>
      <c r="BF1252" s="1" t="str">
        <f>HYPERLINK("http://dx.doi.org/10.12973/eurasia.2017.00698a","http://dx.doi.org/10.12973/eurasia.2017.00698a")</f>
        <v>http://dx.doi.org/10.12973/eurasia.2017.00698a</v>
      </c>
      <c r="BG1252" s="1"/>
      <c r="BH1252" s="1"/>
      <c r="BI1252" s="1"/>
      <c r="BJ1252" s="1"/>
      <c r="BK1252" s="1"/>
      <c r="BL1252" s="1"/>
      <c r="BM1252" s="1"/>
      <c r="BN1252" s="1"/>
      <c r="BO1252" s="1"/>
      <c r="BP1252" s="1"/>
      <c r="BQ1252" s="1"/>
      <c r="BR1252" s="1"/>
      <c r="BS1252" s="1" t="s">
        <v>8141</v>
      </c>
      <c r="BT1252" s="1" t="str">
        <f>HYPERLINK("https%3A%2F%2Fwww.webofscience.com%2Fwos%2Fwoscc%2Ffull-record%2FWOS:000404604700015","View Full Record in Web of Science")</f>
        <v>View Full Record in Web of Science</v>
      </c>
      <c r="BU1252" s="1"/>
      <c r="BV1252" s="1"/>
      <c r="BW1252" s="1"/>
    </row>
    <row r="1253" spans="1:75" customHeight="1" ht="12.75">
      <c r="A1253" s="1" t="s">
        <v>72</v>
      </c>
      <c r="B1253" s="1" t="s">
        <v>8142</v>
      </c>
      <c r="C1253" s="1"/>
      <c r="D1253" s="1"/>
      <c r="E1253" s="1"/>
      <c r="F1253" s="1" t="s">
        <v>8143</v>
      </c>
      <c r="G1253" s="1"/>
      <c r="H1253" s="1"/>
      <c r="I1253" s="1" t="s">
        <v>8144</v>
      </c>
      <c r="J1253" s="1" t="s">
        <v>95</v>
      </c>
      <c r="K1253" s="1"/>
      <c r="L1253" s="1"/>
      <c r="M1253" s="1"/>
      <c r="N1253" s="1"/>
      <c r="O1253" s="1"/>
      <c r="P1253" s="1"/>
      <c r="Q1253" s="1"/>
      <c r="R1253" s="1"/>
      <c r="S1253" s="1"/>
      <c r="T1253" s="1"/>
      <c r="U1253" s="1"/>
      <c r="V1253" s="1"/>
      <c r="W1253" s="1"/>
      <c r="X1253" s="1"/>
      <c r="Y1253" s="1"/>
      <c r="Z1253" s="1"/>
      <c r="AA1253" s="1" t="s">
        <v>8145</v>
      </c>
      <c r="AB1253" s="1" t="s">
        <v>8146</v>
      </c>
      <c r="AC1253" s="1"/>
      <c r="AD1253" s="1"/>
      <c r="AE1253" s="1"/>
      <c r="AF1253" s="1"/>
      <c r="AG1253" s="1"/>
      <c r="AH1253" s="1"/>
      <c r="AI1253" s="1"/>
      <c r="AJ1253" s="1"/>
      <c r="AK1253" s="1"/>
      <c r="AL1253" s="1"/>
      <c r="AM1253" s="1"/>
      <c r="AN1253" s="1"/>
      <c r="AO1253" s="1" t="s">
        <v>98</v>
      </c>
      <c r="AP1253" s="1" t="s">
        <v>99</v>
      </c>
      <c r="AQ1253" s="1"/>
      <c r="AR1253" s="1"/>
      <c r="AS1253" s="1"/>
      <c r="AT1253" s="1"/>
      <c r="AU1253" s="1">
        <v>2021</v>
      </c>
      <c r="AV1253" s="1"/>
      <c r="AW1253" s="1">
        <v>2</v>
      </c>
      <c r="AX1253" s="1"/>
      <c r="AY1253" s="1"/>
      <c r="AZ1253" s="1"/>
      <c r="BA1253" s="1"/>
      <c r="BB1253" s="1">
        <v>183</v>
      </c>
      <c r="BC1253" s="1">
        <v>188</v>
      </c>
      <c r="BD1253" s="1"/>
      <c r="BE1253" s="1" t="s">
        <v>8147</v>
      </c>
      <c r="BF1253" s="1" t="str">
        <f>HYPERLINK("http://dx.doi.org/10.25750/1995-4301-2021-2-183-188","http://dx.doi.org/10.25750/1995-4301-2021-2-183-188")</f>
        <v>http://dx.doi.org/10.25750/1995-4301-2021-2-183-188</v>
      </c>
      <c r="BG1253" s="1"/>
      <c r="BH1253" s="1"/>
      <c r="BI1253" s="1"/>
      <c r="BJ1253" s="1"/>
      <c r="BK1253" s="1"/>
      <c r="BL1253" s="1"/>
      <c r="BM1253" s="1"/>
      <c r="BN1253" s="1"/>
      <c r="BO1253" s="1"/>
      <c r="BP1253" s="1"/>
      <c r="BQ1253" s="1"/>
      <c r="BR1253" s="1"/>
      <c r="BS1253" s="1" t="s">
        <v>8148</v>
      </c>
      <c r="BT1253" s="1" t="str">
        <f>HYPERLINK("https%3A%2F%2Fwww.webofscience.com%2Fwos%2Fwoscc%2Ffull-record%2FWOS:000667025400026","View Full Record in Web of Science")</f>
        <v>View Full Record in Web of Science</v>
      </c>
      <c r="BU1253" s="1"/>
      <c r="BV1253" s="1"/>
      <c r="BW1253" s="1"/>
    </row>
    <row r="1254" spans="1:75" customHeight="1" ht="12.75">
      <c r="A1254" s="1" t="s">
        <v>72</v>
      </c>
      <c r="B1254" s="1" t="s">
        <v>8149</v>
      </c>
      <c r="C1254" s="1"/>
      <c r="D1254" s="1"/>
      <c r="E1254" s="1"/>
      <c r="F1254" s="1" t="s">
        <v>8150</v>
      </c>
      <c r="G1254" s="1"/>
      <c r="H1254" s="1"/>
      <c r="I1254" s="1" t="s">
        <v>8151</v>
      </c>
      <c r="J1254" s="1" t="s">
        <v>95</v>
      </c>
      <c r="K1254" s="1"/>
      <c r="L1254" s="1"/>
      <c r="M1254" s="1"/>
      <c r="N1254" s="1"/>
      <c r="O1254" s="1"/>
      <c r="P1254" s="1"/>
      <c r="Q1254" s="1"/>
      <c r="R1254" s="1"/>
      <c r="S1254" s="1"/>
      <c r="T1254" s="1"/>
      <c r="U1254" s="1"/>
      <c r="V1254" s="1"/>
      <c r="W1254" s="1"/>
      <c r="X1254" s="1"/>
      <c r="Y1254" s="1"/>
      <c r="Z1254" s="1"/>
      <c r="AA1254" s="1"/>
      <c r="AB1254" s="1" t="s">
        <v>7862</v>
      </c>
      <c r="AC1254" s="1"/>
      <c r="AD1254" s="1"/>
      <c r="AE1254" s="1"/>
      <c r="AF1254" s="1"/>
      <c r="AG1254" s="1"/>
      <c r="AH1254" s="1"/>
      <c r="AI1254" s="1"/>
      <c r="AJ1254" s="1"/>
      <c r="AK1254" s="1"/>
      <c r="AL1254" s="1"/>
      <c r="AM1254" s="1"/>
      <c r="AN1254" s="1"/>
      <c r="AO1254" s="1" t="s">
        <v>98</v>
      </c>
      <c r="AP1254" s="1" t="s">
        <v>99</v>
      </c>
      <c r="AQ1254" s="1"/>
      <c r="AR1254" s="1"/>
      <c r="AS1254" s="1"/>
      <c r="AT1254" s="1"/>
      <c r="AU1254" s="1">
        <v>2021</v>
      </c>
      <c r="AV1254" s="1"/>
      <c r="AW1254" s="1">
        <v>3</v>
      </c>
      <c r="AX1254" s="1"/>
      <c r="AY1254" s="1"/>
      <c r="AZ1254" s="1"/>
      <c r="BA1254" s="1"/>
      <c r="BB1254" s="1">
        <v>52</v>
      </c>
      <c r="BC1254" s="1">
        <v>59</v>
      </c>
      <c r="BD1254" s="1"/>
      <c r="BE1254" s="1" t="s">
        <v>8152</v>
      </c>
      <c r="BF1254" s="1" t="str">
        <f>HYPERLINK("http://dx.doi.org/10.25750/1995-4301-2021-3-052-059","http://dx.doi.org/10.25750/1995-4301-2021-3-052-059")</f>
        <v>http://dx.doi.org/10.25750/1995-4301-2021-3-052-059</v>
      </c>
      <c r="BG1254" s="1"/>
      <c r="BH1254" s="1"/>
      <c r="BI1254" s="1"/>
      <c r="BJ1254" s="1"/>
      <c r="BK1254" s="1"/>
      <c r="BL1254" s="1"/>
      <c r="BM1254" s="1"/>
      <c r="BN1254" s="1"/>
      <c r="BO1254" s="1"/>
      <c r="BP1254" s="1"/>
      <c r="BQ1254" s="1"/>
      <c r="BR1254" s="1"/>
      <c r="BS1254" s="1" t="s">
        <v>8153</v>
      </c>
      <c r="BT1254" s="1" t="str">
        <f>HYPERLINK("https%3A%2F%2Fwww.webofscience.com%2Fwos%2Fwoscc%2Ffull-record%2FWOS:000700413300007","View Full Record in Web of Science")</f>
        <v>View Full Record in Web of Science</v>
      </c>
      <c r="BU1254" s="1"/>
      <c r="BV1254" s="1"/>
      <c r="BW1254" s="1"/>
    </row>
    <row r="1255" spans="1:75" customHeight="1" ht="12.75">
      <c r="A1255" s="1" t="s">
        <v>147</v>
      </c>
      <c r="B1255" s="1" t="s">
        <v>8154</v>
      </c>
      <c r="C1255" s="1"/>
      <c r="D1255" s="1" t="s">
        <v>1876</v>
      </c>
      <c r="E1255" s="1"/>
      <c r="F1255" s="1" t="s">
        <v>8155</v>
      </c>
      <c r="G1255" s="1"/>
      <c r="H1255" s="1"/>
      <c r="I1255" s="1" t="s">
        <v>8156</v>
      </c>
      <c r="J1255" s="1" t="s">
        <v>1879</v>
      </c>
      <c r="K1255" s="1" t="s">
        <v>1276</v>
      </c>
      <c r="L1255" s="1"/>
      <c r="M1255" s="1"/>
      <c r="N1255" s="1"/>
      <c r="O1255" s="1" t="s">
        <v>1880</v>
      </c>
      <c r="P1255" s="1" t="s">
        <v>1881</v>
      </c>
      <c r="Q1255" s="1" t="s">
        <v>1882</v>
      </c>
      <c r="R1255" s="1" t="s">
        <v>1883</v>
      </c>
      <c r="S1255" s="1" t="s">
        <v>1884</v>
      </c>
      <c r="T1255" s="1"/>
      <c r="U1255" s="1"/>
      <c r="V1255" s="1"/>
      <c r="W1255" s="1"/>
      <c r="X1255" s="1"/>
      <c r="Y1255" s="1"/>
      <c r="Z1255" s="1"/>
      <c r="AA1255" s="1" t="s">
        <v>7677</v>
      </c>
      <c r="AB1255" s="1" t="s">
        <v>7678</v>
      </c>
      <c r="AC1255" s="1"/>
      <c r="AD1255" s="1"/>
      <c r="AE1255" s="1"/>
      <c r="AF1255" s="1"/>
      <c r="AG1255" s="1"/>
      <c r="AH1255" s="1"/>
      <c r="AI1255" s="1"/>
      <c r="AJ1255" s="1"/>
      <c r="AK1255" s="1"/>
      <c r="AL1255" s="1"/>
      <c r="AM1255" s="1"/>
      <c r="AN1255" s="1"/>
      <c r="AO1255" s="1" t="s">
        <v>1282</v>
      </c>
      <c r="AP1255" s="1"/>
      <c r="AQ1255" s="1"/>
      <c r="AR1255" s="1"/>
      <c r="AS1255" s="1"/>
      <c r="AT1255" s="1"/>
      <c r="AU1255" s="1">
        <v>2017</v>
      </c>
      <c r="AV1255" s="1">
        <v>106</v>
      </c>
      <c r="AW1255" s="1"/>
      <c r="AX1255" s="1"/>
      <c r="AY1255" s="1"/>
      <c r="AZ1255" s="1"/>
      <c r="BA1255" s="1"/>
      <c r="BB1255" s="1"/>
      <c r="BC1255" s="1"/>
      <c r="BD1255" s="1">
        <v>8085</v>
      </c>
      <c r="BE1255" s="1" t="s">
        <v>8157</v>
      </c>
      <c r="BF1255" s="1" t="str">
        <f>HYPERLINK("http://dx.doi.org/10.1051/matecconf/201710608085","http://dx.doi.org/10.1051/matecconf/201710608085")</f>
        <v>http://dx.doi.org/10.1051/matecconf/201710608085</v>
      </c>
      <c r="BG1255" s="1"/>
      <c r="BH1255" s="1"/>
      <c r="BI1255" s="1"/>
      <c r="BJ1255" s="1"/>
      <c r="BK1255" s="1"/>
      <c r="BL1255" s="1"/>
      <c r="BM1255" s="1"/>
      <c r="BN1255" s="1"/>
      <c r="BO1255" s="1"/>
      <c r="BP1255" s="1"/>
      <c r="BQ1255" s="1"/>
      <c r="BR1255" s="1"/>
      <c r="BS1255" s="1" t="s">
        <v>8158</v>
      </c>
      <c r="BT1255" s="1" t="str">
        <f>HYPERLINK("https%3A%2F%2Fwww.webofscience.com%2Fwos%2Fwoscc%2Ffull-record%2FWOS:000426426600270","View Full Record in Web of Science")</f>
        <v>View Full Record in Web of Science</v>
      </c>
      <c r="BU1255" s="1"/>
      <c r="BV1255" s="1"/>
      <c r="BW1255" s="1"/>
    </row>
    <row r="1256" spans="1:75" customHeight="1" ht="12.75">
      <c r="A1256" s="1" t="s">
        <v>72</v>
      </c>
      <c r="B1256" s="1" t="s">
        <v>8056</v>
      </c>
      <c r="C1256" s="1"/>
      <c r="D1256" s="1"/>
      <c r="E1256" s="1"/>
      <c r="F1256" s="1" t="s">
        <v>8159</v>
      </c>
      <c r="G1256" s="1"/>
      <c r="H1256" s="1"/>
      <c r="I1256" s="1" t="s">
        <v>8160</v>
      </c>
      <c r="J1256" s="1" t="s">
        <v>3610</v>
      </c>
      <c r="K1256" s="1"/>
      <c r="L1256" s="1"/>
      <c r="M1256" s="1"/>
      <c r="N1256" s="1"/>
      <c r="O1256" s="1"/>
      <c r="P1256" s="1"/>
      <c r="Q1256" s="1"/>
      <c r="R1256" s="1"/>
      <c r="S1256" s="1"/>
      <c r="T1256" s="1"/>
      <c r="U1256" s="1"/>
      <c r="V1256" s="1"/>
      <c r="W1256" s="1"/>
      <c r="X1256" s="1"/>
      <c r="Y1256" s="1"/>
      <c r="Z1256" s="1"/>
      <c r="AA1256" s="1" t="s">
        <v>8059</v>
      </c>
      <c r="AB1256" s="1" t="s">
        <v>8060</v>
      </c>
      <c r="AC1256" s="1"/>
      <c r="AD1256" s="1"/>
      <c r="AE1256" s="1"/>
      <c r="AF1256" s="1"/>
      <c r="AG1256" s="1"/>
      <c r="AH1256" s="1"/>
      <c r="AI1256" s="1"/>
      <c r="AJ1256" s="1"/>
      <c r="AK1256" s="1"/>
      <c r="AL1256" s="1"/>
      <c r="AM1256" s="1"/>
      <c r="AN1256" s="1"/>
      <c r="AO1256" s="1" t="s">
        <v>3613</v>
      </c>
      <c r="AP1256" s="1" t="s">
        <v>4602</v>
      </c>
      <c r="AQ1256" s="1"/>
      <c r="AR1256" s="1"/>
      <c r="AS1256" s="1"/>
      <c r="AT1256" s="1" t="s">
        <v>88</v>
      </c>
      <c r="AU1256" s="1">
        <v>2013</v>
      </c>
      <c r="AV1256" s="1">
        <v>46</v>
      </c>
      <c r="AW1256" s="1">
        <v>5</v>
      </c>
      <c r="AX1256" s="1"/>
      <c r="AY1256" s="1"/>
      <c r="AZ1256" s="1"/>
      <c r="BA1256" s="1"/>
      <c r="BB1256" s="1">
        <v>565</v>
      </c>
      <c r="BC1256" s="1">
        <v>571</v>
      </c>
      <c r="BD1256" s="1"/>
      <c r="BE1256" s="1" t="s">
        <v>8161</v>
      </c>
      <c r="BF1256" s="1" t="str">
        <f>HYPERLINK("http://dx.doi.org/10.1134/S106422931305013X","http://dx.doi.org/10.1134/S106422931305013X")</f>
        <v>http://dx.doi.org/10.1134/S106422931305013X</v>
      </c>
      <c r="BG1256" s="1"/>
      <c r="BH1256" s="1"/>
      <c r="BI1256" s="1"/>
      <c r="BJ1256" s="1"/>
      <c r="BK1256" s="1"/>
      <c r="BL1256" s="1"/>
      <c r="BM1256" s="1"/>
      <c r="BN1256" s="1"/>
      <c r="BO1256" s="1"/>
      <c r="BP1256" s="1"/>
      <c r="BQ1256" s="1"/>
      <c r="BR1256" s="1"/>
      <c r="BS1256" s="1" t="s">
        <v>8162</v>
      </c>
      <c r="BT1256" s="1" t="str">
        <f>HYPERLINK("https%3A%2F%2Fwww.webofscience.com%2Fwos%2Fwoscc%2Ffull-record%2FWOS:000319159900011","View Full Record in Web of Science")</f>
        <v>View Full Record in Web of Science</v>
      </c>
      <c r="BU1256" s="1"/>
      <c r="BV1256" s="1"/>
      <c r="BW1256" s="1"/>
    </row>
    <row r="1257" spans="1:75" customHeight="1" ht="12.75">
      <c r="A1257" s="1" t="s">
        <v>72</v>
      </c>
      <c r="B1257" s="1" t="s">
        <v>8163</v>
      </c>
      <c r="C1257" s="1"/>
      <c r="D1257" s="1"/>
      <c r="E1257" s="1"/>
      <c r="F1257" s="1" t="s">
        <v>8164</v>
      </c>
      <c r="G1257" s="1"/>
      <c r="H1257" s="1"/>
      <c r="I1257" s="1" t="s">
        <v>8165</v>
      </c>
      <c r="J1257" s="1" t="s">
        <v>6373</v>
      </c>
      <c r="K1257" s="1"/>
      <c r="L1257" s="1"/>
      <c r="M1257" s="1"/>
      <c r="N1257" s="1"/>
      <c r="O1257" s="1"/>
      <c r="P1257" s="1"/>
      <c r="Q1257" s="1"/>
      <c r="R1257" s="1"/>
      <c r="S1257" s="1"/>
      <c r="T1257" s="1"/>
      <c r="U1257" s="1"/>
      <c r="V1257" s="1"/>
      <c r="W1257" s="1"/>
      <c r="X1257" s="1"/>
      <c r="Y1257" s="1"/>
      <c r="Z1257" s="1"/>
      <c r="AA1257" s="1" t="s">
        <v>8166</v>
      </c>
      <c r="AB1257" s="1" t="s">
        <v>8167</v>
      </c>
      <c r="AC1257" s="1"/>
      <c r="AD1257" s="1"/>
      <c r="AE1257" s="1"/>
      <c r="AF1257" s="1"/>
      <c r="AG1257" s="1"/>
      <c r="AH1257" s="1"/>
      <c r="AI1257" s="1"/>
      <c r="AJ1257" s="1"/>
      <c r="AK1257" s="1"/>
      <c r="AL1257" s="1"/>
      <c r="AM1257" s="1"/>
      <c r="AN1257" s="1"/>
      <c r="AO1257" s="1" t="s">
        <v>6374</v>
      </c>
      <c r="AP1257" s="1"/>
      <c r="AQ1257" s="1"/>
      <c r="AR1257" s="1"/>
      <c r="AS1257" s="1"/>
      <c r="AT1257" s="1" t="s">
        <v>8168</v>
      </c>
      <c r="AU1257" s="1">
        <v>2022</v>
      </c>
      <c r="AV1257" s="1">
        <v>10</v>
      </c>
      <c r="AW1257" s="1"/>
      <c r="AX1257" s="1"/>
      <c r="AY1257" s="1"/>
      <c r="AZ1257" s="1"/>
      <c r="BA1257" s="1"/>
      <c r="BB1257" s="1"/>
      <c r="BC1257" s="1"/>
      <c r="BD1257" s="1">
        <v>908489</v>
      </c>
      <c r="BE1257" s="1" t="s">
        <v>8169</v>
      </c>
      <c r="BF1257" s="1" t="str">
        <f>HYPERLINK("http://dx.doi.org/10.3389/fenrg.2022.908489","http://dx.doi.org/10.3389/fenrg.2022.908489")</f>
        <v>http://dx.doi.org/10.3389/fenrg.2022.908489</v>
      </c>
      <c r="BG1257" s="1"/>
      <c r="BH1257" s="1"/>
      <c r="BI1257" s="1"/>
      <c r="BJ1257" s="1"/>
      <c r="BK1257" s="1"/>
      <c r="BL1257" s="1"/>
      <c r="BM1257" s="1"/>
      <c r="BN1257" s="1"/>
      <c r="BO1257" s="1"/>
      <c r="BP1257" s="1"/>
      <c r="BQ1257" s="1"/>
      <c r="BR1257" s="1"/>
      <c r="BS1257" s="1" t="s">
        <v>8170</v>
      </c>
      <c r="BT1257" s="1" t="str">
        <f>HYPERLINK("https%3A%2F%2Fwww.webofscience.com%2Fwos%2Fwoscc%2Ffull-record%2FWOS:000811266700001","View Full Record in Web of Science")</f>
        <v>View Full Record in Web of Science</v>
      </c>
      <c r="BU1257" s="1"/>
      <c r="BV1257" s="1"/>
      <c r="BW1257" s="1"/>
    </row>
    <row r="1258" spans="1:75" customHeight="1" ht="12.75">
      <c r="A1258" s="1" t="s">
        <v>72</v>
      </c>
      <c r="B1258" s="1" t="s">
        <v>8171</v>
      </c>
      <c r="C1258" s="1"/>
      <c r="D1258" s="1"/>
      <c r="E1258" s="1"/>
      <c r="F1258" s="1" t="s">
        <v>8172</v>
      </c>
      <c r="G1258" s="1"/>
      <c r="H1258" s="1"/>
      <c r="I1258" s="1" t="s">
        <v>8173</v>
      </c>
      <c r="J1258" s="1" t="s">
        <v>4382</v>
      </c>
      <c r="K1258" s="1"/>
      <c r="L1258" s="1"/>
      <c r="M1258" s="1"/>
      <c r="N1258" s="1"/>
      <c r="O1258" s="1"/>
      <c r="P1258" s="1"/>
      <c r="Q1258" s="1"/>
      <c r="R1258" s="1"/>
      <c r="S1258" s="1"/>
      <c r="T1258" s="1"/>
      <c r="U1258" s="1"/>
      <c r="V1258" s="1"/>
      <c r="W1258" s="1"/>
      <c r="X1258" s="1"/>
      <c r="Y1258" s="1"/>
      <c r="Z1258" s="1"/>
      <c r="AA1258" s="1" t="s">
        <v>8174</v>
      </c>
      <c r="AB1258" s="1" t="s">
        <v>8175</v>
      </c>
      <c r="AC1258" s="1"/>
      <c r="AD1258" s="1"/>
      <c r="AE1258" s="1"/>
      <c r="AF1258" s="1"/>
      <c r="AG1258" s="1"/>
      <c r="AH1258" s="1"/>
      <c r="AI1258" s="1"/>
      <c r="AJ1258" s="1"/>
      <c r="AK1258" s="1"/>
      <c r="AL1258" s="1"/>
      <c r="AM1258" s="1"/>
      <c r="AN1258" s="1"/>
      <c r="AO1258" s="1" t="s">
        <v>4383</v>
      </c>
      <c r="AP1258" s="1" t="s">
        <v>4384</v>
      </c>
      <c r="AQ1258" s="1"/>
      <c r="AR1258" s="1"/>
      <c r="AS1258" s="1"/>
      <c r="AT1258" s="1" t="s">
        <v>198</v>
      </c>
      <c r="AU1258" s="1">
        <v>2018</v>
      </c>
      <c r="AV1258" s="1">
        <v>11</v>
      </c>
      <c r="AW1258" s="1">
        <v>2</v>
      </c>
      <c r="AX1258" s="1"/>
      <c r="AY1258" s="1"/>
      <c r="AZ1258" s="1"/>
      <c r="BA1258" s="1"/>
      <c r="BB1258" s="1">
        <v>111</v>
      </c>
      <c r="BC1258" s="1">
        <v>123</v>
      </c>
      <c r="BD1258" s="1"/>
      <c r="BE1258" s="1" t="s">
        <v>8176</v>
      </c>
      <c r="BF1258" s="1" t="str">
        <f>HYPERLINK("http://dx.doi.org/10.1134/S1995082918020086","http://dx.doi.org/10.1134/S1995082918020086")</f>
        <v>http://dx.doi.org/10.1134/S1995082918020086</v>
      </c>
      <c r="BG1258" s="1"/>
      <c r="BH1258" s="1"/>
      <c r="BI1258" s="1"/>
      <c r="BJ1258" s="1"/>
      <c r="BK1258" s="1"/>
      <c r="BL1258" s="1"/>
      <c r="BM1258" s="1"/>
      <c r="BN1258" s="1"/>
      <c r="BO1258" s="1"/>
      <c r="BP1258" s="1"/>
      <c r="BQ1258" s="1"/>
      <c r="BR1258" s="1"/>
      <c r="BS1258" s="1" t="s">
        <v>8177</v>
      </c>
      <c r="BT1258" s="1" t="str">
        <f>HYPERLINK("https%3A%2F%2Fwww.webofscience.com%2Fwos%2Fwoscc%2Ffull-record%2FWOS:000434910800001","View Full Record in Web of Science")</f>
        <v>View Full Record in Web of Science</v>
      </c>
      <c r="BU1258" s="1"/>
      <c r="BV1258" s="1"/>
      <c r="BW1258" s="1"/>
    </row>
    <row r="1259" spans="1:75" customHeight="1" ht="12.75">
      <c r="A1259" s="1" t="s">
        <v>72</v>
      </c>
      <c r="B1259" s="1" t="s">
        <v>8178</v>
      </c>
      <c r="C1259" s="1"/>
      <c r="D1259" s="1"/>
      <c r="E1259" s="1"/>
      <c r="F1259" s="1" t="s">
        <v>8179</v>
      </c>
      <c r="G1259" s="1"/>
      <c r="H1259" s="1"/>
      <c r="I1259" s="1" t="s">
        <v>8180</v>
      </c>
      <c r="J1259" s="1" t="s">
        <v>8181</v>
      </c>
      <c r="K1259" s="1"/>
      <c r="L1259" s="1"/>
      <c r="M1259" s="1"/>
      <c r="N1259" s="1"/>
      <c r="O1259" s="1"/>
      <c r="P1259" s="1"/>
      <c r="Q1259" s="1"/>
      <c r="R1259" s="1"/>
      <c r="S1259" s="1"/>
      <c r="T1259" s="1"/>
      <c r="U1259" s="1"/>
      <c r="V1259" s="1"/>
      <c r="W1259" s="1"/>
      <c r="X1259" s="1"/>
      <c r="Y1259" s="1"/>
      <c r="Z1259" s="1"/>
      <c r="AA1259" s="1" t="s">
        <v>8182</v>
      </c>
      <c r="AB1259" s="1" t="s">
        <v>8183</v>
      </c>
      <c r="AC1259" s="1"/>
      <c r="AD1259" s="1"/>
      <c r="AE1259" s="1"/>
      <c r="AF1259" s="1"/>
      <c r="AG1259" s="1"/>
      <c r="AH1259" s="1"/>
      <c r="AI1259" s="1"/>
      <c r="AJ1259" s="1"/>
      <c r="AK1259" s="1"/>
      <c r="AL1259" s="1"/>
      <c r="AM1259" s="1"/>
      <c r="AN1259" s="1"/>
      <c r="AO1259" s="1" t="s">
        <v>8184</v>
      </c>
      <c r="AP1259" s="1" t="s">
        <v>8185</v>
      </c>
      <c r="AQ1259" s="1"/>
      <c r="AR1259" s="1"/>
      <c r="AS1259" s="1"/>
      <c r="AT1259" s="1" t="s">
        <v>830</v>
      </c>
      <c r="AU1259" s="1">
        <v>2017</v>
      </c>
      <c r="AV1259" s="1">
        <v>53</v>
      </c>
      <c r="AW1259" s="1">
        <v>5</v>
      </c>
      <c r="AX1259" s="1"/>
      <c r="AY1259" s="1"/>
      <c r="AZ1259" s="1"/>
      <c r="BA1259" s="1"/>
      <c r="BB1259" s="1">
        <v>823</v>
      </c>
      <c r="BC1259" s="1">
        <v>829</v>
      </c>
      <c r="BD1259" s="1"/>
      <c r="BE1259" s="1" t="s">
        <v>8186</v>
      </c>
      <c r="BF1259" s="1" t="str">
        <f>HYPERLINK("http://dx.doi.org/10.1007/s10600-017-2133-x","http://dx.doi.org/10.1007/s10600-017-2133-x")</f>
        <v>http://dx.doi.org/10.1007/s10600-017-2133-x</v>
      </c>
      <c r="BG1259" s="1"/>
      <c r="BH1259" s="1"/>
      <c r="BI1259" s="1"/>
      <c r="BJ1259" s="1"/>
      <c r="BK1259" s="1"/>
      <c r="BL1259" s="1"/>
      <c r="BM1259" s="1"/>
      <c r="BN1259" s="1"/>
      <c r="BO1259" s="1"/>
      <c r="BP1259" s="1"/>
      <c r="BQ1259" s="1"/>
      <c r="BR1259" s="1"/>
      <c r="BS1259" s="1" t="s">
        <v>8187</v>
      </c>
      <c r="BT1259" s="1" t="str">
        <f>HYPERLINK("https%3A%2F%2Fwww.webofscience.com%2Fwos%2Fwoscc%2Ffull-record%2FWOS:000412513600003","View Full Record in Web of Science")</f>
        <v>View Full Record in Web of Science</v>
      </c>
      <c r="BU1259" s="1"/>
      <c r="BV1259" s="1"/>
      <c r="BW1259" s="1"/>
    </row>
    <row r="1260" spans="1:75" customHeight="1" ht="12.75">
      <c r="A1260" s="1" t="s">
        <v>72</v>
      </c>
      <c r="B1260" s="1" t="s">
        <v>8188</v>
      </c>
      <c r="C1260" s="1"/>
      <c r="D1260" s="1"/>
      <c r="E1260" s="1"/>
      <c r="F1260" s="1" t="s">
        <v>8189</v>
      </c>
      <c r="G1260" s="1"/>
      <c r="H1260" s="1"/>
      <c r="I1260" s="1" t="s">
        <v>8190</v>
      </c>
      <c r="J1260" s="1" t="s">
        <v>8191</v>
      </c>
      <c r="K1260" s="1"/>
      <c r="L1260" s="1"/>
      <c r="M1260" s="1"/>
      <c r="N1260" s="1"/>
      <c r="O1260" s="1"/>
      <c r="P1260" s="1"/>
      <c r="Q1260" s="1"/>
      <c r="R1260" s="1"/>
      <c r="S1260" s="1"/>
      <c r="T1260" s="1"/>
      <c r="U1260" s="1"/>
      <c r="V1260" s="1"/>
      <c r="W1260" s="1"/>
      <c r="X1260" s="1"/>
      <c r="Y1260" s="1"/>
      <c r="Z1260" s="1"/>
      <c r="AA1260" s="1" t="s">
        <v>8192</v>
      </c>
      <c r="AB1260" s="1" t="s">
        <v>8193</v>
      </c>
      <c r="AC1260" s="1"/>
      <c r="AD1260" s="1"/>
      <c r="AE1260" s="1"/>
      <c r="AF1260" s="1"/>
      <c r="AG1260" s="1"/>
      <c r="AH1260" s="1"/>
      <c r="AI1260" s="1"/>
      <c r="AJ1260" s="1"/>
      <c r="AK1260" s="1"/>
      <c r="AL1260" s="1"/>
      <c r="AM1260" s="1"/>
      <c r="AN1260" s="1"/>
      <c r="AO1260" s="1" t="s">
        <v>8194</v>
      </c>
      <c r="AP1260" s="1" t="s">
        <v>8195</v>
      </c>
      <c r="AQ1260" s="1"/>
      <c r="AR1260" s="1"/>
      <c r="AS1260" s="1"/>
      <c r="AT1260" s="1" t="s">
        <v>198</v>
      </c>
      <c r="AU1260" s="1">
        <v>2017</v>
      </c>
      <c r="AV1260" s="1">
        <v>65</v>
      </c>
      <c r="AW1260" s="1"/>
      <c r="AX1260" s="1"/>
      <c r="AY1260" s="1"/>
      <c r="AZ1260" s="1"/>
      <c r="BA1260" s="1"/>
      <c r="BB1260" s="1">
        <v>77</v>
      </c>
      <c r="BC1260" s="1">
        <v>86</v>
      </c>
      <c r="BD1260" s="1"/>
      <c r="BE1260" s="1" t="s">
        <v>8196</v>
      </c>
      <c r="BF1260" s="1" t="str">
        <f>HYPERLINK("http://dx.doi.org/10.1016/j.foodhyd.2016.10.042","http://dx.doi.org/10.1016/j.foodhyd.2016.10.042")</f>
        <v>http://dx.doi.org/10.1016/j.foodhyd.2016.10.042</v>
      </c>
      <c r="BG1260" s="1"/>
      <c r="BH1260" s="1"/>
      <c r="BI1260" s="1"/>
      <c r="BJ1260" s="1"/>
      <c r="BK1260" s="1"/>
      <c r="BL1260" s="1"/>
      <c r="BM1260" s="1"/>
      <c r="BN1260" s="1"/>
      <c r="BO1260" s="1"/>
      <c r="BP1260" s="1"/>
      <c r="BQ1260" s="1"/>
      <c r="BR1260" s="1"/>
      <c r="BS1260" s="1" t="s">
        <v>8197</v>
      </c>
      <c r="BT1260" s="1" t="str">
        <f>HYPERLINK("https%3A%2F%2Fwww.webofscience.com%2Fwos%2Fwoscc%2Ffull-record%2FWOS:000392771400009","View Full Record in Web of Science")</f>
        <v>View Full Record in Web of Science</v>
      </c>
      <c r="BU1260" s="1"/>
      <c r="BV1260" s="1"/>
      <c r="BW1260" s="1"/>
    </row>
    <row r="1261" spans="1:75" customHeight="1" ht="12.75">
      <c r="A1261" s="1" t="s">
        <v>147</v>
      </c>
      <c r="B1261" s="1" t="s">
        <v>8198</v>
      </c>
      <c r="C1261" s="1"/>
      <c r="D1261" s="1" t="s">
        <v>2517</v>
      </c>
      <c r="E1261" s="1"/>
      <c r="F1261" s="1" t="s">
        <v>8199</v>
      </c>
      <c r="G1261" s="1"/>
      <c r="H1261" s="1"/>
      <c r="I1261" s="1" t="s">
        <v>8200</v>
      </c>
      <c r="J1261" s="1" t="s">
        <v>7440</v>
      </c>
      <c r="K1261" s="1" t="s">
        <v>2521</v>
      </c>
      <c r="L1261" s="1"/>
      <c r="M1261" s="1"/>
      <c r="N1261" s="1"/>
      <c r="O1261" s="1" t="s">
        <v>7441</v>
      </c>
      <c r="P1261" s="1" t="s">
        <v>7442</v>
      </c>
      <c r="Q1261" s="1" t="s">
        <v>7443</v>
      </c>
      <c r="R1261" s="1"/>
      <c r="S1261" s="1" t="s">
        <v>7444</v>
      </c>
      <c r="T1261" s="1"/>
      <c r="U1261" s="1"/>
      <c r="V1261" s="1"/>
      <c r="W1261" s="1"/>
      <c r="X1261" s="1"/>
      <c r="Y1261" s="1"/>
      <c r="Z1261" s="1"/>
      <c r="AA1261" s="1" t="s">
        <v>8201</v>
      </c>
      <c r="AB1261" s="1" t="s">
        <v>8202</v>
      </c>
      <c r="AC1261" s="1"/>
      <c r="AD1261" s="1"/>
      <c r="AE1261" s="1"/>
      <c r="AF1261" s="1"/>
      <c r="AG1261" s="1"/>
      <c r="AH1261" s="1"/>
      <c r="AI1261" s="1"/>
      <c r="AJ1261" s="1"/>
      <c r="AK1261" s="1"/>
      <c r="AL1261" s="1"/>
      <c r="AM1261" s="1"/>
      <c r="AN1261" s="1"/>
      <c r="AO1261" s="1" t="s">
        <v>2527</v>
      </c>
      <c r="AP1261" s="1" t="s">
        <v>2528</v>
      </c>
      <c r="AQ1261" s="1"/>
      <c r="AR1261" s="1"/>
      <c r="AS1261" s="1"/>
      <c r="AT1261" s="1"/>
      <c r="AU1261" s="1">
        <v>2017</v>
      </c>
      <c r="AV1261" s="1"/>
      <c r="AW1261" s="1"/>
      <c r="AX1261" s="1"/>
      <c r="AY1261" s="1"/>
      <c r="AZ1261" s="1"/>
      <c r="BA1261" s="1"/>
      <c r="BB1261" s="1">
        <v>309</v>
      </c>
      <c r="BC1261" s="1">
        <v>316</v>
      </c>
      <c r="BD1261" s="1"/>
      <c r="BE1261" s="1" t="s">
        <v>8203</v>
      </c>
      <c r="BF1261" s="1" t="str">
        <f>HYPERLINK("http://dx.doi.org/10.22616/ERDev2017.16.N061","http://dx.doi.org/10.22616/ERDev2017.16.N061")</f>
        <v>http://dx.doi.org/10.22616/ERDev2017.16.N061</v>
      </c>
      <c r="BG1261" s="1"/>
      <c r="BH1261" s="1"/>
      <c r="BI1261" s="1"/>
      <c r="BJ1261" s="1"/>
      <c r="BK1261" s="1"/>
      <c r="BL1261" s="1"/>
      <c r="BM1261" s="1"/>
      <c r="BN1261" s="1"/>
      <c r="BO1261" s="1"/>
      <c r="BP1261" s="1"/>
      <c r="BQ1261" s="1"/>
      <c r="BR1261" s="1"/>
      <c r="BS1261" s="1" t="s">
        <v>8204</v>
      </c>
      <c r="BT1261" s="1" t="str">
        <f>HYPERLINK("https%3A%2F%2Fwww.webofscience.com%2Fwos%2Fwoscc%2Ffull-record%2FWOS:000416378300045","View Full Record in Web of Science")</f>
        <v>View Full Record in Web of Science</v>
      </c>
      <c r="BU1261" s="1"/>
      <c r="BV1261" s="1"/>
      <c r="BW1261" s="1"/>
    </row>
    <row r="1262" spans="1:75" customHeight="1" ht="12.75">
      <c r="A1262" s="1" t="s">
        <v>72</v>
      </c>
      <c r="B1262" s="1" t="s">
        <v>8205</v>
      </c>
      <c r="C1262" s="1"/>
      <c r="D1262" s="1"/>
      <c r="E1262" s="1"/>
      <c r="F1262" s="1" t="s">
        <v>8206</v>
      </c>
      <c r="G1262" s="1"/>
      <c r="H1262" s="1"/>
      <c r="I1262" s="1" t="s">
        <v>8207</v>
      </c>
      <c r="J1262" s="1" t="s">
        <v>123</v>
      </c>
      <c r="K1262" s="1"/>
      <c r="L1262" s="1"/>
      <c r="M1262" s="1"/>
      <c r="N1262" s="1"/>
      <c r="O1262" s="1"/>
      <c r="P1262" s="1"/>
      <c r="Q1262" s="1"/>
      <c r="R1262" s="1"/>
      <c r="S1262" s="1"/>
      <c r="T1262" s="1"/>
      <c r="U1262" s="1"/>
      <c r="V1262" s="1"/>
      <c r="W1262" s="1"/>
      <c r="X1262" s="1"/>
      <c r="Y1262" s="1"/>
      <c r="Z1262" s="1"/>
      <c r="AA1262" s="1" t="s">
        <v>5007</v>
      </c>
      <c r="AB1262" s="1" t="s">
        <v>8208</v>
      </c>
      <c r="AC1262" s="1"/>
      <c r="AD1262" s="1"/>
      <c r="AE1262" s="1"/>
      <c r="AF1262" s="1"/>
      <c r="AG1262" s="1"/>
      <c r="AH1262" s="1"/>
      <c r="AI1262" s="1"/>
      <c r="AJ1262" s="1"/>
      <c r="AK1262" s="1"/>
      <c r="AL1262" s="1"/>
      <c r="AM1262" s="1"/>
      <c r="AN1262" s="1"/>
      <c r="AO1262" s="1" t="s">
        <v>124</v>
      </c>
      <c r="AP1262" s="1"/>
      <c r="AQ1262" s="1"/>
      <c r="AR1262" s="1"/>
      <c r="AS1262" s="1"/>
      <c r="AT1262" s="1" t="s">
        <v>198</v>
      </c>
      <c r="AU1262" s="1">
        <v>2022</v>
      </c>
      <c r="AV1262" s="1">
        <v>23</v>
      </c>
      <c r="AW1262" s="1">
        <v>4</v>
      </c>
      <c r="AX1262" s="1"/>
      <c r="AY1262" s="1"/>
      <c r="AZ1262" s="1"/>
      <c r="BA1262" s="1"/>
      <c r="BB1262" s="1">
        <v>58</v>
      </c>
      <c r="BC1262" s="1">
        <v>63</v>
      </c>
      <c r="BD1262" s="1"/>
      <c r="BE1262" s="1" t="s">
        <v>8209</v>
      </c>
      <c r="BF1262" s="1" t="str">
        <f>HYPERLINK("http://dx.doi.org/10.12911/22998993/146330","http://dx.doi.org/10.12911/22998993/146330")</f>
        <v>http://dx.doi.org/10.12911/22998993/146330</v>
      </c>
      <c r="BG1262" s="1"/>
      <c r="BH1262" s="1"/>
      <c r="BI1262" s="1"/>
      <c r="BJ1262" s="1"/>
      <c r="BK1262" s="1"/>
      <c r="BL1262" s="1"/>
      <c r="BM1262" s="1"/>
      <c r="BN1262" s="1"/>
      <c r="BO1262" s="1"/>
      <c r="BP1262" s="1"/>
      <c r="BQ1262" s="1"/>
      <c r="BR1262" s="1"/>
      <c r="BS1262" s="1" t="s">
        <v>8210</v>
      </c>
      <c r="BT1262" s="1" t="str">
        <f>HYPERLINK("https%3A%2F%2Fwww.webofscience.com%2Fwos%2Fwoscc%2Ffull-record%2FWOS:000778019200006","View Full Record in Web of Science")</f>
        <v>View Full Record in Web of Science</v>
      </c>
      <c r="BU1262" s="1"/>
      <c r="BV1262" s="1"/>
      <c r="BW1262" s="1"/>
    </row>
    <row r="1263" spans="1:75" customHeight="1" ht="12.75">
      <c r="A1263" s="1" t="s">
        <v>72</v>
      </c>
      <c r="B1263" s="1" t="s">
        <v>8211</v>
      </c>
      <c r="C1263" s="1"/>
      <c r="D1263" s="1"/>
      <c r="E1263" s="1"/>
      <c r="F1263" s="1" t="s">
        <v>8212</v>
      </c>
      <c r="G1263" s="1"/>
      <c r="H1263" s="1"/>
      <c r="I1263" s="1" t="s">
        <v>8213</v>
      </c>
      <c r="J1263" s="1" t="s">
        <v>8214</v>
      </c>
      <c r="K1263" s="1"/>
      <c r="L1263" s="1"/>
      <c r="M1263" s="1"/>
      <c r="N1263" s="1"/>
      <c r="O1263" s="1"/>
      <c r="P1263" s="1"/>
      <c r="Q1263" s="1"/>
      <c r="R1263" s="1"/>
      <c r="S1263" s="1"/>
      <c r="T1263" s="1"/>
      <c r="U1263" s="1"/>
      <c r="V1263" s="1"/>
      <c r="W1263" s="1"/>
      <c r="X1263" s="1"/>
      <c r="Y1263" s="1"/>
      <c r="Z1263" s="1"/>
      <c r="AA1263" s="1" t="s">
        <v>8215</v>
      </c>
      <c r="AB1263" s="1" t="s">
        <v>8216</v>
      </c>
      <c r="AC1263" s="1"/>
      <c r="AD1263" s="1"/>
      <c r="AE1263" s="1"/>
      <c r="AF1263" s="1"/>
      <c r="AG1263" s="1"/>
      <c r="AH1263" s="1"/>
      <c r="AI1263" s="1"/>
      <c r="AJ1263" s="1"/>
      <c r="AK1263" s="1"/>
      <c r="AL1263" s="1"/>
      <c r="AM1263" s="1"/>
      <c r="AN1263" s="1"/>
      <c r="AO1263" s="1" t="s">
        <v>8217</v>
      </c>
      <c r="AP1263" s="1"/>
      <c r="AQ1263" s="1"/>
      <c r="AR1263" s="1"/>
      <c r="AS1263" s="1"/>
      <c r="AT1263" s="1" t="s">
        <v>491</v>
      </c>
      <c r="AU1263" s="1">
        <v>2019</v>
      </c>
      <c r="AV1263" s="1">
        <v>6</v>
      </c>
      <c r="AW1263" s="1">
        <v>6</v>
      </c>
      <c r="AX1263" s="1"/>
      <c r="AY1263" s="1"/>
      <c r="AZ1263" s="1"/>
      <c r="BA1263" s="1"/>
      <c r="BB1263" s="1">
        <v>13342</v>
      </c>
      <c r="BC1263" s="1">
        <v>13348</v>
      </c>
      <c r="BD1263" s="1"/>
      <c r="BE1263" s="1" t="s">
        <v>8218</v>
      </c>
      <c r="BF1263" s="1" t="str">
        <f>HYPERLINK("http://dx.doi.org/10.5281/zenodo.3262155","http://dx.doi.org/10.5281/zenodo.3262155")</f>
        <v>http://dx.doi.org/10.5281/zenodo.3262155</v>
      </c>
      <c r="BG1263" s="1"/>
      <c r="BH1263" s="1"/>
      <c r="BI1263" s="1"/>
      <c r="BJ1263" s="1"/>
      <c r="BK1263" s="1"/>
      <c r="BL1263" s="1"/>
      <c r="BM1263" s="1"/>
      <c r="BN1263" s="1"/>
      <c r="BO1263" s="1"/>
      <c r="BP1263" s="1"/>
      <c r="BQ1263" s="1"/>
      <c r="BR1263" s="1"/>
      <c r="BS1263" s="1" t="s">
        <v>8219</v>
      </c>
      <c r="BT1263" s="1" t="str">
        <f>HYPERLINK("https%3A%2F%2Fwww.webofscience.com%2Fwos%2Fwoscc%2Ffull-record%2FWOS:000475623100021","View Full Record in Web of Science")</f>
        <v>View Full Record in Web of Science</v>
      </c>
      <c r="BU1263" s="1"/>
      <c r="BV1263" s="1"/>
      <c r="BW1263" s="1"/>
    </row>
    <row r="1264" spans="1:75" customHeight="1" ht="12.75">
      <c r="A1264" s="1" t="s">
        <v>147</v>
      </c>
      <c r="B1264" s="1" t="s">
        <v>8220</v>
      </c>
      <c r="C1264" s="1"/>
      <c r="D1264" s="1" t="s">
        <v>8221</v>
      </c>
      <c r="E1264" s="1"/>
      <c r="F1264" s="1" t="s">
        <v>8222</v>
      </c>
      <c r="G1264" s="1"/>
      <c r="H1264" s="1"/>
      <c r="I1264" s="1" t="s">
        <v>8223</v>
      </c>
      <c r="J1264" s="1" t="s">
        <v>8224</v>
      </c>
      <c r="K1264" s="1" t="s">
        <v>445</v>
      </c>
      <c r="L1264" s="1"/>
      <c r="M1264" s="1"/>
      <c r="N1264" s="1"/>
      <c r="O1264" s="1" t="s">
        <v>8225</v>
      </c>
      <c r="P1264" s="1" t="s">
        <v>8226</v>
      </c>
      <c r="Q1264" s="1" t="s">
        <v>8227</v>
      </c>
      <c r="R1264" s="1" t="s">
        <v>8228</v>
      </c>
      <c r="S1264" s="1"/>
      <c r="T1264" s="1"/>
      <c r="U1264" s="1"/>
      <c r="V1264" s="1"/>
      <c r="W1264" s="1"/>
      <c r="X1264" s="1"/>
      <c r="Y1264" s="1"/>
      <c r="Z1264" s="1"/>
      <c r="AA1264" s="1" t="s">
        <v>8229</v>
      </c>
      <c r="AB1264" s="1" t="s">
        <v>8230</v>
      </c>
      <c r="AC1264" s="1"/>
      <c r="AD1264" s="1"/>
      <c r="AE1264" s="1"/>
      <c r="AF1264" s="1"/>
      <c r="AG1264" s="1"/>
      <c r="AH1264" s="1"/>
      <c r="AI1264" s="1"/>
      <c r="AJ1264" s="1"/>
      <c r="AK1264" s="1"/>
      <c r="AL1264" s="1"/>
      <c r="AM1264" s="1"/>
      <c r="AN1264" s="1"/>
      <c r="AO1264" s="1" t="s">
        <v>450</v>
      </c>
      <c r="AP1264" s="1"/>
      <c r="AQ1264" s="1" t="s">
        <v>8231</v>
      </c>
      <c r="AR1264" s="1"/>
      <c r="AS1264" s="1"/>
      <c r="AT1264" s="1"/>
      <c r="AU1264" s="1">
        <v>2017</v>
      </c>
      <c r="AV1264" s="1"/>
      <c r="AW1264" s="1"/>
      <c r="AX1264" s="1"/>
      <c r="AY1264" s="1"/>
      <c r="AZ1264" s="1"/>
      <c r="BA1264" s="1"/>
      <c r="BB1264" s="1">
        <v>73</v>
      </c>
      <c r="BC1264" s="1">
        <v>79</v>
      </c>
      <c r="BD1264" s="1"/>
      <c r="BE1264" s="1" t="s">
        <v>8232</v>
      </c>
      <c r="BF1264" s="1" t="str">
        <f>HYPERLINK("http://dx.doi.org/10.1007/978-3-319-45462-7_9","http://dx.doi.org/10.1007/978-3-319-45462-7_9")</f>
        <v>http://dx.doi.org/10.1007/978-3-319-45462-7_9</v>
      </c>
      <c r="BG1264" s="1"/>
      <c r="BH1264" s="1"/>
      <c r="BI1264" s="1"/>
      <c r="BJ1264" s="1"/>
      <c r="BK1264" s="1"/>
      <c r="BL1264" s="1"/>
      <c r="BM1264" s="1"/>
      <c r="BN1264" s="1"/>
      <c r="BO1264" s="1"/>
      <c r="BP1264" s="1"/>
      <c r="BQ1264" s="1"/>
      <c r="BR1264" s="1"/>
      <c r="BS1264" s="1" t="s">
        <v>8233</v>
      </c>
      <c r="BT1264" s="1" t="str">
        <f>HYPERLINK("https%3A%2F%2Fwww.webofscience.com%2Fwos%2Fwoscc%2Ffull-record%2FWOS:000406973000009","View Full Record in Web of Science")</f>
        <v>View Full Record in Web of Science</v>
      </c>
      <c r="BU1264" s="1"/>
      <c r="BV1264" s="1"/>
      <c r="BW1264" s="1"/>
    </row>
    <row r="1265" spans="1:75" customHeight="1" ht="12.75">
      <c r="A1265" s="1" t="s">
        <v>72</v>
      </c>
      <c r="B1265" s="1" t="s">
        <v>8234</v>
      </c>
      <c r="C1265" s="1"/>
      <c r="D1265" s="1"/>
      <c r="E1265" s="1"/>
      <c r="F1265" s="1" t="s">
        <v>8235</v>
      </c>
      <c r="G1265" s="1"/>
      <c r="H1265" s="1"/>
      <c r="I1265" s="1" t="s">
        <v>8236</v>
      </c>
      <c r="J1265" s="1" t="s">
        <v>3996</v>
      </c>
      <c r="K1265" s="1"/>
      <c r="L1265" s="1"/>
      <c r="M1265" s="1"/>
      <c r="N1265" s="1"/>
      <c r="O1265" s="1"/>
      <c r="P1265" s="1"/>
      <c r="Q1265" s="1"/>
      <c r="R1265" s="1"/>
      <c r="S1265" s="1"/>
      <c r="T1265" s="1"/>
      <c r="U1265" s="1"/>
      <c r="V1265" s="1"/>
      <c r="W1265" s="1"/>
      <c r="X1265" s="1"/>
      <c r="Y1265" s="1"/>
      <c r="Z1265" s="1"/>
      <c r="AA1265" s="1" t="s">
        <v>7052</v>
      </c>
      <c r="AB1265" s="1" t="s">
        <v>7053</v>
      </c>
      <c r="AC1265" s="1"/>
      <c r="AD1265" s="1"/>
      <c r="AE1265" s="1"/>
      <c r="AF1265" s="1"/>
      <c r="AG1265" s="1"/>
      <c r="AH1265" s="1"/>
      <c r="AI1265" s="1"/>
      <c r="AJ1265" s="1"/>
      <c r="AK1265" s="1"/>
      <c r="AL1265" s="1"/>
      <c r="AM1265" s="1"/>
      <c r="AN1265" s="1"/>
      <c r="AO1265" s="1" t="s">
        <v>3999</v>
      </c>
      <c r="AP1265" s="1" t="s">
        <v>4000</v>
      </c>
      <c r="AQ1265" s="1"/>
      <c r="AR1265" s="1"/>
      <c r="AS1265" s="1"/>
      <c r="AT1265" s="1" t="s">
        <v>8237</v>
      </c>
      <c r="AU1265" s="1">
        <v>2023</v>
      </c>
      <c r="AV1265" s="1"/>
      <c r="AW1265" s="1"/>
      <c r="AX1265" s="1"/>
      <c r="AY1265" s="1"/>
      <c r="AZ1265" s="1"/>
      <c r="BA1265" s="1"/>
      <c r="BB1265" s="1"/>
      <c r="BC1265" s="1"/>
      <c r="BD1265" s="1"/>
      <c r="BE1265" s="1" t="s">
        <v>8238</v>
      </c>
      <c r="BF1265" s="1" t="str">
        <f>HYPERLINK("http://dx.doi.org/10.1007/s10517-023-05681-w","http://dx.doi.org/10.1007/s10517-023-05681-w")</f>
        <v>http://dx.doi.org/10.1007/s10517-023-05681-w</v>
      </c>
      <c r="BG1265" s="1"/>
      <c r="BH1265" s="1" t="s">
        <v>6093</v>
      </c>
      <c r="BI1265" s="1"/>
      <c r="BJ1265" s="1"/>
      <c r="BK1265" s="1"/>
      <c r="BL1265" s="1"/>
      <c r="BM1265" s="1"/>
      <c r="BN1265" s="1">
        <v>36598665</v>
      </c>
      <c r="BO1265" s="1"/>
      <c r="BP1265" s="1"/>
      <c r="BQ1265" s="1"/>
      <c r="BR1265" s="1"/>
      <c r="BS1265" s="1" t="s">
        <v>8239</v>
      </c>
      <c r="BT1265" s="1" t="str">
        <f>HYPERLINK("https%3A%2F%2Fwww.webofscience.com%2Fwos%2Fwoscc%2Ffull-record%2FWOS:000907792500002","View Full Record in Web of Science")</f>
        <v>View Full Record in Web of Science</v>
      </c>
      <c r="BU1265" s="1"/>
      <c r="BV1265" s="1"/>
      <c r="BW1265" s="1"/>
    </row>
    <row r="1266" spans="1:75" customHeight="1" ht="12.75">
      <c r="A1266" s="1" t="s">
        <v>72</v>
      </c>
      <c r="B1266" s="1" t="s">
        <v>8240</v>
      </c>
      <c r="C1266" s="1"/>
      <c r="D1266" s="1"/>
      <c r="E1266" s="1"/>
      <c r="F1266" s="1" t="s">
        <v>8241</v>
      </c>
      <c r="G1266" s="1"/>
      <c r="H1266" s="1"/>
      <c r="I1266" s="1" t="s">
        <v>8242</v>
      </c>
      <c r="J1266" s="1" t="s">
        <v>8243</v>
      </c>
      <c r="K1266" s="1"/>
      <c r="L1266" s="1"/>
      <c r="M1266" s="1"/>
      <c r="N1266" s="1"/>
      <c r="O1266" s="1"/>
      <c r="P1266" s="1"/>
      <c r="Q1266" s="1"/>
      <c r="R1266" s="1"/>
      <c r="S1266" s="1"/>
      <c r="T1266" s="1"/>
      <c r="U1266" s="1"/>
      <c r="V1266" s="1"/>
      <c r="W1266" s="1"/>
      <c r="X1266" s="1"/>
      <c r="Y1266" s="1"/>
      <c r="Z1266" s="1"/>
      <c r="AA1266" s="1" t="s">
        <v>8244</v>
      </c>
      <c r="AB1266" s="1" t="s">
        <v>8245</v>
      </c>
      <c r="AC1266" s="1"/>
      <c r="AD1266" s="1"/>
      <c r="AE1266" s="1"/>
      <c r="AF1266" s="1"/>
      <c r="AG1266" s="1"/>
      <c r="AH1266" s="1"/>
      <c r="AI1266" s="1"/>
      <c r="AJ1266" s="1"/>
      <c r="AK1266" s="1"/>
      <c r="AL1266" s="1"/>
      <c r="AM1266" s="1"/>
      <c r="AN1266" s="1"/>
      <c r="AO1266" s="1"/>
      <c r="AP1266" s="1" t="s">
        <v>8246</v>
      </c>
      <c r="AQ1266" s="1"/>
      <c r="AR1266" s="1"/>
      <c r="AS1266" s="1"/>
      <c r="AT1266" s="1" t="s">
        <v>655</v>
      </c>
      <c r="AU1266" s="1">
        <v>2021</v>
      </c>
      <c r="AV1266" s="1">
        <v>14</v>
      </c>
      <c r="AW1266" s="1">
        <v>4</v>
      </c>
      <c r="AX1266" s="1"/>
      <c r="AY1266" s="1"/>
      <c r="AZ1266" s="1"/>
      <c r="BA1266" s="1"/>
      <c r="BB1266" s="1"/>
      <c r="BC1266" s="1"/>
      <c r="BD1266" s="1">
        <v>962</v>
      </c>
      <c r="BE1266" s="1" t="s">
        <v>8247</v>
      </c>
      <c r="BF1266" s="1" t="str">
        <f>HYPERLINK("http://dx.doi.org/10.3390/ma14040962","http://dx.doi.org/10.3390/ma14040962")</f>
        <v>http://dx.doi.org/10.3390/ma14040962</v>
      </c>
      <c r="BG1266" s="1"/>
      <c r="BH1266" s="1"/>
      <c r="BI1266" s="1"/>
      <c r="BJ1266" s="1"/>
      <c r="BK1266" s="1"/>
      <c r="BL1266" s="1"/>
      <c r="BM1266" s="1"/>
      <c r="BN1266" s="1">
        <v>33670665</v>
      </c>
      <c r="BO1266" s="1"/>
      <c r="BP1266" s="1"/>
      <c r="BQ1266" s="1"/>
      <c r="BR1266" s="1"/>
      <c r="BS1266" s="1" t="s">
        <v>8248</v>
      </c>
      <c r="BT1266" s="1" t="str">
        <f>HYPERLINK("https%3A%2F%2Fwww.webofscience.com%2Fwos%2Fwoscc%2Ffull-record%2FWOS:000624114300001","View Full Record in Web of Science")</f>
        <v>View Full Record in Web of Science</v>
      </c>
      <c r="BU1266" s="1"/>
      <c r="BV1266" s="1"/>
      <c r="BW1266" s="1"/>
    </row>
    <row r="1267" spans="1:75" customHeight="1" ht="12.75">
      <c r="A1267" s="1" t="s">
        <v>72</v>
      </c>
      <c r="B1267" s="1" t="s">
        <v>8249</v>
      </c>
      <c r="C1267" s="1"/>
      <c r="D1267" s="1"/>
      <c r="E1267" s="1"/>
      <c r="F1267" s="1" t="s">
        <v>8250</v>
      </c>
      <c r="G1267" s="1"/>
      <c r="H1267" s="1"/>
      <c r="I1267" s="1" t="s">
        <v>8251</v>
      </c>
      <c r="J1267" s="1" t="s">
        <v>7100</v>
      </c>
      <c r="K1267" s="1"/>
      <c r="L1267" s="1"/>
      <c r="M1267" s="1"/>
      <c r="N1267" s="1"/>
      <c r="O1267" s="1"/>
      <c r="P1267" s="1"/>
      <c r="Q1267" s="1"/>
      <c r="R1267" s="1"/>
      <c r="S1267" s="1"/>
      <c r="T1267" s="1"/>
      <c r="U1267" s="1"/>
      <c r="V1267" s="1"/>
      <c r="W1267" s="1"/>
      <c r="X1267" s="1"/>
      <c r="Y1267" s="1"/>
      <c r="Z1267" s="1"/>
      <c r="AA1267" s="1" t="s">
        <v>8252</v>
      </c>
      <c r="AB1267" s="1" t="s">
        <v>8253</v>
      </c>
      <c r="AC1267" s="1"/>
      <c r="AD1267" s="1"/>
      <c r="AE1267" s="1"/>
      <c r="AF1267" s="1"/>
      <c r="AG1267" s="1"/>
      <c r="AH1267" s="1"/>
      <c r="AI1267" s="1"/>
      <c r="AJ1267" s="1"/>
      <c r="AK1267" s="1"/>
      <c r="AL1267" s="1"/>
      <c r="AM1267" s="1"/>
      <c r="AN1267" s="1"/>
      <c r="AO1267" s="1" t="s">
        <v>7103</v>
      </c>
      <c r="AP1267" s="1" t="s">
        <v>7104</v>
      </c>
      <c r="AQ1267" s="1"/>
      <c r="AR1267" s="1"/>
      <c r="AS1267" s="1"/>
      <c r="AT1267" s="1" t="s">
        <v>8254</v>
      </c>
      <c r="AU1267" s="1">
        <v>2017</v>
      </c>
      <c r="AV1267" s="1">
        <v>157</v>
      </c>
      <c r="AW1267" s="1"/>
      <c r="AX1267" s="1"/>
      <c r="AY1267" s="1"/>
      <c r="AZ1267" s="1"/>
      <c r="BA1267" s="1"/>
      <c r="BB1267" s="1">
        <v>9</v>
      </c>
      <c r="BC1267" s="1">
        <v>20</v>
      </c>
      <c r="BD1267" s="1"/>
      <c r="BE1267" s="1" t="s">
        <v>8255</v>
      </c>
      <c r="BF1267" s="1" t="str">
        <f>HYPERLINK("http://dx.doi.org/10.1016/j.carbpol.2016.09.048","http://dx.doi.org/10.1016/j.carbpol.2016.09.048")</f>
        <v>http://dx.doi.org/10.1016/j.carbpol.2016.09.048</v>
      </c>
      <c r="BG1267" s="1"/>
      <c r="BH1267" s="1"/>
      <c r="BI1267" s="1"/>
      <c r="BJ1267" s="1"/>
      <c r="BK1267" s="1"/>
      <c r="BL1267" s="1"/>
      <c r="BM1267" s="1"/>
      <c r="BN1267" s="1">
        <v>27988004</v>
      </c>
      <c r="BO1267" s="1"/>
      <c r="BP1267" s="1"/>
      <c r="BQ1267" s="1"/>
      <c r="BR1267" s="1"/>
      <c r="BS1267" s="1" t="s">
        <v>8256</v>
      </c>
      <c r="BT1267" s="1" t="str">
        <f>HYPERLINK("https%3A%2F%2Fwww.webofscience.com%2Fwos%2Fwoscc%2Ffull-record%2FWOS:000391896800002","View Full Record in Web of Science")</f>
        <v>View Full Record in Web of Science</v>
      </c>
      <c r="BU1267" s="1"/>
      <c r="BV1267" s="1"/>
      <c r="BW1267" s="1"/>
    </row>
    <row r="1268" spans="1:75" customHeight="1" ht="12.75">
      <c r="A1268" s="1" t="s">
        <v>72</v>
      </c>
      <c r="B1268" s="1" t="s">
        <v>8257</v>
      </c>
      <c r="C1268" s="1"/>
      <c r="D1268" s="1"/>
      <c r="E1268" s="1"/>
      <c r="F1268" s="1" t="s">
        <v>8258</v>
      </c>
      <c r="G1268" s="1"/>
      <c r="H1268" s="1"/>
      <c r="I1268" s="1" t="s">
        <v>8259</v>
      </c>
      <c r="J1268" s="1" t="s">
        <v>3610</v>
      </c>
      <c r="K1268" s="1"/>
      <c r="L1268" s="1"/>
      <c r="M1268" s="1"/>
      <c r="N1268" s="1"/>
      <c r="O1268" s="1"/>
      <c r="P1268" s="1"/>
      <c r="Q1268" s="1"/>
      <c r="R1268" s="1"/>
      <c r="S1268" s="1"/>
      <c r="T1268" s="1"/>
      <c r="U1268" s="1"/>
      <c r="V1268" s="1"/>
      <c r="W1268" s="1"/>
      <c r="X1268" s="1"/>
      <c r="Y1268" s="1"/>
      <c r="Z1268" s="1"/>
      <c r="AA1268" s="1" t="s">
        <v>8260</v>
      </c>
      <c r="AB1268" s="1" t="s">
        <v>8261</v>
      </c>
      <c r="AC1268" s="1"/>
      <c r="AD1268" s="1"/>
      <c r="AE1268" s="1"/>
      <c r="AF1268" s="1"/>
      <c r="AG1268" s="1"/>
      <c r="AH1268" s="1"/>
      <c r="AI1268" s="1"/>
      <c r="AJ1268" s="1"/>
      <c r="AK1268" s="1"/>
      <c r="AL1268" s="1"/>
      <c r="AM1268" s="1"/>
      <c r="AN1268" s="1"/>
      <c r="AO1268" s="1" t="s">
        <v>3613</v>
      </c>
      <c r="AP1268" s="1" t="s">
        <v>4602</v>
      </c>
      <c r="AQ1268" s="1"/>
      <c r="AR1268" s="1"/>
      <c r="AS1268" s="1"/>
      <c r="AT1268" s="1" t="s">
        <v>655</v>
      </c>
      <c r="AU1268" s="1">
        <v>2011</v>
      </c>
      <c r="AV1268" s="1">
        <v>44</v>
      </c>
      <c r="AW1268" s="1">
        <v>2</v>
      </c>
      <c r="AX1268" s="1"/>
      <c r="AY1268" s="1"/>
      <c r="AZ1268" s="1"/>
      <c r="BA1268" s="1"/>
      <c r="BB1268" s="1">
        <v>180</v>
      </c>
      <c r="BC1268" s="1">
        <v>185</v>
      </c>
      <c r="BD1268" s="1"/>
      <c r="BE1268" s="1" t="s">
        <v>8262</v>
      </c>
      <c r="BF1268" s="1" t="str">
        <f>HYPERLINK("http://dx.doi.org/10.1134/S1064229311020116","http://dx.doi.org/10.1134/S1064229311020116")</f>
        <v>http://dx.doi.org/10.1134/S1064229311020116</v>
      </c>
      <c r="BG1268" s="1"/>
      <c r="BH1268" s="1"/>
      <c r="BI1268" s="1"/>
      <c r="BJ1268" s="1"/>
      <c r="BK1268" s="1"/>
      <c r="BL1268" s="1"/>
      <c r="BM1268" s="1"/>
      <c r="BN1268" s="1"/>
      <c r="BO1268" s="1"/>
      <c r="BP1268" s="1"/>
      <c r="BQ1268" s="1"/>
      <c r="BR1268" s="1"/>
      <c r="BS1268" s="1" t="s">
        <v>8263</v>
      </c>
      <c r="BT1268" s="1" t="str">
        <f>HYPERLINK("https%3A%2F%2Fwww.webofscience.com%2Fwos%2Fwoscc%2Ffull-record%2FWOS:000288681100008","View Full Record in Web of Science")</f>
        <v>View Full Record in Web of Science</v>
      </c>
      <c r="BU1268" s="1"/>
      <c r="BV1268" s="1"/>
      <c r="BW1268" s="1"/>
    </row>
    <row r="1269" spans="1:75" customHeight="1" ht="12.75">
      <c r="A1269" s="1" t="s">
        <v>72</v>
      </c>
      <c r="B1269" s="1" t="s">
        <v>7850</v>
      </c>
      <c r="C1269" s="1"/>
      <c r="D1269" s="1"/>
      <c r="E1269" s="1"/>
      <c r="F1269" s="1" t="s">
        <v>7851</v>
      </c>
      <c r="G1269" s="1"/>
      <c r="H1269" s="1"/>
      <c r="I1269" s="1" t="s">
        <v>7852</v>
      </c>
      <c r="J1269" s="1" t="s">
        <v>7853</v>
      </c>
      <c r="K1269" s="1"/>
      <c r="L1269" s="1"/>
      <c r="M1269" s="1"/>
      <c r="N1269" s="1"/>
      <c r="O1269" s="1"/>
      <c r="P1269" s="1"/>
      <c r="Q1269" s="1"/>
      <c r="R1269" s="1"/>
      <c r="S1269" s="1"/>
      <c r="T1269" s="1"/>
      <c r="U1269" s="1"/>
      <c r="V1269" s="1"/>
      <c r="W1269" s="1"/>
      <c r="X1269" s="1"/>
      <c r="Y1269" s="1"/>
      <c r="Z1269" s="1"/>
      <c r="AA1269" s="1"/>
      <c r="AB1269" s="1"/>
      <c r="AC1269" s="1"/>
      <c r="AD1269" s="1"/>
      <c r="AE1269" s="1"/>
      <c r="AF1269" s="1"/>
      <c r="AG1269" s="1"/>
      <c r="AH1269" s="1"/>
      <c r="AI1269" s="1"/>
      <c r="AJ1269" s="1"/>
      <c r="AK1269" s="1"/>
      <c r="AL1269" s="1"/>
      <c r="AM1269" s="1"/>
      <c r="AN1269" s="1"/>
      <c r="AO1269" s="1" t="s">
        <v>7856</v>
      </c>
      <c r="AP1269" s="1"/>
      <c r="AQ1269" s="1"/>
      <c r="AR1269" s="1"/>
      <c r="AS1269" s="1"/>
      <c r="AT1269" s="1" t="s">
        <v>7857</v>
      </c>
      <c r="AU1269" s="1">
        <v>2022</v>
      </c>
      <c r="AV1269" s="1">
        <v>12</v>
      </c>
      <c r="AW1269" s="1"/>
      <c r="AX1269" s="1"/>
      <c r="AY1269" s="1"/>
      <c r="AZ1269" s="1" t="s">
        <v>339</v>
      </c>
      <c r="BA1269" s="1"/>
      <c r="BB1269" s="1"/>
      <c r="BC1269" s="1"/>
      <c r="BD1269" s="1"/>
      <c r="BE1269" s="1"/>
      <c r="BF1269" s="1"/>
      <c r="BG1269" s="1"/>
      <c r="BH1269" s="1"/>
      <c r="BI1269" s="1"/>
      <c r="BJ1269" s="1"/>
      <c r="BK1269" s="1"/>
      <c r="BL1269" s="1"/>
      <c r="BM1269" s="1"/>
      <c r="BN1269" s="1"/>
      <c r="BO1269" s="1"/>
      <c r="BP1269" s="1"/>
      <c r="BQ1269" s="1"/>
      <c r="BR1269" s="1"/>
      <c r="BS1269" s="1" t="s">
        <v>8264</v>
      </c>
      <c r="BT1269" s="1" t="str">
        <f>HYPERLINK("https%3A%2F%2Fwww.webofscience.com%2Fwos%2Fwoscc%2Ffull-record%2FWOS:001006884500003","View Full Record in Web of Science")</f>
        <v>View Full Record in Web of Science</v>
      </c>
      <c r="BU1269" s="1"/>
      <c r="BV1269" s="1"/>
      <c r="BW1269" s="1"/>
    </row>
    <row r="1270" spans="1:75" customHeight="1" ht="12.75">
      <c r="A1270" s="1" t="s">
        <v>72</v>
      </c>
      <c r="B1270" s="1" t="s">
        <v>8028</v>
      </c>
      <c r="C1270" s="1"/>
      <c r="D1270" s="1"/>
      <c r="E1270" s="1"/>
      <c r="F1270" s="1" t="s">
        <v>8029</v>
      </c>
      <c r="G1270" s="1"/>
      <c r="H1270" s="1"/>
      <c r="I1270" s="1" t="s">
        <v>8265</v>
      </c>
      <c r="J1270" s="1" t="s">
        <v>95</v>
      </c>
      <c r="K1270" s="1"/>
      <c r="L1270" s="1"/>
      <c r="M1270" s="1"/>
      <c r="N1270" s="1"/>
      <c r="O1270" s="1"/>
      <c r="P1270" s="1"/>
      <c r="Q1270" s="1"/>
      <c r="R1270" s="1"/>
      <c r="S1270" s="1"/>
      <c r="T1270" s="1"/>
      <c r="U1270" s="1"/>
      <c r="V1270" s="1"/>
      <c r="W1270" s="1"/>
      <c r="X1270" s="1"/>
      <c r="Y1270" s="1"/>
      <c r="Z1270" s="1"/>
      <c r="AA1270" s="1" t="s">
        <v>4926</v>
      </c>
      <c r="AB1270" s="1" t="s">
        <v>4927</v>
      </c>
      <c r="AC1270" s="1"/>
      <c r="AD1270" s="1"/>
      <c r="AE1270" s="1"/>
      <c r="AF1270" s="1"/>
      <c r="AG1270" s="1"/>
      <c r="AH1270" s="1"/>
      <c r="AI1270" s="1"/>
      <c r="AJ1270" s="1"/>
      <c r="AK1270" s="1"/>
      <c r="AL1270" s="1"/>
      <c r="AM1270" s="1"/>
      <c r="AN1270" s="1"/>
      <c r="AO1270" s="1" t="s">
        <v>98</v>
      </c>
      <c r="AP1270" s="1" t="s">
        <v>99</v>
      </c>
      <c r="AQ1270" s="1"/>
      <c r="AR1270" s="1"/>
      <c r="AS1270" s="1"/>
      <c r="AT1270" s="1"/>
      <c r="AU1270" s="1">
        <v>2022</v>
      </c>
      <c r="AV1270" s="1"/>
      <c r="AW1270" s="1">
        <v>3</v>
      </c>
      <c r="AX1270" s="1"/>
      <c r="AY1270" s="1"/>
      <c r="AZ1270" s="1"/>
      <c r="BA1270" s="1"/>
      <c r="BB1270" s="1">
        <v>219</v>
      </c>
      <c r="BC1270" s="1">
        <v>225</v>
      </c>
      <c r="BD1270" s="1"/>
      <c r="BE1270" s="1" t="s">
        <v>8266</v>
      </c>
      <c r="BF1270" s="1" t="str">
        <f>HYPERLINK("http://dx.doi.org/10.25750/1995-4301-2022-3-219-225","http://dx.doi.org/10.25750/1995-4301-2022-3-219-225")</f>
        <v>http://dx.doi.org/10.25750/1995-4301-2022-3-219-225</v>
      </c>
      <c r="BG1270" s="1"/>
      <c r="BH1270" s="1"/>
      <c r="BI1270" s="1"/>
      <c r="BJ1270" s="1"/>
      <c r="BK1270" s="1"/>
      <c r="BL1270" s="1"/>
      <c r="BM1270" s="1"/>
      <c r="BN1270" s="1"/>
      <c r="BO1270" s="1"/>
      <c r="BP1270" s="1"/>
      <c r="BQ1270" s="1"/>
      <c r="BR1270" s="1"/>
      <c r="BS1270" s="1" t="s">
        <v>8267</v>
      </c>
      <c r="BT1270" s="1" t="str">
        <f>HYPERLINK("https%3A%2F%2Fwww.webofscience.com%2Fwos%2Fwoscc%2Ffull-record%2FWOS:000885393200028","View Full Record in Web of Science")</f>
        <v>View Full Record in Web of Science</v>
      </c>
      <c r="BU1270" s="1"/>
      <c r="BV1270" s="1"/>
      <c r="BW1270" s="1"/>
    </row>
    <row r="1271" spans="1:75" customHeight="1" ht="12.75">
      <c r="A1271" s="1" t="s">
        <v>72</v>
      </c>
      <c r="B1271" s="1" t="s">
        <v>8268</v>
      </c>
      <c r="C1271" s="1"/>
      <c r="D1271" s="1"/>
      <c r="E1271" s="1"/>
      <c r="F1271" s="1" t="s">
        <v>8269</v>
      </c>
      <c r="G1271" s="1"/>
      <c r="H1271" s="1"/>
      <c r="I1271" s="1" t="s">
        <v>8270</v>
      </c>
      <c r="J1271" s="1" t="s">
        <v>244</v>
      </c>
      <c r="K1271" s="1"/>
      <c r="L1271" s="1"/>
      <c r="M1271" s="1"/>
      <c r="N1271" s="1"/>
      <c r="O1271" s="1"/>
      <c r="P1271" s="1"/>
      <c r="Q1271" s="1"/>
      <c r="R1271" s="1"/>
      <c r="S1271" s="1"/>
      <c r="T1271" s="1"/>
      <c r="U1271" s="1"/>
      <c r="V1271" s="1"/>
      <c r="W1271" s="1"/>
      <c r="X1271" s="1"/>
      <c r="Y1271" s="1"/>
      <c r="Z1271" s="1"/>
      <c r="AA1271" s="1"/>
      <c r="AB1271" s="1"/>
      <c r="AC1271" s="1"/>
      <c r="AD1271" s="1"/>
      <c r="AE1271" s="1"/>
      <c r="AF1271" s="1"/>
      <c r="AG1271" s="1"/>
      <c r="AH1271" s="1"/>
      <c r="AI1271" s="1"/>
      <c r="AJ1271" s="1"/>
      <c r="AK1271" s="1"/>
      <c r="AL1271" s="1"/>
      <c r="AM1271" s="1"/>
      <c r="AN1271" s="1"/>
      <c r="AO1271" s="1" t="s">
        <v>245</v>
      </c>
      <c r="AP1271" s="1" t="s">
        <v>246</v>
      </c>
      <c r="AQ1271" s="1"/>
      <c r="AR1271" s="1"/>
      <c r="AS1271" s="1"/>
      <c r="AT1271" s="1"/>
      <c r="AU1271" s="1">
        <v>2020</v>
      </c>
      <c r="AV1271" s="1"/>
      <c r="AW1271" s="1">
        <v>8</v>
      </c>
      <c r="AX1271" s="1"/>
      <c r="AY1271" s="1"/>
      <c r="AZ1271" s="1"/>
      <c r="BA1271" s="1"/>
      <c r="BB1271" s="1">
        <v>22</v>
      </c>
      <c r="BC1271" s="1">
        <v>26</v>
      </c>
      <c r="BD1271" s="1"/>
      <c r="BE1271" s="1" t="s">
        <v>8271</v>
      </c>
      <c r="BF1271" s="1" t="str">
        <f>HYPERLINK("http://dx.doi.org/10.31166/VoprosyIstorii202008Statyi17","http://dx.doi.org/10.31166/VoprosyIstorii202008Statyi17")</f>
        <v>http://dx.doi.org/10.31166/VoprosyIstorii202008Statyi17</v>
      </c>
      <c r="BG1271" s="1"/>
      <c r="BH1271" s="1"/>
      <c r="BI1271" s="1"/>
      <c r="BJ1271" s="1"/>
      <c r="BK1271" s="1"/>
      <c r="BL1271" s="1"/>
      <c r="BM1271" s="1"/>
      <c r="BN1271" s="1"/>
      <c r="BO1271" s="1"/>
      <c r="BP1271" s="1"/>
      <c r="BQ1271" s="1"/>
      <c r="BR1271" s="1"/>
      <c r="BS1271" s="1" t="s">
        <v>8272</v>
      </c>
      <c r="BT1271" s="1" t="str">
        <f>HYPERLINK("https%3A%2F%2Fwww.webofscience.com%2Fwos%2Fwoscc%2Ffull-record%2FWOS:000657723600002","View Full Record in Web of Science")</f>
        <v>View Full Record in Web of Science</v>
      </c>
      <c r="BU1271" s="1"/>
      <c r="BV1271" s="1"/>
      <c r="BW1271" s="1"/>
    </row>
    <row r="1272" spans="1:75" customHeight="1" ht="12.75">
      <c r="A1272" s="1" t="s">
        <v>72</v>
      </c>
      <c r="B1272" s="1" t="s">
        <v>8273</v>
      </c>
      <c r="C1272" s="1"/>
      <c r="D1272" s="1"/>
      <c r="E1272" s="1"/>
      <c r="F1272" s="1" t="s">
        <v>8274</v>
      </c>
      <c r="G1272" s="1"/>
      <c r="H1272" s="1"/>
      <c r="I1272" s="1" t="s">
        <v>8275</v>
      </c>
      <c r="J1272" s="1" t="s">
        <v>7079</v>
      </c>
      <c r="K1272" s="1"/>
      <c r="L1272" s="1"/>
      <c r="M1272" s="1"/>
      <c r="N1272" s="1"/>
      <c r="O1272" s="1"/>
      <c r="P1272" s="1"/>
      <c r="Q1272" s="1"/>
      <c r="R1272" s="1"/>
      <c r="S1272" s="1"/>
      <c r="T1272" s="1"/>
      <c r="U1272" s="1"/>
      <c r="V1272" s="1"/>
      <c r="W1272" s="1"/>
      <c r="X1272" s="1"/>
      <c r="Y1272" s="1"/>
      <c r="Z1272" s="1"/>
      <c r="AA1272" s="1" t="s">
        <v>8276</v>
      </c>
      <c r="AB1272" s="1" t="s">
        <v>8277</v>
      </c>
      <c r="AC1272" s="1"/>
      <c r="AD1272" s="1"/>
      <c r="AE1272" s="1"/>
      <c r="AF1272" s="1"/>
      <c r="AG1272" s="1"/>
      <c r="AH1272" s="1"/>
      <c r="AI1272" s="1"/>
      <c r="AJ1272" s="1"/>
      <c r="AK1272" s="1"/>
      <c r="AL1272" s="1"/>
      <c r="AM1272" s="1"/>
      <c r="AN1272" s="1"/>
      <c r="AO1272" s="1" t="s">
        <v>7082</v>
      </c>
      <c r="AP1272" s="1" t="s">
        <v>7083</v>
      </c>
      <c r="AQ1272" s="1"/>
      <c r="AR1272" s="1"/>
      <c r="AS1272" s="1"/>
      <c r="AT1272" s="1" t="s">
        <v>655</v>
      </c>
      <c r="AU1272" s="1">
        <v>2017</v>
      </c>
      <c r="AV1272" s="1">
        <v>105</v>
      </c>
      <c r="AW1272" s="1">
        <v>2</v>
      </c>
      <c r="AX1272" s="1"/>
      <c r="AY1272" s="1"/>
      <c r="AZ1272" s="1"/>
      <c r="BA1272" s="1"/>
      <c r="BB1272" s="1">
        <v>547</v>
      </c>
      <c r="BC1272" s="1">
        <v>556</v>
      </c>
      <c r="BD1272" s="1"/>
      <c r="BE1272" s="1" t="s">
        <v>8278</v>
      </c>
      <c r="BF1272" s="1" t="str">
        <f>HYPERLINK("http://dx.doi.org/10.1002/jbm.a.35936","http://dx.doi.org/10.1002/jbm.a.35936")</f>
        <v>http://dx.doi.org/10.1002/jbm.a.35936</v>
      </c>
      <c r="BG1272" s="1"/>
      <c r="BH1272" s="1"/>
      <c r="BI1272" s="1"/>
      <c r="BJ1272" s="1"/>
      <c r="BK1272" s="1"/>
      <c r="BL1272" s="1"/>
      <c r="BM1272" s="1"/>
      <c r="BN1272" s="1">
        <v>27750379</v>
      </c>
      <c r="BO1272" s="1"/>
      <c r="BP1272" s="1"/>
      <c r="BQ1272" s="1"/>
      <c r="BR1272" s="1"/>
      <c r="BS1272" s="1" t="s">
        <v>8279</v>
      </c>
      <c r="BT1272" s="1" t="str">
        <f>HYPERLINK("https%3A%2F%2Fwww.webofscience.com%2Fwos%2Fwoscc%2Ffull-record%2FWOS:000392506300020","View Full Record in Web of Science")</f>
        <v>View Full Record in Web of Science</v>
      </c>
      <c r="BU1272" s="1"/>
      <c r="BV1272" s="1"/>
      <c r="BW1272" s="1"/>
    </row>
    <row r="1273" spans="1:75" customHeight="1" ht="12.75">
      <c r="A1273" s="1" t="s">
        <v>72</v>
      </c>
      <c r="B1273" s="1" t="s">
        <v>8280</v>
      </c>
      <c r="C1273" s="1"/>
      <c r="D1273" s="1"/>
      <c r="E1273" s="1"/>
      <c r="F1273" s="1" t="s">
        <v>8281</v>
      </c>
      <c r="G1273" s="1"/>
      <c r="H1273" s="1"/>
      <c r="I1273" s="1" t="s">
        <v>8282</v>
      </c>
      <c r="J1273" s="1" t="s">
        <v>793</v>
      </c>
      <c r="K1273" s="1"/>
      <c r="L1273" s="1"/>
      <c r="M1273" s="1"/>
      <c r="N1273" s="1"/>
      <c r="O1273" s="1"/>
      <c r="P1273" s="1"/>
      <c r="Q1273" s="1"/>
      <c r="R1273" s="1"/>
      <c r="S1273" s="1"/>
      <c r="T1273" s="1"/>
      <c r="U1273" s="1"/>
      <c r="V1273" s="1"/>
      <c r="W1273" s="1"/>
      <c r="X1273" s="1"/>
      <c r="Y1273" s="1"/>
      <c r="Z1273" s="1"/>
      <c r="AA1273" s="1" t="s">
        <v>8283</v>
      </c>
      <c r="AB1273" s="1" t="s">
        <v>8284</v>
      </c>
      <c r="AC1273" s="1"/>
      <c r="AD1273" s="1"/>
      <c r="AE1273" s="1"/>
      <c r="AF1273" s="1"/>
      <c r="AG1273" s="1"/>
      <c r="AH1273" s="1"/>
      <c r="AI1273" s="1"/>
      <c r="AJ1273" s="1"/>
      <c r="AK1273" s="1"/>
      <c r="AL1273" s="1"/>
      <c r="AM1273" s="1"/>
      <c r="AN1273" s="1"/>
      <c r="AO1273" s="1" t="s">
        <v>795</v>
      </c>
      <c r="AP1273" s="1" t="s">
        <v>796</v>
      </c>
      <c r="AQ1273" s="1"/>
      <c r="AR1273" s="1"/>
      <c r="AS1273" s="1"/>
      <c r="AT1273" s="1" t="s">
        <v>541</v>
      </c>
      <c r="AU1273" s="1">
        <v>2015</v>
      </c>
      <c r="AV1273" s="1">
        <v>8</v>
      </c>
      <c r="AW1273" s="1">
        <v>1</v>
      </c>
      <c r="AX1273" s="1"/>
      <c r="AY1273" s="1"/>
      <c r="AZ1273" s="1"/>
      <c r="BA1273" s="1"/>
      <c r="BB1273" s="1">
        <v>125</v>
      </c>
      <c r="BC1273" s="1">
        <v>132</v>
      </c>
      <c r="BD1273" s="1"/>
      <c r="BE1273" s="1" t="s">
        <v>8285</v>
      </c>
      <c r="BF1273" s="1" t="str">
        <f>HYPERLINK("http://dx.doi.org/10.1134/S1995425515010138","http://dx.doi.org/10.1134/S1995425515010138")</f>
        <v>http://dx.doi.org/10.1134/S1995425515010138</v>
      </c>
      <c r="BG1273" s="1"/>
      <c r="BH1273" s="1"/>
      <c r="BI1273" s="1"/>
      <c r="BJ1273" s="1"/>
      <c r="BK1273" s="1"/>
      <c r="BL1273" s="1"/>
      <c r="BM1273" s="1"/>
      <c r="BN1273" s="1"/>
      <c r="BO1273" s="1"/>
      <c r="BP1273" s="1"/>
      <c r="BQ1273" s="1"/>
      <c r="BR1273" s="1"/>
      <c r="BS1273" s="1" t="s">
        <v>8286</v>
      </c>
      <c r="BT1273" s="1" t="str">
        <f>HYPERLINK("https%3A%2F%2Fwww.webofscience.com%2Fwos%2Fwoscc%2Ffull-record%2FWOS:000349913100015","View Full Record in Web of Science")</f>
        <v>View Full Record in Web of Science</v>
      </c>
      <c r="BU1273" s="1"/>
      <c r="BV1273" s="1"/>
      <c r="BW1273" s="1"/>
    </row>
    <row r="1274" spans="1:75" customHeight="1" ht="12.75">
      <c r="A1274" s="1" t="s">
        <v>72</v>
      </c>
      <c r="B1274" s="1" t="s">
        <v>8287</v>
      </c>
      <c r="C1274" s="1"/>
      <c r="D1274" s="1"/>
      <c r="E1274" s="1"/>
      <c r="F1274" s="1" t="s">
        <v>8288</v>
      </c>
      <c r="G1274" s="1"/>
      <c r="H1274" s="1"/>
      <c r="I1274" s="1" t="s">
        <v>8289</v>
      </c>
      <c r="J1274" s="1" t="s">
        <v>685</v>
      </c>
      <c r="K1274" s="1"/>
      <c r="L1274" s="1"/>
      <c r="M1274" s="1"/>
      <c r="N1274" s="1"/>
      <c r="O1274" s="1"/>
      <c r="P1274" s="1"/>
      <c r="Q1274" s="1"/>
      <c r="R1274" s="1"/>
      <c r="S1274" s="1"/>
      <c r="T1274" s="1"/>
      <c r="U1274" s="1"/>
      <c r="V1274" s="1"/>
      <c r="W1274" s="1"/>
      <c r="X1274" s="1"/>
      <c r="Y1274" s="1"/>
      <c r="Z1274" s="1"/>
      <c r="AA1274" s="1"/>
      <c r="AB1274" s="1"/>
      <c r="AC1274" s="1"/>
      <c r="AD1274" s="1"/>
      <c r="AE1274" s="1"/>
      <c r="AF1274" s="1"/>
      <c r="AG1274" s="1"/>
      <c r="AH1274" s="1"/>
      <c r="AI1274" s="1"/>
      <c r="AJ1274" s="1"/>
      <c r="AK1274" s="1"/>
      <c r="AL1274" s="1"/>
      <c r="AM1274" s="1"/>
      <c r="AN1274" s="1"/>
      <c r="AO1274" s="1" t="s">
        <v>687</v>
      </c>
      <c r="AP1274" s="1" t="s">
        <v>688</v>
      </c>
      <c r="AQ1274" s="1"/>
      <c r="AR1274" s="1"/>
      <c r="AS1274" s="1"/>
      <c r="AT1274" s="1" t="s">
        <v>403</v>
      </c>
      <c r="AU1274" s="1">
        <v>2022</v>
      </c>
      <c r="AV1274" s="1">
        <v>49</v>
      </c>
      <c r="AW1274" s="1">
        <v>10</v>
      </c>
      <c r="AX1274" s="1"/>
      <c r="AY1274" s="1"/>
      <c r="AZ1274" s="1"/>
      <c r="BA1274" s="1"/>
      <c r="BB1274" s="1">
        <v>2004</v>
      </c>
      <c r="BC1274" s="1">
        <v>2008</v>
      </c>
      <c r="BD1274" s="1"/>
      <c r="BE1274" s="1" t="s">
        <v>8290</v>
      </c>
      <c r="BF1274" s="1" t="str">
        <f>HYPERLINK("http://dx.doi.org/10.1134/S1062359022100387","http://dx.doi.org/10.1134/S1062359022100387")</f>
        <v>http://dx.doi.org/10.1134/S1062359022100387</v>
      </c>
      <c r="BG1274" s="1"/>
      <c r="BH1274" s="1"/>
      <c r="BI1274" s="1"/>
      <c r="BJ1274" s="1"/>
      <c r="BK1274" s="1"/>
      <c r="BL1274" s="1"/>
      <c r="BM1274" s="1"/>
      <c r="BN1274" s="1"/>
      <c r="BO1274" s="1"/>
      <c r="BP1274" s="1"/>
      <c r="BQ1274" s="1"/>
      <c r="BR1274" s="1"/>
      <c r="BS1274" s="1" t="s">
        <v>8291</v>
      </c>
      <c r="BT1274" s="1" t="str">
        <f>HYPERLINK("https%3A%2F%2Fwww.webofscience.com%2Fwos%2Fwoscc%2Ffull-record%2FWOS:000937072100037","View Full Record in Web of Science")</f>
        <v>View Full Record in Web of Science</v>
      </c>
      <c r="BU1274" s="1"/>
      <c r="BV1274" s="1"/>
      <c r="BW1274" s="1"/>
    </row>
    <row r="1275" spans="1:75" customHeight="1" ht="12.75">
      <c r="A1275" s="1" t="s">
        <v>72</v>
      </c>
      <c r="B1275" s="1" t="s">
        <v>8292</v>
      </c>
      <c r="C1275" s="1"/>
      <c r="D1275" s="1"/>
      <c r="E1275" s="1"/>
      <c r="F1275" s="1" t="s">
        <v>8293</v>
      </c>
      <c r="G1275" s="1"/>
      <c r="H1275" s="1"/>
      <c r="I1275" s="1" t="s">
        <v>8294</v>
      </c>
      <c r="J1275" s="1" t="s">
        <v>716</v>
      </c>
      <c r="K1275" s="1"/>
      <c r="L1275" s="1"/>
      <c r="M1275" s="1"/>
      <c r="N1275" s="1"/>
      <c r="O1275" s="1"/>
      <c r="P1275" s="1"/>
      <c r="Q1275" s="1"/>
      <c r="R1275" s="1"/>
      <c r="S1275" s="1"/>
      <c r="T1275" s="1"/>
      <c r="U1275" s="1"/>
      <c r="V1275" s="1"/>
      <c r="W1275" s="1"/>
      <c r="X1275" s="1"/>
      <c r="Y1275" s="1"/>
      <c r="Z1275" s="1"/>
      <c r="AA1275" s="1" t="s">
        <v>8295</v>
      </c>
      <c r="AB1275" s="1" t="s">
        <v>8296</v>
      </c>
      <c r="AC1275" s="1"/>
      <c r="AD1275" s="1"/>
      <c r="AE1275" s="1"/>
      <c r="AF1275" s="1"/>
      <c r="AG1275" s="1"/>
      <c r="AH1275" s="1"/>
      <c r="AI1275" s="1"/>
      <c r="AJ1275" s="1"/>
      <c r="AK1275" s="1"/>
      <c r="AL1275" s="1"/>
      <c r="AM1275" s="1"/>
      <c r="AN1275" s="1"/>
      <c r="AO1275" s="1" t="s">
        <v>719</v>
      </c>
      <c r="AP1275" s="1" t="s">
        <v>720</v>
      </c>
      <c r="AQ1275" s="1"/>
      <c r="AR1275" s="1"/>
      <c r="AS1275" s="1"/>
      <c r="AT1275" s="1" t="s">
        <v>491</v>
      </c>
      <c r="AU1275" s="1">
        <v>2021</v>
      </c>
      <c r="AV1275" s="1"/>
      <c r="AW1275" s="1">
        <v>467</v>
      </c>
      <c r="AX1275" s="1"/>
      <c r="AY1275" s="1"/>
      <c r="AZ1275" s="1"/>
      <c r="BA1275" s="1"/>
      <c r="BB1275" s="1">
        <v>144</v>
      </c>
      <c r="BC1275" s="1">
        <v>155</v>
      </c>
      <c r="BD1275" s="1"/>
      <c r="BE1275" s="1" t="s">
        <v>8297</v>
      </c>
      <c r="BF1275" s="1" t="str">
        <f>HYPERLINK("http://dx.doi.org/10.17223/15617793/467/18","http://dx.doi.org/10.17223/15617793/467/18")</f>
        <v>http://dx.doi.org/10.17223/15617793/467/18</v>
      </c>
      <c r="BG1275" s="1"/>
      <c r="BH1275" s="1"/>
      <c r="BI1275" s="1"/>
      <c r="BJ1275" s="1"/>
      <c r="BK1275" s="1"/>
      <c r="BL1275" s="1"/>
      <c r="BM1275" s="1"/>
      <c r="BN1275" s="1"/>
      <c r="BO1275" s="1"/>
      <c r="BP1275" s="1"/>
      <c r="BQ1275" s="1"/>
      <c r="BR1275" s="1"/>
      <c r="BS1275" s="1" t="s">
        <v>8298</v>
      </c>
      <c r="BT1275" s="1" t="str">
        <f>HYPERLINK("https%3A%2F%2Fwww.webofscience.com%2Fwos%2Fwoscc%2Ffull-record%2FWOS:000708456300018","View Full Record in Web of Science")</f>
        <v>View Full Record in Web of Science</v>
      </c>
      <c r="BU1275" s="1"/>
      <c r="BV1275" s="1"/>
      <c r="BW1275" s="1"/>
    </row>
    <row r="1276" spans="1:75" customHeight="1" ht="12.75">
      <c r="A1276" s="1" t="s">
        <v>72</v>
      </c>
      <c r="B1276" s="1" t="s">
        <v>8299</v>
      </c>
      <c r="C1276" s="1"/>
      <c r="D1276" s="1"/>
      <c r="E1276" s="1"/>
      <c r="F1276" s="1" t="s">
        <v>8300</v>
      </c>
      <c r="G1276" s="1"/>
      <c r="H1276" s="1"/>
      <c r="I1276" s="1" t="s">
        <v>8301</v>
      </c>
      <c r="J1276" s="1" t="s">
        <v>8302</v>
      </c>
      <c r="K1276" s="1"/>
      <c r="L1276" s="1"/>
      <c r="M1276" s="1"/>
      <c r="N1276" s="1"/>
      <c r="O1276" s="1"/>
      <c r="P1276" s="1"/>
      <c r="Q1276" s="1"/>
      <c r="R1276" s="1"/>
      <c r="S1276" s="1"/>
      <c r="T1276" s="1"/>
      <c r="U1276" s="1"/>
      <c r="V1276" s="1"/>
      <c r="W1276" s="1"/>
      <c r="X1276" s="1"/>
      <c r="Y1276" s="1"/>
      <c r="Z1276" s="1"/>
      <c r="AA1276" s="1" t="s">
        <v>8303</v>
      </c>
      <c r="AB1276" s="1" t="s">
        <v>8304</v>
      </c>
      <c r="AC1276" s="1"/>
      <c r="AD1276" s="1"/>
      <c r="AE1276" s="1"/>
      <c r="AF1276" s="1"/>
      <c r="AG1276" s="1"/>
      <c r="AH1276" s="1"/>
      <c r="AI1276" s="1"/>
      <c r="AJ1276" s="1"/>
      <c r="AK1276" s="1"/>
      <c r="AL1276" s="1"/>
      <c r="AM1276" s="1"/>
      <c r="AN1276" s="1"/>
      <c r="AO1276" s="1" t="s">
        <v>8305</v>
      </c>
      <c r="AP1276" s="1" t="s">
        <v>8306</v>
      </c>
      <c r="AQ1276" s="1"/>
      <c r="AR1276" s="1"/>
      <c r="AS1276" s="1"/>
      <c r="AT1276" s="1" t="s">
        <v>491</v>
      </c>
      <c r="AU1276" s="1">
        <v>2021</v>
      </c>
      <c r="AV1276" s="1">
        <v>25</v>
      </c>
      <c r="AW1276" s="1">
        <v>6</v>
      </c>
      <c r="AX1276" s="1"/>
      <c r="AY1276" s="1"/>
      <c r="AZ1276" s="1"/>
      <c r="BA1276" s="1"/>
      <c r="BB1276" s="1">
        <v>1789</v>
      </c>
      <c r="BC1276" s="1">
        <v>1796</v>
      </c>
      <c r="BD1276" s="1"/>
      <c r="BE1276" s="1" t="s">
        <v>8307</v>
      </c>
      <c r="BF1276" s="1" t="str">
        <f>HYPERLINK("http://dx.doi.org/10.1007/s10008-021-04942-w","http://dx.doi.org/10.1007/s10008-021-04942-w")</f>
        <v>http://dx.doi.org/10.1007/s10008-021-04942-w</v>
      </c>
      <c r="BG1276" s="1"/>
      <c r="BH1276" s="1" t="s">
        <v>5226</v>
      </c>
      <c r="BI1276" s="1"/>
      <c r="BJ1276" s="1"/>
      <c r="BK1276" s="1"/>
      <c r="BL1276" s="1"/>
      <c r="BM1276" s="1"/>
      <c r="BN1276" s="1"/>
      <c r="BO1276" s="1"/>
      <c r="BP1276" s="1"/>
      <c r="BQ1276" s="1"/>
      <c r="BR1276" s="1"/>
      <c r="BS1276" s="1" t="s">
        <v>8308</v>
      </c>
      <c r="BT1276" s="1" t="str">
        <f>HYPERLINK("https%3A%2F%2Fwww.webofscience.com%2Fwos%2Fwoscc%2Ffull-record%2FWOS:000640149200002","View Full Record in Web of Science")</f>
        <v>View Full Record in Web of Science</v>
      </c>
      <c r="BU1276" s="1"/>
      <c r="BV1276" s="1"/>
      <c r="BW1276" s="1"/>
    </row>
    <row r="1277" spans="1:75" customHeight="1" ht="12.75">
      <c r="A1277" s="1" t="s">
        <v>72</v>
      </c>
      <c r="B1277" s="1" t="s">
        <v>8309</v>
      </c>
      <c r="C1277" s="1"/>
      <c r="D1277" s="1"/>
      <c r="E1277" s="1"/>
      <c r="F1277" s="1" t="s">
        <v>8310</v>
      </c>
      <c r="G1277" s="1"/>
      <c r="H1277" s="1"/>
      <c r="I1277" s="1" t="s">
        <v>8311</v>
      </c>
      <c r="J1277" s="1" t="s">
        <v>95</v>
      </c>
      <c r="K1277" s="1"/>
      <c r="L1277" s="1"/>
      <c r="M1277" s="1"/>
      <c r="N1277" s="1"/>
      <c r="O1277" s="1"/>
      <c r="P1277" s="1"/>
      <c r="Q1277" s="1"/>
      <c r="R1277" s="1"/>
      <c r="S1277" s="1"/>
      <c r="T1277" s="1"/>
      <c r="U1277" s="1"/>
      <c r="V1277" s="1"/>
      <c r="W1277" s="1"/>
      <c r="X1277" s="1"/>
      <c r="Y1277" s="1"/>
      <c r="Z1277" s="1"/>
      <c r="AA1277" s="1" t="s">
        <v>7337</v>
      </c>
      <c r="AB1277" s="1" t="s">
        <v>7338</v>
      </c>
      <c r="AC1277" s="1"/>
      <c r="AD1277" s="1"/>
      <c r="AE1277" s="1"/>
      <c r="AF1277" s="1"/>
      <c r="AG1277" s="1"/>
      <c r="AH1277" s="1"/>
      <c r="AI1277" s="1"/>
      <c r="AJ1277" s="1"/>
      <c r="AK1277" s="1"/>
      <c r="AL1277" s="1"/>
      <c r="AM1277" s="1"/>
      <c r="AN1277" s="1"/>
      <c r="AO1277" s="1" t="s">
        <v>98</v>
      </c>
      <c r="AP1277" s="1" t="s">
        <v>99</v>
      </c>
      <c r="AQ1277" s="1"/>
      <c r="AR1277" s="1"/>
      <c r="AS1277" s="1"/>
      <c r="AT1277" s="1"/>
      <c r="AU1277" s="1">
        <v>2019</v>
      </c>
      <c r="AV1277" s="1"/>
      <c r="AW1277" s="1">
        <v>3</v>
      </c>
      <c r="AX1277" s="1"/>
      <c r="AY1277" s="1"/>
      <c r="AZ1277" s="1"/>
      <c r="BA1277" s="1"/>
      <c r="BB1277" s="1">
        <v>134</v>
      </c>
      <c r="BC1277" s="1">
        <v>141</v>
      </c>
      <c r="BD1277" s="1"/>
      <c r="BE1277" s="1" t="s">
        <v>8312</v>
      </c>
      <c r="BF1277" s="1" t="str">
        <f>HYPERLINK("http://dx.doi.org/10.25750/1995-4301-2019-3-134-141","http://dx.doi.org/10.25750/1995-4301-2019-3-134-141")</f>
        <v>http://dx.doi.org/10.25750/1995-4301-2019-3-134-141</v>
      </c>
      <c r="BG1277" s="1"/>
      <c r="BH1277" s="1"/>
      <c r="BI1277" s="1"/>
      <c r="BJ1277" s="1"/>
      <c r="BK1277" s="1"/>
      <c r="BL1277" s="1"/>
      <c r="BM1277" s="1"/>
      <c r="BN1277" s="1"/>
      <c r="BO1277" s="1"/>
      <c r="BP1277" s="1"/>
      <c r="BQ1277" s="1"/>
      <c r="BR1277" s="1"/>
      <c r="BS1277" s="1" t="s">
        <v>8313</v>
      </c>
      <c r="BT1277" s="1" t="str">
        <f>HYPERLINK("https%3A%2F%2Fwww.webofscience.com%2Fwos%2Fwoscc%2Ffull-record%2FWOS:000490704900019","View Full Record in Web of Science")</f>
        <v>View Full Record in Web of Science</v>
      </c>
      <c r="BU1277" s="1"/>
      <c r="BV1277" s="1"/>
      <c r="BW1277" s="1"/>
    </row>
    <row r="1278" spans="1:75" customHeight="1" ht="12.75">
      <c r="A1278" s="1" t="s">
        <v>72</v>
      </c>
      <c r="B1278" s="1" t="s">
        <v>8314</v>
      </c>
      <c r="C1278" s="1"/>
      <c r="D1278" s="1"/>
      <c r="E1278" s="1"/>
      <c r="F1278" s="1" t="s">
        <v>8315</v>
      </c>
      <c r="G1278" s="1"/>
      <c r="H1278" s="1"/>
      <c r="I1278" s="1" t="s">
        <v>8316</v>
      </c>
      <c r="J1278" s="1" t="s">
        <v>95</v>
      </c>
      <c r="K1278" s="1"/>
      <c r="L1278" s="1"/>
      <c r="M1278" s="1"/>
      <c r="N1278" s="1"/>
      <c r="O1278" s="1"/>
      <c r="P1278" s="1"/>
      <c r="Q1278" s="1"/>
      <c r="R1278" s="1"/>
      <c r="S1278" s="1"/>
      <c r="T1278" s="1"/>
      <c r="U1278" s="1"/>
      <c r="V1278" s="1"/>
      <c r="W1278" s="1"/>
      <c r="X1278" s="1"/>
      <c r="Y1278" s="1"/>
      <c r="Z1278" s="1"/>
      <c r="AA1278" s="1" t="s">
        <v>8317</v>
      </c>
      <c r="AB1278" s="1" t="s">
        <v>8318</v>
      </c>
      <c r="AC1278" s="1"/>
      <c r="AD1278" s="1"/>
      <c r="AE1278" s="1"/>
      <c r="AF1278" s="1"/>
      <c r="AG1278" s="1"/>
      <c r="AH1278" s="1"/>
      <c r="AI1278" s="1"/>
      <c r="AJ1278" s="1"/>
      <c r="AK1278" s="1"/>
      <c r="AL1278" s="1"/>
      <c r="AM1278" s="1"/>
      <c r="AN1278" s="1"/>
      <c r="AO1278" s="1" t="s">
        <v>98</v>
      </c>
      <c r="AP1278" s="1" t="s">
        <v>99</v>
      </c>
      <c r="AQ1278" s="1"/>
      <c r="AR1278" s="1"/>
      <c r="AS1278" s="1"/>
      <c r="AT1278" s="1"/>
      <c r="AU1278" s="1">
        <v>2018</v>
      </c>
      <c r="AV1278" s="1"/>
      <c r="AW1278" s="1">
        <v>3</v>
      </c>
      <c r="AX1278" s="1"/>
      <c r="AY1278" s="1"/>
      <c r="AZ1278" s="1"/>
      <c r="BA1278" s="1"/>
      <c r="BB1278" s="1">
        <v>86</v>
      </c>
      <c r="BC1278" s="1">
        <v>92</v>
      </c>
      <c r="BD1278" s="1"/>
      <c r="BE1278" s="1" t="s">
        <v>8319</v>
      </c>
      <c r="BF1278" s="1" t="str">
        <f>HYPERLINK("http://dx.doi.org/10.25750/1995-4301-2018-3-086-092","http://dx.doi.org/10.25750/1995-4301-2018-3-086-092")</f>
        <v>http://dx.doi.org/10.25750/1995-4301-2018-3-086-092</v>
      </c>
      <c r="BG1278" s="1"/>
      <c r="BH1278" s="1"/>
      <c r="BI1278" s="1"/>
      <c r="BJ1278" s="1"/>
      <c r="BK1278" s="1"/>
      <c r="BL1278" s="1"/>
      <c r="BM1278" s="1"/>
      <c r="BN1278" s="1"/>
      <c r="BO1278" s="1"/>
      <c r="BP1278" s="1"/>
      <c r="BQ1278" s="1"/>
      <c r="BR1278" s="1"/>
      <c r="BS1278" s="1" t="s">
        <v>8320</v>
      </c>
      <c r="BT1278" s="1" t="str">
        <f>HYPERLINK("https%3A%2F%2Fwww.webofscience.com%2Fwos%2Fwoscc%2Ffull-record%2FWOS:000468564900012","View Full Record in Web of Science")</f>
        <v>View Full Record in Web of Science</v>
      </c>
      <c r="BU1278" s="1"/>
      <c r="BV1278" s="1"/>
      <c r="BW1278" s="1"/>
    </row>
    <row r="1279" spans="1:75" customHeight="1" ht="12.75">
      <c r="A1279" s="1" t="s">
        <v>72</v>
      </c>
      <c r="B1279" s="1" t="s">
        <v>8321</v>
      </c>
      <c r="C1279" s="1"/>
      <c r="D1279" s="1"/>
      <c r="E1279" s="1"/>
      <c r="F1279" s="1" t="s">
        <v>8321</v>
      </c>
      <c r="G1279" s="1"/>
      <c r="H1279" s="1"/>
      <c r="I1279" s="1" t="s">
        <v>8322</v>
      </c>
      <c r="J1279" s="1" t="s">
        <v>1005</v>
      </c>
      <c r="K1279" s="1"/>
      <c r="L1279" s="1"/>
      <c r="M1279" s="1"/>
      <c r="N1279" s="1"/>
      <c r="O1279" s="1"/>
      <c r="P1279" s="1"/>
      <c r="Q1279" s="1"/>
      <c r="R1279" s="1"/>
      <c r="S1279" s="1"/>
      <c r="T1279" s="1"/>
      <c r="U1279" s="1"/>
      <c r="V1279" s="1"/>
      <c r="W1279" s="1"/>
      <c r="X1279" s="1"/>
      <c r="Y1279" s="1"/>
      <c r="Z1279" s="1"/>
      <c r="AA1279" s="1" t="s">
        <v>7259</v>
      </c>
      <c r="AB1279" s="1" t="s">
        <v>6972</v>
      </c>
      <c r="AC1279" s="1"/>
      <c r="AD1279" s="1"/>
      <c r="AE1279" s="1"/>
      <c r="AF1279" s="1"/>
      <c r="AG1279" s="1"/>
      <c r="AH1279" s="1"/>
      <c r="AI1279" s="1"/>
      <c r="AJ1279" s="1"/>
      <c r="AK1279" s="1"/>
      <c r="AL1279" s="1"/>
      <c r="AM1279" s="1"/>
      <c r="AN1279" s="1"/>
      <c r="AO1279" s="1" t="s">
        <v>1006</v>
      </c>
      <c r="AP1279" s="1" t="s">
        <v>1007</v>
      </c>
      <c r="AQ1279" s="1"/>
      <c r="AR1279" s="1"/>
      <c r="AS1279" s="1"/>
      <c r="AT1279" s="1" t="s">
        <v>2803</v>
      </c>
      <c r="AU1279" s="1">
        <v>2006</v>
      </c>
      <c r="AV1279" s="1">
        <v>75</v>
      </c>
      <c r="AW1279" s="1">
        <v>2</v>
      </c>
      <c r="AX1279" s="1"/>
      <c r="AY1279" s="1"/>
      <c r="AZ1279" s="1"/>
      <c r="BA1279" s="1"/>
      <c r="BB1279" s="1">
        <v>226</v>
      </c>
      <c r="BC1279" s="1">
        <v>230</v>
      </c>
      <c r="BD1279" s="1"/>
      <c r="BE1279" s="1" t="s">
        <v>8323</v>
      </c>
      <c r="BF1279" s="1" t="str">
        <f>HYPERLINK("http://dx.doi.org/10.1134/S0026261706020184","http://dx.doi.org/10.1134/S0026261706020184")</f>
        <v>http://dx.doi.org/10.1134/S0026261706020184</v>
      </c>
      <c r="BG1279" s="1"/>
      <c r="BH1279" s="1"/>
      <c r="BI1279" s="1"/>
      <c r="BJ1279" s="1"/>
      <c r="BK1279" s="1"/>
      <c r="BL1279" s="1"/>
      <c r="BM1279" s="1"/>
      <c r="BN1279" s="1"/>
      <c r="BO1279" s="1"/>
      <c r="BP1279" s="1"/>
      <c r="BQ1279" s="1"/>
      <c r="BR1279" s="1"/>
      <c r="BS1279" s="1" t="s">
        <v>8324</v>
      </c>
      <c r="BT1279" s="1" t="str">
        <f>HYPERLINK("https%3A%2F%2Fwww.webofscience.com%2Fwos%2Fwoscc%2Ffull-record%2FWOS:000236688100018","View Full Record in Web of Science")</f>
        <v>View Full Record in Web of Science</v>
      </c>
      <c r="BU1279" s="1"/>
      <c r="BV1279" s="1"/>
      <c r="BW1279" s="1"/>
    </row>
    <row r="1280" spans="1:75" customHeight="1" ht="12.75">
      <c r="A1280" s="1" t="s">
        <v>72</v>
      </c>
      <c r="B1280" s="1" t="s">
        <v>8325</v>
      </c>
      <c r="C1280" s="1"/>
      <c r="D1280" s="1"/>
      <c r="E1280" s="1"/>
      <c r="F1280" s="1" t="s">
        <v>8326</v>
      </c>
      <c r="G1280" s="1"/>
      <c r="H1280" s="1"/>
      <c r="I1280" s="1" t="s">
        <v>8327</v>
      </c>
      <c r="J1280" s="1" t="s">
        <v>4775</v>
      </c>
      <c r="K1280" s="1"/>
      <c r="L1280" s="1"/>
      <c r="M1280" s="1"/>
      <c r="N1280" s="1"/>
      <c r="O1280" s="1"/>
      <c r="P1280" s="1"/>
      <c r="Q1280" s="1"/>
      <c r="R1280" s="1"/>
      <c r="S1280" s="1"/>
      <c r="T1280" s="1"/>
      <c r="U1280" s="1"/>
      <c r="V1280" s="1"/>
      <c r="W1280" s="1"/>
      <c r="X1280" s="1"/>
      <c r="Y1280" s="1"/>
      <c r="Z1280" s="1"/>
      <c r="AA1280" s="1"/>
      <c r="AB1280" s="1" t="s">
        <v>8328</v>
      </c>
      <c r="AC1280" s="1"/>
      <c r="AD1280" s="1"/>
      <c r="AE1280" s="1"/>
      <c r="AF1280" s="1"/>
      <c r="AG1280" s="1"/>
      <c r="AH1280" s="1"/>
      <c r="AI1280" s="1"/>
      <c r="AJ1280" s="1"/>
      <c r="AK1280" s="1"/>
      <c r="AL1280" s="1"/>
      <c r="AM1280" s="1"/>
      <c r="AN1280" s="1"/>
      <c r="AO1280" s="1"/>
      <c r="AP1280" s="1" t="s">
        <v>4777</v>
      </c>
      <c r="AQ1280" s="1"/>
      <c r="AR1280" s="1"/>
      <c r="AS1280" s="1"/>
      <c r="AT1280" s="1" t="s">
        <v>319</v>
      </c>
      <c r="AU1280" s="1">
        <v>2022</v>
      </c>
      <c r="AV1280" s="1">
        <v>10</v>
      </c>
      <c r="AW1280" s="1">
        <v>11</v>
      </c>
      <c r="AX1280" s="1"/>
      <c r="AY1280" s="1"/>
      <c r="AZ1280" s="1"/>
      <c r="BA1280" s="1"/>
      <c r="BB1280" s="1"/>
      <c r="BC1280" s="1"/>
      <c r="BD1280" s="1">
        <v>206</v>
      </c>
      <c r="BE1280" s="1" t="s">
        <v>8329</v>
      </c>
      <c r="BF1280" s="1" t="str">
        <f>HYPERLINK("http://dx.doi.org/10.3390/risks10110206","http://dx.doi.org/10.3390/risks10110206")</f>
        <v>http://dx.doi.org/10.3390/risks10110206</v>
      </c>
      <c r="BG1280" s="1"/>
      <c r="BH1280" s="1"/>
      <c r="BI1280" s="1"/>
      <c r="BJ1280" s="1"/>
      <c r="BK1280" s="1"/>
      <c r="BL1280" s="1"/>
      <c r="BM1280" s="1"/>
      <c r="BN1280" s="1"/>
      <c r="BO1280" s="1"/>
      <c r="BP1280" s="1"/>
      <c r="BQ1280" s="1"/>
      <c r="BR1280" s="1"/>
      <c r="BS1280" s="1" t="s">
        <v>8330</v>
      </c>
      <c r="BT1280" s="1" t="str">
        <f>HYPERLINK("https%3A%2F%2Fwww.webofscience.com%2Fwos%2Fwoscc%2Ffull-record%2FWOS:000881404100001","View Full Record in Web of Science")</f>
        <v>View Full Record in Web of Science</v>
      </c>
      <c r="BU1280" s="1"/>
      <c r="BV1280" s="1"/>
      <c r="BW1280" s="1"/>
    </row>
    <row r="1281" spans="1:75" customHeight="1" ht="12.75">
      <c r="A1281" s="1" t="s">
        <v>72</v>
      </c>
      <c r="B1281" s="1" t="s">
        <v>8331</v>
      </c>
      <c r="C1281" s="1"/>
      <c r="D1281" s="1"/>
      <c r="E1281" s="1"/>
      <c r="F1281" s="1" t="s">
        <v>8332</v>
      </c>
      <c r="G1281" s="1"/>
      <c r="H1281" s="1"/>
      <c r="I1281" s="1" t="s">
        <v>8333</v>
      </c>
      <c r="J1281" s="1" t="s">
        <v>8334</v>
      </c>
      <c r="K1281" s="1"/>
      <c r="L1281" s="1"/>
      <c r="M1281" s="1"/>
      <c r="N1281" s="1"/>
      <c r="O1281" s="1"/>
      <c r="P1281" s="1"/>
      <c r="Q1281" s="1"/>
      <c r="R1281" s="1"/>
      <c r="S1281" s="1"/>
      <c r="T1281" s="1"/>
      <c r="U1281" s="1"/>
      <c r="V1281" s="1"/>
      <c r="W1281" s="1"/>
      <c r="X1281" s="1"/>
      <c r="Y1281" s="1"/>
      <c r="Z1281" s="1"/>
      <c r="AA1281" s="1" t="s">
        <v>8335</v>
      </c>
      <c r="AB1281" s="1" t="s">
        <v>8336</v>
      </c>
      <c r="AC1281" s="1"/>
      <c r="AD1281" s="1"/>
      <c r="AE1281" s="1"/>
      <c r="AF1281" s="1"/>
      <c r="AG1281" s="1"/>
      <c r="AH1281" s="1"/>
      <c r="AI1281" s="1"/>
      <c r="AJ1281" s="1"/>
      <c r="AK1281" s="1"/>
      <c r="AL1281" s="1"/>
      <c r="AM1281" s="1"/>
      <c r="AN1281" s="1"/>
      <c r="AO1281" s="1" t="s">
        <v>8337</v>
      </c>
      <c r="AP1281" s="1" t="s">
        <v>8338</v>
      </c>
      <c r="AQ1281" s="1"/>
      <c r="AR1281" s="1"/>
      <c r="AS1281" s="1"/>
      <c r="AT1281" s="1" t="s">
        <v>541</v>
      </c>
      <c r="AU1281" s="1">
        <v>2022</v>
      </c>
      <c r="AV1281" s="1">
        <v>57</v>
      </c>
      <c r="AW1281" s="1">
        <v>2</v>
      </c>
      <c r="AX1281" s="1"/>
      <c r="AY1281" s="1"/>
      <c r="AZ1281" s="1"/>
      <c r="BA1281" s="1"/>
      <c r="BB1281" s="1">
        <v>1291</v>
      </c>
      <c r="BC1281" s="1">
        <v>1301</v>
      </c>
      <c r="BD1281" s="1"/>
      <c r="BE1281" s="1" t="s">
        <v>8339</v>
      </c>
      <c r="BF1281" s="1" t="str">
        <f>HYPERLINK("http://dx.doi.org/10.1007/s10853-021-06645-z","http://dx.doi.org/10.1007/s10853-021-06645-z")</f>
        <v>http://dx.doi.org/10.1007/s10853-021-06645-z</v>
      </c>
      <c r="BG1281" s="1"/>
      <c r="BH1281" s="1" t="s">
        <v>6583</v>
      </c>
      <c r="BI1281" s="1"/>
      <c r="BJ1281" s="1"/>
      <c r="BK1281" s="1"/>
      <c r="BL1281" s="1"/>
      <c r="BM1281" s="1"/>
      <c r="BN1281" s="1"/>
      <c r="BO1281" s="1"/>
      <c r="BP1281" s="1"/>
      <c r="BQ1281" s="1"/>
      <c r="BR1281" s="1"/>
      <c r="BS1281" s="1" t="s">
        <v>8340</v>
      </c>
      <c r="BT1281" s="1" t="str">
        <f>HYPERLINK("https%3A%2F%2Fwww.webofscience.com%2Fwos%2Fwoscc%2Ffull-record%2FWOS:000737865000017","View Full Record in Web of Science")</f>
        <v>View Full Record in Web of Science</v>
      </c>
      <c r="BU1281" s="1"/>
      <c r="BV1281" s="1"/>
      <c r="BW1281" s="1"/>
    </row>
    <row r="1282" spans="1:75" customHeight="1" ht="12.75">
      <c r="A1282" s="1" t="s">
        <v>72</v>
      </c>
      <c r="B1282" s="1" t="s">
        <v>8341</v>
      </c>
      <c r="C1282" s="1"/>
      <c r="D1282" s="1"/>
      <c r="E1282" s="1"/>
      <c r="F1282" s="1" t="s">
        <v>8342</v>
      </c>
      <c r="G1282" s="1"/>
      <c r="H1282" s="1"/>
      <c r="I1282" s="1" t="s">
        <v>8343</v>
      </c>
      <c r="J1282" s="1" t="s">
        <v>4996</v>
      </c>
      <c r="K1282" s="1"/>
      <c r="L1282" s="1"/>
      <c r="M1282" s="1"/>
      <c r="N1282" s="1"/>
      <c r="O1282" s="1"/>
      <c r="P1282" s="1"/>
      <c r="Q1282" s="1"/>
      <c r="R1282" s="1"/>
      <c r="S1282" s="1"/>
      <c r="T1282" s="1"/>
      <c r="U1282" s="1"/>
      <c r="V1282" s="1"/>
      <c r="W1282" s="1"/>
      <c r="X1282" s="1"/>
      <c r="Y1282" s="1"/>
      <c r="Z1282" s="1"/>
      <c r="AA1282" s="1"/>
      <c r="AB1282" s="1"/>
      <c r="AC1282" s="1"/>
      <c r="AD1282" s="1"/>
      <c r="AE1282" s="1"/>
      <c r="AF1282" s="1"/>
      <c r="AG1282" s="1"/>
      <c r="AH1282" s="1"/>
      <c r="AI1282" s="1"/>
      <c r="AJ1282" s="1"/>
      <c r="AK1282" s="1"/>
      <c r="AL1282" s="1"/>
      <c r="AM1282" s="1"/>
      <c r="AN1282" s="1"/>
      <c r="AO1282" s="1" t="s">
        <v>4999</v>
      </c>
      <c r="AP1282" s="1" t="s">
        <v>5000</v>
      </c>
      <c r="AQ1282" s="1"/>
      <c r="AR1282" s="1"/>
      <c r="AS1282" s="1"/>
      <c r="AT1282" s="1"/>
      <c r="AU1282" s="1">
        <v>2021</v>
      </c>
      <c r="AV1282" s="1">
        <v>47</v>
      </c>
      <c r="AW1282" s="1">
        <v>1</v>
      </c>
      <c r="AX1282" s="1"/>
      <c r="AY1282" s="1"/>
      <c r="AZ1282" s="1"/>
      <c r="BA1282" s="1"/>
      <c r="BB1282" s="1">
        <v>117</v>
      </c>
      <c r="BC1282" s="1">
        <v>122</v>
      </c>
      <c r="BD1282" s="1"/>
      <c r="BE1282" s="1" t="s">
        <v>8344</v>
      </c>
      <c r="BF1282" s="1" t="str">
        <f>HYPERLINK("http://dx.doi.org/10.18149/MPM.4712021_11","http://dx.doi.org/10.18149/MPM.4712021_11")</f>
        <v>http://dx.doi.org/10.18149/MPM.4712021_11</v>
      </c>
      <c r="BG1282" s="1"/>
      <c r="BH1282" s="1"/>
      <c r="BI1282" s="1"/>
      <c r="BJ1282" s="1"/>
      <c r="BK1282" s="1"/>
      <c r="BL1282" s="1"/>
      <c r="BM1282" s="1"/>
      <c r="BN1282" s="1"/>
      <c r="BO1282" s="1"/>
      <c r="BP1282" s="1"/>
      <c r="BQ1282" s="1"/>
      <c r="BR1282" s="1"/>
      <c r="BS1282" s="1" t="s">
        <v>8345</v>
      </c>
      <c r="BT1282" s="1" t="str">
        <f>HYPERLINK("https%3A%2F%2Fwww.webofscience.com%2Fwos%2Fwoscc%2Ffull-record%2FWOS:000731323500002","View Full Record in Web of Science")</f>
        <v>View Full Record in Web of Science</v>
      </c>
      <c r="BU1282" s="1"/>
      <c r="BV1282" s="1"/>
      <c r="BW1282" s="1"/>
    </row>
    <row r="1283" spans="1:75" customHeight="1" ht="12.75">
      <c r="A1283" s="1" t="s">
        <v>72</v>
      </c>
      <c r="B1283" s="1" t="s">
        <v>8114</v>
      </c>
      <c r="C1283" s="1"/>
      <c r="D1283" s="1"/>
      <c r="E1283" s="1"/>
      <c r="F1283" s="1" t="s">
        <v>8115</v>
      </c>
      <c r="G1283" s="1"/>
      <c r="H1283" s="1"/>
      <c r="I1283" s="1" t="s">
        <v>8346</v>
      </c>
      <c r="J1283" s="1" t="s">
        <v>95</v>
      </c>
      <c r="K1283" s="1"/>
      <c r="L1283" s="1"/>
      <c r="M1283" s="1"/>
      <c r="N1283" s="1"/>
      <c r="O1283" s="1"/>
      <c r="P1283" s="1"/>
      <c r="Q1283" s="1"/>
      <c r="R1283" s="1"/>
      <c r="S1283" s="1"/>
      <c r="T1283" s="1"/>
      <c r="U1283" s="1"/>
      <c r="V1283" s="1"/>
      <c r="W1283" s="1"/>
      <c r="X1283" s="1"/>
      <c r="Y1283" s="1"/>
      <c r="Z1283" s="1"/>
      <c r="AA1283" s="1" t="s">
        <v>5529</v>
      </c>
      <c r="AB1283" s="1" t="s">
        <v>5530</v>
      </c>
      <c r="AC1283" s="1"/>
      <c r="AD1283" s="1"/>
      <c r="AE1283" s="1"/>
      <c r="AF1283" s="1"/>
      <c r="AG1283" s="1"/>
      <c r="AH1283" s="1"/>
      <c r="AI1283" s="1"/>
      <c r="AJ1283" s="1"/>
      <c r="AK1283" s="1"/>
      <c r="AL1283" s="1"/>
      <c r="AM1283" s="1"/>
      <c r="AN1283" s="1"/>
      <c r="AO1283" s="1" t="s">
        <v>98</v>
      </c>
      <c r="AP1283" s="1" t="s">
        <v>99</v>
      </c>
      <c r="AQ1283" s="1"/>
      <c r="AR1283" s="1"/>
      <c r="AS1283" s="1"/>
      <c r="AT1283" s="1"/>
      <c r="AU1283" s="1">
        <v>2020</v>
      </c>
      <c r="AV1283" s="1"/>
      <c r="AW1283" s="1">
        <v>4</v>
      </c>
      <c r="AX1283" s="1"/>
      <c r="AY1283" s="1"/>
      <c r="AZ1283" s="1"/>
      <c r="BA1283" s="1"/>
      <c r="BB1283" s="1">
        <v>129</v>
      </c>
      <c r="BC1283" s="1">
        <v>135</v>
      </c>
      <c r="BD1283" s="1"/>
      <c r="BE1283" s="1" t="s">
        <v>8347</v>
      </c>
      <c r="BF1283" s="1" t="str">
        <f>HYPERLINK("http://dx.doi.org/10.25750/1995-4301-2020-4-129-135","http://dx.doi.org/10.25750/1995-4301-2020-4-129-135")</f>
        <v>http://dx.doi.org/10.25750/1995-4301-2020-4-129-135</v>
      </c>
      <c r="BG1283" s="1"/>
      <c r="BH1283" s="1"/>
      <c r="BI1283" s="1"/>
      <c r="BJ1283" s="1"/>
      <c r="BK1283" s="1"/>
      <c r="BL1283" s="1"/>
      <c r="BM1283" s="1"/>
      <c r="BN1283" s="1"/>
      <c r="BO1283" s="1"/>
      <c r="BP1283" s="1"/>
      <c r="BQ1283" s="1"/>
      <c r="BR1283" s="1"/>
      <c r="BS1283" s="1" t="s">
        <v>8348</v>
      </c>
      <c r="BT1283" s="1" t="str">
        <f>HYPERLINK("https%3A%2F%2Fwww.webofscience.com%2Fwos%2Fwoscc%2Ffull-record%2FWOS:000597810500020","View Full Record in Web of Science")</f>
        <v>View Full Record in Web of Science</v>
      </c>
      <c r="BU1283" s="1"/>
      <c r="BV1283" s="1"/>
      <c r="BW1283" s="1"/>
    </row>
    <row r="1284" spans="1:75" customHeight="1" ht="12.75">
      <c r="A1284" s="1" t="s">
        <v>72</v>
      </c>
      <c r="B1284" s="1" t="s">
        <v>8349</v>
      </c>
      <c r="C1284" s="1"/>
      <c r="D1284" s="1"/>
      <c r="E1284" s="1"/>
      <c r="F1284" s="1" t="s">
        <v>8350</v>
      </c>
      <c r="G1284" s="1"/>
      <c r="H1284" s="1"/>
      <c r="I1284" s="1" t="s">
        <v>8351</v>
      </c>
      <c r="J1284" s="1" t="s">
        <v>95</v>
      </c>
      <c r="K1284" s="1"/>
      <c r="L1284" s="1"/>
      <c r="M1284" s="1"/>
      <c r="N1284" s="1"/>
      <c r="O1284" s="1"/>
      <c r="P1284" s="1"/>
      <c r="Q1284" s="1"/>
      <c r="R1284" s="1"/>
      <c r="S1284" s="1"/>
      <c r="T1284" s="1"/>
      <c r="U1284" s="1"/>
      <c r="V1284" s="1"/>
      <c r="W1284" s="1"/>
      <c r="X1284" s="1"/>
      <c r="Y1284" s="1"/>
      <c r="Z1284" s="1"/>
      <c r="AA1284" s="1" t="s">
        <v>8352</v>
      </c>
      <c r="AB1284" s="1" t="s">
        <v>8353</v>
      </c>
      <c r="AC1284" s="1"/>
      <c r="AD1284" s="1"/>
      <c r="AE1284" s="1"/>
      <c r="AF1284" s="1"/>
      <c r="AG1284" s="1"/>
      <c r="AH1284" s="1"/>
      <c r="AI1284" s="1"/>
      <c r="AJ1284" s="1"/>
      <c r="AK1284" s="1"/>
      <c r="AL1284" s="1"/>
      <c r="AM1284" s="1"/>
      <c r="AN1284" s="1"/>
      <c r="AO1284" s="1" t="s">
        <v>98</v>
      </c>
      <c r="AP1284" s="1" t="s">
        <v>99</v>
      </c>
      <c r="AQ1284" s="1"/>
      <c r="AR1284" s="1"/>
      <c r="AS1284" s="1"/>
      <c r="AT1284" s="1"/>
      <c r="AU1284" s="1">
        <v>2020</v>
      </c>
      <c r="AV1284" s="1"/>
      <c r="AW1284" s="1">
        <v>3</v>
      </c>
      <c r="AX1284" s="1"/>
      <c r="AY1284" s="1"/>
      <c r="AZ1284" s="1"/>
      <c r="BA1284" s="1"/>
      <c r="BB1284" s="1">
        <v>119</v>
      </c>
      <c r="BC1284" s="1">
        <v>125</v>
      </c>
      <c r="BD1284" s="1"/>
      <c r="BE1284" s="1" t="s">
        <v>8354</v>
      </c>
      <c r="BF1284" s="1" t="str">
        <f>HYPERLINK("http://dx.doi.org/10.25750/1995-4301-2020-3-119-125","http://dx.doi.org/10.25750/1995-4301-2020-3-119-125")</f>
        <v>http://dx.doi.org/10.25750/1995-4301-2020-3-119-125</v>
      </c>
      <c r="BG1284" s="1"/>
      <c r="BH1284" s="1"/>
      <c r="BI1284" s="1"/>
      <c r="BJ1284" s="1"/>
      <c r="BK1284" s="1"/>
      <c r="BL1284" s="1"/>
      <c r="BM1284" s="1"/>
      <c r="BN1284" s="1"/>
      <c r="BO1284" s="1"/>
      <c r="BP1284" s="1"/>
      <c r="BQ1284" s="1"/>
      <c r="BR1284" s="1"/>
      <c r="BS1284" s="1" t="s">
        <v>8355</v>
      </c>
      <c r="BT1284" s="1" t="str">
        <f>HYPERLINK("https%3A%2F%2Fwww.webofscience.com%2Fwos%2Fwoscc%2Ffull-record%2FWOS:000580337700018","View Full Record in Web of Science")</f>
        <v>View Full Record in Web of Science</v>
      </c>
      <c r="BU1284" s="1"/>
      <c r="BV1284" s="1"/>
      <c r="BW1284" s="1"/>
    </row>
    <row r="1285" spans="1:75" customHeight="1" ht="12.75">
      <c r="A1285" s="1" t="s">
        <v>147</v>
      </c>
      <c r="B1285" s="1" t="s">
        <v>8356</v>
      </c>
      <c r="C1285" s="1"/>
      <c r="D1285" s="1"/>
      <c r="E1285" s="1" t="s">
        <v>175</v>
      </c>
      <c r="F1285" s="1" t="s">
        <v>8357</v>
      </c>
      <c r="G1285" s="1"/>
      <c r="H1285" s="1"/>
      <c r="I1285" s="1" t="s">
        <v>8358</v>
      </c>
      <c r="J1285" s="1" t="s">
        <v>2671</v>
      </c>
      <c r="K1285" s="1" t="s">
        <v>1576</v>
      </c>
      <c r="L1285" s="1"/>
      <c r="M1285" s="1"/>
      <c r="N1285" s="1"/>
      <c r="O1285" s="1" t="s">
        <v>2672</v>
      </c>
      <c r="P1285" s="1" t="s">
        <v>2673</v>
      </c>
      <c r="Q1285" s="1" t="s">
        <v>2674</v>
      </c>
      <c r="R1285" s="1"/>
      <c r="S1285" s="1" t="s">
        <v>2675</v>
      </c>
      <c r="T1285" s="1"/>
      <c r="U1285" s="1"/>
      <c r="V1285" s="1"/>
      <c r="W1285" s="1"/>
      <c r="X1285" s="1"/>
      <c r="Y1285" s="1"/>
      <c r="Z1285" s="1"/>
      <c r="AA1285" s="1" t="s">
        <v>8359</v>
      </c>
      <c r="AB1285" s="1" t="s">
        <v>8360</v>
      </c>
      <c r="AC1285" s="1"/>
      <c r="AD1285" s="1"/>
      <c r="AE1285" s="1"/>
      <c r="AF1285" s="1"/>
      <c r="AG1285" s="1"/>
      <c r="AH1285" s="1"/>
      <c r="AI1285" s="1"/>
      <c r="AJ1285" s="1"/>
      <c r="AK1285" s="1"/>
      <c r="AL1285" s="1"/>
      <c r="AM1285" s="1"/>
      <c r="AN1285" s="1"/>
      <c r="AO1285" s="1" t="s">
        <v>1581</v>
      </c>
      <c r="AP1285" s="1"/>
      <c r="AQ1285" s="1"/>
      <c r="AR1285" s="1"/>
      <c r="AS1285" s="1"/>
      <c r="AT1285" s="1"/>
      <c r="AU1285" s="1">
        <v>2017</v>
      </c>
      <c r="AV1285" s="1">
        <v>90</v>
      </c>
      <c r="AW1285" s="1"/>
      <c r="AX1285" s="1"/>
      <c r="AY1285" s="1"/>
      <c r="AZ1285" s="1"/>
      <c r="BA1285" s="1"/>
      <c r="BB1285" s="1"/>
      <c r="BC1285" s="1"/>
      <c r="BD1285" s="1">
        <v>12139</v>
      </c>
      <c r="BE1285" s="1" t="s">
        <v>8361</v>
      </c>
      <c r="BF1285" s="1" t="str">
        <f>HYPERLINK("http://dx.doi.org/10.1088/1755-1315/90/012139","http://dx.doi.org/10.1088/1755-1315/90/012139")</f>
        <v>http://dx.doi.org/10.1088/1755-1315/90/012139</v>
      </c>
      <c r="BG1285" s="1"/>
      <c r="BH1285" s="1"/>
      <c r="BI1285" s="1"/>
      <c r="BJ1285" s="1"/>
      <c r="BK1285" s="1"/>
      <c r="BL1285" s="1"/>
      <c r="BM1285" s="1"/>
      <c r="BN1285" s="1"/>
      <c r="BO1285" s="1"/>
      <c r="BP1285" s="1"/>
      <c r="BQ1285" s="1"/>
      <c r="BR1285" s="1"/>
      <c r="BS1285" s="1" t="s">
        <v>8362</v>
      </c>
      <c r="BT1285" s="1" t="str">
        <f>HYPERLINK("https%3A%2F%2Fwww.webofscience.com%2Fwos%2Fwoscc%2Ffull-record%2FWOS:000419816700139","View Full Record in Web of Science")</f>
        <v>View Full Record in Web of Science</v>
      </c>
      <c r="BU1285" s="1"/>
      <c r="BV1285" s="1"/>
      <c r="BW1285" s="1"/>
    </row>
    <row r="1286" spans="1:75" customHeight="1" ht="12.75">
      <c r="A1286" s="1" t="s">
        <v>72</v>
      </c>
      <c r="B1286" s="1" t="s">
        <v>8363</v>
      </c>
      <c r="C1286" s="1"/>
      <c r="D1286" s="1"/>
      <c r="E1286" s="1"/>
      <c r="F1286" s="1" t="s">
        <v>8364</v>
      </c>
      <c r="G1286" s="1"/>
      <c r="H1286" s="1"/>
      <c r="I1286" s="1" t="s">
        <v>8365</v>
      </c>
      <c r="J1286" s="1" t="s">
        <v>8366</v>
      </c>
      <c r="K1286" s="1"/>
      <c r="L1286" s="1"/>
      <c r="M1286" s="1"/>
      <c r="N1286" s="1"/>
      <c r="O1286" s="1"/>
      <c r="P1286" s="1"/>
      <c r="Q1286" s="1"/>
      <c r="R1286" s="1"/>
      <c r="S1286" s="1"/>
      <c r="T1286" s="1"/>
      <c r="U1286" s="1"/>
      <c r="V1286" s="1"/>
      <c r="W1286" s="1"/>
      <c r="X1286" s="1"/>
      <c r="Y1286" s="1"/>
      <c r="Z1286" s="1"/>
      <c r="AA1286" s="1" t="s">
        <v>238</v>
      </c>
      <c r="AB1286" s="1" t="s">
        <v>239</v>
      </c>
      <c r="AC1286" s="1"/>
      <c r="AD1286" s="1"/>
      <c r="AE1286" s="1"/>
      <c r="AF1286" s="1"/>
      <c r="AG1286" s="1"/>
      <c r="AH1286" s="1"/>
      <c r="AI1286" s="1"/>
      <c r="AJ1286" s="1"/>
      <c r="AK1286" s="1"/>
      <c r="AL1286" s="1"/>
      <c r="AM1286" s="1"/>
      <c r="AN1286" s="1"/>
      <c r="AO1286" s="1"/>
      <c r="AP1286" s="1" t="s">
        <v>8367</v>
      </c>
      <c r="AQ1286" s="1"/>
      <c r="AR1286" s="1"/>
      <c r="AS1286" s="1"/>
      <c r="AT1286" s="1" t="s">
        <v>8368</v>
      </c>
      <c r="AU1286" s="1">
        <v>2022</v>
      </c>
      <c r="AV1286" s="1">
        <v>10</v>
      </c>
      <c r="AW1286" s="1"/>
      <c r="AX1286" s="1"/>
      <c r="AY1286" s="1"/>
      <c r="AZ1286" s="1"/>
      <c r="BA1286" s="1"/>
      <c r="BB1286" s="1"/>
      <c r="BC1286" s="1"/>
      <c r="BD1286" s="1">
        <v>1091149</v>
      </c>
      <c r="BE1286" s="1" t="s">
        <v>8369</v>
      </c>
      <c r="BF1286" s="1" t="str">
        <f>HYPERLINK("http://dx.doi.org/10.3389/fenvs.2022.1091149","http://dx.doi.org/10.3389/fenvs.2022.1091149")</f>
        <v>http://dx.doi.org/10.3389/fenvs.2022.1091149</v>
      </c>
      <c r="BG1286" s="1"/>
      <c r="BH1286" s="1"/>
      <c r="BI1286" s="1"/>
      <c r="BJ1286" s="1"/>
      <c r="BK1286" s="1"/>
      <c r="BL1286" s="1"/>
      <c r="BM1286" s="1"/>
      <c r="BN1286" s="1"/>
      <c r="BO1286" s="1"/>
      <c r="BP1286" s="1"/>
      <c r="BQ1286" s="1"/>
      <c r="BR1286" s="1"/>
      <c r="BS1286" s="1" t="s">
        <v>8370</v>
      </c>
      <c r="BT1286" s="1" t="str">
        <f>HYPERLINK("https%3A%2F%2Fwww.webofscience.com%2Fwos%2Fwoscc%2Ffull-record%2FWOS:000898146000001","View Full Record in Web of Science")</f>
        <v>View Full Record in Web of Science</v>
      </c>
      <c r="BU1286" s="1"/>
      <c r="BV1286" s="1"/>
      <c r="BW1286" s="1"/>
    </row>
    <row r="1287" spans="1:75" customHeight="1" ht="12.75">
      <c r="A1287" s="1" t="s">
        <v>72</v>
      </c>
      <c r="B1287" s="1" t="s">
        <v>8371</v>
      </c>
      <c r="C1287" s="1"/>
      <c r="D1287" s="1"/>
      <c r="E1287" s="1"/>
      <c r="F1287" s="1" t="s">
        <v>8372</v>
      </c>
      <c r="G1287" s="1"/>
      <c r="H1287" s="1"/>
      <c r="I1287" s="1" t="s">
        <v>8373</v>
      </c>
      <c r="J1287" s="1" t="s">
        <v>8374</v>
      </c>
      <c r="K1287" s="1"/>
      <c r="L1287" s="1"/>
      <c r="M1287" s="1"/>
      <c r="N1287" s="1"/>
      <c r="O1287" s="1"/>
      <c r="P1287" s="1"/>
      <c r="Q1287" s="1"/>
      <c r="R1287" s="1"/>
      <c r="S1287" s="1"/>
      <c r="T1287" s="1"/>
      <c r="U1287" s="1"/>
      <c r="V1287" s="1"/>
      <c r="W1287" s="1"/>
      <c r="X1287" s="1"/>
      <c r="Y1287" s="1"/>
      <c r="Z1287" s="1"/>
      <c r="AA1287" s="1" t="s">
        <v>8375</v>
      </c>
      <c r="AB1287" s="1" t="s">
        <v>8376</v>
      </c>
      <c r="AC1287" s="1"/>
      <c r="AD1287" s="1"/>
      <c r="AE1287" s="1"/>
      <c r="AF1287" s="1"/>
      <c r="AG1287" s="1"/>
      <c r="AH1287" s="1"/>
      <c r="AI1287" s="1"/>
      <c r="AJ1287" s="1"/>
      <c r="AK1287" s="1"/>
      <c r="AL1287" s="1"/>
      <c r="AM1287" s="1"/>
      <c r="AN1287" s="1"/>
      <c r="AO1287" s="1" t="s">
        <v>8377</v>
      </c>
      <c r="AP1287" s="1" t="s">
        <v>8378</v>
      </c>
      <c r="AQ1287" s="1"/>
      <c r="AR1287" s="1"/>
      <c r="AS1287" s="1"/>
      <c r="AT1287" s="1"/>
      <c r="AU1287" s="1">
        <v>2021</v>
      </c>
      <c r="AV1287" s="1">
        <v>16</v>
      </c>
      <c r="AW1287" s="1">
        <v>1</v>
      </c>
      <c r="AX1287" s="1"/>
      <c r="AY1287" s="1"/>
      <c r="AZ1287" s="1"/>
      <c r="BA1287" s="1"/>
      <c r="BB1287" s="1">
        <v>53</v>
      </c>
      <c r="BC1287" s="1">
        <v>60</v>
      </c>
      <c r="BD1287" s="1"/>
      <c r="BE1287" s="1" t="s">
        <v>8379</v>
      </c>
      <c r="BF1287" s="1" t="str">
        <f>HYPERLINK("http://dx.doi.org/10.18470/1992-1098-2021-1-53-60","http://dx.doi.org/10.18470/1992-1098-2021-1-53-60")</f>
        <v>http://dx.doi.org/10.18470/1992-1098-2021-1-53-60</v>
      </c>
      <c r="BG1287" s="1"/>
      <c r="BH1287" s="1"/>
      <c r="BI1287" s="1"/>
      <c r="BJ1287" s="1"/>
      <c r="BK1287" s="1"/>
      <c r="BL1287" s="1"/>
      <c r="BM1287" s="1"/>
      <c r="BN1287" s="1"/>
      <c r="BO1287" s="1"/>
      <c r="BP1287" s="1"/>
      <c r="BQ1287" s="1"/>
      <c r="BR1287" s="1"/>
      <c r="BS1287" s="1" t="s">
        <v>8380</v>
      </c>
      <c r="BT1287" s="1" t="str">
        <f>HYPERLINK("https%3A%2F%2Fwww.webofscience.com%2Fwos%2Fwoscc%2Ffull-record%2FWOS:000640618100006","View Full Record in Web of Science")</f>
        <v>View Full Record in Web of Science</v>
      </c>
      <c r="BU1287" s="1"/>
      <c r="BV1287" s="1"/>
      <c r="BW1287" s="1"/>
    </row>
    <row r="1288" spans="1:75" customHeight="1" ht="12.75">
      <c r="A1288" s="1" t="s">
        <v>72</v>
      </c>
      <c r="B1288" s="1" t="s">
        <v>8381</v>
      </c>
      <c r="C1288" s="1"/>
      <c r="D1288" s="1"/>
      <c r="E1288" s="1"/>
      <c r="F1288" s="1" t="s">
        <v>8382</v>
      </c>
      <c r="G1288" s="1"/>
      <c r="H1288" s="1"/>
      <c r="I1288" s="1" t="s">
        <v>8383</v>
      </c>
      <c r="J1288" s="1" t="s">
        <v>95</v>
      </c>
      <c r="K1288" s="1"/>
      <c r="L1288" s="1"/>
      <c r="M1288" s="1"/>
      <c r="N1288" s="1"/>
      <c r="O1288" s="1"/>
      <c r="P1288" s="1"/>
      <c r="Q1288" s="1"/>
      <c r="R1288" s="1"/>
      <c r="S1288" s="1"/>
      <c r="T1288" s="1"/>
      <c r="U1288" s="1"/>
      <c r="V1288" s="1"/>
      <c r="W1288" s="1"/>
      <c r="X1288" s="1"/>
      <c r="Y1288" s="1"/>
      <c r="Z1288" s="1"/>
      <c r="AA1288" s="1" t="s">
        <v>6456</v>
      </c>
      <c r="AB1288" s="1" t="s">
        <v>6457</v>
      </c>
      <c r="AC1288" s="1"/>
      <c r="AD1288" s="1"/>
      <c r="AE1288" s="1"/>
      <c r="AF1288" s="1"/>
      <c r="AG1288" s="1"/>
      <c r="AH1288" s="1"/>
      <c r="AI1288" s="1"/>
      <c r="AJ1288" s="1"/>
      <c r="AK1288" s="1"/>
      <c r="AL1288" s="1"/>
      <c r="AM1288" s="1"/>
      <c r="AN1288" s="1"/>
      <c r="AO1288" s="1" t="s">
        <v>98</v>
      </c>
      <c r="AP1288" s="1" t="s">
        <v>99</v>
      </c>
      <c r="AQ1288" s="1"/>
      <c r="AR1288" s="1"/>
      <c r="AS1288" s="1"/>
      <c r="AT1288" s="1"/>
      <c r="AU1288" s="1">
        <v>2019</v>
      </c>
      <c r="AV1288" s="1"/>
      <c r="AW1288" s="1">
        <v>2</v>
      </c>
      <c r="AX1288" s="1"/>
      <c r="AY1288" s="1"/>
      <c r="AZ1288" s="1"/>
      <c r="BA1288" s="1"/>
      <c r="BB1288" s="1">
        <v>108</v>
      </c>
      <c r="BC1288" s="1">
        <v>112</v>
      </c>
      <c r="BD1288" s="1"/>
      <c r="BE1288" s="1" t="s">
        <v>8384</v>
      </c>
      <c r="BF1288" s="1" t="str">
        <f>HYPERLINK("http://dx.doi.org/10.25750/1995-4301-2019-2-108-112","http://dx.doi.org/10.25750/1995-4301-2019-2-108-112")</f>
        <v>http://dx.doi.org/10.25750/1995-4301-2019-2-108-112</v>
      </c>
      <c r="BG1288" s="1"/>
      <c r="BH1288" s="1"/>
      <c r="BI1288" s="1"/>
      <c r="BJ1288" s="1"/>
      <c r="BK1288" s="1"/>
      <c r="BL1288" s="1"/>
      <c r="BM1288" s="1"/>
      <c r="BN1288" s="1"/>
      <c r="BO1288" s="1"/>
      <c r="BP1288" s="1"/>
      <c r="BQ1288" s="1"/>
      <c r="BR1288" s="1"/>
      <c r="BS1288" s="1" t="s">
        <v>8385</v>
      </c>
      <c r="BT1288" s="1" t="str">
        <f>HYPERLINK("https%3A%2F%2Fwww.webofscience.com%2Fwos%2Fwoscc%2Ffull-record%2FWOS:000477826000013","View Full Record in Web of Science")</f>
        <v>View Full Record in Web of Science</v>
      </c>
      <c r="BU1288" s="1"/>
      <c r="BV1288" s="1"/>
      <c r="BW1288" s="1"/>
    </row>
    <row r="1289" spans="1:75" customHeight="1" ht="12.75">
      <c r="A1289" s="1" t="s">
        <v>72</v>
      </c>
      <c r="B1289" s="1" t="s">
        <v>8386</v>
      </c>
      <c r="C1289" s="1"/>
      <c r="D1289" s="1"/>
      <c r="E1289" s="1"/>
      <c r="F1289" s="1" t="s">
        <v>8387</v>
      </c>
      <c r="G1289" s="1"/>
      <c r="H1289" s="1"/>
      <c r="I1289" s="1" t="s">
        <v>8388</v>
      </c>
      <c r="J1289" s="1" t="s">
        <v>650</v>
      </c>
      <c r="K1289" s="1"/>
      <c r="L1289" s="1"/>
      <c r="M1289" s="1"/>
      <c r="N1289" s="1"/>
      <c r="O1289" s="1"/>
      <c r="P1289" s="1"/>
      <c r="Q1289" s="1"/>
      <c r="R1289" s="1"/>
      <c r="S1289" s="1"/>
      <c r="T1289" s="1"/>
      <c r="U1289" s="1"/>
      <c r="V1289" s="1"/>
      <c r="W1289" s="1"/>
      <c r="X1289" s="1"/>
      <c r="Y1289" s="1"/>
      <c r="Z1289" s="1"/>
      <c r="AA1289" s="1"/>
      <c r="AB1289" s="1" t="s">
        <v>8389</v>
      </c>
      <c r="AC1289" s="1"/>
      <c r="AD1289" s="1"/>
      <c r="AE1289" s="1"/>
      <c r="AF1289" s="1"/>
      <c r="AG1289" s="1"/>
      <c r="AH1289" s="1"/>
      <c r="AI1289" s="1"/>
      <c r="AJ1289" s="1"/>
      <c r="AK1289" s="1"/>
      <c r="AL1289" s="1"/>
      <c r="AM1289" s="1"/>
      <c r="AN1289" s="1"/>
      <c r="AO1289" s="1" t="s">
        <v>653</v>
      </c>
      <c r="AP1289" s="1" t="s">
        <v>654</v>
      </c>
      <c r="AQ1289" s="1"/>
      <c r="AR1289" s="1"/>
      <c r="AS1289" s="1"/>
      <c r="AT1289" s="1" t="s">
        <v>403</v>
      </c>
      <c r="AU1289" s="1">
        <v>2018</v>
      </c>
      <c r="AV1289" s="1"/>
      <c r="AW1289" s="1">
        <v>13</v>
      </c>
      <c r="AX1289" s="1"/>
      <c r="AY1289" s="1"/>
      <c r="AZ1289" s="1"/>
      <c r="BA1289" s="1"/>
      <c r="BB1289" s="1">
        <v>1259</v>
      </c>
      <c r="BC1289" s="1">
        <v>1263</v>
      </c>
      <c r="BD1289" s="1"/>
      <c r="BE1289" s="1" t="s">
        <v>8390</v>
      </c>
      <c r="BF1289" s="1" t="str">
        <f>HYPERLINK("http://dx.doi.org/10.1134/S0036029518130153","http://dx.doi.org/10.1134/S0036029518130153")</f>
        <v>http://dx.doi.org/10.1134/S0036029518130153</v>
      </c>
      <c r="BG1289" s="1"/>
      <c r="BH1289" s="1"/>
      <c r="BI1289" s="1"/>
      <c r="BJ1289" s="1"/>
      <c r="BK1289" s="1"/>
      <c r="BL1289" s="1"/>
      <c r="BM1289" s="1"/>
      <c r="BN1289" s="1"/>
      <c r="BO1289" s="1"/>
      <c r="BP1289" s="1"/>
      <c r="BQ1289" s="1"/>
      <c r="BR1289" s="1"/>
      <c r="BS1289" s="1" t="s">
        <v>8391</v>
      </c>
      <c r="BT1289" s="1" t="str">
        <f>HYPERLINK("https%3A%2F%2Fwww.webofscience.com%2Fwos%2Fwoscc%2Ffull-record%2FWOS:000460563800016","View Full Record in Web of Science")</f>
        <v>View Full Record in Web of Science</v>
      </c>
      <c r="BU1289" s="1"/>
      <c r="BV1289" s="1"/>
      <c r="BW1289" s="1"/>
    </row>
    <row r="1290" spans="1:75" customHeight="1" ht="12.75">
      <c r="A1290" s="1" t="s">
        <v>72</v>
      </c>
      <c r="B1290" s="1" t="s">
        <v>8392</v>
      </c>
      <c r="C1290" s="1"/>
      <c r="D1290" s="1"/>
      <c r="E1290" s="1"/>
      <c r="F1290" s="1" t="s">
        <v>8393</v>
      </c>
      <c r="G1290" s="1"/>
      <c r="H1290" s="1"/>
      <c r="I1290" s="1" t="s">
        <v>8394</v>
      </c>
      <c r="J1290" s="1" t="s">
        <v>716</v>
      </c>
      <c r="K1290" s="1"/>
      <c r="L1290" s="1"/>
      <c r="M1290" s="1"/>
      <c r="N1290" s="1"/>
      <c r="O1290" s="1"/>
      <c r="P1290" s="1"/>
      <c r="Q1290" s="1"/>
      <c r="R1290" s="1"/>
      <c r="S1290" s="1"/>
      <c r="T1290" s="1"/>
      <c r="U1290" s="1"/>
      <c r="V1290" s="1"/>
      <c r="W1290" s="1"/>
      <c r="X1290" s="1"/>
      <c r="Y1290" s="1"/>
      <c r="Z1290" s="1"/>
      <c r="AA1290" s="1"/>
      <c r="AB1290" s="1"/>
      <c r="AC1290" s="1"/>
      <c r="AD1290" s="1"/>
      <c r="AE1290" s="1"/>
      <c r="AF1290" s="1"/>
      <c r="AG1290" s="1"/>
      <c r="AH1290" s="1"/>
      <c r="AI1290" s="1"/>
      <c r="AJ1290" s="1"/>
      <c r="AK1290" s="1"/>
      <c r="AL1290" s="1"/>
      <c r="AM1290" s="1"/>
      <c r="AN1290" s="1"/>
      <c r="AO1290" s="1" t="s">
        <v>719</v>
      </c>
      <c r="AP1290" s="1" t="s">
        <v>720</v>
      </c>
      <c r="AQ1290" s="1"/>
      <c r="AR1290" s="1"/>
      <c r="AS1290" s="1"/>
      <c r="AT1290" s="1" t="s">
        <v>171</v>
      </c>
      <c r="AU1290" s="1">
        <v>2022</v>
      </c>
      <c r="AV1290" s="1"/>
      <c r="AW1290" s="1">
        <v>476</v>
      </c>
      <c r="AX1290" s="1"/>
      <c r="AY1290" s="1"/>
      <c r="AZ1290" s="1"/>
      <c r="BA1290" s="1"/>
      <c r="BB1290" s="1">
        <v>290</v>
      </c>
      <c r="BC1290" s="1">
        <v>297</v>
      </c>
      <c r="BD1290" s="1"/>
      <c r="BE1290" s="1" t="s">
        <v>8395</v>
      </c>
      <c r="BF1290" s="1" t="str">
        <f>HYPERLINK("http://dx.doi.org/10.17223/15617793/476/31","http://dx.doi.org/10.17223/15617793/476/31")</f>
        <v>http://dx.doi.org/10.17223/15617793/476/31</v>
      </c>
      <c r="BG1290" s="1"/>
      <c r="BH1290" s="1"/>
      <c r="BI1290" s="1"/>
      <c r="BJ1290" s="1"/>
      <c r="BK1290" s="1"/>
      <c r="BL1290" s="1"/>
      <c r="BM1290" s="1"/>
      <c r="BN1290" s="1"/>
      <c r="BO1290" s="1"/>
      <c r="BP1290" s="1"/>
      <c r="BQ1290" s="1"/>
      <c r="BR1290" s="1"/>
      <c r="BS1290" s="1" t="s">
        <v>8396</v>
      </c>
      <c r="BT1290" s="1" t="str">
        <f>HYPERLINK("https%3A%2F%2Fwww.webofscience.com%2Fwos%2Fwoscc%2Ffull-record%2FWOS:000868947100031","View Full Record in Web of Science")</f>
        <v>View Full Record in Web of Science</v>
      </c>
      <c r="BU1290" s="1"/>
      <c r="BV1290" s="1"/>
      <c r="BW1290" s="1"/>
    </row>
    <row r="1291" spans="1:75" customHeight="1" ht="12.75">
      <c r="A1291" s="1" t="s">
        <v>72</v>
      </c>
      <c r="B1291" s="1" t="s">
        <v>8397</v>
      </c>
      <c r="C1291" s="1"/>
      <c r="D1291" s="1"/>
      <c r="E1291" s="1"/>
      <c r="F1291" s="1" t="s">
        <v>8398</v>
      </c>
      <c r="G1291" s="1"/>
      <c r="H1291" s="1"/>
      <c r="I1291" s="1" t="s">
        <v>8399</v>
      </c>
      <c r="J1291" s="1" t="s">
        <v>95</v>
      </c>
      <c r="K1291" s="1"/>
      <c r="L1291" s="1"/>
      <c r="M1291" s="1"/>
      <c r="N1291" s="1"/>
      <c r="O1291" s="1"/>
      <c r="P1291" s="1"/>
      <c r="Q1291" s="1"/>
      <c r="R1291" s="1"/>
      <c r="S1291" s="1"/>
      <c r="T1291" s="1"/>
      <c r="U1291" s="1"/>
      <c r="V1291" s="1"/>
      <c r="W1291" s="1"/>
      <c r="X1291" s="1"/>
      <c r="Y1291" s="1"/>
      <c r="Z1291" s="1"/>
      <c r="AA1291" s="1" t="s">
        <v>4926</v>
      </c>
      <c r="AB1291" s="1" t="s">
        <v>8400</v>
      </c>
      <c r="AC1291" s="1"/>
      <c r="AD1291" s="1"/>
      <c r="AE1291" s="1"/>
      <c r="AF1291" s="1"/>
      <c r="AG1291" s="1"/>
      <c r="AH1291" s="1"/>
      <c r="AI1291" s="1"/>
      <c r="AJ1291" s="1"/>
      <c r="AK1291" s="1"/>
      <c r="AL1291" s="1"/>
      <c r="AM1291" s="1"/>
      <c r="AN1291" s="1"/>
      <c r="AO1291" s="1" t="s">
        <v>98</v>
      </c>
      <c r="AP1291" s="1" t="s">
        <v>99</v>
      </c>
      <c r="AQ1291" s="1"/>
      <c r="AR1291" s="1"/>
      <c r="AS1291" s="1"/>
      <c r="AT1291" s="1"/>
      <c r="AU1291" s="1">
        <v>2022</v>
      </c>
      <c r="AV1291" s="1"/>
      <c r="AW1291" s="1">
        <v>3</v>
      </c>
      <c r="AX1291" s="1"/>
      <c r="AY1291" s="1"/>
      <c r="AZ1291" s="1"/>
      <c r="BA1291" s="1"/>
      <c r="BB1291" s="1">
        <v>199</v>
      </c>
      <c r="BC1291" s="1">
        <v>205</v>
      </c>
      <c r="BD1291" s="1"/>
      <c r="BE1291" s="1" t="s">
        <v>8401</v>
      </c>
      <c r="BF1291" s="1" t="str">
        <f>HYPERLINK("http://dx.doi.org/10.25750/1995-4301-2022-3-199-205","http://dx.doi.org/10.25750/1995-4301-2022-3-199-205")</f>
        <v>http://dx.doi.org/10.25750/1995-4301-2022-3-199-205</v>
      </c>
      <c r="BG1291" s="1"/>
      <c r="BH1291" s="1"/>
      <c r="BI1291" s="1"/>
      <c r="BJ1291" s="1"/>
      <c r="BK1291" s="1"/>
      <c r="BL1291" s="1"/>
      <c r="BM1291" s="1"/>
      <c r="BN1291" s="1"/>
      <c r="BO1291" s="1"/>
      <c r="BP1291" s="1"/>
      <c r="BQ1291" s="1"/>
      <c r="BR1291" s="1"/>
      <c r="BS1291" s="1" t="s">
        <v>8402</v>
      </c>
      <c r="BT1291" s="1" t="str">
        <f>HYPERLINK("https%3A%2F%2Fwww.webofscience.com%2Fwos%2Fwoscc%2Ffull-record%2FWOS:000885393200025","View Full Record in Web of Science")</f>
        <v>View Full Record in Web of Science</v>
      </c>
      <c r="BU1291" s="1"/>
      <c r="BV1291" s="1"/>
      <c r="BW1291" s="1"/>
    </row>
    <row r="1292" spans="1:75" customHeight="1" ht="12.75">
      <c r="A1292" s="1" t="s">
        <v>72</v>
      </c>
      <c r="B1292" s="1" t="s">
        <v>8403</v>
      </c>
      <c r="C1292" s="1"/>
      <c r="D1292" s="1"/>
      <c r="E1292" s="1"/>
      <c r="F1292" s="1" t="s">
        <v>8404</v>
      </c>
      <c r="G1292" s="1"/>
      <c r="H1292" s="1"/>
      <c r="I1292" s="1" t="s">
        <v>8405</v>
      </c>
      <c r="J1292" s="1" t="s">
        <v>166</v>
      </c>
      <c r="K1292" s="1"/>
      <c r="L1292" s="1"/>
      <c r="M1292" s="1"/>
      <c r="N1292" s="1"/>
      <c r="O1292" s="1"/>
      <c r="P1292" s="1"/>
      <c r="Q1292" s="1"/>
      <c r="R1292" s="1"/>
      <c r="S1292" s="1"/>
      <c r="T1292" s="1"/>
      <c r="U1292" s="1"/>
      <c r="V1292" s="1"/>
      <c r="W1292" s="1"/>
      <c r="X1292" s="1"/>
      <c r="Y1292" s="1"/>
      <c r="Z1292" s="1"/>
      <c r="AA1292" s="1"/>
      <c r="AB1292" s="1"/>
      <c r="AC1292" s="1"/>
      <c r="AD1292" s="1"/>
      <c r="AE1292" s="1"/>
      <c r="AF1292" s="1"/>
      <c r="AG1292" s="1"/>
      <c r="AH1292" s="1"/>
      <c r="AI1292" s="1"/>
      <c r="AJ1292" s="1"/>
      <c r="AK1292" s="1"/>
      <c r="AL1292" s="1"/>
      <c r="AM1292" s="1"/>
      <c r="AN1292" s="1"/>
      <c r="AO1292" s="1" t="s">
        <v>169</v>
      </c>
      <c r="AP1292" s="1" t="s">
        <v>170</v>
      </c>
      <c r="AQ1292" s="1"/>
      <c r="AR1292" s="1"/>
      <c r="AS1292" s="1"/>
      <c r="AT1292" s="1" t="s">
        <v>171</v>
      </c>
      <c r="AU1292" s="1">
        <v>2022</v>
      </c>
      <c r="AV1292" s="1">
        <v>11</v>
      </c>
      <c r="AW1292" s="1">
        <v>1</v>
      </c>
      <c r="AX1292" s="1"/>
      <c r="AY1292" s="1"/>
      <c r="AZ1292" s="1"/>
      <c r="BA1292" s="1"/>
      <c r="BB1292" s="1">
        <v>241</v>
      </c>
      <c r="BC1292" s="1">
        <v>257</v>
      </c>
      <c r="BD1292" s="1"/>
      <c r="BE1292" s="1" t="s">
        <v>8406</v>
      </c>
      <c r="BF1292" s="1" t="str">
        <f>HYPERLINK("http://dx.doi.org/10.13187/ejced.2022.1.241","http://dx.doi.org/10.13187/ejced.2022.1.241")</f>
        <v>http://dx.doi.org/10.13187/ejced.2022.1.241</v>
      </c>
      <c r="BG1292" s="1"/>
      <c r="BH1292" s="1"/>
      <c r="BI1292" s="1"/>
      <c r="BJ1292" s="1"/>
      <c r="BK1292" s="1"/>
      <c r="BL1292" s="1"/>
      <c r="BM1292" s="1"/>
      <c r="BN1292" s="1"/>
      <c r="BO1292" s="1"/>
      <c r="BP1292" s="1"/>
      <c r="BQ1292" s="1"/>
      <c r="BR1292" s="1"/>
      <c r="BS1292" s="1" t="s">
        <v>8407</v>
      </c>
      <c r="BT1292" s="1" t="str">
        <f>HYPERLINK("https%3A%2F%2Fwww.webofscience.com%2Fwos%2Fwoscc%2Ffull-record%2FWOS:000835713500001","View Full Record in Web of Science")</f>
        <v>View Full Record in Web of Science</v>
      </c>
      <c r="BU1292" s="1"/>
      <c r="BV1292" s="1"/>
      <c r="BW1292" s="1"/>
    </row>
    <row r="1293" spans="1:75" customHeight="1" ht="12.75">
      <c r="A1293" s="1" t="s">
        <v>72</v>
      </c>
      <c r="B1293" s="1" t="s">
        <v>8408</v>
      </c>
      <c r="C1293" s="1"/>
      <c r="D1293" s="1"/>
      <c r="E1293" s="1"/>
      <c r="F1293" s="1" t="s">
        <v>8409</v>
      </c>
      <c r="G1293" s="1"/>
      <c r="H1293" s="1"/>
      <c r="I1293" s="1" t="s">
        <v>8410</v>
      </c>
      <c r="J1293" s="1" t="s">
        <v>8411</v>
      </c>
      <c r="K1293" s="1"/>
      <c r="L1293" s="1"/>
      <c r="M1293" s="1"/>
      <c r="N1293" s="1"/>
      <c r="O1293" s="1"/>
      <c r="P1293" s="1"/>
      <c r="Q1293" s="1"/>
      <c r="R1293" s="1"/>
      <c r="S1293" s="1"/>
      <c r="T1293" s="1"/>
      <c r="U1293" s="1"/>
      <c r="V1293" s="1"/>
      <c r="W1293" s="1"/>
      <c r="X1293" s="1"/>
      <c r="Y1293" s="1"/>
      <c r="Z1293" s="1"/>
      <c r="AA1293" s="1" t="s">
        <v>8412</v>
      </c>
      <c r="AB1293" s="1" t="s">
        <v>8413</v>
      </c>
      <c r="AC1293" s="1"/>
      <c r="AD1293" s="1"/>
      <c r="AE1293" s="1"/>
      <c r="AF1293" s="1"/>
      <c r="AG1293" s="1"/>
      <c r="AH1293" s="1"/>
      <c r="AI1293" s="1"/>
      <c r="AJ1293" s="1"/>
      <c r="AK1293" s="1"/>
      <c r="AL1293" s="1"/>
      <c r="AM1293" s="1"/>
      <c r="AN1293" s="1"/>
      <c r="AO1293" s="1" t="s">
        <v>8414</v>
      </c>
      <c r="AP1293" s="1" t="s">
        <v>8415</v>
      </c>
      <c r="AQ1293" s="1"/>
      <c r="AR1293" s="1"/>
      <c r="AS1293" s="1"/>
      <c r="AT1293" s="1" t="s">
        <v>88</v>
      </c>
      <c r="AU1293" s="1">
        <v>2016</v>
      </c>
      <c r="AV1293" s="1">
        <v>66</v>
      </c>
      <c r="AW1293" s="1"/>
      <c r="AX1293" s="1">
        <v>5</v>
      </c>
      <c r="AY1293" s="1"/>
      <c r="AZ1293" s="1"/>
      <c r="BA1293" s="1"/>
      <c r="BB1293" s="1">
        <v>2069</v>
      </c>
      <c r="BC1293" s="1">
        <v>2077</v>
      </c>
      <c r="BD1293" s="1"/>
      <c r="BE1293" s="1" t="s">
        <v>8416</v>
      </c>
      <c r="BF1293" s="1" t="str">
        <f>HYPERLINK("http://dx.doi.org/10.1099/ijsem.0.000994","http://dx.doi.org/10.1099/ijsem.0.000994")</f>
        <v>http://dx.doi.org/10.1099/ijsem.0.000994</v>
      </c>
      <c r="BG1293" s="1"/>
      <c r="BH1293" s="1"/>
      <c r="BI1293" s="1"/>
      <c r="BJ1293" s="1"/>
      <c r="BK1293" s="1"/>
      <c r="BL1293" s="1"/>
      <c r="BM1293" s="1"/>
      <c r="BN1293" s="1">
        <v>26921147</v>
      </c>
      <c r="BO1293" s="1"/>
      <c r="BP1293" s="1"/>
      <c r="BQ1293" s="1"/>
      <c r="BR1293" s="1"/>
      <c r="BS1293" s="1" t="s">
        <v>8417</v>
      </c>
      <c r="BT1293" s="1" t="str">
        <f>HYPERLINK("https%3A%2F%2Fwww.webofscience.com%2Fwos%2Fwoscc%2Ffull-record%2FWOS:000375837100026","View Full Record in Web of Science")</f>
        <v>View Full Record in Web of Science</v>
      </c>
      <c r="BU1293" s="1"/>
      <c r="BV1293" s="1"/>
      <c r="BW1293" s="1"/>
    </row>
    <row r="1294" spans="1:75" customHeight="1" ht="12.75">
      <c r="A1294" s="1" t="s">
        <v>72</v>
      </c>
      <c r="B1294" s="1" t="s">
        <v>8418</v>
      </c>
      <c r="C1294" s="1"/>
      <c r="D1294" s="1"/>
      <c r="E1294" s="1"/>
      <c r="F1294" s="1" t="s">
        <v>8419</v>
      </c>
      <c r="G1294" s="1"/>
      <c r="H1294" s="1"/>
      <c r="I1294" s="1" t="s">
        <v>8420</v>
      </c>
      <c r="J1294" s="1" t="s">
        <v>95</v>
      </c>
      <c r="K1294" s="1"/>
      <c r="L1294" s="1"/>
      <c r="M1294" s="1"/>
      <c r="N1294" s="1"/>
      <c r="O1294" s="1"/>
      <c r="P1294" s="1"/>
      <c r="Q1294" s="1"/>
      <c r="R1294" s="1"/>
      <c r="S1294" s="1"/>
      <c r="T1294" s="1"/>
      <c r="U1294" s="1"/>
      <c r="V1294" s="1"/>
      <c r="W1294" s="1"/>
      <c r="X1294" s="1"/>
      <c r="Y1294" s="1"/>
      <c r="Z1294" s="1"/>
      <c r="AA1294" s="1" t="s">
        <v>5529</v>
      </c>
      <c r="AB1294" s="1" t="s">
        <v>5530</v>
      </c>
      <c r="AC1294" s="1"/>
      <c r="AD1294" s="1"/>
      <c r="AE1294" s="1"/>
      <c r="AF1294" s="1"/>
      <c r="AG1294" s="1"/>
      <c r="AH1294" s="1"/>
      <c r="AI1294" s="1"/>
      <c r="AJ1294" s="1"/>
      <c r="AK1294" s="1"/>
      <c r="AL1294" s="1"/>
      <c r="AM1294" s="1"/>
      <c r="AN1294" s="1"/>
      <c r="AO1294" s="1" t="s">
        <v>98</v>
      </c>
      <c r="AP1294" s="1" t="s">
        <v>99</v>
      </c>
      <c r="AQ1294" s="1"/>
      <c r="AR1294" s="1"/>
      <c r="AS1294" s="1"/>
      <c r="AT1294" s="1"/>
      <c r="AU1294" s="1">
        <v>2018</v>
      </c>
      <c r="AV1294" s="1"/>
      <c r="AW1294" s="1">
        <v>4</v>
      </c>
      <c r="AX1294" s="1"/>
      <c r="AY1294" s="1"/>
      <c r="AZ1294" s="1"/>
      <c r="BA1294" s="1"/>
      <c r="BB1294" s="1">
        <v>93</v>
      </c>
      <c r="BC1294" s="1">
        <v>98</v>
      </c>
      <c r="BD1294" s="1"/>
      <c r="BE1294" s="1" t="s">
        <v>8421</v>
      </c>
      <c r="BF1294" s="1" t="str">
        <f>HYPERLINK("http://dx.doi.org/10.25750/1995-4301-2018-4-093-098","http://dx.doi.org/10.25750/1995-4301-2018-4-093-098")</f>
        <v>http://dx.doi.org/10.25750/1995-4301-2018-4-093-098</v>
      </c>
      <c r="BG1294" s="1"/>
      <c r="BH1294" s="1"/>
      <c r="BI1294" s="1"/>
      <c r="BJ1294" s="1"/>
      <c r="BK1294" s="1"/>
      <c r="BL1294" s="1"/>
      <c r="BM1294" s="1"/>
      <c r="BN1294" s="1"/>
      <c r="BO1294" s="1"/>
      <c r="BP1294" s="1"/>
      <c r="BQ1294" s="1"/>
      <c r="BR1294" s="1"/>
      <c r="BS1294" s="1" t="s">
        <v>8422</v>
      </c>
      <c r="BT1294" s="1" t="str">
        <f>HYPERLINK("https%3A%2F%2Fwww.webofscience.com%2Fwos%2Fwoscc%2Ffull-record%2FWOS:000468565300012","View Full Record in Web of Science")</f>
        <v>View Full Record in Web of Science</v>
      </c>
      <c r="BU1294" s="1"/>
      <c r="BV1294" s="1"/>
      <c r="BW1294" s="1"/>
    </row>
    <row r="1295" spans="1:75" customHeight="1" ht="12.75">
      <c r="A1295" s="1" t="s">
        <v>72</v>
      </c>
      <c r="B1295" s="1" t="s">
        <v>8423</v>
      </c>
      <c r="C1295" s="1"/>
      <c r="D1295" s="1"/>
      <c r="E1295" s="1"/>
      <c r="F1295" s="1" t="s">
        <v>8424</v>
      </c>
      <c r="G1295" s="1"/>
      <c r="H1295" s="1"/>
      <c r="I1295" s="1" t="s">
        <v>8425</v>
      </c>
      <c r="J1295" s="1" t="s">
        <v>95</v>
      </c>
      <c r="K1295" s="1"/>
      <c r="L1295" s="1"/>
      <c r="M1295" s="1"/>
      <c r="N1295" s="1"/>
      <c r="O1295" s="1"/>
      <c r="P1295" s="1"/>
      <c r="Q1295" s="1"/>
      <c r="R1295" s="1"/>
      <c r="S1295" s="1"/>
      <c r="T1295" s="1"/>
      <c r="U1295" s="1"/>
      <c r="V1295" s="1"/>
      <c r="W1295" s="1"/>
      <c r="X1295" s="1"/>
      <c r="Y1295" s="1"/>
      <c r="Z1295" s="1"/>
      <c r="AA1295" s="1"/>
      <c r="AB1295" s="1"/>
      <c r="AC1295" s="1"/>
      <c r="AD1295" s="1"/>
      <c r="AE1295" s="1"/>
      <c r="AF1295" s="1"/>
      <c r="AG1295" s="1"/>
      <c r="AH1295" s="1"/>
      <c r="AI1295" s="1"/>
      <c r="AJ1295" s="1"/>
      <c r="AK1295" s="1"/>
      <c r="AL1295" s="1"/>
      <c r="AM1295" s="1"/>
      <c r="AN1295" s="1"/>
      <c r="AO1295" s="1" t="s">
        <v>98</v>
      </c>
      <c r="AP1295" s="1" t="s">
        <v>99</v>
      </c>
      <c r="AQ1295" s="1"/>
      <c r="AR1295" s="1"/>
      <c r="AS1295" s="1"/>
      <c r="AT1295" s="1"/>
      <c r="AU1295" s="1">
        <v>2022</v>
      </c>
      <c r="AV1295" s="1"/>
      <c r="AW1295" s="1">
        <v>4</v>
      </c>
      <c r="AX1295" s="1"/>
      <c r="AY1295" s="1"/>
      <c r="AZ1295" s="1"/>
      <c r="BA1295" s="1"/>
      <c r="BB1295" s="1">
        <v>159</v>
      </c>
      <c r="BC1295" s="1">
        <v>165</v>
      </c>
      <c r="BD1295" s="1"/>
      <c r="BE1295" s="1" t="s">
        <v>8426</v>
      </c>
      <c r="BF1295" s="1" t="str">
        <f>HYPERLINK("http://dx.doi.org/10.25750/1995-4301-2022-4-159-165","http://dx.doi.org/10.25750/1995-4301-2022-4-159-165")</f>
        <v>http://dx.doi.org/10.25750/1995-4301-2022-4-159-165</v>
      </c>
      <c r="BG1295" s="1"/>
      <c r="BH1295" s="1"/>
      <c r="BI1295" s="1"/>
      <c r="BJ1295" s="1"/>
      <c r="BK1295" s="1"/>
      <c r="BL1295" s="1"/>
      <c r="BM1295" s="1"/>
      <c r="BN1295" s="1"/>
      <c r="BO1295" s="1"/>
      <c r="BP1295" s="1"/>
      <c r="BQ1295" s="1"/>
      <c r="BR1295" s="1"/>
      <c r="BS1295" s="1" t="s">
        <v>8427</v>
      </c>
      <c r="BT1295" s="1" t="str">
        <f>HYPERLINK("https%3A%2F%2Fwww.webofscience.com%2Fwos%2Fwoscc%2Ffull-record%2FWOS:000929704700022","View Full Record in Web of Science")</f>
        <v>View Full Record in Web of Science</v>
      </c>
      <c r="BU1295" s="1"/>
      <c r="BV1295" s="1"/>
      <c r="BW1295" s="1"/>
    </row>
    <row r="1296" spans="1:75" customHeight="1" ht="12.75">
      <c r="A1296" s="1" t="s">
        <v>72</v>
      </c>
      <c r="B1296" s="1" t="s">
        <v>8428</v>
      </c>
      <c r="C1296" s="1"/>
      <c r="D1296" s="1"/>
      <c r="E1296" s="1"/>
      <c r="F1296" s="1" t="s">
        <v>8429</v>
      </c>
      <c r="G1296" s="1"/>
      <c r="H1296" s="1"/>
      <c r="I1296" s="1" t="s">
        <v>8430</v>
      </c>
      <c r="J1296" s="1" t="s">
        <v>95</v>
      </c>
      <c r="K1296" s="1"/>
      <c r="L1296" s="1"/>
      <c r="M1296" s="1"/>
      <c r="N1296" s="1"/>
      <c r="O1296" s="1"/>
      <c r="P1296" s="1"/>
      <c r="Q1296" s="1"/>
      <c r="R1296" s="1"/>
      <c r="S1296" s="1"/>
      <c r="T1296" s="1"/>
      <c r="U1296" s="1"/>
      <c r="V1296" s="1"/>
      <c r="W1296" s="1"/>
      <c r="X1296" s="1"/>
      <c r="Y1296" s="1"/>
      <c r="Z1296" s="1"/>
      <c r="AA1296" s="1" t="s">
        <v>8431</v>
      </c>
      <c r="AB1296" s="1" t="s">
        <v>8432</v>
      </c>
      <c r="AC1296" s="1"/>
      <c r="AD1296" s="1"/>
      <c r="AE1296" s="1"/>
      <c r="AF1296" s="1"/>
      <c r="AG1296" s="1"/>
      <c r="AH1296" s="1"/>
      <c r="AI1296" s="1"/>
      <c r="AJ1296" s="1"/>
      <c r="AK1296" s="1"/>
      <c r="AL1296" s="1"/>
      <c r="AM1296" s="1"/>
      <c r="AN1296" s="1"/>
      <c r="AO1296" s="1" t="s">
        <v>98</v>
      </c>
      <c r="AP1296" s="1" t="s">
        <v>99</v>
      </c>
      <c r="AQ1296" s="1"/>
      <c r="AR1296" s="1"/>
      <c r="AS1296" s="1"/>
      <c r="AT1296" s="1"/>
      <c r="AU1296" s="1">
        <v>2019</v>
      </c>
      <c r="AV1296" s="1"/>
      <c r="AW1296" s="1">
        <v>3</v>
      </c>
      <c r="AX1296" s="1"/>
      <c r="AY1296" s="1"/>
      <c r="AZ1296" s="1"/>
      <c r="BA1296" s="1"/>
      <c r="BB1296" s="1">
        <v>57</v>
      </c>
      <c r="BC1296" s="1">
        <v>65</v>
      </c>
      <c r="BD1296" s="1"/>
      <c r="BE1296" s="1" t="s">
        <v>8433</v>
      </c>
      <c r="BF1296" s="1" t="str">
        <f>HYPERLINK("http://dx.doi.org/10.25750/1995-4301-2019-3-057-065","http://dx.doi.org/10.25750/1995-4301-2019-3-057-065")</f>
        <v>http://dx.doi.org/10.25750/1995-4301-2019-3-057-065</v>
      </c>
      <c r="BG1296" s="1"/>
      <c r="BH1296" s="1"/>
      <c r="BI1296" s="1"/>
      <c r="BJ1296" s="1"/>
      <c r="BK1296" s="1"/>
      <c r="BL1296" s="1"/>
      <c r="BM1296" s="1"/>
      <c r="BN1296" s="1"/>
      <c r="BO1296" s="1"/>
      <c r="BP1296" s="1"/>
      <c r="BQ1296" s="1"/>
      <c r="BR1296" s="1"/>
      <c r="BS1296" s="1" t="s">
        <v>8434</v>
      </c>
      <c r="BT1296" s="1" t="str">
        <f>HYPERLINK("https%3A%2F%2Fwww.webofscience.com%2Fwos%2Fwoscc%2Ffull-record%2FWOS:000490704900008","View Full Record in Web of Science")</f>
        <v>View Full Record in Web of Science</v>
      </c>
      <c r="BU1296" s="1"/>
      <c r="BV1296" s="1"/>
      <c r="BW1296" s="1"/>
    </row>
    <row r="1297" spans="1:75" customHeight="1" ht="12.75">
      <c r="A1297" s="1" t="s">
        <v>72</v>
      </c>
      <c r="B1297" s="1" t="s">
        <v>8435</v>
      </c>
      <c r="C1297" s="1"/>
      <c r="D1297" s="1"/>
      <c r="E1297" s="1"/>
      <c r="F1297" s="1" t="s">
        <v>8436</v>
      </c>
      <c r="G1297" s="1"/>
      <c r="H1297" s="1"/>
      <c r="I1297" s="1" t="s">
        <v>8437</v>
      </c>
      <c r="J1297" s="1" t="s">
        <v>3610</v>
      </c>
      <c r="K1297" s="1"/>
      <c r="L1297" s="1"/>
      <c r="M1297" s="1"/>
      <c r="N1297" s="1"/>
      <c r="O1297" s="1"/>
      <c r="P1297" s="1"/>
      <c r="Q1297" s="1"/>
      <c r="R1297" s="1"/>
      <c r="S1297" s="1"/>
      <c r="T1297" s="1"/>
      <c r="U1297" s="1"/>
      <c r="V1297" s="1"/>
      <c r="W1297" s="1"/>
      <c r="X1297" s="1"/>
      <c r="Y1297" s="1"/>
      <c r="Z1297" s="1"/>
      <c r="AA1297" s="1" t="s">
        <v>5529</v>
      </c>
      <c r="AB1297" s="1" t="s">
        <v>5530</v>
      </c>
      <c r="AC1297" s="1"/>
      <c r="AD1297" s="1"/>
      <c r="AE1297" s="1"/>
      <c r="AF1297" s="1"/>
      <c r="AG1297" s="1"/>
      <c r="AH1297" s="1"/>
      <c r="AI1297" s="1"/>
      <c r="AJ1297" s="1"/>
      <c r="AK1297" s="1"/>
      <c r="AL1297" s="1"/>
      <c r="AM1297" s="1"/>
      <c r="AN1297" s="1"/>
      <c r="AO1297" s="1" t="s">
        <v>3613</v>
      </c>
      <c r="AP1297" s="1"/>
      <c r="AQ1297" s="1"/>
      <c r="AR1297" s="1"/>
      <c r="AS1297" s="1"/>
      <c r="AT1297" s="1" t="s">
        <v>655</v>
      </c>
      <c r="AU1297" s="1">
        <v>2013</v>
      </c>
      <c r="AV1297" s="1">
        <v>46</v>
      </c>
      <c r="AW1297" s="1">
        <v>2</v>
      </c>
      <c r="AX1297" s="1"/>
      <c r="AY1297" s="1"/>
      <c r="AZ1297" s="1"/>
      <c r="BA1297" s="1"/>
      <c r="BB1297" s="1">
        <v>168</v>
      </c>
      <c r="BC1297" s="1">
        <v>175</v>
      </c>
      <c r="BD1297" s="1"/>
      <c r="BE1297" s="1" t="s">
        <v>8438</v>
      </c>
      <c r="BF1297" s="1" t="str">
        <f>HYPERLINK("http://dx.doi.org/10.1134/S1064229313020026","http://dx.doi.org/10.1134/S1064229313020026")</f>
        <v>http://dx.doi.org/10.1134/S1064229313020026</v>
      </c>
      <c r="BG1297" s="1"/>
      <c r="BH1297" s="1"/>
      <c r="BI1297" s="1"/>
      <c r="BJ1297" s="1"/>
      <c r="BK1297" s="1"/>
      <c r="BL1297" s="1"/>
      <c r="BM1297" s="1"/>
      <c r="BN1297" s="1"/>
      <c r="BO1297" s="1"/>
      <c r="BP1297" s="1"/>
      <c r="BQ1297" s="1"/>
      <c r="BR1297" s="1"/>
      <c r="BS1297" s="1" t="s">
        <v>8439</v>
      </c>
      <c r="BT1297" s="1" t="str">
        <f>HYPERLINK("https%3A%2F%2Fwww.webofscience.com%2Fwos%2Fwoscc%2Ffull-record%2FWOS:000316826200008","View Full Record in Web of Science")</f>
        <v>View Full Record in Web of Science</v>
      </c>
      <c r="BU1297" s="1"/>
      <c r="BV1297" s="1"/>
      <c r="BW1297" s="1"/>
    </row>
    <row r="1298" spans="1:75" customHeight="1" ht="12.75">
      <c r="A1298" s="1" t="s">
        <v>72</v>
      </c>
      <c r="B1298" s="1" t="s">
        <v>8440</v>
      </c>
      <c r="C1298" s="1"/>
      <c r="D1298" s="1"/>
      <c r="E1298" s="1"/>
      <c r="F1298" s="1" t="s">
        <v>8441</v>
      </c>
      <c r="G1298" s="1"/>
      <c r="H1298" s="1"/>
      <c r="I1298" s="1" t="s">
        <v>8442</v>
      </c>
      <c r="J1298" s="1" t="s">
        <v>5436</v>
      </c>
      <c r="K1298" s="1"/>
      <c r="L1298" s="1"/>
      <c r="M1298" s="1"/>
      <c r="N1298" s="1"/>
      <c r="O1298" s="1"/>
      <c r="P1298" s="1"/>
      <c r="Q1298" s="1"/>
      <c r="R1298" s="1"/>
      <c r="S1298" s="1"/>
      <c r="T1298" s="1"/>
      <c r="U1298" s="1"/>
      <c r="V1298" s="1"/>
      <c r="W1298" s="1"/>
      <c r="X1298" s="1"/>
      <c r="Y1298" s="1"/>
      <c r="Z1298" s="1"/>
      <c r="AA1298" s="1" t="s">
        <v>8443</v>
      </c>
      <c r="AB1298" s="1" t="s">
        <v>8444</v>
      </c>
      <c r="AC1298" s="1"/>
      <c r="AD1298" s="1"/>
      <c r="AE1298" s="1"/>
      <c r="AF1298" s="1"/>
      <c r="AG1298" s="1"/>
      <c r="AH1298" s="1"/>
      <c r="AI1298" s="1"/>
      <c r="AJ1298" s="1"/>
      <c r="AK1298" s="1"/>
      <c r="AL1298" s="1"/>
      <c r="AM1298" s="1"/>
      <c r="AN1298" s="1"/>
      <c r="AO1298" s="1" t="s">
        <v>5439</v>
      </c>
      <c r="AP1298" s="1" t="s">
        <v>5440</v>
      </c>
      <c r="AQ1298" s="1"/>
      <c r="AR1298" s="1"/>
      <c r="AS1298" s="1"/>
      <c r="AT1298" s="1" t="s">
        <v>88</v>
      </c>
      <c r="AU1298" s="1">
        <v>2014</v>
      </c>
      <c r="AV1298" s="1">
        <v>50</v>
      </c>
      <c r="AW1298" s="1">
        <v>2</v>
      </c>
      <c r="AX1298" s="1"/>
      <c r="AY1298" s="1"/>
      <c r="AZ1298" s="1"/>
      <c r="BA1298" s="1"/>
      <c r="BB1298" s="1">
        <v>213</v>
      </c>
      <c r="BC1298" s="1">
        <v>222</v>
      </c>
      <c r="BD1298" s="1"/>
      <c r="BE1298" s="1" t="s">
        <v>8445</v>
      </c>
      <c r="BF1298" s="1" t="str">
        <f>HYPERLINK("http://dx.doi.org/10.1007/s11029-014-9408-0","http://dx.doi.org/10.1007/s11029-014-9408-0")</f>
        <v>http://dx.doi.org/10.1007/s11029-014-9408-0</v>
      </c>
      <c r="BG1298" s="1"/>
      <c r="BH1298" s="1"/>
      <c r="BI1298" s="1"/>
      <c r="BJ1298" s="1"/>
      <c r="BK1298" s="1"/>
      <c r="BL1298" s="1"/>
      <c r="BM1298" s="1"/>
      <c r="BN1298" s="1"/>
      <c r="BO1298" s="1"/>
      <c r="BP1298" s="1"/>
      <c r="BQ1298" s="1"/>
      <c r="BR1298" s="1"/>
      <c r="BS1298" s="1" t="s">
        <v>8446</v>
      </c>
      <c r="BT1298" s="1" t="str">
        <f>HYPERLINK("https%3A%2F%2Fwww.webofscience.com%2Fwos%2Fwoscc%2Ffull-record%2FWOS:000336390500009","View Full Record in Web of Science")</f>
        <v>View Full Record in Web of Science</v>
      </c>
      <c r="BU1298" s="1"/>
      <c r="BV1298" s="1"/>
      <c r="BW1298" s="1"/>
    </row>
    <row r="1299" spans="1:75" customHeight="1" ht="12.75">
      <c r="A1299" s="1" t="s">
        <v>72</v>
      </c>
      <c r="B1299" s="1" t="s">
        <v>8447</v>
      </c>
      <c r="C1299" s="1"/>
      <c r="D1299" s="1"/>
      <c r="E1299" s="1"/>
      <c r="F1299" s="1" t="s">
        <v>8448</v>
      </c>
      <c r="G1299" s="1"/>
      <c r="H1299" s="1"/>
      <c r="I1299" s="1" t="s">
        <v>8449</v>
      </c>
      <c r="J1299" s="1" t="s">
        <v>8450</v>
      </c>
      <c r="K1299" s="1"/>
      <c r="L1299" s="1"/>
      <c r="M1299" s="1"/>
      <c r="N1299" s="1"/>
      <c r="O1299" s="1"/>
      <c r="P1299" s="1"/>
      <c r="Q1299" s="1"/>
      <c r="R1299" s="1"/>
      <c r="S1299" s="1"/>
      <c r="T1299" s="1"/>
      <c r="U1299" s="1"/>
      <c r="V1299" s="1"/>
      <c r="W1299" s="1"/>
      <c r="X1299" s="1"/>
      <c r="Y1299" s="1"/>
      <c r="Z1299" s="1"/>
      <c r="AA1299" s="1"/>
      <c r="AB1299" s="1"/>
      <c r="AC1299" s="1"/>
      <c r="AD1299" s="1"/>
      <c r="AE1299" s="1"/>
      <c r="AF1299" s="1"/>
      <c r="AG1299" s="1"/>
      <c r="AH1299" s="1"/>
      <c r="AI1299" s="1"/>
      <c r="AJ1299" s="1"/>
      <c r="AK1299" s="1"/>
      <c r="AL1299" s="1"/>
      <c r="AM1299" s="1"/>
      <c r="AN1299" s="1"/>
      <c r="AO1299" s="1"/>
      <c r="AP1299" s="1" t="s">
        <v>8451</v>
      </c>
      <c r="AQ1299" s="1"/>
      <c r="AR1299" s="1"/>
      <c r="AS1299" s="1"/>
      <c r="AT1299" s="1" t="s">
        <v>8452</v>
      </c>
      <c r="AU1299" s="1">
        <v>2022</v>
      </c>
      <c r="AV1299" s="1">
        <v>7</v>
      </c>
      <c r="AW1299" s="1"/>
      <c r="AX1299" s="1"/>
      <c r="AY1299" s="1"/>
      <c r="AZ1299" s="1"/>
      <c r="BA1299" s="1"/>
      <c r="BB1299" s="1"/>
      <c r="BC1299" s="1"/>
      <c r="BD1299" s="1">
        <v>1016919</v>
      </c>
      <c r="BE1299" s="1" t="s">
        <v>8453</v>
      </c>
      <c r="BF1299" s="1" t="str">
        <f>HYPERLINK("http://dx.doi.org/10.3389/feduc.2022.1016919","http://dx.doi.org/10.3389/feduc.2022.1016919")</f>
        <v>http://dx.doi.org/10.3389/feduc.2022.1016919</v>
      </c>
      <c r="BG1299" s="1"/>
      <c r="BH1299" s="1"/>
      <c r="BI1299" s="1"/>
      <c r="BJ1299" s="1"/>
      <c r="BK1299" s="1"/>
      <c r="BL1299" s="1"/>
      <c r="BM1299" s="1"/>
      <c r="BN1299" s="1"/>
      <c r="BO1299" s="1"/>
      <c r="BP1299" s="1"/>
      <c r="BQ1299" s="1"/>
      <c r="BR1299" s="1"/>
      <c r="BS1299" s="1" t="s">
        <v>8454</v>
      </c>
      <c r="BT1299" s="1" t="str">
        <f>HYPERLINK("https%3A%2F%2Fwww.webofscience.com%2Fwos%2Fwoscc%2Ffull-record%2FWOS:000890601600001","View Full Record in Web of Science")</f>
        <v>View Full Record in Web of Science</v>
      </c>
      <c r="BU1299" s="1"/>
      <c r="BV1299" s="1"/>
      <c r="BW1299" s="1"/>
    </row>
    <row r="1300" spans="1:75" customHeight="1" ht="12.75">
      <c r="A1300" s="1" t="s">
        <v>72</v>
      </c>
      <c r="B1300" s="1" t="s">
        <v>8455</v>
      </c>
      <c r="C1300" s="1"/>
      <c r="D1300" s="1"/>
      <c r="E1300" s="1"/>
      <c r="F1300" s="1" t="s">
        <v>8456</v>
      </c>
      <c r="G1300" s="1"/>
      <c r="H1300" s="1"/>
      <c r="I1300" s="1" t="s">
        <v>8457</v>
      </c>
      <c r="J1300" s="1" t="s">
        <v>95</v>
      </c>
      <c r="K1300" s="1"/>
      <c r="L1300" s="1"/>
      <c r="M1300" s="1"/>
      <c r="N1300" s="1"/>
      <c r="O1300" s="1"/>
      <c r="P1300" s="1"/>
      <c r="Q1300" s="1"/>
      <c r="R1300" s="1"/>
      <c r="S1300" s="1"/>
      <c r="T1300" s="1"/>
      <c r="U1300" s="1"/>
      <c r="V1300" s="1"/>
      <c r="W1300" s="1"/>
      <c r="X1300" s="1"/>
      <c r="Y1300" s="1"/>
      <c r="Z1300" s="1"/>
      <c r="AA1300" s="1" t="s">
        <v>8375</v>
      </c>
      <c r="AB1300" s="1" t="s">
        <v>8458</v>
      </c>
      <c r="AC1300" s="1"/>
      <c r="AD1300" s="1"/>
      <c r="AE1300" s="1"/>
      <c r="AF1300" s="1"/>
      <c r="AG1300" s="1"/>
      <c r="AH1300" s="1"/>
      <c r="AI1300" s="1"/>
      <c r="AJ1300" s="1"/>
      <c r="AK1300" s="1"/>
      <c r="AL1300" s="1"/>
      <c r="AM1300" s="1"/>
      <c r="AN1300" s="1"/>
      <c r="AO1300" s="1" t="s">
        <v>98</v>
      </c>
      <c r="AP1300" s="1" t="s">
        <v>99</v>
      </c>
      <c r="AQ1300" s="1"/>
      <c r="AR1300" s="1"/>
      <c r="AS1300" s="1"/>
      <c r="AT1300" s="1"/>
      <c r="AU1300" s="1">
        <v>2021</v>
      </c>
      <c r="AV1300" s="1"/>
      <c r="AW1300" s="1">
        <v>1</v>
      </c>
      <c r="AX1300" s="1"/>
      <c r="AY1300" s="1"/>
      <c r="AZ1300" s="1"/>
      <c r="BA1300" s="1"/>
      <c r="BB1300" s="1">
        <v>6</v>
      </c>
      <c r="BC1300" s="1">
        <v>15</v>
      </c>
      <c r="BD1300" s="1"/>
      <c r="BE1300" s="1" t="s">
        <v>8459</v>
      </c>
      <c r="BF1300" s="1" t="str">
        <f>HYPERLINK("http://dx.doi.org/10.25750/1995-4301-2021-1-006-015","http://dx.doi.org/10.25750/1995-4301-2021-1-006-015")</f>
        <v>http://dx.doi.org/10.25750/1995-4301-2021-1-006-015</v>
      </c>
      <c r="BG1300" s="1"/>
      <c r="BH1300" s="1"/>
      <c r="BI1300" s="1"/>
      <c r="BJ1300" s="1"/>
      <c r="BK1300" s="1"/>
      <c r="BL1300" s="1"/>
      <c r="BM1300" s="1"/>
      <c r="BN1300" s="1"/>
      <c r="BO1300" s="1"/>
      <c r="BP1300" s="1"/>
      <c r="BQ1300" s="1"/>
      <c r="BR1300" s="1"/>
      <c r="BS1300" s="1" t="s">
        <v>8460</v>
      </c>
      <c r="BT1300" s="1" t="str">
        <f>HYPERLINK("https%3A%2F%2Fwww.webofscience.com%2Fwos%2Fwoscc%2Ffull-record%2FWOS:000632219100001","View Full Record in Web of Science")</f>
        <v>View Full Record in Web of Science</v>
      </c>
      <c r="BU1300" s="1"/>
      <c r="BV1300" s="1"/>
      <c r="BW1300" s="1"/>
    </row>
    <row r="1301" spans="1:75" customHeight="1" ht="12.75">
      <c r="A1301" s="1" t="s">
        <v>72</v>
      </c>
      <c r="B1301" s="1" t="s">
        <v>8461</v>
      </c>
      <c r="C1301" s="1"/>
      <c r="D1301" s="1"/>
      <c r="E1301" s="1"/>
      <c r="F1301" s="1" t="s">
        <v>8462</v>
      </c>
      <c r="G1301" s="1"/>
      <c r="H1301" s="1"/>
      <c r="I1301" s="1" t="s">
        <v>8463</v>
      </c>
      <c r="J1301" s="1" t="s">
        <v>95</v>
      </c>
      <c r="K1301" s="1"/>
      <c r="L1301" s="1"/>
      <c r="M1301" s="1"/>
      <c r="N1301" s="1"/>
      <c r="O1301" s="1"/>
      <c r="P1301" s="1"/>
      <c r="Q1301" s="1"/>
      <c r="R1301" s="1"/>
      <c r="S1301" s="1"/>
      <c r="T1301" s="1"/>
      <c r="U1301" s="1"/>
      <c r="V1301" s="1"/>
      <c r="W1301" s="1"/>
      <c r="X1301" s="1"/>
      <c r="Y1301" s="1"/>
      <c r="Z1301" s="1"/>
      <c r="AA1301" s="1" t="s">
        <v>5529</v>
      </c>
      <c r="AB1301" s="1" t="s">
        <v>5530</v>
      </c>
      <c r="AC1301" s="1"/>
      <c r="AD1301" s="1"/>
      <c r="AE1301" s="1"/>
      <c r="AF1301" s="1"/>
      <c r="AG1301" s="1"/>
      <c r="AH1301" s="1"/>
      <c r="AI1301" s="1"/>
      <c r="AJ1301" s="1"/>
      <c r="AK1301" s="1"/>
      <c r="AL1301" s="1"/>
      <c r="AM1301" s="1"/>
      <c r="AN1301" s="1"/>
      <c r="AO1301" s="1" t="s">
        <v>98</v>
      </c>
      <c r="AP1301" s="1" t="s">
        <v>99</v>
      </c>
      <c r="AQ1301" s="1"/>
      <c r="AR1301" s="1"/>
      <c r="AS1301" s="1"/>
      <c r="AT1301" s="1"/>
      <c r="AU1301" s="1">
        <v>2018</v>
      </c>
      <c r="AV1301" s="1"/>
      <c r="AW1301" s="1">
        <v>3</v>
      </c>
      <c r="AX1301" s="1"/>
      <c r="AY1301" s="1"/>
      <c r="AZ1301" s="1"/>
      <c r="BA1301" s="1"/>
      <c r="BB1301" s="1">
        <v>78</v>
      </c>
      <c r="BC1301" s="1">
        <v>85</v>
      </c>
      <c r="BD1301" s="1"/>
      <c r="BE1301" s="1" t="s">
        <v>8464</v>
      </c>
      <c r="BF1301" s="1" t="str">
        <f>HYPERLINK("http://dx.doi.org/10.25750/1995-4301-2018-3-078-085","http://dx.doi.org/10.25750/1995-4301-2018-3-078-085")</f>
        <v>http://dx.doi.org/10.25750/1995-4301-2018-3-078-085</v>
      </c>
      <c r="BG1301" s="1"/>
      <c r="BH1301" s="1"/>
      <c r="BI1301" s="1"/>
      <c r="BJ1301" s="1"/>
      <c r="BK1301" s="1"/>
      <c r="BL1301" s="1"/>
      <c r="BM1301" s="1"/>
      <c r="BN1301" s="1"/>
      <c r="BO1301" s="1"/>
      <c r="BP1301" s="1"/>
      <c r="BQ1301" s="1"/>
      <c r="BR1301" s="1"/>
      <c r="BS1301" s="1" t="s">
        <v>8465</v>
      </c>
      <c r="BT1301" s="1" t="str">
        <f>HYPERLINK("https%3A%2F%2Fwww.webofscience.com%2Fwos%2Fwoscc%2Ffull-record%2FWOS:000468564900011","View Full Record in Web of Science")</f>
        <v>View Full Record in Web of Science</v>
      </c>
      <c r="BU1301" s="1"/>
      <c r="BV1301" s="1"/>
      <c r="BW1301" s="1"/>
    </row>
    <row r="1302" spans="1:75" customHeight="1" ht="12.75">
      <c r="A1302" s="1" t="s">
        <v>72</v>
      </c>
      <c r="B1302" s="1" t="s">
        <v>8403</v>
      </c>
      <c r="C1302" s="1"/>
      <c r="D1302" s="1"/>
      <c r="E1302" s="1"/>
      <c r="F1302" s="1" t="s">
        <v>8466</v>
      </c>
      <c r="G1302" s="1"/>
      <c r="H1302" s="1"/>
      <c r="I1302" s="1" t="s">
        <v>8467</v>
      </c>
      <c r="J1302" s="1" t="s">
        <v>166</v>
      </c>
      <c r="K1302" s="1"/>
      <c r="L1302" s="1"/>
      <c r="M1302" s="1"/>
      <c r="N1302" s="1"/>
      <c r="O1302" s="1"/>
      <c r="P1302" s="1"/>
      <c r="Q1302" s="1"/>
      <c r="R1302" s="1"/>
      <c r="S1302" s="1"/>
      <c r="T1302" s="1"/>
      <c r="U1302" s="1"/>
      <c r="V1302" s="1"/>
      <c r="W1302" s="1"/>
      <c r="X1302" s="1"/>
      <c r="Y1302" s="1"/>
      <c r="Z1302" s="1"/>
      <c r="AA1302" s="1"/>
      <c r="AB1302" s="1" t="s">
        <v>6516</v>
      </c>
      <c r="AC1302" s="1"/>
      <c r="AD1302" s="1"/>
      <c r="AE1302" s="1"/>
      <c r="AF1302" s="1"/>
      <c r="AG1302" s="1"/>
      <c r="AH1302" s="1"/>
      <c r="AI1302" s="1"/>
      <c r="AJ1302" s="1"/>
      <c r="AK1302" s="1"/>
      <c r="AL1302" s="1"/>
      <c r="AM1302" s="1"/>
      <c r="AN1302" s="1"/>
      <c r="AO1302" s="1" t="s">
        <v>169</v>
      </c>
      <c r="AP1302" s="1" t="s">
        <v>170</v>
      </c>
      <c r="AQ1302" s="1"/>
      <c r="AR1302" s="1"/>
      <c r="AS1302" s="1"/>
      <c r="AT1302" s="1" t="s">
        <v>491</v>
      </c>
      <c r="AU1302" s="1">
        <v>2022</v>
      </c>
      <c r="AV1302" s="1">
        <v>11</v>
      </c>
      <c r="AW1302" s="1">
        <v>2</v>
      </c>
      <c r="AX1302" s="1"/>
      <c r="AY1302" s="1"/>
      <c r="AZ1302" s="1"/>
      <c r="BA1302" s="1"/>
      <c r="BB1302" s="1">
        <v>526</v>
      </c>
      <c r="BC1302" s="1">
        <v>541</v>
      </c>
      <c r="BD1302" s="1"/>
      <c r="BE1302" s="1" t="s">
        <v>8468</v>
      </c>
      <c r="BF1302" s="1" t="str">
        <f>HYPERLINK("http://dx.doi.org/10.13187/ejced.2022.2.526","http://dx.doi.org/10.13187/ejced.2022.2.526")</f>
        <v>http://dx.doi.org/10.13187/ejced.2022.2.526</v>
      </c>
      <c r="BG1302" s="1"/>
      <c r="BH1302" s="1"/>
      <c r="BI1302" s="1"/>
      <c r="BJ1302" s="1"/>
      <c r="BK1302" s="1"/>
      <c r="BL1302" s="1"/>
      <c r="BM1302" s="1"/>
      <c r="BN1302" s="1"/>
      <c r="BO1302" s="1"/>
      <c r="BP1302" s="1"/>
      <c r="BQ1302" s="1"/>
      <c r="BR1302" s="1"/>
      <c r="BS1302" s="1" t="s">
        <v>8469</v>
      </c>
      <c r="BT1302" s="1" t="str">
        <f>HYPERLINK("https%3A%2F%2Fwww.webofscience.com%2Fwos%2Fwoscc%2Ffull-record%2FWOS:000823569900017","View Full Record in Web of Science")</f>
        <v>View Full Record in Web of Science</v>
      </c>
      <c r="BU1302" s="1"/>
      <c r="BV1302" s="1"/>
      <c r="BW1302" s="1"/>
    </row>
    <row r="1303" spans="1:75" customHeight="1" ht="12.75">
      <c r="A1303" s="1" t="s">
        <v>72</v>
      </c>
      <c r="B1303" s="1" t="s">
        <v>8470</v>
      </c>
      <c r="C1303" s="1"/>
      <c r="D1303" s="1"/>
      <c r="E1303" s="1"/>
      <c r="F1303" s="1" t="s">
        <v>8471</v>
      </c>
      <c r="G1303" s="1"/>
      <c r="H1303" s="1"/>
      <c r="I1303" s="1" t="s">
        <v>8472</v>
      </c>
      <c r="J1303" s="1" t="s">
        <v>8302</v>
      </c>
      <c r="K1303" s="1"/>
      <c r="L1303" s="1"/>
      <c r="M1303" s="1"/>
      <c r="N1303" s="1"/>
      <c r="O1303" s="1"/>
      <c r="P1303" s="1"/>
      <c r="Q1303" s="1"/>
      <c r="R1303" s="1"/>
      <c r="S1303" s="1"/>
      <c r="T1303" s="1"/>
      <c r="U1303" s="1"/>
      <c r="V1303" s="1"/>
      <c r="W1303" s="1"/>
      <c r="X1303" s="1"/>
      <c r="Y1303" s="1"/>
      <c r="Z1303" s="1"/>
      <c r="AA1303" s="1" t="s">
        <v>8473</v>
      </c>
      <c r="AB1303" s="1" t="s">
        <v>8474</v>
      </c>
      <c r="AC1303" s="1"/>
      <c r="AD1303" s="1"/>
      <c r="AE1303" s="1"/>
      <c r="AF1303" s="1"/>
      <c r="AG1303" s="1"/>
      <c r="AH1303" s="1"/>
      <c r="AI1303" s="1"/>
      <c r="AJ1303" s="1"/>
      <c r="AK1303" s="1"/>
      <c r="AL1303" s="1"/>
      <c r="AM1303" s="1"/>
      <c r="AN1303" s="1"/>
      <c r="AO1303" s="1" t="s">
        <v>8305</v>
      </c>
      <c r="AP1303" s="1" t="s">
        <v>8306</v>
      </c>
      <c r="AQ1303" s="1"/>
      <c r="AR1303" s="1"/>
      <c r="AS1303" s="1"/>
      <c r="AT1303" s="1" t="s">
        <v>171</v>
      </c>
      <c r="AU1303" s="1">
        <v>2017</v>
      </c>
      <c r="AV1303" s="1">
        <v>21</v>
      </c>
      <c r="AW1303" s="1">
        <v>3</v>
      </c>
      <c r="AX1303" s="1"/>
      <c r="AY1303" s="1"/>
      <c r="AZ1303" s="1"/>
      <c r="BA1303" s="1"/>
      <c r="BB1303" s="1">
        <v>683</v>
      </c>
      <c r="BC1303" s="1">
        <v>691</v>
      </c>
      <c r="BD1303" s="1"/>
      <c r="BE1303" s="1" t="s">
        <v>8475</v>
      </c>
      <c r="BF1303" s="1" t="str">
        <f>HYPERLINK("http://dx.doi.org/10.1007/s10008-016-3405-2","http://dx.doi.org/10.1007/s10008-016-3405-2")</f>
        <v>http://dx.doi.org/10.1007/s10008-016-3405-2</v>
      </c>
      <c r="BG1303" s="1"/>
      <c r="BH1303" s="1"/>
      <c r="BI1303" s="1"/>
      <c r="BJ1303" s="1"/>
      <c r="BK1303" s="1"/>
      <c r="BL1303" s="1"/>
      <c r="BM1303" s="1"/>
      <c r="BN1303" s="1"/>
      <c r="BO1303" s="1"/>
      <c r="BP1303" s="1"/>
      <c r="BQ1303" s="1"/>
      <c r="BR1303" s="1"/>
      <c r="BS1303" s="1" t="s">
        <v>8476</v>
      </c>
      <c r="BT1303" s="1" t="str">
        <f>HYPERLINK("https%3A%2F%2Fwww.webofscience.com%2Fwos%2Fwoscc%2Ffull-record%2FWOS:000394379600007","View Full Record in Web of Science")</f>
        <v>View Full Record in Web of Science</v>
      </c>
      <c r="BU1303" s="1"/>
      <c r="BV1303" s="1"/>
      <c r="BW1303" s="1"/>
    </row>
    <row r="1304" spans="1:75" customHeight="1" ht="12.75">
      <c r="A1304" s="1" t="s">
        <v>72</v>
      </c>
      <c r="B1304" s="1" t="s">
        <v>8477</v>
      </c>
      <c r="C1304" s="1"/>
      <c r="D1304" s="1"/>
      <c r="E1304" s="1"/>
      <c r="F1304" s="1" t="s">
        <v>8478</v>
      </c>
      <c r="G1304" s="1"/>
      <c r="H1304" s="1"/>
      <c r="I1304" s="1" t="s">
        <v>8479</v>
      </c>
      <c r="J1304" s="1" t="s">
        <v>8480</v>
      </c>
      <c r="K1304" s="1"/>
      <c r="L1304" s="1"/>
      <c r="M1304" s="1"/>
      <c r="N1304" s="1"/>
      <c r="O1304" s="1"/>
      <c r="P1304" s="1"/>
      <c r="Q1304" s="1"/>
      <c r="R1304" s="1"/>
      <c r="S1304" s="1"/>
      <c r="T1304" s="1"/>
      <c r="U1304" s="1"/>
      <c r="V1304" s="1"/>
      <c r="W1304" s="1"/>
      <c r="X1304" s="1"/>
      <c r="Y1304" s="1"/>
      <c r="Z1304" s="1"/>
      <c r="AA1304" s="1" t="s">
        <v>8481</v>
      </c>
      <c r="AB1304" s="1" t="s">
        <v>8482</v>
      </c>
      <c r="AC1304" s="1"/>
      <c r="AD1304" s="1"/>
      <c r="AE1304" s="1"/>
      <c r="AF1304" s="1"/>
      <c r="AG1304" s="1"/>
      <c r="AH1304" s="1"/>
      <c r="AI1304" s="1"/>
      <c r="AJ1304" s="1"/>
      <c r="AK1304" s="1"/>
      <c r="AL1304" s="1"/>
      <c r="AM1304" s="1"/>
      <c r="AN1304" s="1"/>
      <c r="AO1304" s="1" t="s">
        <v>8483</v>
      </c>
      <c r="AP1304" s="1" t="s">
        <v>8484</v>
      </c>
      <c r="AQ1304" s="1"/>
      <c r="AR1304" s="1"/>
      <c r="AS1304" s="1"/>
      <c r="AT1304" s="1" t="s">
        <v>8485</v>
      </c>
      <c r="AU1304" s="1">
        <v>2020</v>
      </c>
      <c r="AV1304" s="1">
        <v>99</v>
      </c>
      <c r="AW1304" s="1"/>
      <c r="AX1304" s="1"/>
      <c r="AY1304" s="1"/>
      <c r="AZ1304" s="1"/>
      <c r="BA1304" s="1"/>
      <c r="BB1304" s="1"/>
      <c r="BC1304" s="1"/>
      <c r="BD1304" s="1">
        <v>109504</v>
      </c>
      <c r="BE1304" s="1" t="s">
        <v>8486</v>
      </c>
      <c r="BF1304" s="1" t="str">
        <f>HYPERLINK("http://dx.doi.org/10.1016/j.jbiomech.2019.109504","http://dx.doi.org/10.1016/j.jbiomech.2019.109504")</f>
        <v>http://dx.doi.org/10.1016/j.jbiomech.2019.109504</v>
      </c>
      <c r="BG1304" s="1"/>
      <c r="BH1304" s="1"/>
      <c r="BI1304" s="1"/>
      <c r="BJ1304" s="1"/>
      <c r="BK1304" s="1"/>
      <c r="BL1304" s="1"/>
      <c r="BM1304" s="1"/>
      <c r="BN1304" s="1">
        <v>31753213</v>
      </c>
      <c r="BO1304" s="1"/>
      <c r="BP1304" s="1"/>
      <c r="BQ1304" s="1"/>
      <c r="BR1304" s="1"/>
      <c r="BS1304" s="1" t="s">
        <v>8487</v>
      </c>
      <c r="BT1304" s="1" t="str">
        <f>HYPERLINK("https%3A%2F%2Fwww.webofscience.com%2Fwos%2Fwoscc%2Ffull-record%2FWOS:000513294600016","View Full Record in Web of Science")</f>
        <v>View Full Record in Web of Science</v>
      </c>
      <c r="BU1304" s="1"/>
      <c r="BV1304" s="1"/>
      <c r="BW1304" s="1"/>
    </row>
    <row r="1305" spans="1:75" customHeight="1" ht="12.75">
      <c r="A1305" s="1" t="s">
        <v>72</v>
      </c>
      <c r="B1305" s="1" t="s">
        <v>8488</v>
      </c>
      <c r="C1305" s="1"/>
      <c r="D1305" s="1"/>
      <c r="E1305" s="1"/>
      <c r="F1305" s="1" t="s">
        <v>8489</v>
      </c>
      <c r="G1305" s="1"/>
      <c r="H1305" s="1"/>
      <c r="I1305" s="1" t="s">
        <v>8490</v>
      </c>
      <c r="J1305" s="1" t="s">
        <v>131</v>
      </c>
      <c r="K1305" s="1"/>
      <c r="L1305" s="1"/>
      <c r="M1305" s="1"/>
      <c r="N1305" s="1"/>
      <c r="O1305" s="1"/>
      <c r="P1305" s="1"/>
      <c r="Q1305" s="1"/>
      <c r="R1305" s="1"/>
      <c r="S1305" s="1"/>
      <c r="T1305" s="1"/>
      <c r="U1305" s="1"/>
      <c r="V1305" s="1"/>
      <c r="W1305" s="1"/>
      <c r="X1305" s="1"/>
      <c r="Y1305" s="1"/>
      <c r="Z1305" s="1"/>
      <c r="AA1305" s="1" t="s">
        <v>8491</v>
      </c>
      <c r="AB1305" s="1" t="s">
        <v>8492</v>
      </c>
      <c r="AC1305" s="1"/>
      <c r="AD1305" s="1"/>
      <c r="AE1305" s="1"/>
      <c r="AF1305" s="1"/>
      <c r="AG1305" s="1"/>
      <c r="AH1305" s="1"/>
      <c r="AI1305" s="1"/>
      <c r="AJ1305" s="1"/>
      <c r="AK1305" s="1"/>
      <c r="AL1305" s="1"/>
      <c r="AM1305" s="1"/>
      <c r="AN1305" s="1"/>
      <c r="AO1305" s="1" t="s">
        <v>134</v>
      </c>
      <c r="AP1305" s="1" t="s">
        <v>135</v>
      </c>
      <c r="AQ1305" s="1"/>
      <c r="AR1305" s="1"/>
      <c r="AS1305" s="1"/>
      <c r="AT1305" s="1"/>
      <c r="AU1305" s="1">
        <v>2020</v>
      </c>
      <c r="AV1305" s="1">
        <v>20</v>
      </c>
      <c r="AW1305" s="1"/>
      <c r="AX1305" s="1"/>
      <c r="AY1305" s="1">
        <v>1</v>
      </c>
      <c r="AZ1305" s="1"/>
      <c r="BA1305" s="1"/>
      <c r="BB1305" s="1">
        <v>109</v>
      </c>
      <c r="BC1305" s="1">
        <v>115</v>
      </c>
      <c r="BD1305" s="1"/>
      <c r="BE1305" s="1" t="s">
        <v>8493</v>
      </c>
      <c r="BF1305" s="1" t="str">
        <f>HYPERLINK("http://dx.doi.org/10.14529/hsm20s114","http://dx.doi.org/10.14529/hsm20s114")</f>
        <v>http://dx.doi.org/10.14529/hsm20s114</v>
      </c>
      <c r="BG1305" s="1"/>
      <c r="BH1305" s="1"/>
      <c r="BI1305" s="1"/>
      <c r="BJ1305" s="1"/>
      <c r="BK1305" s="1"/>
      <c r="BL1305" s="1"/>
      <c r="BM1305" s="1"/>
      <c r="BN1305" s="1"/>
      <c r="BO1305" s="1"/>
      <c r="BP1305" s="1"/>
      <c r="BQ1305" s="1"/>
      <c r="BR1305" s="1"/>
      <c r="BS1305" s="1" t="s">
        <v>8494</v>
      </c>
      <c r="BT1305" s="1" t="str">
        <f>HYPERLINK("https%3A%2F%2Fwww.webofscience.com%2Fwos%2Fwoscc%2Ffull-record%2FWOS:000581820600014","View Full Record in Web of Science")</f>
        <v>View Full Record in Web of Science</v>
      </c>
      <c r="BU1305" s="1"/>
      <c r="BV1305" s="1"/>
      <c r="BW1305" s="1"/>
    </row>
    <row r="1306" spans="1:75" customHeight="1" ht="12.75">
      <c r="A1306" s="1" t="s">
        <v>72</v>
      </c>
      <c r="B1306" s="1" t="s">
        <v>8495</v>
      </c>
      <c r="C1306" s="1"/>
      <c r="D1306" s="1"/>
      <c r="E1306" s="1"/>
      <c r="F1306" s="1" t="s">
        <v>8496</v>
      </c>
      <c r="G1306" s="1"/>
      <c r="H1306" s="1"/>
      <c r="I1306" s="1" t="s">
        <v>8497</v>
      </c>
      <c r="J1306" s="1" t="s">
        <v>8498</v>
      </c>
      <c r="K1306" s="1"/>
      <c r="L1306" s="1"/>
      <c r="M1306" s="1"/>
      <c r="N1306" s="1"/>
      <c r="O1306" s="1"/>
      <c r="P1306" s="1"/>
      <c r="Q1306" s="1"/>
      <c r="R1306" s="1"/>
      <c r="S1306" s="1"/>
      <c r="T1306" s="1"/>
      <c r="U1306" s="1"/>
      <c r="V1306" s="1"/>
      <c r="W1306" s="1"/>
      <c r="X1306" s="1"/>
      <c r="Y1306" s="1"/>
      <c r="Z1306" s="1"/>
      <c r="AA1306" s="1" t="s">
        <v>6729</v>
      </c>
      <c r="AB1306" s="1" t="s">
        <v>8499</v>
      </c>
      <c r="AC1306" s="1"/>
      <c r="AD1306" s="1"/>
      <c r="AE1306" s="1"/>
      <c r="AF1306" s="1"/>
      <c r="AG1306" s="1"/>
      <c r="AH1306" s="1"/>
      <c r="AI1306" s="1"/>
      <c r="AJ1306" s="1"/>
      <c r="AK1306" s="1"/>
      <c r="AL1306" s="1"/>
      <c r="AM1306" s="1"/>
      <c r="AN1306" s="1"/>
      <c r="AO1306" s="1" t="s">
        <v>8500</v>
      </c>
      <c r="AP1306" s="1" t="s">
        <v>8501</v>
      </c>
      <c r="AQ1306" s="1"/>
      <c r="AR1306" s="1"/>
      <c r="AS1306" s="1"/>
      <c r="AT1306" s="1"/>
      <c r="AU1306" s="1">
        <v>2017</v>
      </c>
      <c r="AV1306" s="1">
        <v>6</v>
      </c>
      <c r="AW1306" s="1">
        <v>12</v>
      </c>
      <c r="AX1306" s="1"/>
      <c r="AY1306" s="1"/>
      <c r="AZ1306" s="1"/>
      <c r="BA1306" s="1"/>
      <c r="BB1306" s="1" t="s">
        <v>8502</v>
      </c>
      <c r="BC1306" s="1" t="s">
        <v>8503</v>
      </c>
      <c r="BD1306" s="1"/>
      <c r="BE1306" s="1" t="s">
        <v>8504</v>
      </c>
      <c r="BF1306" s="1" t="str">
        <f>HYPERLINK("http://dx.doi.org/10.1149/2.0071712jss","http://dx.doi.org/10.1149/2.0071712jss")</f>
        <v>http://dx.doi.org/10.1149/2.0071712jss</v>
      </c>
      <c r="BG1306" s="1"/>
      <c r="BH1306" s="1"/>
      <c r="BI1306" s="1"/>
      <c r="BJ1306" s="1"/>
      <c r="BK1306" s="1"/>
      <c r="BL1306" s="1"/>
      <c r="BM1306" s="1"/>
      <c r="BN1306" s="1"/>
      <c r="BO1306" s="1"/>
      <c r="BP1306" s="1"/>
      <c r="BQ1306" s="1"/>
      <c r="BR1306" s="1"/>
      <c r="BS1306" s="1" t="s">
        <v>8505</v>
      </c>
      <c r="BT1306" s="1" t="str">
        <f>HYPERLINK("https%3A%2F%2Fwww.webofscience.com%2Fwos%2Fwoscc%2Ffull-record%2FWOS:000419175500012","View Full Record in Web of Science")</f>
        <v>View Full Record in Web of Science</v>
      </c>
      <c r="BU1306" s="1"/>
      <c r="BV1306" s="1"/>
      <c r="BW1306" s="1"/>
    </row>
    <row r="1307" spans="1:75" customHeight="1" ht="12.75">
      <c r="A1307" s="1" t="s">
        <v>72</v>
      </c>
      <c r="B1307" s="1" t="s">
        <v>8506</v>
      </c>
      <c r="C1307" s="1"/>
      <c r="D1307" s="1"/>
      <c r="E1307" s="1"/>
      <c r="F1307" s="1" t="s">
        <v>8507</v>
      </c>
      <c r="G1307" s="1"/>
      <c r="H1307" s="1"/>
      <c r="I1307" s="1" t="s">
        <v>8508</v>
      </c>
      <c r="J1307" s="1" t="s">
        <v>793</v>
      </c>
      <c r="K1307" s="1"/>
      <c r="L1307" s="1"/>
      <c r="M1307" s="1"/>
      <c r="N1307" s="1"/>
      <c r="O1307" s="1"/>
      <c r="P1307" s="1"/>
      <c r="Q1307" s="1"/>
      <c r="R1307" s="1"/>
      <c r="S1307" s="1"/>
      <c r="T1307" s="1"/>
      <c r="U1307" s="1"/>
      <c r="V1307" s="1"/>
      <c r="W1307" s="1"/>
      <c r="X1307" s="1"/>
      <c r="Y1307" s="1"/>
      <c r="Z1307" s="1"/>
      <c r="AA1307" s="1" t="s">
        <v>8509</v>
      </c>
      <c r="AB1307" s="1" t="s">
        <v>8510</v>
      </c>
      <c r="AC1307" s="1"/>
      <c r="AD1307" s="1"/>
      <c r="AE1307" s="1"/>
      <c r="AF1307" s="1"/>
      <c r="AG1307" s="1"/>
      <c r="AH1307" s="1"/>
      <c r="AI1307" s="1"/>
      <c r="AJ1307" s="1"/>
      <c r="AK1307" s="1"/>
      <c r="AL1307" s="1"/>
      <c r="AM1307" s="1"/>
      <c r="AN1307" s="1"/>
      <c r="AO1307" s="1" t="s">
        <v>795</v>
      </c>
      <c r="AP1307" s="1" t="s">
        <v>796</v>
      </c>
      <c r="AQ1307" s="1"/>
      <c r="AR1307" s="1"/>
      <c r="AS1307" s="1"/>
      <c r="AT1307" s="1" t="s">
        <v>319</v>
      </c>
      <c r="AU1307" s="1">
        <v>2015</v>
      </c>
      <c r="AV1307" s="1">
        <v>8</v>
      </c>
      <c r="AW1307" s="1">
        <v>6</v>
      </c>
      <c r="AX1307" s="1"/>
      <c r="AY1307" s="1"/>
      <c r="AZ1307" s="1"/>
      <c r="BA1307" s="1"/>
      <c r="BB1307" s="1">
        <v>798</v>
      </c>
      <c r="BC1307" s="1">
        <v>803</v>
      </c>
      <c r="BD1307" s="1"/>
      <c r="BE1307" s="1" t="s">
        <v>8511</v>
      </c>
      <c r="BF1307" s="1" t="str">
        <f>HYPERLINK("http://dx.doi.org/10.1134/S1995425515060189","http://dx.doi.org/10.1134/S1995425515060189")</f>
        <v>http://dx.doi.org/10.1134/S1995425515060189</v>
      </c>
      <c r="BG1307" s="1"/>
      <c r="BH1307" s="1"/>
      <c r="BI1307" s="1"/>
      <c r="BJ1307" s="1"/>
      <c r="BK1307" s="1"/>
      <c r="BL1307" s="1"/>
      <c r="BM1307" s="1"/>
      <c r="BN1307" s="1"/>
      <c r="BO1307" s="1"/>
      <c r="BP1307" s="1"/>
      <c r="BQ1307" s="1"/>
      <c r="BR1307" s="1"/>
      <c r="BS1307" s="1" t="s">
        <v>8512</v>
      </c>
      <c r="BT1307" s="1" t="str">
        <f>HYPERLINK("https%3A%2F%2Fwww.webofscience.com%2Fwos%2Fwoscc%2Ffull-record%2FWOS:000366640300016","View Full Record in Web of Science")</f>
        <v>View Full Record in Web of Science</v>
      </c>
      <c r="BU1307" s="1"/>
      <c r="BV1307" s="1"/>
      <c r="BW1307" s="1"/>
    </row>
    <row r="1308" spans="1:75" customHeight="1" ht="12.75">
      <c r="A1308" s="1" t="s">
        <v>72</v>
      </c>
      <c r="B1308" s="1" t="s">
        <v>8513</v>
      </c>
      <c r="C1308" s="1"/>
      <c r="D1308" s="1"/>
      <c r="E1308" s="1"/>
      <c r="F1308" s="1" t="s">
        <v>8514</v>
      </c>
      <c r="G1308" s="1"/>
      <c r="H1308" s="1"/>
      <c r="I1308" s="1" t="s">
        <v>8515</v>
      </c>
      <c r="J1308" s="1" t="s">
        <v>7853</v>
      </c>
      <c r="K1308" s="1"/>
      <c r="L1308" s="1"/>
      <c r="M1308" s="1"/>
      <c r="N1308" s="1"/>
      <c r="O1308" s="1"/>
      <c r="P1308" s="1"/>
      <c r="Q1308" s="1"/>
      <c r="R1308" s="1"/>
      <c r="S1308" s="1"/>
      <c r="T1308" s="1"/>
      <c r="U1308" s="1"/>
      <c r="V1308" s="1"/>
      <c r="W1308" s="1"/>
      <c r="X1308" s="1"/>
      <c r="Y1308" s="1"/>
      <c r="Z1308" s="1"/>
      <c r="AA1308" s="1" t="s">
        <v>8516</v>
      </c>
      <c r="AB1308" s="1" t="s">
        <v>8517</v>
      </c>
      <c r="AC1308" s="1"/>
      <c r="AD1308" s="1"/>
      <c r="AE1308" s="1"/>
      <c r="AF1308" s="1"/>
      <c r="AG1308" s="1"/>
      <c r="AH1308" s="1"/>
      <c r="AI1308" s="1"/>
      <c r="AJ1308" s="1"/>
      <c r="AK1308" s="1"/>
      <c r="AL1308" s="1"/>
      <c r="AM1308" s="1"/>
      <c r="AN1308" s="1"/>
      <c r="AO1308" s="1" t="s">
        <v>7856</v>
      </c>
      <c r="AP1308" s="1"/>
      <c r="AQ1308" s="1"/>
      <c r="AR1308" s="1"/>
      <c r="AS1308" s="1"/>
      <c r="AT1308" s="1" t="s">
        <v>7857</v>
      </c>
      <c r="AU1308" s="1">
        <v>2022</v>
      </c>
      <c r="AV1308" s="1">
        <v>12</v>
      </c>
      <c r="AW1308" s="1"/>
      <c r="AX1308" s="1"/>
      <c r="AY1308" s="1"/>
      <c r="AZ1308" s="1" t="s">
        <v>339</v>
      </c>
      <c r="BA1308" s="1"/>
      <c r="BB1308" s="1"/>
      <c r="BC1308" s="1"/>
      <c r="BD1308" s="1"/>
      <c r="BE1308" s="1"/>
      <c r="BF1308" s="1"/>
      <c r="BG1308" s="1"/>
      <c r="BH1308" s="1"/>
      <c r="BI1308" s="1"/>
      <c r="BJ1308" s="1"/>
      <c r="BK1308" s="1"/>
      <c r="BL1308" s="1"/>
      <c r="BM1308" s="1"/>
      <c r="BN1308" s="1"/>
      <c r="BO1308" s="1"/>
      <c r="BP1308" s="1"/>
      <c r="BQ1308" s="1"/>
      <c r="BR1308" s="1"/>
      <c r="BS1308" s="1" t="s">
        <v>8518</v>
      </c>
      <c r="BT1308" s="1" t="str">
        <f>HYPERLINK("https%3A%2F%2Fwww.webofscience.com%2Fwos%2Fwoscc%2Ffull-record%2FWOS:000934358700003","View Full Record in Web of Science")</f>
        <v>View Full Record in Web of Science</v>
      </c>
      <c r="BU1308" s="1"/>
      <c r="BV1308" s="1"/>
      <c r="BW1308" s="1"/>
    </row>
    <row r="1309" spans="1:75" customHeight="1" ht="12.75">
      <c r="A1309" s="1" t="s">
        <v>72</v>
      </c>
      <c r="B1309" s="1" t="s">
        <v>8403</v>
      </c>
      <c r="C1309" s="1"/>
      <c r="D1309" s="1"/>
      <c r="E1309" s="1"/>
      <c r="F1309" s="1" t="s">
        <v>8519</v>
      </c>
      <c r="G1309" s="1"/>
      <c r="H1309" s="1"/>
      <c r="I1309" s="1" t="s">
        <v>8520</v>
      </c>
      <c r="J1309" s="1" t="s">
        <v>166</v>
      </c>
      <c r="K1309" s="1"/>
      <c r="L1309" s="1"/>
      <c r="M1309" s="1"/>
      <c r="N1309" s="1"/>
      <c r="O1309" s="1"/>
      <c r="P1309" s="1"/>
      <c r="Q1309" s="1"/>
      <c r="R1309" s="1"/>
      <c r="S1309" s="1"/>
      <c r="T1309" s="1"/>
      <c r="U1309" s="1"/>
      <c r="V1309" s="1"/>
      <c r="W1309" s="1"/>
      <c r="X1309" s="1"/>
      <c r="Y1309" s="1"/>
      <c r="Z1309" s="1"/>
      <c r="AA1309" s="1"/>
      <c r="AB1309" s="1" t="s">
        <v>6516</v>
      </c>
      <c r="AC1309" s="1"/>
      <c r="AD1309" s="1"/>
      <c r="AE1309" s="1"/>
      <c r="AF1309" s="1"/>
      <c r="AG1309" s="1"/>
      <c r="AH1309" s="1"/>
      <c r="AI1309" s="1"/>
      <c r="AJ1309" s="1"/>
      <c r="AK1309" s="1"/>
      <c r="AL1309" s="1"/>
      <c r="AM1309" s="1"/>
      <c r="AN1309" s="1"/>
      <c r="AO1309" s="1" t="s">
        <v>169</v>
      </c>
      <c r="AP1309" s="1" t="s">
        <v>170</v>
      </c>
      <c r="AQ1309" s="1"/>
      <c r="AR1309" s="1"/>
      <c r="AS1309" s="1"/>
      <c r="AT1309" s="1" t="s">
        <v>830</v>
      </c>
      <c r="AU1309" s="1">
        <v>2022</v>
      </c>
      <c r="AV1309" s="1">
        <v>11</v>
      </c>
      <c r="AW1309" s="1">
        <v>3</v>
      </c>
      <c r="AX1309" s="1"/>
      <c r="AY1309" s="1"/>
      <c r="AZ1309" s="1"/>
      <c r="BA1309" s="1"/>
      <c r="BB1309" s="1">
        <v>898</v>
      </c>
      <c r="BC1309" s="1">
        <v>913</v>
      </c>
      <c r="BD1309" s="1"/>
      <c r="BE1309" s="1" t="s">
        <v>8521</v>
      </c>
      <c r="BF1309" s="1" t="str">
        <f>HYPERLINK("http://dx.doi.org/10.13187/ejced.2022.3.898","http://dx.doi.org/10.13187/ejced.2022.3.898")</f>
        <v>http://dx.doi.org/10.13187/ejced.2022.3.898</v>
      </c>
      <c r="BG1309" s="1"/>
      <c r="BH1309" s="1"/>
      <c r="BI1309" s="1"/>
      <c r="BJ1309" s="1"/>
      <c r="BK1309" s="1"/>
      <c r="BL1309" s="1"/>
      <c r="BM1309" s="1"/>
      <c r="BN1309" s="1"/>
      <c r="BO1309" s="1"/>
      <c r="BP1309" s="1"/>
      <c r="BQ1309" s="1"/>
      <c r="BR1309" s="1"/>
      <c r="BS1309" s="1" t="s">
        <v>8522</v>
      </c>
      <c r="BT1309" s="1" t="str">
        <f>HYPERLINK("https%3A%2F%2Fwww.webofscience.com%2Fwos%2Fwoscc%2Ffull-record%2FWOS:000862890700018","View Full Record in Web of Science")</f>
        <v>View Full Record in Web of Science</v>
      </c>
      <c r="BU1309" s="1"/>
      <c r="BV1309" s="1"/>
      <c r="BW1309" s="1"/>
    </row>
    <row r="1310" spans="1:75" customHeight="1" ht="12.75">
      <c r="A1310" s="1" t="s">
        <v>72</v>
      </c>
      <c r="B1310" s="1" t="s">
        <v>8523</v>
      </c>
      <c r="C1310" s="1"/>
      <c r="D1310" s="1"/>
      <c r="E1310" s="1"/>
      <c r="F1310" s="1" t="s">
        <v>8524</v>
      </c>
      <c r="G1310" s="1"/>
      <c r="H1310" s="1"/>
      <c r="I1310" s="1" t="s">
        <v>8525</v>
      </c>
      <c r="J1310" s="1" t="s">
        <v>95</v>
      </c>
      <c r="K1310" s="1"/>
      <c r="L1310" s="1"/>
      <c r="M1310" s="1"/>
      <c r="N1310" s="1"/>
      <c r="O1310" s="1"/>
      <c r="P1310" s="1"/>
      <c r="Q1310" s="1"/>
      <c r="R1310" s="1"/>
      <c r="S1310" s="1"/>
      <c r="T1310" s="1"/>
      <c r="U1310" s="1"/>
      <c r="V1310" s="1"/>
      <c r="W1310" s="1"/>
      <c r="X1310" s="1"/>
      <c r="Y1310" s="1"/>
      <c r="Z1310" s="1"/>
      <c r="AA1310" s="1" t="s">
        <v>8526</v>
      </c>
      <c r="AB1310" s="1" t="s">
        <v>8527</v>
      </c>
      <c r="AC1310" s="1"/>
      <c r="AD1310" s="1"/>
      <c r="AE1310" s="1"/>
      <c r="AF1310" s="1"/>
      <c r="AG1310" s="1"/>
      <c r="AH1310" s="1"/>
      <c r="AI1310" s="1"/>
      <c r="AJ1310" s="1"/>
      <c r="AK1310" s="1"/>
      <c r="AL1310" s="1"/>
      <c r="AM1310" s="1"/>
      <c r="AN1310" s="1"/>
      <c r="AO1310" s="1" t="s">
        <v>98</v>
      </c>
      <c r="AP1310" s="1" t="s">
        <v>99</v>
      </c>
      <c r="AQ1310" s="1"/>
      <c r="AR1310" s="1"/>
      <c r="AS1310" s="1"/>
      <c r="AT1310" s="1"/>
      <c r="AU1310" s="1">
        <v>2022</v>
      </c>
      <c r="AV1310" s="1"/>
      <c r="AW1310" s="1">
        <v>4</v>
      </c>
      <c r="AX1310" s="1"/>
      <c r="AY1310" s="1"/>
      <c r="AZ1310" s="1"/>
      <c r="BA1310" s="1"/>
      <c r="BB1310" s="1">
        <v>196</v>
      </c>
      <c r="BC1310" s="1">
        <v>203</v>
      </c>
      <c r="BD1310" s="1"/>
      <c r="BE1310" s="1" t="s">
        <v>8528</v>
      </c>
      <c r="BF1310" s="1" t="str">
        <f>HYPERLINK("http://dx.doi.org/10.25750/1995-4301-2022-4-196-203","http://dx.doi.org/10.25750/1995-4301-2022-4-196-203")</f>
        <v>http://dx.doi.org/10.25750/1995-4301-2022-4-196-203</v>
      </c>
      <c r="BG1310" s="1"/>
      <c r="BH1310" s="1"/>
      <c r="BI1310" s="1"/>
      <c r="BJ1310" s="1"/>
      <c r="BK1310" s="1"/>
      <c r="BL1310" s="1"/>
      <c r="BM1310" s="1"/>
      <c r="BN1310" s="1"/>
      <c r="BO1310" s="1"/>
      <c r="BP1310" s="1"/>
      <c r="BQ1310" s="1"/>
      <c r="BR1310" s="1"/>
      <c r="BS1310" s="1" t="s">
        <v>8529</v>
      </c>
      <c r="BT1310" s="1" t="str">
        <f>HYPERLINK("https%3A%2F%2Fwww.webofscience.com%2Fwos%2Fwoscc%2Ffull-record%2FWOS:000929704700027","View Full Record in Web of Science")</f>
        <v>View Full Record in Web of Science</v>
      </c>
      <c r="BU1310" s="1"/>
      <c r="BV1310" s="1"/>
      <c r="BW1310" s="1"/>
    </row>
    <row r="1311" spans="1:75" customHeight="1" ht="12.75">
      <c r="A1311" s="1" t="s">
        <v>72</v>
      </c>
      <c r="B1311" s="1" t="s">
        <v>8530</v>
      </c>
      <c r="C1311" s="1"/>
      <c r="D1311" s="1"/>
      <c r="E1311" s="1"/>
      <c r="F1311" s="1" t="s">
        <v>8531</v>
      </c>
      <c r="G1311" s="1"/>
      <c r="H1311" s="1"/>
      <c r="I1311" s="1" t="s">
        <v>8532</v>
      </c>
      <c r="J1311" s="1" t="s">
        <v>685</v>
      </c>
      <c r="K1311" s="1"/>
      <c r="L1311" s="1"/>
      <c r="M1311" s="1"/>
      <c r="N1311" s="1"/>
      <c r="O1311" s="1"/>
      <c r="P1311" s="1"/>
      <c r="Q1311" s="1"/>
      <c r="R1311" s="1"/>
      <c r="S1311" s="1"/>
      <c r="T1311" s="1"/>
      <c r="U1311" s="1"/>
      <c r="V1311" s="1"/>
      <c r="W1311" s="1"/>
      <c r="X1311" s="1"/>
      <c r="Y1311" s="1"/>
      <c r="Z1311" s="1"/>
      <c r="AA1311" s="1" t="s">
        <v>7259</v>
      </c>
      <c r="AB1311" s="1" t="s">
        <v>6972</v>
      </c>
      <c r="AC1311" s="1"/>
      <c r="AD1311" s="1"/>
      <c r="AE1311" s="1"/>
      <c r="AF1311" s="1"/>
      <c r="AG1311" s="1"/>
      <c r="AH1311" s="1"/>
      <c r="AI1311" s="1"/>
      <c r="AJ1311" s="1"/>
      <c r="AK1311" s="1"/>
      <c r="AL1311" s="1"/>
      <c r="AM1311" s="1"/>
      <c r="AN1311" s="1"/>
      <c r="AO1311" s="1" t="s">
        <v>687</v>
      </c>
      <c r="AP1311" s="1" t="s">
        <v>688</v>
      </c>
      <c r="AQ1311" s="1"/>
      <c r="AR1311" s="1"/>
      <c r="AS1311" s="1"/>
      <c r="AT1311" s="1" t="s">
        <v>403</v>
      </c>
      <c r="AU1311" s="1">
        <v>2022</v>
      </c>
      <c r="AV1311" s="1">
        <v>49</v>
      </c>
      <c r="AW1311" s="1">
        <v>6</v>
      </c>
      <c r="AX1311" s="1"/>
      <c r="AY1311" s="1"/>
      <c r="AZ1311" s="1"/>
      <c r="BA1311" s="1"/>
      <c r="BB1311" s="1">
        <v>713</v>
      </c>
      <c r="BC1311" s="1">
        <v>720</v>
      </c>
      <c r="BD1311" s="1"/>
      <c r="BE1311" s="1" t="s">
        <v>8533</v>
      </c>
      <c r="BF1311" s="1" t="str">
        <f>HYPERLINK("http://dx.doi.org/10.1134/S1062359022010137","http://dx.doi.org/10.1134/S1062359022010137")</f>
        <v>http://dx.doi.org/10.1134/S1062359022010137</v>
      </c>
      <c r="BG1311" s="1"/>
      <c r="BH1311" s="1"/>
      <c r="BI1311" s="1"/>
      <c r="BJ1311" s="1"/>
      <c r="BK1311" s="1"/>
      <c r="BL1311" s="1"/>
      <c r="BM1311" s="1"/>
      <c r="BN1311" s="1"/>
      <c r="BO1311" s="1"/>
      <c r="BP1311" s="1"/>
      <c r="BQ1311" s="1"/>
      <c r="BR1311" s="1"/>
      <c r="BS1311" s="1" t="s">
        <v>8534</v>
      </c>
      <c r="BT1311" s="1" t="str">
        <f>HYPERLINK("https%3A%2F%2Fwww.webofscience.com%2Fwos%2Fwoscc%2Ffull-record%2FWOS:000901195000017","View Full Record in Web of Science")</f>
        <v>View Full Record in Web of Science</v>
      </c>
      <c r="BU1311" s="1"/>
      <c r="BV1311" s="1"/>
      <c r="BW1311" s="1"/>
    </row>
    <row r="1312" spans="1:75" customHeight="1" ht="12.75">
      <c r="A1312" s="1" t="s">
        <v>72</v>
      </c>
      <c r="B1312" s="1" t="s">
        <v>8535</v>
      </c>
      <c r="C1312" s="1"/>
      <c r="D1312" s="1"/>
      <c r="E1312" s="1"/>
      <c r="F1312" s="1" t="s">
        <v>8536</v>
      </c>
      <c r="G1312" s="1"/>
      <c r="H1312" s="1"/>
      <c r="I1312" s="1" t="s">
        <v>8537</v>
      </c>
      <c r="J1312" s="1" t="s">
        <v>6054</v>
      </c>
      <c r="K1312" s="1"/>
      <c r="L1312" s="1"/>
      <c r="M1312" s="1"/>
      <c r="N1312" s="1"/>
      <c r="O1312" s="1"/>
      <c r="P1312" s="1"/>
      <c r="Q1312" s="1"/>
      <c r="R1312" s="1"/>
      <c r="S1312" s="1"/>
      <c r="T1312" s="1"/>
      <c r="U1312" s="1"/>
      <c r="V1312" s="1"/>
      <c r="W1312" s="1"/>
      <c r="X1312" s="1"/>
      <c r="Y1312" s="1"/>
      <c r="Z1312" s="1"/>
      <c r="AA1312" s="1"/>
      <c r="AB1312" s="1" t="s">
        <v>8538</v>
      </c>
      <c r="AC1312" s="1"/>
      <c r="AD1312" s="1"/>
      <c r="AE1312" s="1"/>
      <c r="AF1312" s="1"/>
      <c r="AG1312" s="1"/>
      <c r="AH1312" s="1"/>
      <c r="AI1312" s="1"/>
      <c r="AJ1312" s="1"/>
      <c r="AK1312" s="1"/>
      <c r="AL1312" s="1"/>
      <c r="AM1312" s="1"/>
      <c r="AN1312" s="1"/>
      <c r="AO1312" s="1" t="s">
        <v>6055</v>
      </c>
      <c r="AP1312" s="1"/>
      <c r="AQ1312" s="1"/>
      <c r="AR1312" s="1"/>
      <c r="AS1312" s="1"/>
      <c r="AT1312" s="1" t="s">
        <v>88</v>
      </c>
      <c r="AU1312" s="1">
        <v>2021</v>
      </c>
      <c r="AV1312" s="1">
        <v>25</v>
      </c>
      <c r="AW1312" s="1"/>
      <c r="AX1312" s="1"/>
      <c r="AY1312" s="1"/>
      <c r="AZ1312" s="1">
        <v>2</v>
      </c>
      <c r="BA1312" s="1"/>
      <c r="BB1312" s="1">
        <v>1001</v>
      </c>
      <c r="BC1312" s="1">
        <v>1012</v>
      </c>
      <c r="BD1312" s="1"/>
      <c r="BE1312" s="1" t="s">
        <v>8539</v>
      </c>
      <c r="BF1312" s="1" t="str">
        <f>HYPERLINK("http://dx.doi.org/10.22633/rpge.v25iesp.2.15282","http://dx.doi.org/10.22633/rpge.v25iesp.2.15282")</f>
        <v>http://dx.doi.org/10.22633/rpge.v25iesp.2.15282</v>
      </c>
      <c r="BG1312" s="1"/>
      <c r="BH1312" s="1"/>
      <c r="BI1312" s="1"/>
      <c r="BJ1312" s="1"/>
      <c r="BK1312" s="1"/>
      <c r="BL1312" s="1"/>
      <c r="BM1312" s="1"/>
      <c r="BN1312" s="1"/>
      <c r="BO1312" s="1"/>
      <c r="BP1312" s="1"/>
      <c r="BQ1312" s="1"/>
      <c r="BR1312" s="1"/>
      <c r="BS1312" s="1" t="s">
        <v>8540</v>
      </c>
      <c r="BT1312" s="1" t="str">
        <f>HYPERLINK("https%3A%2F%2Fwww.webofscience.com%2Fwos%2Fwoscc%2Ffull-record%2FWOS:000687825100023","View Full Record in Web of Science")</f>
        <v>View Full Record in Web of Science</v>
      </c>
      <c r="BU1312" s="1"/>
      <c r="BV1312" s="1"/>
      <c r="BW1312" s="1"/>
    </row>
    <row r="1313" spans="1:75" customHeight="1" ht="12.75">
      <c r="A1313" s="1" t="s">
        <v>72</v>
      </c>
      <c r="B1313" s="1" t="s">
        <v>8541</v>
      </c>
      <c r="C1313" s="1"/>
      <c r="D1313" s="1"/>
      <c r="E1313" s="1"/>
      <c r="F1313" s="1" t="s">
        <v>8542</v>
      </c>
      <c r="G1313" s="1"/>
      <c r="H1313" s="1"/>
      <c r="I1313" s="1" t="s">
        <v>8543</v>
      </c>
      <c r="J1313" s="1" t="s">
        <v>95</v>
      </c>
      <c r="K1313" s="1"/>
      <c r="L1313" s="1"/>
      <c r="M1313" s="1"/>
      <c r="N1313" s="1"/>
      <c r="O1313" s="1"/>
      <c r="P1313" s="1"/>
      <c r="Q1313" s="1"/>
      <c r="R1313" s="1"/>
      <c r="S1313" s="1"/>
      <c r="T1313" s="1"/>
      <c r="U1313" s="1"/>
      <c r="V1313" s="1"/>
      <c r="W1313" s="1"/>
      <c r="X1313" s="1"/>
      <c r="Y1313" s="1"/>
      <c r="Z1313" s="1"/>
      <c r="AA1313" s="1" t="s">
        <v>8544</v>
      </c>
      <c r="AB1313" s="1" t="s">
        <v>8545</v>
      </c>
      <c r="AC1313" s="1"/>
      <c r="AD1313" s="1"/>
      <c r="AE1313" s="1"/>
      <c r="AF1313" s="1"/>
      <c r="AG1313" s="1"/>
      <c r="AH1313" s="1"/>
      <c r="AI1313" s="1"/>
      <c r="AJ1313" s="1"/>
      <c r="AK1313" s="1"/>
      <c r="AL1313" s="1"/>
      <c r="AM1313" s="1"/>
      <c r="AN1313" s="1"/>
      <c r="AO1313" s="1" t="s">
        <v>98</v>
      </c>
      <c r="AP1313" s="1" t="s">
        <v>99</v>
      </c>
      <c r="AQ1313" s="1"/>
      <c r="AR1313" s="1"/>
      <c r="AS1313" s="1"/>
      <c r="AT1313" s="1"/>
      <c r="AU1313" s="1">
        <v>2020</v>
      </c>
      <c r="AV1313" s="1"/>
      <c r="AW1313" s="1">
        <v>2</v>
      </c>
      <c r="AX1313" s="1"/>
      <c r="AY1313" s="1"/>
      <c r="AZ1313" s="1"/>
      <c r="BA1313" s="1"/>
      <c r="BB1313" s="1">
        <v>166</v>
      </c>
      <c r="BC1313" s="1">
        <v>171</v>
      </c>
      <c r="BD1313" s="1"/>
      <c r="BE1313" s="1" t="s">
        <v>8546</v>
      </c>
      <c r="BF1313" s="1" t="str">
        <f>HYPERLINK("http://dx.doi.org/10.25750/1995-4301-2020-2-166-171","http://dx.doi.org/10.25750/1995-4301-2020-2-166-171")</f>
        <v>http://dx.doi.org/10.25750/1995-4301-2020-2-166-171</v>
      </c>
      <c r="BG1313" s="1"/>
      <c r="BH1313" s="1"/>
      <c r="BI1313" s="1"/>
      <c r="BJ1313" s="1"/>
      <c r="BK1313" s="1"/>
      <c r="BL1313" s="1"/>
      <c r="BM1313" s="1"/>
      <c r="BN1313" s="1"/>
      <c r="BO1313" s="1"/>
      <c r="BP1313" s="1"/>
      <c r="BQ1313" s="1"/>
      <c r="BR1313" s="1"/>
      <c r="BS1313" s="1" t="s">
        <v>8547</v>
      </c>
      <c r="BT1313" s="1" t="str">
        <f>HYPERLINK("https%3A%2F%2Fwww.webofscience.com%2Fwos%2Fwoscc%2Ffull-record%2FWOS:000545295600023","View Full Record in Web of Science")</f>
        <v>View Full Record in Web of Science</v>
      </c>
      <c r="BU1313" s="1"/>
      <c r="BV1313" s="1"/>
      <c r="BW1313" s="1"/>
    </row>
    <row r="1314" spans="1:75" customHeight="1" ht="12.75">
      <c r="A1314" s="1" t="s">
        <v>72</v>
      </c>
      <c r="B1314" s="1" t="s">
        <v>8548</v>
      </c>
      <c r="C1314" s="1"/>
      <c r="D1314" s="1"/>
      <c r="E1314" s="1"/>
      <c r="F1314" s="1" t="s">
        <v>8549</v>
      </c>
      <c r="G1314" s="1"/>
      <c r="H1314" s="1"/>
      <c r="I1314" s="1" t="s">
        <v>8550</v>
      </c>
      <c r="J1314" s="1" t="s">
        <v>8551</v>
      </c>
      <c r="K1314" s="1"/>
      <c r="L1314" s="1"/>
      <c r="M1314" s="1"/>
      <c r="N1314" s="1"/>
      <c r="O1314" s="1"/>
      <c r="P1314" s="1"/>
      <c r="Q1314" s="1"/>
      <c r="R1314" s="1"/>
      <c r="S1314" s="1"/>
      <c r="T1314" s="1"/>
      <c r="U1314" s="1"/>
      <c r="V1314" s="1"/>
      <c r="W1314" s="1"/>
      <c r="X1314" s="1"/>
      <c r="Y1314" s="1"/>
      <c r="Z1314" s="1"/>
      <c r="AA1314" s="1" t="s">
        <v>8552</v>
      </c>
      <c r="AB1314" s="1" t="s">
        <v>8553</v>
      </c>
      <c r="AC1314" s="1"/>
      <c r="AD1314" s="1"/>
      <c r="AE1314" s="1"/>
      <c r="AF1314" s="1"/>
      <c r="AG1314" s="1"/>
      <c r="AH1314" s="1"/>
      <c r="AI1314" s="1"/>
      <c r="AJ1314" s="1"/>
      <c r="AK1314" s="1"/>
      <c r="AL1314" s="1"/>
      <c r="AM1314" s="1"/>
      <c r="AN1314" s="1"/>
      <c r="AO1314" s="1"/>
      <c r="AP1314" s="1" t="s">
        <v>8554</v>
      </c>
      <c r="AQ1314" s="1"/>
      <c r="AR1314" s="1"/>
      <c r="AS1314" s="1"/>
      <c r="AT1314" s="1" t="s">
        <v>171</v>
      </c>
      <c r="AU1314" s="1">
        <v>2018</v>
      </c>
      <c r="AV1314" s="1">
        <v>6</v>
      </c>
      <c r="AW1314" s="1">
        <v>1</v>
      </c>
      <c r="AX1314" s="1"/>
      <c r="AY1314" s="1"/>
      <c r="AZ1314" s="1"/>
      <c r="BA1314" s="1"/>
      <c r="BB1314" s="1"/>
      <c r="BC1314" s="1"/>
      <c r="BD1314" s="1">
        <v>5</v>
      </c>
      <c r="BE1314" s="1" t="s">
        <v>8555</v>
      </c>
      <c r="BF1314" s="1" t="str">
        <f>HYPERLINK("http://dx.doi.org/10.3390/biomedicines6010005","http://dx.doi.org/10.3390/biomedicines6010005")</f>
        <v>http://dx.doi.org/10.3390/biomedicines6010005</v>
      </c>
      <c r="BG1314" s="1"/>
      <c r="BH1314" s="1"/>
      <c r="BI1314" s="1"/>
      <c r="BJ1314" s="1"/>
      <c r="BK1314" s="1"/>
      <c r="BL1314" s="1"/>
      <c r="BM1314" s="1"/>
      <c r="BN1314" s="1">
        <v>29301323</v>
      </c>
      <c r="BO1314" s="1"/>
      <c r="BP1314" s="1"/>
      <c r="BQ1314" s="1"/>
      <c r="BR1314" s="1"/>
      <c r="BS1314" s="1" t="s">
        <v>8556</v>
      </c>
      <c r="BT1314" s="1" t="str">
        <f>HYPERLINK("https%3A%2F%2Fwww.webofscience.com%2Fwos%2Fwoscc%2Ffull-record%2FWOS:000428505300005","View Full Record in Web of Science")</f>
        <v>View Full Record in Web of Science</v>
      </c>
      <c r="BU1314" s="1"/>
      <c r="BV1314" s="1"/>
      <c r="BW1314" s="1"/>
    </row>
    <row r="1315" spans="1:75" customHeight="1" ht="12.75">
      <c r="A1315" s="1" t="s">
        <v>72</v>
      </c>
      <c r="B1315" s="1" t="s">
        <v>8557</v>
      </c>
      <c r="C1315" s="1"/>
      <c r="D1315" s="1"/>
      <c r="E1315" s="1"/>
      <c r="F1315" s="1" t="s">
        <v>8558</v>
      </c>
      <c r="G1315" s="1"/>
      <c r="H1315" s="1"/>
      <c r="I1315" s="1" t="s">
        <v>8559</v>
      </c>
      <c r="J1315" s="1" t="s">
        <v>2233</v>
      </c>
      <c r="K1315" s="1"/>
      <c r="L1315" s="1"/>
      <c r="M1315" s="1"/>
      <c r="N1315" s="1"/>
      <c r="O1315" s="1"/>
      <c r="P1315" s="1"/>
      <c r="Q1315" s="1"/>
      <c r="R1315" s="1"/>
      <c r="S1315" s="1"/>
      <c r="T1315" s="1"/>
      <c r="U1315" s="1"/>
      <c r="V1315" s="1"/>
      <c r="W1315" s="1"/>
      <c r="X1315" s="1"/>
      <c r="Y1315" s="1"/>
      <c r="Z1315" s="1"/>
      <c r="AA1315" s="1" t="s">
        <v>8560</v>
      </c>
      <c r="AB1315" s="1" t="s">
        <v>8561</v>
      </c>
      <c r="AC1315" s="1"/>
      <c r="AD1315" s="1"/>
      <c r="AE1315" s="1"/>
      <c r="AF1315" s="1"/>
      <c r="AG1315" s="1"/>
      <c r="AH1315" s="1"/>
      <c r="AI1315" s="1"/>
      <c r="AJ1315" s="1"/>
      <c r="AK1315" s="1"/>
      <c r="AL1315" s="1"/>
      <c r="AM1315" s="1"/>
      <c r="AN1315" s="1"/>
      <c r="AO1315" s="1" t="s">
        <v>2234</v>
      </c>
      <c r="AP1315" s="1" t="s">
        <v>2235</v>
      </c>
      <c r="AQ1315" s="1"/>
      <c r="AR1315" s="1"/>
      <c r="AS1315" s="1"/>
      <c r="AT1315" s="1"/>
      <c r="AU1315" s="1">
        <v>2018</v>
      </c>
      <c r="AV1315" s="1">
        <v>12</v>
      </c>
      <c r="AW1315" s="1">
        <v>4</v>
      </c>
      <c r="AX1315" s="1"/>
      <c r="AY1315" s="1"/>
      <c r="AZ1315" s="1"/>
      <c r="BA1315" s="1"/>
      <c r="BB1315" s="1">
        <v>515</v>
      </c>
      <c r="BC1315" s="1">
        <v>524</v>
      </c>
      <c r="BD1315" s="1"/>
      <c r="BE1315" s="1" t="s">
        <v>8562</v>
      </c>
      <c r="BF1315" s="1" t="str">
        <f>HYPERLINK("http://dx.doi.org/10.17150/2500-4255.2018.12(4).515-524","http://dx.doi.org/10.17150/2500-4255.2018.12(4).515-524")</f>
        <v>http://dx.doi.org/10.17150/2500-4255.2018.12(4).515-524</v>
      </c>
      <c r="BG1315" s="1"/>
      <c r="BH1315" s="1"/>
      <c r="BI1315" s="1"/>
      <c r="BJ1315" s="1"/>
      <c r="BK1315" s="1"/>
      <c r="BL1315" s="1"/>
      <c r="BM1315" s="1"/>
      <c r="BN1315" s="1"/>
      <c r="BO1315" s="1"/>
      <c r="BP1315" s="1"/>
      <c r="BQ1315" s="1"/>
      <c r="BR1315" s="1"/>
      <c r="BS1315" s="1" t="s">
        <v>8563</v>
      </c>
      <c r="BT1315" s="1" t="str">
        <f>HYPERLINK("https%3A%2F%2Fwww.webofscience.com%2Fwos%2Fwoscc%2Ffull-record%2FWOS:000444615800007","View Full Record in Web of Science")</f>
        <v>View Full Record in Web of Science</v>
      </c>
      <c r="BU1315" s="1"/>
      <c r="BV1315" s="1"/>
      <c r="BW1315" s="1"/>
    </row>
    <row r="1316" spans="1:75" customHeight="1" ht="12.75">
      <c r="A1316" s="1" t="s">
        <v>72</v>
      </c>
      <c r="B1316" s="1" t="s">
        <v>8403</v>
      </c>
      <c r="C1316" s="1"/>
      <c r="D1316" s="1"/>
      <c r="E1316" s="1"/>
      <c r="F1316" s="1" t="s">
        <v>8564</v>
      </c>
      <c r="G1316" s="1"/>
      <c r="H1316" s="1"/>
      <c r="I1316" s="1" t="s">
        <v>8565</v>
      </c>
      <c r="J1316" s="1" t="s">
        <v>166</v>
      </c>
      <c r="K1316" s="1"/>
      <c r="L1316" s="1"/>
      <c r="M1316" s="1"/>
      <c r="N1316" s="1"/>
      <c r="O1316" s="1"/>
      <c r="P1316" s="1"/>
      <c r="Q1316" s="1"/>
      <c r="R1316" s="1"/>
      <c r="S1316" s="1"/>
      <c r="T1316" s="1"/>
      <c r="U1316" s="1"/>
      <c r="V1316" s="1"/>
      <c r="W1316" s="1"/>
      <c r="X1316" s="1"/>
      <c r="Y1316" s="1"/>
      <c r="Z1316" s="1"/>
      <c r="AA1316" s="1"/>
      <c r="AB1316" s="1"/>
      <c r="AC1316" s="1"/>
      <c r="AD1316" s="1"/>
      <c r="AE1316" s="1"/>
      <c r="AF1316" s="1"/>
      <c r="AG1316" s="1"/>
      <c r="AH1316" s="1"/>
      <c r="AI1316" s="1"/>
      <c r="AJ1316" s="1"/>
      <c r="AK1316" s="1"/>
      <c r="AL1316" s="1"/>
      <c r="AM1316" s="1"/>
      <c r="AN1316" s="1"/>
      <c r="AO1316" s="1" t="s">
        <v>169</v>
      </c>
      <c r="AP1316" s="1" t="s">
        <v>170</v>
      </c>
      <c r="AQ1316" s="1"/>
      <c r="AR1316" s="1"/>
      <c r="AS1316" s="1"/>
      <c r="AT1316" s="1" t="s">
        <v>403</v>
      </c>
      <c r="AU1316" s="1">
        <v>2022</v>
      </c>
      <c r="AV1316" s="1">
        <v>11</v>
      </c>
      <c r="AW1316" s="1">
        <v>4</v>
      </c>
      <c r="AX1316" s="1"/>
      <c r="AY1316" s="1"/>
      <c r="AZ1316" s="1"/>
      <c r="BA1316" s="1"/>
      <c r="BB1316" s="1">
        <v>1222</v>
      </c>
      <c r="BC1316" s="1">
        <v>1235</v>
      </c>
      <c r="BD1316" s="1"/>
      <c r="BE1316" s="1" t="s">
        <v>8566</v>
      </c>
      <c r="BF1316" s="1" t="str">
        <f>HYPERLINK("http://dx.doi.org/10.13187/ejced.2022.4","http://dx.doi.org/10.13187/ejced.2022.4")</f>
        <v>http://dx.doi.org/10.13187/ejced.2022.4</v>
      </c>
      <c r="BG1316" s="1"/>
      <c r="BH1316" s="1"/>
      <c r="BI1316" s="1"/>
      <c r="BJ1316" s="1"/>
      <c r="BK1316" s="1"/>
      <c r="BL1316" s="1"/>
      <c r="BM1316" s="1"/>
      <c r="BN1316" s="1"/>
      <c r="BO1316" s="1"/>
      <c r="BP1316" s="1"/>
      <c r="BQ1316" s="1"/>
      <c r="BR1316" s="1"/>
      <c r="BS1316" s="1" t="s">
        <v>8567</v>
      </c>
      <c r="BT1316" s="1" t="str">
        <f>HYPERLINK("https%3A%2F%2Fwww.webofscience.com%2Fwos%2Fwoscc%2Ffull-record%2FWOS:000914876300015","View Full Record in Web of Science")</f>
        <v>View Full Record in Web of Science</v>
      </c>
      <c r="BU1316" s="1"/>
      <c r="BV1316" s="1"/>
      <c r="BW1316" s="1"/>
    </row>
    <row r="1317" spans="1:75" customHeight="1" ht="12.75">
      <c r="A1317" s="1" t="s">
        <v>72</v>
      </c>
      <c r="B1317" s="1" t="s">
        <v>8568</v>
      </c>
      <c r="C1317" s="1"/>
      <c r="D1317" s="1"/>
      <c r="E1317" s="1"/>
      <c r="F1317" s="1" t="s">
        <v>8569</v>
      </c>
      <c r="G1317" s="1"/>
      <c r="H1317" s="1"/>
      <c r="I1317" s="1" t="s">
        <v>8570</v>
      </c>
      <c r="J1317" s="1" t="s">
        <v>95</v>
      </c>
      <c r="K1317" s="1"/>
      <c r="L1317" s="1"/>
      <c r="M1317" s="1"/>
      <c r="N1317" s="1"/>
      <c r="O1317" s="1"/>
      <c r="P1317" s="1"/>
      <c r="Q1317" s="1"/>
      <c r="R1317" s="1"/>
      <c r="S1317" s="1"/>
      <c r="T1317" s="1"/>
      <c r="U1317" s="1"/>
      <c r="V1317" s="1"/>
      <c r="W1317" s="1"/>
      <c r="X1317" s="1"/>
      <c r="Y1317" s="1"/>
      <c r="Z1317" s="1"/>
      <c r="AA1317" s="1" t="s">
        <v>8571</v>
      </c>
      <c r="AB1317" s="1" t="s">
        <v>8572</v>
      </c>
      <c r="AC1317" s="1"/>
      <c r="AD1317" s="1"/>
      <c r="AE1317" s="1"/>
      <c r="AF1317" s="1"/>
      <c r="AG1317" s="1"/>
      <c r="AH1317" s="1"/>
      <c r="AI1317" s="1"/>
      <c r="AJ1317" s="1"/>
      <c r="AK1317" s="1"/>
      <c r="AL1317" s="1"/>
      <c r="AM1317" s="1"/>
      <c r="AN1317" s="1"/>
      <c r="AO1317" s="1" t="s">
        <v>98</v>
      </c>
      <c r="AP1317" s="1" t="s">
        <v>99</v>
      </c>
      <c r="AQ1317" s="1"/>
      <c r="AR1317" s="1"/>
      <c r="AS1317" s="1"/>
      <c r="AT1317" s="1"/>
      <c r="AU1317" s="1">
        <v>2020</v>
      </c>
      <c r="AV1317" s="1"/>
      <c r="AW1317" s="1">
        <v>1</v>
      </c>
      <c r="AX1317" s="1"/>
      <c r="AY1317" s="1"/>
      <c r="AZ1317" s="1"/>
      <c r="BA1317" s="1"/>
      <c r="BB1317" s="1">
        <v>130</v>
      </c>
      <c r="BC1317" s="1">
        <v>135</v>
      </c>
      <c r="BD1317" s="1"/>
      <c r="BE1317" s="1" t="s">
        <v>8573</v>
      </c>
      <c r="BF1317" s="1" t="str">
        <f>HYPERLINK("http://dx.doi.org/10.25750/1995-4301-2020-1-130-135","http://dx.doi.org/10.25750/1995-4301-2020-1-130-135")</f>
        <v>http://dx.doi.org/10.25750/1995-4301-2020-1-130-135</v>
      </c>
      <c r="BG1317" s="1"/>
      <c r="BH1317" s="1"/>
      <c r="BI1317" s="1"/>
      <c r="BJ1317" s="1"/>
      <c r="BK1317" s="1"/>
      <c r="BL1317" s="1"/>
      <c r="BM1317" s="1"/>
      <c r="BN1317" s="1"/>
      <c r="BO1317" s="1"/>
      <c r="BP1317" s="1"/>
      <c r="BQ1317" s="1"/>
      <c r="BR1317" s="1"/>
      <c r="BS1317" s="1" t="s">
        <v>8574</v>
      </c>
      <c r="BT1317" s="1" t="str">
        <f>HYPERLINK("https%3A%2F%2Fwww.webofscience.com%2Fwos%2Fwoscc%2Ffull-record%2FWOS:000522789400019","View Full Record in Web of Science")</f>
        <v>View Full Record in Web of Science</v>
      </c>
      <c r="BU1317" s="1"/>
      <c r="BV1317" s="1"/>
      <c r="BW1317" s="1"/>
    </row>
    <row r="1318" spans="1:75" customHeight="1" ht="12.75">
      <c r="A1318" s="1" t="s">
        <v>72</v>
      </c>
      <c r="B1318" s="1" t="s">
        <v>8575</v>
      </c>
      <c r="C1318" s="1"/>
      <c r="D1318" s="1"/>
      <c r="E1318" s="1"/>
      <c r="F1318" s="1" t="s">
        <v>8576</v>
      </c>
      <c r="G1318" s="1"/>
      <c r="H1318" s="1"/>
      <c r="I1318" s="1" t="s">
        <v>8577</v>
      </c>
      <c r="J1318" s="1" t="s">
        <v>8578</v>
      </c>
      <c r="K1318" s="1"/>
      <c r="L1318" s="1"/>
      <c r="M1318" s="1"/>
      <c r="N1318" s="1"/>
      <c r="O1318" s="1" t="s">
        <v>8579</v>
      </c>
      <c r="P1318" s="1" t="s">
        <v>8580</v>
      </c>
      <c r="Q1318" s="1" t="s">
        <v>2563</v>
      </c>
      <c r="R1318" s="1"/>
      <c r="S1318" s="1"/>
      <c r="T1318" s="1"/>
      <c r="U1318" s="1"/>
      <c r="V1318" s="1"/>
      <c r="W1318" s="1"/>
      <c r="X1318" s="1"/>
      <c r="Y1318" s="1"/>
      <c r="Z1318" s="1"/>
      <c r="AA1318" s="1" t="s">
        <v>8581</v>
      </c>
      <c r="AB1318" s="1" t="s">
        <v>8582</v>
      </c>
      <c r="AC1318" s="1"/>
      <c r="AD1318" s="1"/>
      <c r="AE1318" s="1"/>
      <c r="AF1318" s="1"/>
      <c r="AG1318" s="1"/>
      <c r="AH1318" s="1"/>
      <c r="AI1318" s="1"/>
      <c r="AJ1318" s="1"/>
      <c r="AK1318" s="1"/>
      <c r="AL1318" s="1"/>
      <c r="AM1318" s="1"/>
      <c r="AN1318" s="1"/>
      <c r="AO1318" s="1" t="s">
        <v>8583</v>
      </c>
      <c r="AP1318" s="1" t="s">
        <v>8584</v>
      </c>
      <c r="AQ1318" s="1"/>
      <c r="AR1318" s="1"/>
      <c r="AS1318" s="1"/>
      <c r="AT1318" s="1" t="s">
        <v>491</v>
      </c>
      <c r="AU1318" s="1">
        <v>2020</v>
      </c>
      <c r="AV1318" s="1">
        <v>93</v>
      </c>
      <c r="AW1318" s="1" t="s">
        <v>8585</v>
      </c>
      <c r="AX1318" s="1"/>
      <c r="AY1318" s="1"/>
      <c r="AZ1318" s="1" t="s">
        <v>339</v>
      </c>
      <c r="BA1318" s="1"/>
      <c r="BB1318" s="1">
        <v>299</v>
      </c>
      <c r="BC1318" s="1">
        <v>315</v>
      </c>
      <c r="BD1318" s="1"/>
      <c r="BE1318" s="1" t="s">
        <v>8586</v>
      </c>
      <c r="BF1318" s="1" t="str">
        <f>HYPERLINK("http://dx.doi.org/10.1163/15685403-00003976","http://dx.doi.org/10.1163/15685403-00003976")</f>
        <v>http://dx.doi.org/10.1163/15685403-00003976</v>
      </c>
      <c r="BG1318" s="1"/>
      <c r="BH1318" s="1"/>
      <c r="BI1318" s="1"/>
      <c r="BJ1318" s="1"/>
      <c r="BK1318" s="1"/>
      <c r="BL1318" s="1"/>
      <c r="BM1318" s="1"/>
      <c r="BN1318" s="1"/>
      <c r="BO1318" s="1"/>
      <c r="BP1318" s="1"/>
      <c r="BQ1318" s="1"/>
      <c r="BR1318" s="1"/>
      <c r="BS1318" s="1" t="s">
        <v>8587</v>
      </c>
      <c r="BT1318" s="1" t="str">
        <f>HYPERLINK("https%3A%2F%2Fwww.webofscience.com%2Fwos%2Fwoscc%2Ffull-record%2FWOS:000540781400006","View Full Record in Web of Science")</f>
        <v>View Full Record in Web of Science</v>
      </c>
      <c r="BU1318" s="1"/>
      <c r="BV1318" s="1"/>
      <c r="BW1318" s="1"/>
    </row>
    <row r="1319" spans="1:75" customHeight="1" ht="12.75">
      <c r="A1319" s="1" t="s">
        <v>72</v>
      </c>
      <c r="B1319" s="1" t="s">
        <v>8588</v>
      </c>
      <c r="C1319" s="1"/>
      <c r="D1319" s="1"/>
      <c r="E1319" s="1"/>
      <c r="F1319" s="1" t="s">
        <v>8589</v>
      </c>
      <c r="G1319" s="1"/>
      <c r="H1319" s="1"/>
      <c r="I1319" s="1" t="s">
        <v>8590</v>
      </c>
      <c r="J1319" s="1" t="s">
        <v>95</v>
      </c>
      <c r="K1319" s="1"/>
      <c r="L1319" s="1"/>
      <c r="M1319" s="1"/>
      <c r="N1319" s="1"/>
      <c r="O1319" s="1"/>
      <c r="P1319" s="1"/>
      <c r="Q1319" s="1"/>
      <c r="R1319" s="1"/>
      <c r="S1319" s="1"/>
      <c r="T1319" s="1"/>
      <c r="U1319" s="1"/>
      <c r="V1319" s="1"/>
      <c r="W1319" s="1"/>
      <c r="X1319" s="1"/>
      <c r="Y1319" s="1"/>
      <c r="Z1319" s="1"/>
      <c r="AA1319" s="1" t="s">
        <v>7247</v>
      </c>
      <c r="AB1319" s="1" t="s">
        <v>7073</v>
      </c>
      <c r="AC1319" s="1"/>
      <c r="AD1319" s="1"/>
      <c r="AE1319" s="1"/>
      <c r="AF1319" s="1"/>
      <c r="AG1319" s="1"/>
      <c r="AH1319" s="1"/>
      <c r="AI1319" s="1"/>
      <c r="AJ1319" s="1"/>
      <c r="AK1319" s="1"/>
      <c r="AL1319" s="1"/>
      <c r="AM1319" s="1"/>
      <c r="AN1319" s="1"/>
      <c r="AO1319" s="1" t="s">
        <v>98</v>
      </c>
      <c r="AP1319" s="1" t="s">
        <v>99</v>
      </c>
      <c r="AQ1319" s="1"/>
      <c r="AR1319" s="1"/>
      <c r="AS1319" s="1"/>
      <c r="AT1319" s="1"/>
      <c r="AU1319" s="1">
        <v>2020</v>
      </c>
      <c r="AV1319" s="1"/>
      <c r="AW1319" s="1">
        <v>4</v>
      </c>
      <c r="AX1319" s="1"/>
      <c r="AY1319" s="1"/>
      <c r="AZ1319" s="1"/>
      <c r="BA1319" s="1"/>
      <c r="BB1319" s="1">
        <v>143</v>
      </c>
      <c r="BC1319" s="1">
        <v>148</v>
      </c>
      <c r="BD1319" s="1"/>
      <c r="BE1319" s="1" t="s">
        <v>8591</v>
      </c>
      <c r="BF1319" s="1" t="str">
        <f>HYPERLINK("http://dx.doi.org/10.25750/1995-4301-2020-4-143-148","http://dx.doi.org/10.25750/1995-4301-2020-4-143-148")</f>
        <v>http://dx.doi.org/10.25750/1995-4301-2020-4-143-148</v>
      </c>
      <c r="BG1319" s="1"/>
      <c r="BH1319" s="1"/>
      <c r="BI1319" s="1"/>
      <c r="BJ1319" s="1"/>
      <c r="BK1319" s="1"/>
      <c r="BL1319" s="1"/>
      <c r="BM1319" s="1"/>
      <c r="BN1319" s="1"/>
      <c r="BO1319" s="1"/>
      <c r="BP1319" s="1"/>
      <c r="BQ1319" s="1"/>
      <c r="BR1319" s="1"/>
      <c r="BS1319" s="1" t="s">
        <v>8592</v>
      </c>
      <c r="BT1319" s="1" t="str">
        <f>HYPERLINK("https%3A%2F%2Fwww.webofscience.com%2Fwos%2Fwoscc%2Ffull-record%2FWOS:000597810500022","View Full Record in Web of Science")</f>
        <v>View Full Record in Web of Science</v>
      </c>
      <c r="BU1319" s="1"/>
      <c r="BV1319" s="1"/>
      <c r="BW1319" s="1"/>
    </row>
    <row r="1320" spans="1:75" customHeight="1" ht="12.75">
      <c r="A1320" s="1" t="s">
        <v>72</v>
      </c>
      <c r="B1320" s="1" t="s">
        <v>8593</v>
      </c>
      <c r="C1320" s="1"/>
      <c r="D1320" s="1"/>
      <c r="E1320" s="1"/>
      <c r="F1320" s="1" t="s">
        <v>8594</v>
      </c>
      <c r="G1320" s="1"/>
      <c r="H1320" s="1"/>
      <c r="I1320" s="1" t="s">
        <v>8595</v>
      </c>
      <c r="J1320" s="1" t="s">
        <v>95</v>
      </c>
      <c r="K1320" s="1"/>
      <c r="L1320" s="1"/>
      <c r="M1320" s="1"/>
      <c r="N1320" s="1"/>
      <c r="O1320" s="1"/>
      <c r="P1320" s="1"/>
      <c r="Q1320" s="1"/>
      <c r="R1320" s="1"/>
      <c r="S1320" s="1"/>
      <c r="T1320" s="1"/>
      <c r="U1320" s="1"/>
      <c r="V1320" s="1"/>
      <c r="W1320" s="1"/>
      <c r="X1320" s="1"/>
      <c r="Y1320" s="1"/>
      <c r="Z1320" s="1"/>
      <c r="AA1320" s="1" t="s">
        <v>7247</v>
      </c>
      <c r="AB1320" s="1" t="s">
        <v>8596</v>
      </c>
      <c r="AC1320" s="1"/>
      <c r="AD1320" s="1"/>
      <c r="AE1320" s="1"/>
      <c r="AF1320" s="1"/>
      <c r="AG1320" s="1"/>
      <c r="AH1320" s="1"/>
      <c r="AI1320" s="1"/>
      <c r="AJ1320" s="1"/>
      <c r="AK1320" s="1"/>
      <c r="AL1320" s="1"/>
      <c r="AM1320" s="1"/>
      <c r="AN1320" s="1"/>
      <c r="AO1320" s="1" t="s">
        <v>98</v>
      </c>
      <c r="AP1320" s="1" t="s">
        <v>99</v>
      </c>
      <c r="AQ1320" s="1"/>
      <c r="AR1320" s="1"/>
      <c r="AS1320" s="1"/>
      <c r="AT1320" s="1"/>
      <c r="AU1320" s="1">
        <v>2022</v>
      </c>
      <c r="AV1320" s="1"/>
      <c r="AW1320" s="1">
        <v>1</v>
      </c>
      <c r="AX1320" s="1"/>
      <c r="AY1320" s="1"/>
      <c r="AZ1320" s="1"/>
      <c r="BA1320" s="1"/>
      <c r="BB1320" s="1">
        <v>102</v>
      </c>
      <c r="BC1320" s="1">
        <v>108</v>
      </c>
      <c r="BD1320" s="1"/>
      <c r="BE1320" s="1" t="s">
        <v>8597</v>
      </c>
      <c r="BF1320" s="1" t="str">
        <f>HYPERLINK("http://dx.doi.org/10.25750/1995-4301-2022-1-102-108","http://dx.doi.org/10.25750/1995-4301-2022-1-102-108")</f>
        <v>http://dx.doi.org/10.25750/1995-4301-2022-1-102-108</v>
      </c>
      <c r="BG1320" s="1"/>
      <c r="BH1320" s="1"/>
      <c r="BI1320" s="1"/>
      <c r="BJ1320" s="1"/>
      <c r="BK1320" s="1"/>
      <c r="BL1320" s="1"/>
      <c r="BM1320" s="1"/>
      <c r="BN1320" s="1"/>
      <c r="BO1320" s="1"/>
      <c r="BP1320" s="1"/>
      <c r="BQ1320" s="1"/>
      <c r="BR1320" s="1"/>
      <c r="BS1320" s="1" t="s">
        <v>8598</v>
      </c>
      <c r="BT1320" s="1" t="str">
        <f>HYPERLINK("https%3A%2F%2Fwww.webofscience.com%2Fwos%2Fwoscc%2Ffull-record%2FWOS:000819811100014","View Full Record in Web of Science")</f>
        <v>View Full Record in Web of Science</v>
      </c>
      <c r="BU1320" s="1"/>
      <c r="BV1320" s="1"/>
      <c r="BW1320" s="1"/>
    </row>
    <row r="1321" spans="1:75" customHeight="1" ht="12.75">
      <c r="A1321" s="1" t="s">
        <v>72</v>
      </c>
      <c r="B1321" s="1" t="s">
        <v>8599</v>
      </c>
      <c r="C1321" s="1"/>
      <c r="D1321" s="1"/>
      <c r="E1321" s="1"/>
      <c r="F1321" s="1" t="s">
        <v>8600</v>
      </c>
      <c r="G1321" s="1"/>
      <c r="H1321" s="1"/>
      <c r="I1321" s="1" t="s">
        <v>8601</v>
      </c>
      <c r="J1321" s="1" t="s">
        <v>95</v>
      </c>
      <c r="K1321" s="1"/>
      <c r="L1321" s="1"/>
      <c r="M1321" s="1"/>
      <c r="N1321" s="1"/>
      <c r="O1321" s="1"/>
      <c r="P1321" s="1"/>
      <c r="Q1321" s="1"/>
      <c r="R1321" s="1"/>
      <c r="S1321" s="1"/>
      <c r="T1321" s="1"/>
      <c r="U1321" s="1"/>
      <c r="V1321" s="1"/>
      <c r="W1321" s="1"/>
      <c r="X1321" s="1"/>
      <c r="Y1321" s="1"/>
      <c r="Z1321" s="1"/>
      <c r="AA1321" s="1"/>
      <c r="AB1321" s="1"/>
      <c r="AC1321" s="1"/>
      <c r="AD1321" s="1"/>
      <c r="AE1321" s="1"/>
      <c r="AF1321" s="1"/>
      <c r="AG1321" s="1"/>
      <c r="AH1321" s="1"/>
      <c r="AI1321" s="1"/>
      <c r="AJ1321" s="1"/>
      <c r="AK1321" s="1"/>
      <c r="AL1321" s="1"/>
      <c r="AM1321" s="1"/>
      <c r="AN1321" s="1"/>
      <c r="AO1321" s="1" t="s">
        <v>98</v>
      </c>
      <c r="AP1321" s="1" t="s">
        <v>99</v>
      </c>
      <c r="AQ1321" s="1"/>
      <c r="AR1321" s="1"/>
      <c r="AS1321" s="1"/>
      <c r="AT1321" s="1"/>
      <c r="AU1321" s="1">
        <v>2022</v>
      </c>
      <c r="AV1321" s="1"/>
      <c r="AW1321" s="1">
        <v>2</v>
      </c>
      <c r="AX1321" s="1"/>
      <c r="AY1321" s="1"/>
      <c r="AZ1321" s="1"/>
      <c r="BA1321" s="1"/>
      <c r="BB1321" s="1">
        <v>228</v>
      </c>
      <c r="BC1321" s="1">
        <v>233</v>
      </c>
      <c r="BD1321" s="1"/>
      <c r="BE1321" s="1" t="s">
        <v>8602</v>
      </c>
      <c r="BF1321" s="1" t="str">
        <f>HYPERLINK("http://dx.doi.org/10.5750/1995-4301-2022-2-228-233","http://dx.doi.org/10.5750/1995-4301-2022-2-228-233")</f>
        <v>http://dx.doi.org/10.5750/1995-4301-2022-2-228-233</v>
      </c>
      <c r="BG1321" s="1"/>
      <c r="BH1321" s="1"/>
      <c r="BI1321" s="1"/>
      <c r="BJ1321" s="1"/>
      <c r="BK1321" s="1"/>
      <c r="BL1321" s="1"/>
      <c r="BM1321" s="1"/>
      <c r="BN1321" s="1"/>
      <c r="BO1321" s="1"/>
      <c r="BP1321" s="1"/>
      <c r="BQ1321" s="1"/>
      <c r="BR1321" s="1"/>
      <c r="BS1321" s="1" t="s">
        <v>8603</v>
      </c>
      <c r="BT1321" s="1" t="str">
        <f>HYPERLINK("https%3A%2F%2Fwww.webofscience.com%2Fwos%2Fwoscc%2Ffull-record%2FWOS:000820802000029","View Full Record in Web of Science")</f>
        <v>View Full Record in Web of Science</v>
      </c>
      <c r="BU1321" s="1"/>
      <c r="BV1321" s="1"/>
      <c r="BW1321" s="1"/>
    </row>
    <row r="1322" spans="1:75" customHeight="1" ht="12.75">
      <c r="A1322" s="1" t="s">
        <v>72</v>
      </c>
      <c r="B1322" s="1" t="s">
        <v>7923</v>
      </c>
      <c r="C1322" s="1"/>
      <c r="D1322" s="1"/>
      <c r="E1322" s="1"/>
      <c r="F1322" s="1" t="s">
        <v>8604</v>
      </c>
      <c r="G1322" s="1"/>
      <c r="H1322" s="1"/>
      <c r="I1322" s="1" t="s">
        <v>8605</v>
      </c>
      <c r="J1322" s="1" t="s">
        <v>95</v>
      </c>
      <c r="K1322" s="1"/>
      <c r="L1322" s="1"/>
      <c r="M1322" s="1"/>
      <c r="N1322" s="1"/>
      <c r="O1322" s="1"/>
      <c r="P1322" s="1"/>
      <c r="Q1322" s="1"/>
      <c r="R1322" s="1"/>
      <c r="S1322" s="1"/>
      <c r="T1322" s="1"/>
      <c r="U1322" s="1"/>
      <c r="V1322" s="1"/>
      <c r="W1322" s="1"/>
      <c r="X1322" s="1"/>
      <c r="Y1322" s="1"/>
      <c r="Z1322" s="1"/>
      <c r="AA1322" s="1" t="s">
        <v>7769</v>
      </c>
      <c r="AB1322" s="1" t="s">
        <v>7770</v>
      </c>
      <c r="AC1322" s="1"/>
      <c r="AD1322" s="1"/>
      <c r="AE1322" s="1"/>
      <c r="AF1322" s="1"/>
      <c r="AG1322" s="1"/>
      <c r="AH1322" s="1"/>
      <c r="AI1322" s="1"/>
      <c r="AJ1322" s="1"/>
      <c r="AK1322" s="1"/>
      <c r="AL1322" s="1"/>
      <c r="AM1322" s="1"/>
      <c r="AN1322" s="1"/>
      <c r="AO1322" s="1" t="s">
        <v>98</v>
      </c>
      <c r="AP1322" s="1" t="s">
        <v>99</v>
      </c>
      <c r="AQ1322" s="1"/>
      <c r="AR1322" s="1"/>
      <c r="AS1322" s="1"/>
      <c r="AT1322" s="1"/>
      <c r="AU1322" s="1">
        <v>2019</v>
      </c>
      <c r="AV1322" s="1"/>
      <c r="AW1322" s="1">
        <v>2</v>
      </c>
      <c r="AX1322" s="1"/>
      <c r="AY1322" s="1"/>
      <c r="AZ1322" s="1"/>
      <c r="BA1322" s="1"/>
      <c r="BB1322" s="1">
        <v>14</v>
      </c>
      <c r="BC1322" s="1">
        <v>31</v>
      </c>
      <c r="BD1322" s="1"/>
      <c r="BE1322" s="1" t="s">
        <v>8606</v>
      </c>
      <c r="BF1322" s="1" t="str">
        <f>HYPERLINK("http://dx.doi.org/10.25750/1995-4301-2019-2-014-031","http://dx.doi.org/10.25750/1995-4301-2019-2-014-031")</f>
        <v>http://dx.doi.org/10.25750/1995-4301-2019-2-014-031</v>
      </c>
      <c r="BG1322" s="1"/>
      <c r="BH1322" s="1"/>
      <c r="BI1322" s="1"/>
      <c r="BJ1322" s="1"/>
      <c r="BK1322" s="1"/>
      <c r="BL1322" s="1"/>
      <c r="BM1322" s="1"/>
      <c r="BN1322" s="1"/>
      <c r="BO1322" s="1"/>
      <c r="BP1322" s="1"/>
      <c r="BQ1322" s="1"/>
      <c r="BR1322" s="1"/>
      <c r="BS1322" s="1" t="s">
        <v>8607</v>
      </c>
      <c r="BT1322" s="1" t="str">
        <f>HYPERLINK("https%3A%2F%2Fwww.webofscience.com%2Fwos%2Fwoscc%2Ffull-record%2FWOS:000477826000002","View Full Record in Web of Science")</f>
        <v>View Full Record in Web of Science</v>
      </c>
      <c r="BU1322" s="1"/>
      <c r="BV1322" s="1"/>
      <c r="BW1322" s="1"/>
    </row>
    <row r="1323" spans="1:75" customHeight="1" ht="12.75">
      <c r="A1323" s="1" t="s">
        <v>147</v>
      </c>
      <c r="B1323" s="1" t="s">
        <v>8608</v>
      </c>
      <c r="C1323" s="1"/>
      <c r="D1323" s="1" t="s">
        <v>8609</v>
      </c>
      <c r="E1323" s="1"/>
      <c r="F1323" s="1" t="s">
        <v>8610</v>
      </c>
      <c r="G1323" s="1"/>
      <c r="H1323" s="1"/>
      <c r="I1323" s="1" t="s">
        <v>8611</v>
      </c>
      <c r="J1323" s="1" t="s">
        <v>8612</v>
      </c>
      <c r="K1323" s="1"/>
      <c r="L1323" s="1"/>
      <c r="M1323" s="1"/>
      <c r="N1323" s="1"/>
      <c r="O1323" s="1" t="s">
        <v>8613</v>
      </c>
      <c r="P1323" s="1" t="s">
        <v>8614</v>
      </c>
      <c r="Q1323" s="1" t="s">
        <v>8615</v>
      </c>
      <c r="R1323" s="1" t="s">
        <v>8616</v>
      </c>
      <c r="S1323" s="1" t="s">
        <v>8617</v>
      </c>
      <c r="T1323" s="1"/>
      <c r="U1323" s="1"/>
      <c r="V1323" s="1"/>
      <c r="W1323" s="1"/>
      <c r="X1323" s="1"/>
      <c r="Y1323" s="1"/>
      <c r="Z1323" s="1"/>
      <c r="AA1323" s="1" t="s">
        <v>5324</v>
      </c>
      <c r="AB1323" s="1" t="s">
        <v>5325</v>
      </c>
      <c r="AC1323" s="1"/>
      <c r="AD1323" s="1"/>
      <c r="AE1323" s="1"/>
      <c r="AF1323" s="1"/>
      <c r="AG1323" s="1"/>
      <c r="AH1323" s="1"/>
      <c r="AI1323" s="1"/>
      <c r="AJ1323" s="1"/>
      <c r="AK1323" s="1"/>
      <c r="AL1323" s="1"/>
      <c r="AM1323" s="1"/>
      <c r="AN1323" s="1"/>
      <c r="AO1323" s="1"/>
      <c r="AP1323" s="1"/>
      <c r="AQ1323" s="1" t="s">
        <v>8618</v>
      </c>
      <c r="AR1323" s="1"/>
      <c r="AS1323" s="1"/>
      <c r="AT1323" s="1"/>
      <c r="AU1323" s="1">
        <v>2017</v>
      </c>
      <c r="AV1323" s="1"/>
      <c r="AW1323" s="1"/>
      <c r="AX1323" s="1"/>
      <c r="AY1323" s="1"/>
      <c r="AZ1323" s="1"/>
      <c r="BA1323" s="1"/>
      <c r="BB1323" s="1">
        <v>87</v>
      </c>
      <c r="BC1323" s="1">
        <v>92</v>
      </c>
      <c r="BD1323" s="1"/>
      <c r="BE1323" s="1" t="s">
        <v>8619</v>
      </c>
      <c r="BF1323" s="1" t="str">
        <f>HYPERLINK("http://dx.doi.org/10.1109/WAINA.2017.116","http://dx.doi.org/10.1109/WAINA.2017.116")</f>
        <v>http://dx.doi.org/10.1109/WAINA.2017.116</v>
      </c>
      <c r="BG1323" s="1"/>
      <c r="BH1323" s="1"/>
      <c r="BI1323" s="1"/>
      <c r="BJ1323" s="1"/>
      <c r="BK1323" s="1"/>
      <c r="BL1323" s="1"/>
      <c r="BM1323" s="1"/>
      <c r="BN1323" s="1"/>
      <c r="BO1323" s="1"/>
      <c r="BP1323" s="1"/>
      <c r="BQ1323" s="1"/>
      <c r="BR1323" s="1"/>
      <c r="BS1323" s="1" t="s">
        <v>8620</v>
      </c>
      <c r="BT1323" s="1" t="str">
        <f>HYPERLINK("https%3A%2F%2Fwww.webofscience.com%2Fwos%2Fwoscc%2Ffull-record%2FWOS:000403401900016","View Full Record in Web of Science")</f>
        <v>View Full Record in Web of Science</v>
      </c>
      <c r="BU1323" s="1"/>
      <c r="BV1323" s="1"/>
      <c r="BW1323" s="1"/>
    </row>
    <row r="1324" spans="1:75" customHeight="1" ht="12.75">
      <c r="A1324" s="1" t="s">
        <v>72</v>
      </c>
      <c r="B1324" s="1" t="s">
        <v>8621</v>
      </c>
      <c r="C1324" s="1"/>
      <c r="D1324" s="1"/>
      <c r="E1324" s="1"/>
      <c r="F1324" s="1" t="s">
        <v>8622</v>
      </c>
      <c r="G1324" s="1"/>
      <c r="H1324" s="1"/>
      <c r="I1324" s="1" t="s">
        <v>8623</v>
      </c>
      <c r="J1324" s="1" t="s">
        <v>95</v>
      </c>
      <c r="K1324" s="1"/>
      <c r="L1324" s="1"/>
      <c r="M1324" s="1"/>
      <c r="N1324" s="1"/>
      <c r="O1324" s="1"/>
      <c r="P1324" s="1"/>
      <c r="Q1324" s="1"/>
      <c r="R1324" s="1"/>
      <c r="S1324" s="1"/>
      <c r="T1324" s="1"/>
      <c r="U1324" s="1"/>
      <c r="V1324" s="1"/>
      <c r="W1324" s="1"/>
      <c r="X1324" s="1"/>
      <c r="Y1324" s="1"/>
      <c r="Z1324" s="1"/>
      <c r="AA1324" s="1" t="s">
        <v>7213</v>
      </c>
      <c r="AB1324" s="1" t="s">
        <v>7214</v>
      </c>
      <c r="AC1324" s="1"/>
      <c r="AD1324" s="1"/>
      <c r="AE1324" s="1"/>
      <c r="AF1324" s="1"/>
      <c r="AG1324" s="1"/>
      <c r="AH1324" s="1"/>
      <c r="AI1324" s="1"/>
      <c r="AJ1324" s="1"/>
      <c r="AK1324" s="1"/>
      <c r="AL1324" s="1"/>
      <c r="AM1324" s="1"/>
      <c r="AN1324" s="1"/>
      <c r="AO1324" s="1" t="s">
        <v>98</v>
      </c>
      <c r="AP1324" s="1" t="s">
        <v>99</v>
      </c>
      <c r="AQ1324" s="1"/>
      <c r="AR1324" s="1"/>
      <c r="AS1324" s="1"/>
      <c r="AT1324" s="1"/>
      <c r="AU1324" s="1">
        <v>2020</v>
      </c>
      <c r="AV1324" s="1"/>
      <c r="AW1324" s="1">
        <v>4</v>
      </c>
      <c r="AX1324" s="1"/>
      <c r="AY1324" s="1"/>
      <c r="AZ1324" s="1"/>
      <c r="BA1324" s="1"/>
      <c r="BB1324" s="1">
        <v>176</v>
      </c>
      <c r="BC1324" s="1">
        <v>184</v>
      </c>
      <c r="BD1324" s="1"/>
      <c r="BE1324" s="1" t="s">
        <v>8624</v>
      </c>
      <c r="BF1324" s="1" t="str">
        <f>HYPERLINK("http://dx.doi.org/10.25750/1995-4301-2020-4-176-184","http://dx.doi.org/10.25750/1995-4301-2020-4-176-184")</f>
        <v>http://dx.doi.org/10.25750/1995-4301-2020-4-176-184</v>
      </c>
      <c r="BG1324" s="1"/>
      <c r="BH1324" s="1"/>
      <c r="BI1324" s="1"/>
      <c r="BJ1324" s="1"/>
      <c r="BK1324" s="1"/>
      <c r="BL1324" s="1"/>
      <c r="BM1324" s="1"/>
      <c r="BN1324" s="1"/>
      <c r="BO1324" s="1"/>
      <c r="BP1324" s="1"/>
      <c r="BQ1324" s="1"/>
      <c r="BR1324" s="1"/>
      <c r="BS1324" s="1" t="s">
        <v>8625</v>
      </c>
      <c r="BT1324" s="1" t="str">
        <f>HYPERLINK("https%3A%2F%2Fwww.webofscience.com%2Fwos%2Fwoscc%2Ffull-record%2FWOS:000597810500027","View Full Record in Web of Science")</f>
        <v>View Full Record in Web of Science</v>
      </c>
      <c r="BU1324" s="1"/>
      <c r="BV1324" s="1"/>
      <c r="BW1324" s="1"/>
    </row>
    <row r="1325" spans="1:75" customHeight="1" ht="12.75">
      <c r="A1325" s="1" t="s">
        <v>72</v>
      </c>
      <c r="B1325" s="1" t="s">
        <v>8626</v>
      </c>
      <c r="C1325" s="1"/>
      <c r="D1325" s="1"/>
      <c r="E1325" s="1"/>
      <c r="F1325" s="1" t="s">
        <v>8627</v>
      </c>
      <c r="G1325" s="1"/>
      <c r="H1325" s="1"/>
      <c r="I1325" s="1" t="s">
        <v>8628</v>
      </c>
      <c r="J1325" s="1" t="s">
        <v>3610</v>
      </c>
      <c r="K1325" s="1"/>
      <c r="L1325" s="1"/>
      <c r="M1325" s="1"/>
      <c r="N1325" s="1"/>
      <c r="O1325" s="1"/>
      <c r="P1325" s="1"/>
      <c r="Q1325" s="1"/>
      <c r="R1325" s="1"/>
      <c r="S1325" s="1"/>
      <c r="T1325" s="1"/>
      <c r="U1325" s="1"/>
      <c r="V1325" s="1"/>
      <c r="W1325" s="1"/>
      <c r="X1325" s="1"/>
      <c r="Y1325" s="1"/>
      <c r="Z1325" s="1"/>
      <c r="AA1325" s="1" t="s">
        <v>8629</v>
      </c>
      <c r="AB1325" s="1" t="s">
        <v>8630</v>
      </c>
      <c r="AC1325" s="1"/>
      <c r="AD1325" s="1"/>
      <c r="AE1325" s="1"/>
      <c r="AF1325" s="1"/>
      <c r="AG1325" s="1"/>
      <c r="AH1325" s="1"/>
      <c r="AI1325" s="1"/>
      <c r="AJ1325" s="1"/>
      <c r="AK1325" s="1"/>
      <c r="AL1325" s="1"/>
      <c r="AM1325" s="1"/>
      <c r="AN1325" s="1"/>
      <c r="AO1325" s="1" t="s">
        <v>3613</v>
      </c>
      <c r="AP1325" s="1" t="s">
        <v>4602</v>
      </c>
      <c r="AQ1325" s="1"/>
      <c r="AR1325" s="1"/>
      <c r="AS1325" s="1"/>
      <c r="AT1325" s="1" t="s">
        <v>88</v>
      </c>
      <c r="AU1325" s="1">
        <v>2018</v>
      </c>
      <c r="AV1325" s="1">
        <v>51</v>
      </c>
      <c r="AW1325" s="1">
        <v>5</v>
      </c>
      <c r="AX1325" s="1"/>
      <c r="AY1325" s="1"/>
      <c r="AZ1325" s="1"/>
      <c r="BA1325" s="1"/>
      <c r="BB1325" s="1">
        <v>550</v>
      </c>
      <c r="BC1325" s="1">
        <v>560</v>
      </c>
      <c r="BD1325" s="1"/>
      <c r="BE1325" s="1" t="s">
        <v>8631</v>
      </c>
      <c r="BF1325" s="1" t="str">
        <f>HYPERLINK("http://dx.doi.org/10.1134/S1064229318030031","http://dx.doi.org/10.1134/S1064229318030031")</f>
        <v>http://dx.doi.org/10.1134/S1064229318030031</v>
      </c>
      <c r="BG1325" s="1"/>
      <c r="BH1325" s="1"/>
      <c r="BI1325" s="1"/>
      <c r="BJ1325" s="1"/>
      <c r="BK1325" s="1"/>
      <c r="BL1325" s="1"/>
      <c r="BM1325" s="1"/>
      <c r="BN1325" s="1"/>
      <c r="BO1325" s="1"/>
      <c r="BP1325" s="1"/>
      <c r="BQ1325" s="1"/>
      <c r="BR1325" s="1"/>
      <c r="BS1325" s="1" t="s">
        <v>8632</v>
      </c>
      <c r="BT1325" s="1" t="str">
        <f>HYPERLINK("https%3A%2F%2Fwww.webofscience.com%2Fwos%2Fwoscc%2Ffull-record%2FWOS:000433121200008","View Full Record in Web of Science")</f>
        <v>View Full Record in Web of Science</v>
      </c>
      <c r="BU1325" s="1"/>
      <c r="BV1325" s="1"/>
      <c r="BW1325" s="1"/>
    </row>
    <row r="1326" spans="1:75" customHeight="1" ht="12.75">
      <c r="A1326" s="1" t="s">
        <v>72</v>
      </c>
      <c r="B1326" s="1" t="s">
        <v>8633</v>
      </c>
      <c r="C1326" s="1"/>
      <c r="D1326" s="1"/>
      <c r="E1326" s="1"/>
      <c r="F1326" s="1" t="s">
        <v>8634</v>
      </c>
      <c r="G1326" s="1"/>
      <c r="H1326" s="1"/>
      <c r="I1326" s="1" t="s">
        <v>8635</v>
      </c>
      <c r="J1326" s="1" t="s">
        <v>793</v>
      </c>
      <c r="K1326" s="1"/>
      <c r="L1326" s="1"/>
      <c r="M1326" s="1"/>
      <c r="N1326" s="1"/>
      <c r="O1326" s="1"/>
      <c r="P1326" s="1"/>
      <c r="Q1326" s="1"/>
      <c r="R1326" s="1"/>
      <c r="S1326" s="1"/>
      <c r="T1326" s="1"/>
      <c r="U1326" s="1"/>
      <c r="V1326" s="1"/>
      <c r="W1326" s="1"/>
      <c r="X1326" s="1"/>
      <c r="Y1326" s="1"/>
      <c r="Z1326" s="1"/>
      <c r="AA1326" s="1" t="s">
        <v>7914</v>
      </c>
      <c r="AB1326" s="1" t="s">
        <v>7915</v>
      </c>
      <c r="AC1326" s="1"/>
      <c r="AD1326" s="1"/>
      <c r="AE1326" s="1"/>
      <c r="AF1326" s="1"/>
      <c r="AG1326" s="1"/>
      <c r="AH1326" s="1"/>
      <c r="AI1326" s="1"/>
      <c r="AJ1326" s="1"/>
      <c r="AK1326" s="1"/>
      <c r="AL1326" s="1"/>
      <c r="AM1326" s="1"/>
      <c r="AN1326" s="1"/>
      <c r="AO1326" s="1" t="s">
        <v>795</v>
      </c>
      <c r="AP1326" s="1" t="s">
        <v>796</v>
      </c>
      <c r="AQ1326" s="1"/>
      <c r="AR1326" s="1"/>
      <c r="AS1326" s="1"/>
      <c r="AT1326" s="1" t="s">
        <v>319</v>
      </c>
      <c r="AU1326" s="1">
        <v>2015</v>
      </c>
      <c r="AV1326" s="1">
        <v>8</v>
      </c>
      <c r="AW1326" s="1">
        <v>6</v>
      </c>
      <c r="AX1326" s="1"/>
      <c r="AY1326" s="1"/>
      <c r="AZ1326" s="1"/>
      <c r="BA1326" s="1"/>
      <c r="BB1326" s="1">
        <v>695</v>
      </c>
      <c r="BC1326" s="1">
        <v>702</v>
      </c>
      <c r="BD1326" s="1"/>
      <c r="BE1326" s="1" t="s">
        <v>8636</v>
      </c>
      <c r="BF1326" s="1" t="str">
        <f>HYPERLINK("http://dx.doi.org/10.1134/S1995425515060050","http://dx.doi.org/10.1134/S1995425515060050")</f>
        <v>http://dx.doi.org/10.1134/S1995425515060050</v>
      </c>
      <c r="BG1326" s="1"/>
      <c r="BH1326" s="1"/>
      <c r="BI1326" s="1"/>
      <c r="BJ1326" s="1"/>
      <c r="BK1326" s="1"/>
      <c r="BL1326" s="1"/>
      <c r="BM1326" s="1"/>
      <c r="BN1326" s="1"/>
      <c r="BO1326" s="1"/>
      <c r="BP1326" s="1"/>
      <c r="BQ1326" s="1"/>
      <c r="BR1326" s="1"/>
      <c r="BS1326" s="1" t="s">
        <v>8637</v>
      </c>
      <c r="BT1326" s="1" t="str">
        <f>HYPERLINK("https%3A%2F%2Fwww.webofscience.com%2Fwos%2Fwoscc%2Ffull-record%2FWOS:000366640300004","View Full Record in Web of Science")</f>
        <v>View Full Record in Web of Science</v>
      </c>
      <c r="BU1326" s="1"/>
      <c r="BV1326" s="1"/>
      <c r="BW1326" s="1"/>
    </row>
    <row r="1327" spans="1:75" customHeight="1" ht="12.75">
      <c r="A1327" s="1" t="s">
        <v>72</v>
      </c>
      <c r="B1327" s="1" t="s">
        <v>8638</v>
      </c>
      <c r="C1327" s="1"/>
      <c r="D1327" s="1"/>
      <c r="E1327" s="1"/>
      <c r="F1327" s="1" t="s">
        <v>8639</v>
      </c>
      <c r="G1327" s="1"/>
      <c r="H1327" s="1"/>
      <c r="I1327" s="1" t="s">
        <v>8640</v>
      </c>
      <c r="J1327" s="1" t="s">
        <v>8641</v>
      </c>
      <c r="K1327" s="1"/>
      <c r="L1327" s="1"/>
      <c r="M1327" s="1"/>
      <c r="N1327" s="1"/>
      <c r="O1327" s="1"/>
      <c r="P1327" s="1"/>
      <c r="Q1327" s="1"/>
      <c r="R1327" s="1"/>
      <c r="S1327" s="1"/>
      <c r="T1327" s="1"/>
      <c r="U1327" s="1"/>
      <c r="V1327" s="1"/>
      <c r="W1327" s="1"/>
      <c r="X1327" s="1"/>
      <c r="Y1327" s="1"/>
      <c r="Z1327" s="1"/>
      <c r="AA1327" s="1" t="s">
        <v>8642</v>
      </c>
      <c r="AB1327" s="1" t="s">
        <v>8643</v>
      </c>
      <c r="AC1327" s="1"/>
      <c r="AD1327" s="1"/>
      <c r="AE1327" s="1"/>
      <c r="AF1327" s="1"/>
      <c r="AG1327" s="1"/>
      <c r="AH1327" s="1"/>
      <c r="AI1327" s="1"/>
      <c r="AJ1327" s="1"/>
      <c r="AK1327" s="1"/>
      <c r="AL1327" s="1"/>
      <c r="AM1327" s="1"/>
      <c r="AN1327" s="1"/>
      <c r="AO1327" s="1" t="s">
        <v>8644</v>
      </c>
      <c r="AP1327" s="1" t="s">
        <v>8645</v>
      </c>
      <c r="AQ1327" s="1"/>
      <c r="AR1327" s="1"/>
      <c r="AS1327" s="1"/>
      <c r="AT1327" s="1" t="s">
        <v>8646</v>
      </c>
      <c r="AU1327" s="1">
        <v>2022</v>
      </c>
      <c r="AV1327" s="1">
        <v>34</v>
      </c>
      <c r="AW1327" s="1">
        <v>10</v>
      </c>
      <c r="AX1327" s="1"/>
      <c r="AY1327" s="1"/>
      <c r="AZ1327" s="1"/>
      <c r="BA1327" s="1"/>
      <c r="BB1327" s="1">
        <v>4785</v>
      </c>
      <c r="BC1327" s="1">
        <v>4794</v>
      </c>
      <c r="BD1327" s="1"/>
      <c r="BE1327" s="1" t="s">
        <v>8647</v>
      </c>
      <c r="BF1327" s="1" t="str">
        <f>HYPERLINK("http://dx.doi.org/10.1021/acs.chemmater.2c01159","http://dx.doi.org/10.1021/acs.chemmater.2c01159")</f>
        <v>http://dx.doi.org/10.1021/acs.chemmater.2c01159</v>
      </c>
      <c r="BG1327" s="1"/>
      <c r="BH1327" s="1"/>
      <c r="BI1327" s="1"/>
      <c r="BJ1327" s="1"/>
      <c r="BK1327" s="1"/>
      <c r="BL1327" s="1"/>
      <c r="BM1327" s="1"/>
      <c r="BN1327" s="1"/>
      <c r="BO1327" s="1"/>
      <c r="BP1327" s="1"/>
      <c r="BQ1327" s="1"/>
      <c r="BR1327" s="1"/>
      <c r="BS1327" s="1" t="s">
        <v>8648</v>
      </c>
      <c r="BT1327" s="1" t="str">
        <f>HYPERLINK("https%3A%2F%2Fwww.webofscience.com%2Fwos%2Fwoscc%2Ffull-record%2FWOS:000805874800051","View Full Record in Web of Science")</f>
        <v>View Full Record in Web of Science</v>
      </c>
      <c r="BU1327" s="1"/>
      <c r="BV1327" s="1"/>
      <c r="BW1327" s="1"/>
    </row>
    <row r="1328" spans="1:75" customHeight="1" ht="12.75">
      <c r="A1328" s="1" t="s">
        <v>72</v>
      </c>
      <c r="B1328" s="1" t="s">
        <v>8649</v>
      </c>
      <c r="C1328" s="1"/>
      <c r="D1328" s="1"/>
      <c r="E1328" s="1"/>
      <c r="F1328" s="1" t="s">
        <v>8650</v>
      </c>
      <c r="G1328" s="1"/>
      <c r="H1328" s="1"/>
      <c r="I1328" s="1" t="s">
        <v>8651</v>
      </c>
      <c r="J1328" s="1" t="s">
        <v>95</v>
      </c>
      <c r="K1328" s="1"/>
      <c r="L1328" s="1"/>
      <c r="M1328" s="1"/>
      <c r="N1328" s="1"/>
      <c r="O1328" s="1"/>
      <c r="P1328" s="1"/>
      <c r="Q1328" s="1"/>
      <c r="R1328" s="1"/>
      <c r="S1328" s="1"/>
      <c r="T1328" s="1"/>
      <c r="U1328" s="1"/>
      <c r="V1328" s="1"/>
      <c r="W1328" s="1"/>
      <c r="X1328" s="1"/>
      <c r="Y1328" s="1"/>
      <c r="Z1328" s="1"/>
      <c r="AA1328" s="1" t="s">
        <v>8652</v>
      </c>
      <c r="AB1328" s="1" t="s">
        <v>8653</v>
      </c>
      <c r="AC1328" s="1"/>
      <c r="AD1328" s="1"/>
      <c r="AE1328" s="1"/>
      <c r="AF1328" s="1"/>
      <c r="AG1328" s="1"/>
      <c r="AH1328" s="1"/>
      <c r="AI1328" s="1"/>
      <c r="AJ1328" s="1"/>
      <c r="AK1328" s="1"/>
      <c r="AL1328" s="1"/>
      <c r="AM1328" s="1"/>
      <c r="AN1328" s="1"/>
      <c r="AO1328" s="1" t="s">
        <v>98</v>
      </c>
      <c r="AP1328" s="1" t="s">
        <v>99</v>
      </c>
      <c r="AQ1328" s="1"/>
      <c r="AR1328" s="1"/>
      <c r="AS1328" s="1"/>
      <c r="AT1328" s="1"/>
      <c r="AU1328" s="1">
        <v>2018</v>
      </c>
      <c r="AV1328" s="1"/>
      <c r="AW1328" s="1">
        <v>3</v>
      </c>
      <c r="AX1328" s="1"/>
      <c r="AY1328" s="1"/>
      <c r="AZ1328" s="1"/>
      <c r="BA1328" s="1"/>
      <c r="BB1328" s="1">
        <v>12</v>
      </c>
      <c r="BC1328" s="1">
        <v>18</v>
      </c>
      <c r="BD1328" s="1"/>
      <c r="BE1328" s="1" t="s">
        <v>8654</v>
      </c>
      <c r="BF1328" s="1" t="str">
        <f>HYPERLINK("http://dx.doi.org/10.25750/1995-4301-2018-3-012-018","http://dx.doi.org/10.25750/1995-4301-2018-3-012-018")</f>
        <v>http://dx.doi.org/10.25750/1995-4301-2018-3-012-018</v>
      </c>
      <c r="BG1328" s="1"/>
      <c r="BH1328" s="1"/>
      <c r="BI1328" s="1"/>
      <c r="BJ1328" s="1"/>
      <c r="BK1328" s="1"/>
      <c r="BL1328" s="1"/>
      <c r="BM1328" s="1"/>
      <c r="BN1328" s="1"/>
      <c r="BO1328" s="1"/>
      <c r="BP1328" s="1"/>
      <c r="BQ1328" s="1"/>
      <c r="BR1328" s="1"/>
      <c r="BS1328" s="1" t="s">
        <v>8655</v>
      </c>
      <c r="BT1328" s="1" t="str">
        <f>HYPERLINK("https%3A%2F%2Fwww.webofscience.com%2Fwos%2Fwoscc%2Ffull-record%2FWOS:000468564900002","View Full Record in Web of Science")</f>
        <v>View Full Record in Web of Science</v>
      </c>
      <c r="BU1328" s="1"/>
      <c r="BV1328" s="1"/>
      <c r="BW1328" s="1"/>
    </row>
    <row r="1329" spans="1:75" customHeight="1" ht="12.75">
      <c r="A1329" s="1" t="s">
        <v>72</v>
      </c>
      <c r="B1329" s="1" t="s">
        <v>8656</v>
      </c>
      <c r="C1329" s="1"/>
      <c r="D1329" s="1"/>
      <c r="E1329" s="1"/>
      <c r="F1329" s="1" t="s">
        <v>8657</v>
      </c>
      <c r="G1329" s="1"/>
      <c r="H1329" s="1"/>
      <c r="I1329" s="1" t="s">
        <v>8658</v>
      </c>
      <c r="J1329" s="1" t="s">
        <v>5813</v>
      </c>
      <c r="K1329" s="1"/>
      <c r="L1329" s="1"/>
      <c r="M1329" s="1"/>
      <c r="N1329" s="1"/>
      <c r="O1329" s="1"/>
      <c r="P1329" s="1"/>
      <c r="Q1329" s="1"/>
      <c r="R1329" s="1"/>
      <c r="S1329" s="1"/>
      <c r="T1329" s="1"/>
      <c r="U1329" s="1"/>
      <c r="V1329" s="1"/>
      <c r="W1329" s="1"/>
      <c r="X1329" s="1"/>
      <c r="Y1329" s="1"/>
      <c r="Z1329" s="1"/>
      <c r="AA1329" s="1" t="s">
        <v>8659</v>
      </c>
      <c r="AB1329" s="1" t="s">
        <v>8660</v>
      </c>
      <c r="AC1329" s="1"/>
      <c r="AD1329" s="1"/>
      <c r="AE1329" s="1"/>
      <c r="AF1329" s="1"/>
      <c r="AG1329" s="1"/>
      <c r="AH1329" s="1"/>
      <c r="AI1329" s="1"/>
      <c r="AJ1329" s="1"/>
      <c r="AK1329" s="1"/>
      <c r="AL1329" s="1"/>
      <c r="AM1329" s="1"/>
      <c r="AN1329" s="1"/>
      <c r="AO1329" s="1" t="s">
        <v>5814</v>
      </c>
      <c r="AP1329" s="1" t="s">
        <v>5815</v>
      </c>
      <c r="AQ1329" s="1"/>
      <c r="AR1329" s="1"/>
      <c r="AS1329" s="1"/>
      <c r="AT1329" s="1" t="s">
        <v>491</v>
      </c>
      <c r="AU1329" s="1">
        <v>2018</v>
      </c>
      <c r="AV1329" s="1">
        <v>62</v>
      </c>
      <c r="AW1329" s="1">
        <v>6</v>
      </c>
      <c r="AX1329" s="1"/>
      <c r="AY1329" s="1"/>
      <c r="AZ1329" s="1"/>
      <c r="BA1329" s="1"/>
      <c r="BB1329" s="1">
        <v>75</v>
      </c>
      <c r="BC1329" s="1">
        <v>79</v>
      </c>
      <c r="BD1329" s="1"/>
      <c r="BE1329" s="1" t="s">
        <v>8661</v>
      </c>
      <c r="BF1329" s="1" t="str">
        <f>HYPERLINK("http://dx.doi.org/10.3103/S1066369X18060087","http://dx.doi.org/10.3103/S1066369X18060087")</f>
        <v>http://dx.doi.org/10.3103/S1066369X18060087</v>
      </c>
      <c r="BG1329" s="1"/>
      <c r="BH1329" s="1"/>
      <c r="BI1329" s="1"/>
      <c r="BJ1329" s="1"/>
      <c r="BK1329" s="1"/>
      <c r="BL1329" s="1"/>
      <c r="BM1329" s="1"/>
      <c r="BN1329" s="1"/>
      <c r="BO1329" s="1"/>
      <c r="BP1329" s="1"/>
      <c r="BQ1329" s="1"/>
      <c r="BR1329" s="1"/>
      <c r="BS1329" s="1" t="s">
        <v>8662</v>
      </c>
      <c r="BT1329" s="1" t="str">
        <f>HYPERLINK("https%3A%2F%2Fwww.webofscience.com%2Fwos%2Fwoscc%2Ffull-record%2FWOS:000433579100008","View Full Record in Web of Science")</f>
        <v>View Full Record in Web of Science</v>
      </c>
      <c r="BU1329" s="1"/>
      <c r="BV1329" s="1"/>
      <c r="BW1329" s="1"/>
    </row>
    <row r="1330" spans="1:75" customHeight="1" ht="12.75">
      <c r="A1330" s="1" t="s">
        <v>72</v>
      </c>
      <c r="B1330" s="1" t="s">
        <v>8663</v>
      </c>
      <c r="C1330" s="1"/>
      <c r="D1330" s="1"/>
      <c r="E1330" s="1"/>
      <c r="F1330" s="1" t="s">
        <v>8664</v>
      </c>
      <c r="G1330" s="1"/>
      <c r="H1330" s="1"/>
      <c r="I1330" s="1" t="s">
        <v>8665</v>
      </c>
      <c r="J1330" s="1" t="s">
        <v>95</v>
      </c>
      <c r="K1330" s="1"/>
      <c r="L1330" s="1"/>
      <c r="M1330" s="1"/>
      <c r="N1330" s="1"/>
      <c r="O1330" s="1"/>
      <c r="P1330" s="1"/>
      <c r="Q1330" s="1"/>
      <c r="R1330" s="1"/>
      <c r="S1330" s="1"/>
      <c r="T1330" s="1"/>
      <c r="U1330" s="1"/>
      <c r="V1330" s="1"/>
      <c r="W1330" s="1"/>
      <c r="X1330" s="1"/>
      <c r="Y1330" s="1"/>
      <c r="Z1330" s="1"/>
      <c r="AA1330" s="1" t="s">
        <v>8666</v>
      </c>
      <c r="AB1330" s="1" t="s">
        <v>8667</v>
      </c>
      <c r="AC1330" s="1"/>
      <c r="AD1330" s="1"/>
      <c r="AE1330" s="1"/>
      <c r="AF1330" s="1"/>
      <c r="AG1330" s="1"/>
      <c r="AH1330" s="1"/>
      <c r="AI1330" s="1"/>
      <c r="AJ1330" s="1"/>
      <c r="AK1330" s="1"/>
      <c r="AL1330" s="1"/>
      <c r="AM1330" s="1"/>
      <c r="AN1330" s="1"/>
      <c r="AO1330" s="1" t="s">
        <v>98</v>
      </c>
      <c r="AP1330" s="1" t="s">
        <v>99</v>
      </c>
      <c r="AQ1330" s="1"/>
      <c r="AR1330" s="1"/>
      <c r="AS1330" s="1"/>
      <c r="AT1330" s="1"/>
      <c r="AU1330" s="1">
        <v>2018</v>
      </c>
      <c r="AV1330" s="1"/>
      <c r="AW1330" s="1">
        <v>4</v>
      </c>
      <c r="AX1330" s="1"/>
      <c r="AY1330" s="1"/>
      <c r="AZ1330" s="1"/>
      <c r="BA1330" s="1"/>
      <c r="BB1330" s="1">
        <v>114</v>
      </c>
      <c r="BC1330" s="1">
        <v>118</v>
      </c>
      <c r="BD1330" s="1"/>
      <c r="BE1330" s="1" t="s">
        <v>8668</v>
      </c>
      <c r="BF1330" s="1" t="str">
        <f>HYPERLINK("http://dx.doi.org/10.25750/1995-4301-2018-4-114-118","http://dx.doi.org/10.25750/1995-4301-2018-4-114-118")</f>
        <v>http://dx.doi.org/10.25750/1995-4301-2018-4-114-118</v>
      </c>
      <c r="BG1330" s="1"/>
      <c r="BH1330" s="1"/>
      <c r="BI1330" s="1"/>
      <c r="BJ1330" s="1"/>
      <c r="BK1330" s="1"/>
      <c r="BL1330" s="1"/>
      <c r="BM1330" s="1"/>
      <c r="BN1330" s="1"/>
      <c r="BO1330" s="1"/>
      <c r="BP1330" s="1"/>
      <c r="BQ1330" s="1"/>
      <c r="BR1330" s="1"/>
      <c r="BS1330" s="1" t="s">
        <v>8669</v>
      </c>
      <c r="BT1330" s="1" t="str">
        <f>HYPERLINK("https%3A%2F%2Fwww.webofscience.com%2Fwos%2Fwoscc%2Ffull-record%2FWOS:000468565300015","View Full Record in Web of Science")</f>
        <v>View Full Record in Web of Science</v>
      </c>
      <c r="BU1330" s="1"/>
      <c r="BV1330" s="1"/>
      <c r="BW1330" s="1"/>
    </row>
    <row r="1331" spans="1:75" customHeight="1" ht="12.75">
      <c r="A1331" s="1" t="s">
        <v>72</v>
      </c>
      <c r="B1331" s="1" t="s">
        <v>8670</v>
      </c>
      <c r="C1331" s="1"/>
      <c r="D1331" s="1"/>
      <c r="E1331" s="1"/>
      <c r="F1331" s="1" t="s">
        <v>8671</v>
      </c>
      <c r="G1331" s="1"/>
      <c r="H1331" s="1"/>
      <c r="I1331" s="1" t="s">
        <v>8672</v>
      </c>
      <c r="J1331" s="1" t="s">
        <v>971</v>
      </c>
      <c r="K1331" s="1"/>
      <c r="L1331" s="1"/>
      <c r="M1331" s="1"/>
      <c r="N1331" s="1"/>
      <c r="O1331" s="1"/>
      <c r="P1331" s="1"/>
      <c r="Q1331" s="1"/>
      <c r="R1331" s="1"/>
      <c r="S1331" s="1"/>
      <c r="T1331" s="1"/>
      <c r="U1331" s="1"/>
      <c r="V1331" s="1"/>
      <c r="W1331" s="1"/>
      <c r="X1331" s="1"/>
      <c r="Y1331" s="1"/>
      <c r="Z1331" s="1"/>
      <c r="AA1331" s="1" t="s">
        <v>8673</v>
      </c>
      <c r="AB1331" s="1" t="s">
        <v>6602</v>
      </c>
      <c r="AC1331" s="1"/>
      <c r="AD1331" s="1"/>
      <c r="AE1331" s="1"/>
      <c r="AF1331" s="1"/>
      <c r="AG1331" s="1"/>
      <c r="AH1331" s="1"/>
      <c r="AI1331" s="1"/>
      <c r="AJ1331" s="1"/>
      <c r="AK1331" s="1"/>
      <c r="AL1331" s="1"/>
      <c r="AM1331" s="1"/>
      <c r="AN1331" s="1"/>
      <c r="AO1331" s="1" t="s">
        <v>973</v>
      </c>
      <c r="AP1331" s="1" t="s">
        <v>974</v>
      </c>
      <c r="AQ1331" s="1"/>
      <c r="AR1331" s="1"/>
      <c r="AS1331" s="1"/>
      <c r="AT1331" s="1" t="s">
        <v>171</v>
      </c>
      <c r="AU1331" s="1">
        <v>2017</v>
      </c>
      <c r="AV1331" s="1">
        <v>53</v>
      </c>
      <c r="AW1331" s="1">
        <v>2</v>
      </c>
      <c r="AX1331" s="1"/>
      <c r="AY1331" s="1"/>
      <c r="AZ1331" s="1"/>
      <c r="BA1331" s="1"/>
      <c r="BB1331" s="1">
        <v>258</v>
      </c>
      <c r="BC1331" s="1">
        <v>266</v>
      </c>
      <c r="BD1331" s="1"/>
      <c r="BE1331" s="1" t="s">
        <v>8674</v>
      </c>
      <c r="BF1331" s="1" t="str">
        <f>HYPERLINK("http://dx.doi.org/10.1134/S0003683817020077","http://dx.doi.org/10.1134/S0003683817020077")</f>
        <v>http://dx.doi.org/10.1134/S0003683817020077</v>
      </c>
      <c r="BG1331" s="1"/>
      <c r="BH1331" s="1"/>
      <c r="BI1331" s="1"/>
      <c r="BJ1331" s="1"/>
      <c r="BK1331" s="1"/>
      <c r="BL1331" s="1"/>
      <c r="BM1331" s="1"/>
      <c r="BN1331" s="1"/>
      <c r="BO1331" s="1"/>
      <c r="BP1331" s="1"/>
      <c r="BQ1331" s="1"/>
      <c r="BR1331" s="1"/>
      <c r="BS1331" s="1" t="s">
        <v>8675</v>
      </c>
      <c r="BT1331" s="1" t="str">
        <f>HYPERLINK("https%3A%2F%2Fwww.webofscience.com%2Fwos%2Fwoscc%2Ffull-record%2FWOS:000396266800017","View Full Record in Web of Science")</f>
        <v>View Full Record in Web of Science</v>
      </c>
      <c r="BU1331" s="1"/>
      <c r="BV1331" s="1"/>
      <c r="BW1331" s="1"/>
    </row>
    <row r="1332" spans="1:75" customHeight="1" ht="12.75">
      <c r="A1332" s="1" t="s">
        <v>72</v>
      </c>
      <c r="B1332" s="1" t="s">
        <v>8676</v>
      </c>
      <c r="C1332" s="1"/>
      <c r="D1332" s="1"/>
      <c r="E1332" s="1"/>
      <c r="F1332" s="1" t="s">
        <v>8677</v>
      </c>
      <c r="G1332" s="1"/>
      <c r="H1332" s="1"/>
      <c r="I1332" s="1" t="s">
        <v>8678</v>
      </c>
      <c r="J1332" s="1" t="s">
        <v>6373</v>
      </c>
      <c r="K1332" s="1"/>
      <c r="L1332" s="1"/>
      <c r="M1332" s="1"/>
      <c r="N1332" s="1"/>
      <c r="O1332" s="1"/>
      <c r="P1332" s="1"/>
      <c r="Q1332" s="1"/>
      <c r="R1332" s="1"/>
      <c r="S1332" s="1"/>
      <c r="T1332" s="1"/>
      <c r="U1332" s="1"/>
      <c r="V1332" s="1"/>
      <c r="W1332" s="1"/>
      <c r="X1332" s="1"/>
      <c r="Y1332" s="1"/>
      <c r="Z1332" s="1"/>
      <c r="AA1332" s="1"/>
      <c r="AB1332" s="1"/>
      <c r="AC1332" s="1"/>
      <c r="AD1332" s="1"/>
      <c r="AE1332" s="1"/>
      <c r="AF1332" s="1"/>
      <c r="AG1332" s="1"/>
      <c r="AH1332" s="1"/>
      <c r="AI1332" s="1"/>
      <c r="AJ1332" s="1"/>
      <c r="AK1332" s="1"/>
      <c r="AL1332" s="1"/>
      <c r="AM1332" s="1"/>
      <c r="AN1332" s="1"/>
      <c r="AO1332" s="1" t="s">
        <v>6374</v>
      </c>
      <c r="AP1332" s="1"/>
      <c r="AQ1332" s="1"/>
      <c r="AR1332" s="1"/>
      <c r="AS1332" s="1"/>
      <c r="AT1332" s="1" t="s">
        <v>8679</v>
      </c>
      <c r="AU1332" s="1">
        <v>2022</v>
      </c>
      <c r="AV1332" s="1">
        <v>10</v>
      </c>
      <c r="AW1332" s="1"/>
      <c r="AX1332" s="1"/>
      <c r="AY1332" s="1"/>
      <c r="AZ1332" s="1"/>
      <c r="BA1332" s="1"/>
      <c r="BB1332" s="1"/>
      <c r="BC1332" s="1"/>
      <c r="BD1332" s="1">
        <v>1025441</v>
      </c>
      <c r="BE1332" s="1" t="s">
        <v>8680</v>
      </c>
      <c r="BF1332" s="1" t="str">
        <f>HYPERLINK("http://dx.doi.org/10.3389/fenrg.2022.1025441","http://dx.doi.org/10.3389/fenrg.2022.1025441")</f>
        <v>http://dx.doi.org/10.3389/fenrg.2022.1025441</v>
      </c>
      <c r="BG1332" s="1"/>
      <c r="BH1332" s="1"/>
      <c r="BI1332" s="1"/>
      <c r="BJ1332" s="1"/>
      <c r="BK1332" s="1"/>
      <c r="BL1332" s="1"/>
      <c r="BM1332" s="1"/>
      <c r="BN1332" s="1"/>
      <c r="BO1332" s="1"/>
      <c r="BP1332" s="1"/>
      <c r="BQ1332" s="1"/>
      <c r="BR1332" s="1"/>
      <c r="BS1332" s="1" t="s">
        <v>8681</v>
      </c>
      <c r="BT1332" s="1" t="str">
        <f>HYPERLINK("https%3A%2F%2Fwww.webofscience.com%2Fwos%2Fwoscc%2Ffull-record%2FWOS:000894516000001","View Full Record in Web of Science")</f>
        <v>View Full Record in Web of Science</v>
      </c>
      <c r="BU1332" s="1"/>
      <c r="BV1332" s="1"/>
      <c r="BW1332" s="1"/>
    </row>
    <row r="1333" spans="1:75" customHeight="1" ht="12.75">
      <c r="A1333" s="1" t="s">
        <v>72</v>
      </c>
      <c r="B1333" s="1" t="s">
        <v>8682</v>
      </c>
      <c r="C1333" s="1"/>
      <c r="D1333" s="1"/>
      <c r="E1333" s="1"/>
      <c r="F1333" s="1" t="s">
        <v>8683</v>
      </c>
      <c r="G1333" s="1"/>
      <c r="H1333" s="1"/>
      <c r="I1333" s="1" t="s">
        <v>8684</v>
      </c>
      <c r="J1333" s="1" t="s">
        <v>8685</v>
      </c>
      <c r="K1333" s="1"/>
      <c r="L1333" s="1"/>
      <c r="M1333" s="1"/>
      <c r="N1333" s="1"/>
      <c r="O1333" s="1"/>
      <c r="P1333" s="1"/>
      <c r="Q1333" s="1"/>
      <c r="R1333" s="1"/>
      <c r="S1333" s="1"/>
      <c r="T1333" s="1"/>
      <c r="U1333" s="1"/>
      <c r="V1333" s="1"/>
      <c r="W1333" s="1"/>
      <c r="X1333" s="1"/>
      <c r="Y1333" s="1"/>
      <c r="Z1333" s="1"/>
      <c r="AA1333" s="1" t="s">
        <v>8686</v>
      </c>
      <c r="AB1333" s="1" t="s">
        <v>8687</v>
      </c>
      <c r="AC1333" s="1"/>
      <c r="AD1333" s="1"/>
      <c r="AE1333" s="1"/>
      <c r="AF1333" s="1"/>
      <c r="AG1333" s="1"/>
      <c r="AH1333" s="1"/>
      <c r="AI1333" s="1"/>
      <c r="AJ1333" s="1"/>
      <c r="AK1333" s="1"/>
      <c r="AL1333" s="1"/>
      <c r="AM1333" s="1"/>
      <c r="AN1333" s="1"/>
      <c r="AO1333" s="1" t="s">
        <v>8688</v>
      </c>
      <c r="AP1333" s="1" t="s">
        <v>8689</v>
      </c>
      <c r="AQ1333" s="1"/>
      <c r="AR1333" s="1"/>
      <c r="AS1333" s="1"/>
      <c r="AT1333" s="1" t="s">
        <v>541</v>
      </c>
      <c r="AU1333" s="1">
        <v>2021</v>
      </c>
      <c r="AV1333" s="1">
        <v>9</v>
      </c>
      <c r="AW1333" s="1"/>
      <c r="AX1333" s="1"/>
      <c r="AY1333" s="1"/>
      <c r="AZ1333" s="1" t="s">
        <v>339</v>
      </c>
      <c r="BA1333" s="1"/>
      <c r="BB1333" s="1"/>
      <c r="BC1333" s="1"/>
      <c r="BD1333" s="1" t="s">
        <v>8690</v>
      </c>
      <c r="BE1333" s="1" t="s">
        <v>8691</v>
      </c>
      <c r="BF1333" s="1" t="str">
        <f>HYPERLINK("http://dx.doi.org/10.20511/pyr2021.v9nSPE1.1223","http://dx.doi.org/10.20511/pyr2021.v9nSPE1.1223")</f>
        <v>http://dx.doi.org/10.20511/pyr2021.v9nSPE1.1223</v>
      </c>
      <c r="BG1333" s="1"/>
      <c r="BH1333" s="1"/>
      <c r="BI1333" s="1"/>
      <c r="BJ1333" s="1"/>
      <c r="BK1333" s="1"/>
      <c r="BL1333" s="1"/>
      <c r="BM1333" s="1"/>
      <c r="BN1333" s="1"/>
      <c r="BO1333" s="1"/>
      <c r="BP1333" s="1"/>
      <c r="BQ1333" s="1"/>
      <c r="BR1333" s="1"/>
      <c r="BS1333" s="1" t="s">
        <v>8692</v>
      </c>
      <c r="BT1333" s="1" t="str">
        <f>HYPERLINK("https%3A%2F%2Fwww.webofscience.com%2Fwos%2Fwoscc%2Ffull-record%2FWOS:000697163700002","View Full Record in Web of Science")</f>
        <v>View Full Record in Web of Science</v>
      </c>
      <c r="BU1333" s="1"/>
      <c r="BV1333" s="1"/>
      <c r="BW1333" s="1"/>
    </row>
    <row r="1334" spans="1:75" customHeight="1" ht="12.75">
      <c r="A1334" s="1" t="s">
        <v>72</v>
      </c>
      <c r="B1334" s="1" t="s">
        <v>8693</v>
      </c>
      <c r="C1334" s="1"/>
      <c r="D1334" s="1"/>
      <c r="E1334" s="1"/>
      <c r="F1334" s="1" t="s">
        <v>8694</v>
      </c>
      <c r="G1334" s="1"/>
      <c r="H1334" s="1"/>
      <c r="I1334" s="1" t="s">
        <v>8695</v>
      </c>
      <c r="J1334" s="1" t="s">
        <v>95</v>
      </c>
      <c r="K1334" s="1"/>
      <c r="L1334" s="1"/>
      <c r="M1334" s="1"/>
      <c r="N1334" s="1"/>
      <c r="O1334" s="1"/>
      <c r="P1334" s="1"/>
      <c r="Q1334" s="1"/>
      <c r="R1334" s="1"/>
      <c r="S1334" s="1"/>
      <c r="T1334" s="1"/>
      <c r="U1334" s="1"/>
      <c r="V1334" s="1"/>
      <c r="W1334" s="1"/>
      <c r="X1334" s="1"/>
      <c r="Y1334" s="1"/>
      <c r="Z1334" s="1"/>
      <c r="AA1334" s="1" t="s">
        <v>8696</v>
      </c>
      <c r="AB1334" s="1" t="s">
        <v>8697</v>
      </c>
      <c r="AC1334" s="1"/>
      <c r="AD1334" s="1"/>
      <c r="AE1334" s="1"/>
      <c r="AF1334" s="1"/>
      <c r="AG1334" s="1"/>
      <c r="AH1334" s="1"/>
      <c r="AI1334" s="1"/>
      <c r="AJ1334" s="1"/>
      <c r="AK1334" s="1"/>
      <c r="AL1334" s="1"/>
      <c r="AM1334" s="1"/>
      <c r="AN1334" s="1"/>
      <c r="AO1334" s="1" t="s">
        <v>98</v>
      </c>
      <c r="AP1334" s="1" t="s">
        <v>99</v>
      </c>
      <c r="AQ1334" s="1"/>
      <c r="AR1334" s="1"/>
      <c r="AS1334" s="1"/>
      <c r="AT1334" s="1"/>
      <c r="AU1334" s="1">
        <v>2019</v>
      </c>
      <c r="AV1334" s="1"/>
      <c r="AW1334" s="1">
        <v>1</v>
      </c>
      <c r="AX1334" s="1"/>
      <c r="AY1334" s="1"/>
      <c r="AZ1334" s="1"/>
      <c r="BA1334" s="1"/>
      <c r="BB1334" s="1">
        <v>111</v>
      </c>
      <c r="BC1334" s="1">
        <v>115</v>
      </c>
      <c r="BD1334" s="1"/>
      <c r="BE1334" s="1" t="s">
        <v>8698</v>
      </c>
      <c r="BF1334" s="1" t="str">
        <f>HYPERLINK("http://dx.doi.org/10.25750/1995-4301-2019-1-111-115","http://dx.doi.org/10.25750/1995-4301-2019-1-111-115")</f>
        <v>http://dx.doi.org/10.25750/1995-4301-2019-1-111-115</v>
      </c>
      <c r="BG1334" s="1"/>
      <c r="BH1334" s="1"/>
      <c r="BI1334" s="1"/>
      <c r="BJ1334" s="1"/>
      <c r="BK1334" s="1"/>
      <c r="BL1334" s="1"/>
      <c r="BM1334" s="1"/>
      <c r="BN1334" s="1"/>
      <c r="BO1334" s="1"/>
      <c r="BP1334" s="1"/>
      <c r="BQ1334" s="1"/>
      <c r="BR1334" s="1"/>
      <c r="BS1334" s="1" t="s">
        <v>8699</v>
      </c>
      <c r="BT1334" s="1" t="str">
        <f>HYPERLINK("https%3A%2F%2Fwww.webofscience.com%2Fwos%2Fwoscc%2Ffull-record%2FWOS:000468565900016","View Full Record in Web of Science")</f>
        <v>View Full Record in Web of Science</v>
      </c>
      <c r="BU1334" s="1"/>
      <c r="BV1334" s="1"/>
      <c r="BW1334" s="1"/>
    </row>
    <row r="1335" spans="1:75" customHeight="1" ht="12.75">
      <c r="A1335" s="1" t="s">
        <v>72</v>
      </c>
      <c r="B1335" s="1" t="s">
        <v>8700</v>
      </c>
      <c r="C1335" s="1"/>
      <c r="D1335" s="1"/>
      <c r="E1335" s="1"/>
      <c r="F1335" s="1" t="s">
        <v>8701</v>
      </c>
      <c r="G1335" s="1"/>
      <c r="H1335" s="1"/>
      <c r="I1335" s="1" t="s">
        <v>8702</v>
      </c>
      <c r="J1335" s="1" t="s">
        <v>95</v>
      </c>
      <c r="K1335" s="1"/>
      <c r="L1335" s="1"/>
      <c r="M1335" s="1"/>
      <c r="N1335" s="1"/>
      <c r="O1335" s="1"/>
      <c r="P1335" s="1"/>
      <c r="Q1335" s="1"/>
      <c r="R1335" s="1"/>
      <c r="S1335" s="1"/>
      <c r="T1335" s="1"/>
      <c r="U1335" s="1"/>
      <c r="V1335" s="1"/>
      <c r="W1335" s="1"/>
      <c r="X1335" s="1"/>
      <c r="Y1335" s="1"/>
      <c r="Z1335" s="1"/>
      <c r="AA1335" s="1" t="s">
        <v>7337</v>
      </c>
      <c r="AB1335" s="1" t="s">
        <v>8703</v>
      </c>
      <c r="AC1335" s="1"/>
      <c r="AD1335" s="1"/>
      <c r="AE1335" s="1"/>
      <c r="AF1335" s="1"/>
      <c r="AG1335" s="1"/>
      <c r="AH1335" s="1"/>
      <c r="AI1335" s="1"/>
      <c r="AJ1335" s="1"/>
      <c r="AK1335" s="1"/>
      <c r="AL1335" s="1"/>
      <c r="AM1335" s="1"/>
      <c r="AN1335" s="1"/>
      <c r="AO1335" s="1" t="s">
        <v>98</v>
      </c>
      <c r="AP1335" s="1" t="s">
        <v>99</v>
      </c>
      <c r="AQ1335" s="1"/>
      <c r="AR1335" s="1"/>
      <c r="AS1335" s="1"/>
      <c r="AT1335" s="1"/>
      <c r="AU1335" s="1">
        <v>2020</v>
      </c>
      <c r="AV1335" s="1"/>
      <c r="AW1335" s="1">
        <v>3</v>
      </c>
      <c r="AX1335" s="1"/>
      <c r="AY1335" s="1"/>
      <c r="AZ1335" s="1"/>
      <c r="BA1335" s="1"/>
      <c r="BB1335" s="1">
        <v>161</v>
      </c>
      <c r="BC1335" s="1">
        <v>167</v>
      </c>
      <c r="BD1335" s="1"/>
      <c r="BE1335" s="1" t="s">
        <v>8704</v>
      </c>
      <c r="BF1335" s="1" t="str">
        <f>HYPERLINK("http://dx.doi.org/10.25750/1995-4301-2020-3-161-167","http://dx.doi.org/10.25750/1995-4301-2020-3-161-167")</f>
        <v>http://dx.doi.org/10.25750/1995-4301-2020-3-161-167</v>
      </c>
      <c r="BG1335" s="1"/>
      <c r="BH1335" s="1"/>
      <c r="BI1335" s="1"/>
      <c r="BJ1335" s="1"/>
      <c r="BK1335" s="1"/>
      <c r="BL1335" s="1"/>
      <c r="BM1335" s="1"/>
      <c r="BN1335" s="1"/>
      <c r="BO1335" s="1"/>
      <c r="BP1335" s="1"/>
      <c r="BQ1335" s="1"/>
      <c r="BR1335" s="1"/>
      <c r="BS1335" s="1" t="s">
        <v>8705</v>
      </c>
      <c r="BT1335" s="1" t="str">
        <f>HYPERLINK("https%3A%2F%2Fwww.webofscience.com%2Fwos%2Fwoscc%2Ffull-record%2FWOS:000580337700024","View Full Record in Web of Science")</f>
        <v>View Full Record in Web of Science</v>
      </c>
      <c r="BU1335" s="1"/>
      <c r="BV1335" s="1"/>
      <c r="BW1335" s="1"/>
    </row>
    <row r="1336" spans="1:75" customHeight="1" ht="12.75">
      <c r="A1336" s="1" t="s">
        <v>72</v>
      </c>
      <c r="B1336" s="1" t="s">
        <v>8706</v>
      </c>
      <c r="C1336" s="1"/>
      <c r="D1336" s="1"/>
      <c r="E1336" s="1"/>
      <c r="F1336" s="1" t="s">
        <v>8707</v>
      </c>
      <c r="G1336" s="1"/>
      <c r="H1336" s="1"/>
      <c r="I1336" s="1" t="s">
        <v>8708</v>
      </c>
      <c r="J1336" s="1" t="s">
        <v>8709</v>
      </c>
      <c r="K1336" s="1"/>
      <c r="L1336" s="1"/>
      <c r="M1336" s="1"/>
      <c r="N1336" s="1"/>
      <c r="O1336" s="1"/>
      <c r="P1336" s="1"/>
      <c r="Q1336" s="1"/>
      <c r="R1336" s="1"/>
      <c r="S1336" s="1"/>
      <c r="T1336" s="1"/>
      <c r="U1336" s="1"/>
      <c r="V1336" s="1"/>
      <c r="W1336" s="1"/>
      <c r="X1336" s="1"/>
      <c r="Y1336" s="1"/>
      <c r="Z1336" s="1"/>
      <c r="AA1336" s="1"/>
      <c r="AB1336" s="1"/>
      <c r="AC1336" s="1"/>
      <c r="AD1336" s="1"/>
      <c r="AE1336" s="1"/>
      <c r="AF1336" s="1"/>
      <c r="AG1336" s="1"/>
      <c r="AH1336" s="1"/>
      <c r="AI1336" s="1"/>
      <c r="AJ1336" s="1"/>
      <c r="AK1336" s="1"/>
      <c r="AL1336" s="1"/>
      <c r="AM1336" s="1"/>
      <c r="AN1336" s="1"/>
      <c r="AO1336" s="1" t="s">
        <v>8710</v>
      </c>
      <c r="AP1336" s="1"/>
      <c r="AQ1336" s="1"/>
      <c r="AR1336" s="1"/>
      <c r="AS1336" s="1"/>
      <c r="AT1336" s="1"/>
      <c r="AU1336" s="1">
        <v>2020</v>
      </c>
      <c r="AV1336" s="1">
        <v>13</v>
      </c>
      <c r="AW1336" s="1">
        <v>9</v>
      </c>
      <c r="AX1336" s="1"/>
      <c r="AY1336" s="1"/>
      <c r="AZ1336" s="1" t="s">
        <v>339</v>
      </c>
      <c r="BA1336" s="1"/>
      <c r="BB1336" s="1">
        <v>83</v>
      </c>
      <c r="BC1336" s="1">
        <v>85</v>
      </c>
      <c r="BD1336" s="1"/>
      <c r="BE1336" s="1"/>
      <c r="BF1336" s="1"/>
      <c r="BG1336" s="1"/>
      <c r="BH1336" s="1"/>
      <c r="BI1336" s="1"/>
      <c r="BJ1336" s="1"/>
      <c r="BK1336" s="1"/>
      <c r="BL1336" s="1"/>
      <c r="BM1336" s="1"/>
      <c r="BN1336" s="1"/>
      <c r="BO1336" s="1"/>
      <c r="BP1336" s="1"/>
      <c r="BQ1336" s="1"/>
      <c r="BR1336" s="1"/>
      <c r="BS1336" s="1" t="s">
        <v>8711</v>
      </c>
      <c r="BT1336" s="1" t="str">
        <f>HYPERLINK("https%3A%2F%2Fwww.webofscience.com%2Fwos%2Fwoscc%2Ffull-record%2FWOS:000640077600013","View Full Record in Web of Science")</f>
        <v>View Full Record in Web of Science</v>
      </c>
      <c r="BU1336" s="1"/>
      <c r="BV1336" s="1"/>
      <c r="BW1336" s="1"/>
    </row>
    <row r="1337" spans="1:75" customHeight="1" ht="12.75">
      <c r="A1337" s="1" t="s">
        <v>72</v>
      </c>
      <c r="B1337" s="1" t="s">
        <v>8712</v>
      </c>
      <c r="C1337" s="1"/>
      <c r="D1337" s="1"/>
      <c r="E1337" s="1"/>
      <c r="F1337" s="1" t="s">
        <v>8713</v>
      </c>
      <c r="G1337" s="1"/>
      <c r="H1337" s="1"/>
      <c r="I1337" s="1" t="s">
        <v>8714</v>
      </c>
      <c r="J1337" s="1" t="s">
        <v>8715</v>
      </c>
      <c r="K1337" s="1"/>
      <c r="L1337" s="1"/>
      <c r="M1337" s="1"/>
      <c r="N1337" s="1"/>
      <c r="O1337" s="1"/>
      <c r="P1337" s="1"/>
      <c r="Q1337" s="1"/>
      <c r="R1337" s="1"/>
      <c r="S1337" s="1"/>
      <c r="T1337" s="1"/>
      <c r="U1337" s="1"/>
      <c r="V1337" s="1"/>
      <c r="W1337" s="1"/>
      <c r="X1337" s="1"/>
      <c r="Y1337" s="1"/>
      <c r="Z1337" s="1"/>
      <c r="AA1337" s="1" t="s">
        <v>8716</v>
      </c>
      <c r="AB1337" s="1" t="s">
        <v>8717</v>
      </c>
      <c r="AC1337" s="1"/>
      <c r="AD1337" s="1"/>
      <c r="AE1337" s="1"/>
      <c r="AF1337" s="1"/>
      <c r="AG1337" s="1"/>
      <c r="AH1337" s="1"/>
      <c r="AI1337" s="1"/>
      <c r="AJ1337" s="1"/>
      <c r="AK1337" s="1"/>
      <c r="AL1337" s="1"/>
      <c r="AM1337" s="1"/>
      <c r="AN1337" s="1"/>
      <c r="AO1337" s="1" t="s">
        <v>8718</v>
      </c>
      <c r="AP1337" s="1" t="s">
        <v>8719</v>
      </c>
      <c r="AQ1337" s="1"/>
      <c r="AR1337" s="1"/>
      <c r="AS1337" s="1"/>
      <c r="AT1337" s="1"/>
      <c r="AU1337" s="1">
        <v>2018</v>
      </c>
      <c r="AV1337" s="1">
        <v>94</v>
      </c>
      <c r="AW1337" s="1">
        <v>9</v>
      </c>
      <c r="AX1337" s="1"/>
      <c r="AY1337" s="1"/>
      <c r="AZ1337" s="1"/>
      <c r="BA1337" s="1"/>
      <c r="BB1337" s="1">
        <v>825</v>
      </c>
      <c r="BC1337" s="1">
        <v>828</v>
      </c>
      <c r="BD1337" s="1"/>
      <c r="BE1337" s="1" t="s">
        <v>8720</v>
      </c>
      <c r="BF1337" s="1" t="str">
        <f>HYPERLINK("http://dx.doi.org/10.1080/09553002.2018.1492167","http://dx.doi.org/10.1080/09553002.2018.1492167")</f>
        <v>http://dx.doi.org/10.1080/09553002.2018.1492167</v>
      </c>
      <c r="BG1337" s="1"/>
      <c r="BH1337" s="1"/>
      <c r="BI1337" s="1"/>
      <c r="BJ1337" s="1"/>
      <c r="BK1337" s="1"/>
      <c r="BL1337" s="1"/>
      <c r="BM1337" s="1"/>
      <c r="BN1337" s="1">
        <v>29952691</v>
      </c>
      <c r="BO1337" s="1"/>
      <c r="BP1337" s="1"/>
      <c r="BQ1337" s="1"/>
      <c r="BR1337" s="1"/>
      <c r="BS1337" s="1" t="s">
        <v>8721</v>
      </c>
      <c r="BT1337" s="1" t="str">
        <f>HYPERLINK("https%3A%2F%2Fwww.webofscience.com%2Fwos%2Fwoscc%2Ffull-record%2FWOS:000451552200005","View Full Record in Web of Science")</f>
        <v>View Full Record in Web of Science</v>
      </c>
      <c r="BU1337" s="1"/>
      <c r="BV1337" s="1"/>
      <c r="BW1337" s="1"/>
    </row>
    <row r="1338" spans="1:75" customHeight="1" ht="12.75">
      <c r="A1338" s="1" t="s">
        <v>72</v>
      </c>
      <c r="B1338" s="1" t="s">
        <v>8722</v>
      </c>
      <c r="C1338" s="1"/>
      <c r="D1338" s="1"/>
      <c r="E1338" s="1"/>
      <c r="F1338" s="1" t="s">
        <v>8723</v>
      </c>
      <c r="G1338" s="1"/>
      <c r="H1338" s="1"/>
      <c r="I1338" s="1" t="s">
        <v>8724</v>
      </c>
      <c r="J1338" s="1" t="s">
        <v>7100</v>
      </c>
      <c r="K1338" s="1"/>
      <c r="L1338" s="1"/>
      <c r="M1338" s="1"/>
      <c r="N1338" s="1"/>
      <c r="O1338" s="1"/>
      <c r="P1338" s="1"/>
      <c r="Q1338" s="1"/>
      <c r="R1338" s="1"/>
      <c r="S1338" s="1"/>
      <c r="T1338" s="1"/>
      <c r="U1338" s="1"/>
      <c r="V1338" s="1"/>
      <c r="W1338" s="1"/>
      <c r="X1338" s="1"/>
      <c r="Y1338" s="1"/>
      <c r="Z1338" s="1"/>
      <c r="AA1338" s="1" t="s">
        <v>8725</v>
      </c>
      <c r="AB1338" s="1" t="s">
        <v>8726</v>
      </c>
      <c r="AC1338" s="1"/>
      <c r="AD1338" s="1"/>
      <c r="AE1338" s="1"/>
      <c r="AF1338" s="1"/>
      <c r="AG1338" s="1"/>
      <c r="AH1338" s="1"/>
      <c r="AI1338" s="1"/>
      <c r="AJ1338" s="1"/>
      <c r="AK1338" s="1"/>
      <c r="AL1338" s="1"/>
      <c r="AM1338" s="1"/>
      <c r="AN1338" s="1"/>
      <c r="AO1338" s="1" t="s">
        <v>7103</v>
      </c>
      <c r="AP1338" s="1" t="s">
        <v>7104</v>
      </c>
      <c r="AQ1338" s="1"/>
      <c r="AR1338" s="1"/>
      <c r="AS1338" s="1"/>
      <c r="AT1338" s="1" t="s">
        <v>8727</v>
      </c>
      <c r="AU1338" s="1">
        <v>2020</v>
      </c>
      <c r="AV1338" s="1">
        <v>238</v>
      </c>
      <c r="AW1338" s="1"/>
      <c r="AX1338" s="1"/>
      <c r="AY1338" s="1"/>
      <c r="AZ1338" s="1"/>
      <c r="BA1338" s="1"/>
      <c r="BB1338" s="1"/>
      <c r="BC1338" s="1"/>
      <c r="BD1338" s="1">
        <v>116166</v>
      </c>
      <c r="BE1338" s="1" t="s">
        <v>8728</v>
      </c>
      <c r="BF1338" s="1" t="str">
        <f>HYPERLINK("http://dx.doi.org/10.1016/j.carbpol.2020.116166","http://dx.doi.org/10.1016/j.carbpol.2020.116166")</f>
        <v>http://dx.doi.org/10.1016/j.carbpol.2020.116166</v>
      </c>
      <c r="BG1338" s="1"/>
      <c r="BH1338" s="1"/>
      <c r="BI1338" s="1"/>
      <c r="BJ1338" s="1"/>
      <c r="BK1338" s="1"/>
      <c r="BL1338" s="1"/>
      <c r="BM1338" s="1"/>
      <c r="BN1338" s="1">
        <v>32299571</v>
      </c>
      <c r="BO1338" s="1"/>
      <c r="BP1338" s="1"/>
      <c r="BQ1338" s="1"/>
      <c r="BR1338" s="1"/>
      <c r="BS1338" s="1" t="s">
        <v>8729</v>
      </c>
      <c r="BT1338" s="1" t="str">
        <f>HYPERLINK("https%3A%2F%2Fwww.webofscience.com%2Fwos%2Fwoscc%2Ffull-record%2FWOS:000526413700004","View Full Record in Web of Science")</f>
        <v>View Full Record in Web of Science</v>
      </c>
      <c r="BU1338" s="1"/>
      <c r="BV1338" s="1"/>
      <c r="BW1338" s="1"/>
    </row>
    <row r="1339" spans="1:75" customHeight="1" ht="12.75">
      <c r="A1339" s="1" t="s">
        <v>72</v>
      </c>
      <c r="B1339" s="1" t="s">
        <v>8730</v>
      </c>
      <c r="C1339" s="1"/>
      <c r="D1339" s="1"/>
      <c r="E1339" s="1"/>
      <c r="F1339" s="1" t="s">
        <v>8731</v>
      </c>
      <c r="G1339" s="1"/>
      <c r="H1339" s="1"/>
      <c r="I1339" s="1" t="s">
        <v>8732</v>
      </c>
      <c r="J1339" s="1" t="s">
        <v>2633</v>
      </c>
      <c r="K1339" s="1"/>
      <c r="L1339" s="1"/>
      <c r="M1339" s="1"/>
      <c r="N1339" s="1"/>
      <c r="O1339" s="1"/>
      <c r="P1339" s="1"/>
      <c r="Q1339" s="1"/>
      <c r="R1339" s="1"/>
      <c r="S1339" s="1"/>
      <c r="T1339" s="1"/>
      <c r="U1339" s="1"/>
      <c r="V1339" s="1"/>
      <c r="W1339" s="1"/>
      <c r="X1339" s="1"/>
      <c r="Y1339" s="1"/>
      <c r="Z1339" s="1"/>
      <c r="AA1339" s="1" t="s">
        <v>8733</v>
      </c>
      <c r="AB1339" s="1" t="s">
        <v>8734</v>
      </c>
      <c r="AC1339" s="1"/>
      <c r="AD1339" s="1"/>
      <c r="AE1339" s="1"/>
      <c r="AF1339" s="1"/>
      <c r="AG1339" s="1"/>
      <c r="AH1339" s="1"/>
      <c r="AI1339" s="1"/>
      <c r="AJ1339" s="1"/>
      <c r="AK1339" s="1"/>
      <c r="AL1339" s="1"/>
      <c r="AM1339" s="1"/>
      <c r="AN1339" s="1"/>
      <c r="AO1339" s="1" t="s">
        <v>2634</v>
      </c>
      <c r="AP1339" s="1"/>
      <c r="AQ1339" s="1"/>
      <c r="AR1339" s="1"/>
      <c r="AS1339" s="1"/>
      <c r="AT1339" s="1"/>
      <c r="AU1339" s="1">
        <v>2019</v>
      </c>
      <c r="AV1339" s="1">
        <v>23</v>
      </c>
      <c r="AW1339" s="1">
        <v>4</v>
      </c>
      <c r="AX1339" s="1"/>
      <c r="AY1339" s="1"/>
      <c r="AZ1339" s="1"/>
      <c r="BA1339" s="1"/>
      <c r="BB1339" s="1">
        <v>182</v>
      </c>
      <c r="BC1339" s="1">
        <v>188</v>
      </c>
      <c r="BD1339" s="1"/>
      <c r="BE1339" s="1" t="s">
        <v>8735</v>
      </c>
      <c r="BF1339" s="1" t="str">
        <f>HYPERLINK("http://dx.doi.org/10.15561/18189172.2019.0404","http://dx.doi.org/10.15561/18189172.2019.0404")</f>
        <v>http://dx.doi.org/10.15561/18189172.2019.0404</v>
      </c>
      <c r="BG1339" s="1"/>
      <c r="BH1339" s="1"/>
      <c r="BI1339" s="1"/>
      <c r="BJ1339" s="1"/>
      <c r="BK1339" s="1"/>
      <c r="BL1339" s="1"/>
      <c r="BM1339" s="1"/>
      <c r="BN1339" s="1"/>
      <c r="BO1339" s="1"/>
      <c r="BP1339" s="1"/>
      <c r="BQ1339" s="1"/>
      <c r="BR1339" s="1"/>
      <c r="BS1339" s="1" t="s">
        <v>8736</v>
      </c>
      <c r="BT1339" s="1" t="str">
        <f>HYPERLINK("https%3A%2F%2Fwww.webofscience.com%2Fwos%2Fwoscc%2Ffull-record%2FWOS:000482200500004","View Full Record in Web of Science")</f>
        <v>View Full Record in Web of Science</v>
      </c>
      <c r="BU1339" s="1"/>
      <c r="BV1339" s="1"/>
      <c r="BW1339" s="1"/>
    </row>
    <row r="1340" spans="1:75" customHeight="1" ht="12.75">
      <c r="A1340" s="1" t="s">
        <v>72</v>
      </c>
      <c r="B1340" s="1" t="s">
        <v>8737</v>
      </c>
      <c r="C1340" s="1"/>
      <c r="D1340" s="1"/>
      <c r="E1340" s="1"/>
      <c r="F1340" s="1" t="s">
        <v>8738</v>
      </c>
      <c r="G1340" s="1"/>
      <c r="H1340" s="1"/>
      <c r="I1340" s="1" t="s">
        <v>8739</v>
      </c>
      <c r="J1340" s="1" t="s">
        <v>6322</v>
      </c>
      <c r="K1340" s="1"/>
      <c r="L1340" s="1"/>
      <c r="M1340" s="1"/>
      <c r="N1340" s="1"/>
      <c r="O1340" s="1"/>
      <c r="P1340" s="1"/>
      <c r="Q1340" s="1"/>
      <c r="R1340" s="1"/>
      <c r="S1340" s="1"/>
      <c r="T1340" s="1"/>
      <c r="U1340" s="1"/>
      <c r="V1340" s="1"/>
      <c r="W1340" s="1"/>
      <c r="X1340" s="1"/>
      <c r="Y1340" s="1"/>
      <c r="Z1340" s="1"/>
      <c r="AA1340" s="1" t="s">
        <v>8740</v>
      </c>
      <c r="AB1340" s="1" t="s">
        <v>8741</v>
      </c>
      <c r="AC1340" s="1"/>
      <c r="AD1340" s="1"/>
      <c r="AE1340" s="1"/>
      <c r="AF1340" s="1"/>
      <c r="AG1340" s="1"/>
      <c r="AH1340" s="1"/>
      <c r="AI1340" s="1"/>
      <c r="AJ1340" s="1"/>
      <c r="AK1340" s="1"/>
      <c r="AL1340" s="1"/>
      <c r="AM1340" s="1"/>
      <c r="AN1340" s="1"/>
      <c r="AO1340" s="1"/>
      <c r="AP1340" s="1" t="s">
        <v>6325</v>
      </c>
      <c r="AQ1340" s="1"/>
      <c r="AR1340" s="1"/>
      <c r="AS1340" s="1"/>
      <c r="AT1340" s="1" t="s">
        <v>1173</v>
      </c>
      <c r="AU1340" s="1">
        <v>2018</v>
      </c>
      <c r="AV1340" s="1">
        <v>10</v>
      </c>
      <c r="AW1340" s="1">
        <v>8</v>
      </c>
      <c r="AX1340" s="1"/>
      <c r="AY1340" s="1"/>
      <c r="AZ1340" s="1"/>
      <c r="BA1340" s="1"/>
      <c r="BB1340" s="1"/>
      <c r="BC1340" s="1"/>
      <c r="BD1340" s="1">
        <v>817</v>
      </c>
      <c r="BE1340" s="1" t="s">
        <v>8742</v>
      </c>
      <c r="BF1340" s="1" t="str">
        <f>HYPERLINK("http://dx.doi.org/10.3390/polym10080817","http://dx.doi.org/10.3390/polym10080817")</f>
        <v>http://dx.doi.org/10.3390/polym10080817</v>
      </c>
      <c r="BG1340" s="1"/>
      <c r="BH1340" s="1"/>
      <c r="BI1340" s="1"/>
      <c r="BJ1340" s="1"/>
      <c r="BK1340" s="1"/>
      <c r="BL1340" s="1"/>
      <c r="BM1340" s="1"/>
      <c r="BN1340" s="1">
        <v>30960742</v>
      </c>
      <c r="BO1340" s="1"/>
      <c r="BP1340" s="1"/>
      <c r="BQ1340" s="1"/>
      <c r="BR1340" s="1"/>
      <c r="BS1340" s="1" t="s">
        <v>8743</v>
      </c>
      <c r="BT1340" s="1" t="str">
        <f>HYPERLINK("https%3A%2F%2Fwww.webofscience.com%2Fwos%2Fwoscc%2Ffull-record%2FWOS:000445410200010","View Full Record in Web of Science")</f>
        <v>View Full Record in Web of Science</v>
      </c>
      <c r="BU1340" s="1"/>
      <c r="BV1340" s="1"/>
      <c r="BW1340" s="1"/>
    </row>
    <row r="1341" spans="1:75" customHeight="1" ht="12.75">
      <c r="A1341" s="1" t="s">
        <v>72</v>
      </c>
      <c r="B1341" s="1" t="s">
        <v>8744</v>
      </c>
      <c r="C1341" s="1"/>
      <c r="D1341" s="1"/>
      <c r="E1341" s="1"/>
      <c r="F1341" s="1" t="s">
        <v>8745</v>
      </c>
      <c r="G1341" s="1"/>
      <c r="H1341" s="1"/>
      <c r="I1341" s="1" t="s">
        <v>8746</v>
      </c>
      <c r="J1341" s="1" t="s">
        <v>8747</v>
      </c>
      <c r="K1341" s="1"/>
      <c r="L1341" s="1"/>
      <c r="M1341" s="1"/>
      <c r="N1341" s="1"/>
      <c r="O1341" s="1"/>
      <c r="P1341" s="1"/>
      <c r="Q1341" s="1"/>
      <c r="R1341" s="1"/>
      <c r="S1341" s="1"/>
      <c r="T1341" s="1"/>
      <c r="U1341" s="1"/>
      <c r="V1341" s="1"/>
      <c r="W1341" s="1"/>
      <c r="X1341" s="1"/>
      <c r="Y1341" s="1"/>
      <c r="Z1341" s="1"/>
      <c r="AA1341" s="1" t="s">
        <v>8748</v>
      </c>
      <c r="AB1341" s="1" t="s">
        <v>8749</v>
      </c>
      <c r="AC1341" s="1"/>
      <c r="AD1341" s="1"/>
      <c r="AE1341" s="1"/>
      <c r="AF1341" s="1"/>
      <c r="AG1341" s="1"/>
      <c r="AH1341" s="1"/>
      <c r="AI1341" s="1"/>
      <c r="AJ1341" s="1"/>
      <c r="AK1341" s="1"/>
      <c r="AL1341" s="1"/>
      <c r="AM1341" s="1"/>
      <c r="AN1341" s="1"/>
      <c r="AO1341" s="1" t="s">
        <v>8750</v>
      </c>
      <c r="AP1341" s="1" t="s">
        <v>8751</v>
      </c>
      <c r="AQ1341" s="1"/>
      <c r="AR1341" s="1"/>
      <c r="AS1341" s="1"/>
      <c r="AT1341" s="1" t="s">
        <v>830</v>
      </c>
      <c r="AU1341" s="1">
        <v>2016</v>
      </c>
      <c r="AV1341" s="1">
        <v>31</v>
      </c>
      <c r="AW1341" s="1">
        <v>5</v>
      </c>
      <c r="AX1341" s="1"/>
      <c r="AY1341" s="1"/>
      <c r="AZ1341" s="1"/>
      <c r="BA1341" s="1"/>
      <c r="BB1341" s="1">
        <v>481</v>
      </c>
      <c r="BC1341" s="1">
        <v>497</v>
      </c>
      <c r="BD1341" s="1"/>
      <c r="BE1341" s="1" t="s">
        <v>8752</v>
      </c>
      <c r="BF1341" s="1" t="str">
        <f>HYPERLINK("http://dx.doi.org/10.1177/0883911516637374","http://dx.doi.org/10.1177/0883911516637374")</f>
        <v>http://dx.doi.org/10.1177/0883911516637374</v>
      </c>
      <c r="BG1341" s="1"/>
      <c r="BH1341" s="1"/>
      <c r="BI1341" s="1"/>
      <c r="BJ1341" s="1"/>
      <c r="BK1341" s="1"/>
      <c r="BL1341" s="1"/>
      <c r="BM1341" s="1"/>
      <c r="BN1341" s="1"/>
      <c r="BO1341" s="1"/>
      <c r="BP1341" s="1"/>
      <c r="BQ1341" s="1"/>
      <c r="BR1341" s="1"/>
      <c r="BS1341" s="1" t="s">
        <v>8753</v>
      </c>
      <c r="BT1341" s="1" t="str">
        <f>HYPERLINK("https%3A%2F%2Fwww.webofscience.com%2Fwos%2Fwoscc%2Ffull-record%2FWOS:000382858400004","View Full Record in Web of Science")</f>
        <v>View Full Record in Web of Science</v>
      </c>
      <c r="BU1341" s="1"/>
      <c r="BV1341" s="1"/>
      <c r="BW1341" s="1"/>
    </row>
    <row r="1342" spans="1:75" customHeight="1" ht="12.75">
      <c r="A1342" s="1" t="s">
        <v>72</v>
      </c>
      <c r="B1342" s="1" t="s">
        <v>8754</v>
      </c>
      <c r="C1342" s="1"/>
      <c r="D1342" s="1"/>
      <c r="E1342" s="1"/>
      <c r="F1342" s="1" t="s">
        <v>8755</v>
      </c>
      <c r="G1342" s="1"/>
      <c r="H1342" s="1"/>
      <c r="I1342" s="1" t="s">
        <v>8756</v>
      </c>
      <c r="J1342" s="1" t="s">
        <v>8757</v>
      </c>
      <c r="K1342" s="1"/>
      <c r="L1342" s="1"/>
      <c r="M1342" s="1"/>
      <c r="N1342" s="1"/>
      <c r="O1342" s="1"/>
      <c r="P1342" s="1"/>
      <c r="Q1342" s="1"/>
      <c r="R1342" s="1"/>
      <c r="S1342" s="1"/>
      <c r="T1342" s="1"/>
      <c r="U1342" s="1"/>
      <c r="V1342" s="1"/>
      <c r="W1342" s="1"/>
      <c r="X1342" s="1"/>
      <c r="Y1342" s="1"/>
      <c r="Z1342" s="1"/>
      <c r="AA1342" s="1" t="s">
        <v>8758</v>
      </c>
      <c r="AB1342" s="1" t="s">
        <v>8759</v>
      </c>
      <c r="AC1342" s="1"/>
      <c r="AD1342" s="1"/>
      <c r="AE1342" s="1"/>
      <c r="AF1342" s="1"/>
      <c r="AG1342" s="1"/>
      <c r="AH1342" s="1"/>
      <c r="AI1342" s="1"/>
      <c r="AJ1342" s="1"/>
      <c r="AK1342" s="1"/>
      <c r="AL1342" s="1"/>
      <c r="AM1342" s="1"/>
      <c r="AN1342" s="1"/>
      <c r="AO1342" s="1" t="s">
        <v>8760</v>
      </c>
      <c r="AP1342" s="1" t="s">
        <v>8761</v>
      </c>
      <c r="AQ1342" s="1"/>
      <c r="AR1342" s="1"/>
      <c r="AS1342" s="1"/>
      <c r="AT1342" s="1"/>
      <c r="AU1342" s="1">
        <v>2016</v>
      </c>
      <c r="AV1342" s="1">
        <v>65</v>
      </c>
      <c r="AW1342" s="1">
        <v>9</v>
      </c>
      <c r="AX1342" s="1"/>
      <c r="AY1342" s="1"/>
      <c r="AZ1342" s="1"/>
      <c r="BA1342" s="1"/>
      <c r="BB1342" s="1">
        <v>433</v>
      </c>
      <c r="BC1342" s="1">
        <v>441</v>
      </c>
      <c r="BD1342" s="1"/>
      <c r="BE1342" s="1" t="s">
        <v>8762</v>
      </c>
      <c r="BF1342" s="1" t="str">
        <f>HYPERLINK("http://dx.doi.org/10.1080/00914037.2015.1129955","http://dx.doi.org/10.1080/00914037.2015.1129955")</f>
        <v>http://dx.doi.org/10.1080/00914037.2015.1129955</v>
      </c>
      <c r="BG1342" s="1"/>
      <c r="BH1342" s="1"/>
      <c r="BI1342" s="1"/>
      <c r="BJ1342" s="1"/>
      <c r="BK1342" s="1"/>
      <c r="BL1342" s="1"/>
      <c r="BM1342" s="1"/>
      <c r="BN1342" s="1"/>
      <c r="BO1342" s="1"/>
      <c r="BP1342" s="1"/>
      <c r="BQ1342" s="1"/>
      <c r="BR1342" s="1"/>
      <c r="BS1342" s="1" t="s">
        <v>8763</v>
      </c>
      <c r="BT1342" s="1" t="str">
        <f>HYPERLINK("https%3A%2F%2Fwww.webofscience.com%2Fwos%2Fwoscc%2Ffull-record%2FWOS:000373128600001","View Full Record in Web of Science")</f>
        <v>View Full Record in Web of Science</v>
      </c>
      <c r="BU1342" s="1"/>
      <c r="BV1342" s="1"/>
      <c r="BW1342" s="1"/>
    </row>
    <row r="1343" spans="1:75" customHeight="1" ht="12.75">
      <c r="A1343" s="1" t="s">
        <v>72</v>
      </c>
      <c r="B1343" s="1" t="s">
        <v>8670</v>
      </c>
      <c r="C1343" s="1"/>
      <c r="D1343" s="1"/>
      <c r="E1343" s="1"/>
      <c r="F1343" s="1" t="s">
        <v>8671</v>
      </c>
      <c r="G1343" s="1"/>
      <c r="H1343" s="1"/>
      <c r="I1343" s="1" t="s">
        <v>8764</v>
      </c>
      <c r="J1343" s="1" t="s">
        <v>8765</v>
      </c>
      <c r="K1343" s="1"/>
      <c r="L1343" s="1"/>
      <c r="M1343" s="1"/>
      <c r="N1343" s="1"/>
      <c r="O1343" s="1"/>
      <c r="P1343" s="1"/>
      <c r="Q1343" s="1"/>
      <c r="R1343" s="1"/>
      <c r="S1343" s="1"/>
      <c r="T1343" s="1"/>
      <c r="U1343" s="1"/>
      <c r="V1343" s="1"/>
      <c r="W1343" s="1"/>
      <c r="X1343" s="1"/>
      <c r="Y1343" s="1"/>
      <c r="Z1343" s="1"/>
      <c r="AA1343" s="1" t="s">
        <v>8766</v>
      </c>
      <c r="AB1343" s="1" t="s">
        <v>8767</v>
      </c>
      <c r="AC1343" s="1"/>
      <c r="AD1343" s="1"/>
      <c r="AE1343" s="1"/>
      <c r="AF1343" s="1"/>
      <c r="AG1343" s="1"/>
      <c r="AH1343" s="1"/>
      <c r="AI1343" s="1"/>
      <c r="AJ1343" s="1"/>
      <c r="AK1343" s="1"/>
      <c r="AL1343" s="1"/>
      <c r="AM1343" s="1"/>
      <c r="AN1343" s="1"/>
      <c r="AO1343" s="1" t="s">
        <v>8768</v>
      </c>
      <c r="AP1343" s="1" t="s">
        <v>8769</v>
      </c>
      <c r="AQ1343" s="1"/>
      <c r="AR1343" s="1"/>
      <c r="AS1343" s="1"/>
      <c r="AT1343" s="1" t="s">
        <v>198</v>
      </c>
      <c r="AU1343" s="1">
        <v>2018</v>
      </c>
      <c r="AV1343" s="1">
        <v>12</v>
      </c>
      <c r="AW1343" s="1">
        <v>2</v>
      </c>
      <c r="AX1343" s="1"/>
      <c r="AY1343" s="1"/>
      <c r="AZ1343" s="1"/>
      <c r="BA1343" s="1"/>
      <c r="BB1343" s="1">
        <v>93</v>
      </c>
      <c r="BC1343" s="1">
        <v>106</v>
      </c>
      <c r="BD1343" s="1"/>
      <c r="BE1343" s="1" t="s">
        <v>8770</v>
      </c>
      <c r="BF1343" s="1" t="str">
        <f>HYPERLINK("http://dx.doi.org/10.1134/S1990747818020058","http://dx.doi.org/10.1134/S1990747818020058")</f>
        <v>http://dx.doi.org/10.1134/S1990747818020058</v>
      </c>
      <c r="BG1343" s="1"/>
      <c r="BH1343" s="1"/>
      <c r="BI1343" s="1"/>
      <c r="BJ1343" s="1"/>
      <c r="BK1343" s="1"/>
      <c r="BL1343" s="1"/>
      <c r="BM1343" s="1"/>
      <c r="BN1343" s="1"/>
      <c r="BO1343" s="1"/>
      <c r="BP1343" s="1"/>
      <c r="BQ1343" s="1"/>
      <c r="BR1343" s="1"/>
      <c r="BS1343" s="1" t="s">
        <v>8771</v>
      </c>
      <c r="BT1343" s="1" t="str">
        <f>HYPERLINK("https%3A%2F%2Fwww.webofscience.com%2Fwos%2Fwoscc%2Ffull-record%2FWOS:000454748800001","View Full Record in Web of Science")</f>
        <v>View Full Record in Web of Science</v>
      </c>
      <c r="BU1343" s="1"/>
      <c r="BV1343" s="1"/>
      <c r="BW1343" s="1"/>
    </row>
    <row r="1344" spans="1:75" customHeight="1" ht="12.75">
      <c r="A1344" s="1" t="s">
        <v>147</v>
      </c>
      <c r="B1344" s="1" t="s">
        <v>8772</v>
      </c>
      <c r="C1344" s="1"/>
      <c r="D1344" s="1" t="s">
        <v>8773</v>
      </c>
      <c r="E1344" s="1"/>
      <c r="F1344" s="1" t="s">
        <v>8774</v>
      </c>
      <c r="G1344" s="1"/>
      <c r="H1344" s="1"/>
      <c r="I1344" s="1" t="s">
        <v>8775</v>
      </c>
      <c r="J1344" s="1" t="s">
        <v>8776</v>
      </c>
      <c r="K1344" s="1" t="s">
        <v>1494</v>
      </c>
      <c r="L1344" s="1"/>
      <c r="M1344" s="1"/>
      <c r="N1344" s="1"/>
      <c r="O1344" s="1" t="s">
        <v>8777</v>
      </c>
      <c r="P1344" s="1" t="s">
        <v>8778</v>
      </c>
      <c r="Q1344" s="1" t="s">
        <v>910</v>
      </c>
      <c r="R1344" s="1" t="s">
        <v>8779</v>
      </c>
      <c r="S1344" s="1"/>
      <c r="T1344" s="1"/>
      <c r="U1344" s="1"/>
      <c r="V1344" s="1"/>
      <c r="W1344" s="1"/>
      <c r="X1344" s="1"/>
      <c r="Y1344" s="1"/>
      <c r="Z1344" s="1"/>
      <c r="AA1344" s="1" t="s">
        <v>8780</v>
      </c>
      <c r="AB1344" s="1" t="s">
        <v>8781</v>
      </c>
      <c r="AC1344" s="1"/>
      <c r="AD1344" s="1"/>
      <c r="AE1344" s="1"/>
      <c r="AF1344" s="1"/>
      <c r="AG1344" s="1"/>
      <c r="AH1344" s="1"/>
      <c r="AI1344" s="1"/>
      <c r="AJ1344" s="1"/>
      <c r="AK1344" s="1"/>
      <c r="AL1344" s="1"/>
      <c r="AM1344" s="1"/>
      <c r="AN1344" s="1"/>
      <c r="AO1344" s="1" t="s">
        <v>1500</v>
      </c>
      <c r="AP1344" s="1" t="s">
        <v>1304</v>
      </c>
      <c r="AQ1344" s="1" t="s">
        <v>8782</v>
      </c>
      <c r="AR1344" s="1"/>
      <c r="AS1344" s="1"/>
      <c r="AT1344" s="1"/>
      <c r="AU1344" s="1">
        <v>2019</v>
      </c>
      <c r="AV1344" s="1">
        <v>11619</v>
      </c>
      <c r="AW1344" s="1"/>
      <c r="AX1344" s="1"/>
      <c r="AY1344" s="1"/>
      <c r="AZ1344" s="1"/>
      <c r="BA1344" s="1"/>
      <c r="BB1344" s="1">
        <v>257</v>
      </c>
      <c r="BC1344" s="1">
        <v>269</v>
      </c>
      <c r="BD1344" s="1"/>
      <c r="BE1344" s="1" t="s">
        <v>8783</v>
      </c>
      <c r="BF1344" s="1" t="str">
        <f>HYPERLINK("http://dx.doi.org/10.1007/978-3-030-24289-3_20","http://dx.doi.org/10.1007/978-3-030-24289-3_20")</f>
        <v>http://dx.doi.org/10.1007/978-3-030-24289-3_20</v>
      </c>
      <c r="BG1344" s="1"/>
      <c r="BH1344" s="1"/>
      <c r="BI1344" s="1"/>
      <c r="BJ1344" s="1"/>
      <c r="BK1344" s="1"/>
      <c r="BL1344" s="1"/>
      <c r="BM1344" s="1"/>
      <c r="BN1344" s="1"/>
      <c r="BO1344" s="1"/>
      <c r="BP1344" s="1"/>
      <c r="BQ1344" s="1"/>
      <c r="BR1344" s="1"/>
      <c r="BS1344" s="1" t="s">
        <v>8784</v>
      </c>
      <c r="BT1344" s="1" t="str">
        <f>HYPERLINK("https%3A%2F%2Fwww.webofscience.com%2Fwos%2Fwoscc%2Ffull-record%2FWOS:000661318700020","View Full Record in Web of Science")</f>
        <v>View Full Record in Web of Science</v>
      </c>
      <c r="BU1344" s="1"/>
      <c r="BV1344" s="1"/>
      <c r="BW1344" s="1"/>
    </row>
    <row r="1345" spans="1:75" customHeight="1" ht="12.75">
      <c r="A1345" s="1" t="s">
        <v>147</v>
      </c>
      <c r="B1345" s="1" t="s">
        <v>8785</v>
      </c>
      <c r="C1345" s="1"/>
      <c r="D1345" s="1" t="s">
        <v>8786</v>
      </c>
      <c r="E1345" s="1"/>
      <c r="F1345" s="1" t="s">
        <v>8787</v>
      </c>
      <c r="G1345" s="1"/>
      <c r="H1345" s="1"/>
      <c r="I1345" s="1" t="s">
        <v>8788</v>
      </c>
      <c r="J1345" s="1" t="s">
        <v>8789</v>
      </c>
      <c r="K1345" s="1"/>
      <c r="L1345" s="1"/>
      <c r="M1345" s="1"/>
      <c r="N1345" s="1"/>
      <c r="O1345" s="1" t="s">
        <v>8790</v>
      </c>
      <c r="P1345" s="1" t="s">
        <v>8791</v>
      </c>
      <c r="Q1345" s="1" t="s">
        <v>1316</v>
      </c>
      <c r="R1345" s="1"/>
      <c r="S1345" s="1"/>
      <c r="T1345" s="1"/>
      <c r="U1345" s="1"/>
      <c r="V1345" s="1"/>
      <c r="W1345" s="1"/>
      <c r="X1345" s="1"/>
      <c r="Y1345" s="1"/>
      <c r="Z1345" s="1"/>
      <c r="AA1345" s="1" t="s">
        <v>8792</v>
      </c>
      <c r="AB1345" s="1" t="s">
        <v>8793</v>
      </c>
      <c r="AC1345" s="1"/>
      <c r="AD1345" s="1"/>
      <c r="AE1345" s="1"/>
      <c r="AF1345" s="1"/>
      <c r="AG1345" s="1"/>
      <c r="AH1345" s="1"/>
      <c r="AI1345" s="1"/>
      <c r="AJ1345" s="1"/>
      <c r="AK1345" s="1"/>
      <c r="AL1345" s="1"/>
      <c r="AM1345" s="1"/>
      <c r="AN1345" s="1"/>
      <c r="AO1345" s="1"/>
      <c r="AP1345" s="1"/>
      <c r="AQ1345" s="1" t="s">
        <v>8794</v>
      </c>
      <c r="AR1345" s="1"/>
      <c r="AS1345" s="1"/>
      <c r="AT1345" s="1"/>
      <c r="AU1345" s="1">
        <v>2019</v>
      </c>
      <c r="AV1345" s="1"/>
      <c r="AW1345" s="1"/>
      <c r="AX1345" s="1"/>
      <c r="AY1345" s="1"/>
      <c r="AZ1345" s="1"/>
      <c r="BA1345" s="1"/>
      <c r="BB1345" s="1">
        <v>648</v>
      </c>
      <c r="BC1345" s="1">
        <v>655</v>
      </c>
      <c r="BD1345" s="1"/>
      <c r="BE1345" s="1" t="s">
        <v>8795</v>
      </c>
      <c r="BF1345" s="1" t="str">
        <f>HYPERLINK("http://dx.doi.org/10.5220/0007839606480655","http://dx.doi.org/10.5220/0007839606480655")</f>
        <v>http://dx.doi.org/10.5220/0007839606480655</v>
      </c>
      <c r="BG1345" s="1"/>
      <c r="BH1345" s="1"/>
      <c r="BI1345" s="1"/>
      <c r="BJ1345" s="1"/>
      <c r="BK1345" s="1"/>
      <c r="BL1345" s="1"/>
      <c r="BM1345" s="1"/>
      <c r="BN1345" s="1"/>
      <c r="BO1345" s="1"/>
      <c r="BP1345" s="1"/>
      <c r="BQ1345" s="1"/>
      <c r="BR1345" s="1"/>
      <c r="BS1345" s="1" t="s">
        <v>8796</v>
      </c>
      <c r="BT1345" s="1" t="str">
        <f>HYPERLINK("https%3A%2F%2Fwww.webofscience.com%2Fwos%2Fwoscc%2Ffull-record%2FWOS:000571063100076","View Full Record in Web of Science")</f>
        <v>View Full Record in Web of Science</v>
      </c>
      <c r="BU1345" s="1"/>
      <c r="BV1345" s="1"/>
      <c r="BW1345" s="1"/>
    </row>
    <row r="1346" spans="1:75" customHeight="1" ht="12.75">
      <c r="A1346" s="1" t="s">
        <v>72</v>
      </c>
      <c r="B1346" s="1" t="s">
        <v>8797</v>
      </c>
      <c r="C1346" s="1"/>
      <c r="D1346" s="1"/>
      <c r="E1346" s="1"/>
      <c r="F1346" s="1" t="s">
        <v>8798</v>
      </c>
      <c r="G1346" s="1"/>
      <c r="H1346" s="1"/>
      <c r="I1346" s="1" t="s">
        <v>8799</v>
      </c>
      <c r="J1346" s="1" t="s">
        <v>95</v>
      </c>
      <c r="K1346" s="1"/>
      <c r="L1346" s="1"/>
      <c r="M1346" s="1"/>
      <c r="N1346" s="1"/>
      <c r="O1346" s="1"/>
      <c r="P1346" s="1"/>
      <c r="Q1346" s="1"/>
      <c r="R1346" s="1"/>
      <c r="S1346" s="1"/>
      <c r="T1346" s="1"/>
      <c r="U1346" s="1"/>
      <c r="V1346" s="1"/>
      <c r="W1346" s="1"/>
      <c r="X1346" s="1"/>
      <c r="Y1346" s="1"/>
      <c r="Z1346" s="1"/>
      <c r="AA1346" s="1" t="s">
        <v>8800</v>
      </c>
      <c r="AB1346" s="1" t="s">
        <v>8801</v>
      </c>
      <c r="AC1346" s="1"/>
      <c r="AD1346" s="1"/>
      <c r="AE1346" s="1"/>
      <c r="AF1346" s="1"/>
      <c r="AG1346" s="1"/>
      <c r="AH1346" s="1"/>
      <c r="AI1346" s="1"/>
      <c r="AJ1346" s="1"/>
      <c r="AK1346" s="1"/>
      <c r="AL1346" s="1"/>
      <c r="AM1346" s="1"/>
      <c r="AN1346" s="1"/>
      <c r="AO1346" s="1" t="s">
        <v>98</v>
      </c>
      <c r="AP1346" s="1" t="s">
        <v>99</v>
      </c>
      <c r="AQ1346" s="1"/>
      <c r="AR1346" s="1"/>
      <c r="AS1346" s="1"/>
      <c r="AT1346" s="1"/>
      <c r="AU1346" s="1">
        <v>2018</v>
      </c>
      <c r="AV1346" s="1"/>
      <c r="AW1346" s="1">
        <v>2</v>
      </c>
      <c r="AX1346" s="1"/>
      <c r="AY1346" s="1"/>
      <c r="AZ1346" s="1"/>
      <c r="BA1346" s="1"/>
      <c r="BB1346" s="1">
        <v>5</v>
      </c>
      <c r="BC1346" s="1">
        <v>15</v>
      </c>
      <c r="BD1346" s="1"/>
      <c r="BE1346" s="1" t="s">
        <v>8802</v>
      </c>
      <c r="BF1346" s="1" t="str">
        <f>HYPERLINK("http://dx.doi.org/10.25750/1995-4301-2018-2-005-015","http://dx.doi.org/10.25750/1995-4301-2018-2-005-015")</f>
        <v>http://dx.doi.org/10.25750/1995-4301-2018-2-005-015</v>
      </c>
      <c r="BG1346" s="1"/>
      <c r="BH1346" s="1"/>
      <c r="BI1346" s="1"/>
      <c r="BJ1346" s="1"/>
      <c r="BK1346" s="1"/>
      <c r="BL1346" s="1"/>
      <c r="BM1346" s="1"/>
      <c r="BN1346" s="1"/>
      <c r="BO1346" s="1"/>
      <c r="BP1346" s="1"/>
      <c r="BQ1346" s="1"/>
      <c r="BR1346" s="1"/>
      <c r="BS1346" s="1" t="s">
        <v>8803</v>
      </c>
      <c r="BT1346" s="1" t="str">
        <f>HYPERLINK("https%3A%2F%2Fwww.webofscience.com%2Fwos%2Fwoscc%2Ffull-record%2FWOS:000468564500001","View Full Record in Web of Science")</f>
        <v>View Full Record in Web of Science</v>
      </c>
      <c r="BU1346" s="1"/>
      <c r="BV1346" s="1"/>
      <c r="BW1346" s="1"/>
    </row>
    <row r="1347" spans="1:75" customHeight="1" ht="12.75">
      <c r="A1347" s="1" t="s">
        <v>72</v>
      </c>
      <c r="B1347" s="1" t="s">
        <v>8804</v>
      </c>
      <c r="C1347" s="1"/>
      <c r="D1347" s="1"/>
      <c r="E1347" s="1"/>
      <c r="F1347" s="1" t="s">
        <v>8805</v>
      </c>
      <c r="G1347" s="1"/>
      <c r="H1347" s="1"/>
      <c r="I1347" s="1" t="s">
        <v>8806</v>
      </c>
      <c r="J1347" s="1" t="s">
        <v>8807</v>
      </c>
      <c r="K1347" s="1"/>
      <c r="L1347" s="1"/>
      <c r="M1347" s="1"/>
      <c r="N1347" s="1"/>
      <c r="O1347" s="1"/>
      <c r="P1347" s="1"/>
      <c r="Q1347" s="1"/>
      <c r="R1347" s="1"/>
      <c r="S1347" s="1"/>
      <c r="T1347" s="1"/>
      <c r="U1347" s="1"/>
      <c r="V1347" s="1"/>
      <c r="W1347" s="1"/>
      <c r="X1347" s="1"/>
      <c r="Y1347" s="1"/>
      <c r="Z1347" s="1"/>
      <c r="AA1347" s="1" t="s">
        <v>6440</v>
      </c>
      <c r="AB1347" s="1" t="s">
        <v>8808</v>
      </c>
      <c r="AC1347" s="1"/>
      <c r="AD1347" s="1"/>
      <c r="AE1347" s="1"/>
      <c r="AF1347" s="1"/>
      <c r="AG1347" s="1"/>
      <c r="AH1347" s="1"/>
      <c r="AI1347" s="1"/>
      <c r="AJ1347" s="1"/>
      <c r="AK1347" s="1"/>
      <c r="AL1347" s="1"/>
      <c r="AM1347" s="1"/>
      <c r="AN1347" s="1"/>
      <c r="AO1347" s="1"/>
      <c r="AP1347" s="1" t="s">
        <v>8809</v>
      </c>
      <c r="AQ1347" s="1"/>
      <c r="AR1347" s="1"/>
      <c r="AS1347" s="1"/>
      <c r="AT1347" s="1" t="s">
        <v>319</v>
      </c>
      <c r="AU1347" s="1">
        <v>2022</v>
      </c>
      <c r="AV1347" s="1">
        <v>12</v>
      </c>
      <c r="AW1347" s="1">
        <v>11</v>
      </c>
      <c r="AX1347" s="1"/>
      <c r="AY1347" s="1"/>
      <c r="AZ1347" s="1"/>
      <c r="BA1347" s="1"/>
      <c r="BB1347" s="1"/>
      <c r="BC1347" s="1"/>
      <c r="BD1347" s="1">
        <v>1084</v>
      </c>
      <c r="BE1347" s="1" t="s">
        <v>8810</v>
      </c>
      <c r="BF1347" s="1" t="str">
        <f>HYPERLINK("http://dx.doi.org/10.3390/membranes12111084","http://dx.doi.org/10.3390/membranes12111084")</f>
        <v>http://dx.doi.org/10.3390/membranes12111084</v>
      </c>
      <c r="BG1347" s="1"/>
      <c r="BH1347" s="1"/>
      <c r="BI1347" s="1"/>
      <c r="BJ1347" s="1"/>
      <c r="BK1347" s="1"/>
      <c r="BL1347" s="1"/>
      <c r="BM1347" s="1"/>
      <c r="BN1347" s="1">
        <v>36363639</v>
      </c>
      <c r="BO1347" s="1"/>
      <c r="BP1347" s="1"/>
      <c r="BQ1347" s="1"/>
      <c r="BR1347" s="1"/>
      <c r="BS1347" s="1" t="s">
        <v>8811</v>
      </c>
      <c r="BT1347" s="1" t="str">
        <f>HYPERLINK("https%3A%2F%2Fwww.webofscience.com%2Fwos%2Fwoscc%2Ffull-record%2FWOS:000884345100001","View Full Record in Web of Science")</f>
        <v>View Full Record in Web of Science</v>
      </c>
      <c r="BU1347" s="1"/>
      <c r="BV1347" s="1"/>
      <c r="BW1347" s="1"/>
    </row>
    <row r="1348" spans="1:75" customHeight="1" ht="12.75">
      <c r="A1348" s="1" t="s">
        <v>72</v>
      </c>
      <c r="B1348" s="1" t="s">
        <v>8812</v>
      </c>
      <c r="C1348" s="1"/>
      <c r="D1348" s="1"/>
      <c r="E1348" s="1"/>
      <c r="F1348" s="1" t="s">
        <v>8813</v>
      </c>
      <c r="G1348" s="1"/>
      <c r="H1348" s="1"/>
      <c r="I1348" s="1" t="s">
        <v>8814</v>
      </c>
      <c r="J1348" s="1" t="s">
        <v>95</v>
      </c>
      <c r="K1348" s="1"/>
      <c r="L1348" s="1"/>
      <c r="M1348" s="1"/>
      <c r="N1348" s="1"/>
      <c r="O1348" s="1"/>
      <c r="P1348" s="1"/>
      <c r="Q1348" s="1"/>
      <c r="R1348" s="1"/>
      <c r="S1348" s="1"/>
      <c r="T1348" s="1"/>
      <c r="U1348" s="1"/>
      <c r="V1348" s="1"/>
      <c r="W1348" s="1"/>
      <c r="X1348" s="1"/>
      <c r="Y1348" s="1"/>
      <c r="Z1348" s="1"/>
      <c r="AA1348" s="1" t="s">
        <v>8815</v>
      </c>
      <c r="AB1348" s="1" t="s">
        <v>8816</v>
      </c>
      <c r="AC1348" s="1"/>
      <c r="AD1348" s="1"/>
      <c r="AE1348" s="1"/>
      <c r="AF1348" s="1"/>
      <c r="AG1348" s="1"/>
      <c r="AH1348" s="1"/>
      <c r="AI1348" s="1"/>
      <c r="AJ1348" s="1"/>
      <c r="AK1348" s="1"/>
      <c r="AL1348" s="1"/>
      <c r="AM1348" s="1"/>
      <c r="AN1348" s="1"/>
      <c r="AO1348" s="1" t="s">
        <v>98</v>
      </c>
      <c r="AP1348" s="1" t="s">
        <v>99</v>
      </c>
      <c r="AQ1348" s="1"/>
      <c r="AR1348" s="1"/>
      <c r="AS1348" s="1"/>
      <c r="AT1348" s="1"/>
      <c r="AU1348" s="1">
        <v>2020</v>
      </c>
      <c r="AV1348" s="1"/>
      <c r="AW1348" s="1">
        <v>4</v>
      </c>
      <c r="AX1348" s="1"/>
      <c r="AY1348" s="1"/>
      <c r="AZ1348" s="1"/>
      <c r="BA1348" s="1"/>
      <c r="BB1348" s="1">
        <v>216</v>
      </c>
      <c r="BC1348" s="1">
        <v>222</v>
      </c>
      <c r="BD1348" s="1"/>
      <c r="BE1348" s="1" t="s">
        <v>8817</v>
      </c>
      <c r="BF1348" s="1" t="str">
        <f>HYPERLINK("http://dx.doi.org/10.25750/1995-4301-2020-4-216-222","http://dx.doi.org/10.25750/1995-4301-2020-4-216-222")</f>
        <v>http://dx.doi.org/10.25750/1995-4301-2020-4-216-222</v>
      </c>
      <c r="BG1348" s="1"/>
      <c r="BH1348" s="1"/>
      <c r="BI1348" s="1"/>
      <c r="BJ1348" s="1"/>
      <c r="BK1348" s="1"/>
      <c r="BL1348" s="1"/>
      <c r="BM1348" s="1"/>
      <c r="BN1348" s="1"/>
      <c r="BO1348" s="1"/>
      <c r="BP1348" s="1"/>
      <c r="BQ1348" s="1"/>
      <c r="BR1348" s="1"/>
      <c r="BS1348" s="1" t="s">
        <v>8818</v>
      </c>
      <c r="BT1348" s="1" t="str">
        <f>HYPERLINK("https%3A%2F%2Fwww.webofscience.com%2Fwos%2Fwoscc%2Ffull-record%2FWOS:000597810500033","View Full Record in Web of Science")</f>
        <v>View Full Record in Web of Science</v>
      </c>
      <c r="BU1348" s="1"/>
      <c r="BV1348" s="1"/>
      <c r="BW1348" s="1"/>
    </row>
    <row r="1349" spans="1:75" customHeight="1" ht="12.75">
      <c r="A1349" s="1" t="s">
        <v>72</v>
      </c>
      <c r="B1349" s="1" t="s">
        <v>8819</v>
      </c>
      <c r="C1349" s="1"/>
      <c r="D1349" s="1"/>
      <c r="E1349" s="1"/>
      <c r="F1349" s="1" t="s">
        <v>8820</v>
      </c>
      <c r="G1349" s="1"/>
      <c r="H1349" s="1"/>
      <c r="I1349" s="1" t="s">
        <v>8821</v>
      </c>
      <c r="J1349" s="1" t="s">
        <v>8822</v>
      </c>
      <c r="K1349" s="1"/>
      <c r="L1349" s="1"/>
      <c r="M1349" s="1"/>
      <c r="N1349" s="1"/>
      <c r="O1349" s="1"/>
      <c r="P1349" s="1"/>
      <c r="Q1349" s="1"/>
      <c r="R1349" s="1"/>
      <c r="S1349" s="1"/>
      <c r="T1349" s="1"/>
      <c r="U1349" s="1"/>
      <c r="V1349" s="1"/>
      <c r="W1349" s="1"/>
      <c r="X1349" s="1"/>
      <c r="Y1349" s="1"/>
      <c r="Z1349" s="1"/>
      <c r="AA1349" s="1" t="s">
        <v>8823</v>
      </c>
      <c r="AB1349" s="1" t="s">
        <v>8824</v>
      </c>
      <c r="AC1349" s="1"/>
      <c r="AD1349" s="1"/>
      <c r="AE1349" s="1"/>
      <c r="AF1349" s="1"/>
      <c r="AG1349" s="1"/>
      <c r="AH1349" s="1"/>
      <c r="AI1349" s="1"/>
      <c r="AJ1349" s="1"/>
      <c r="AK1349" s="1"/>
      <c r="AL1349" s="1"/>
      <c r="AM1349" s="1"/>
      <c r="AN1349" s="1"/>
      <c r="AO1349" s="1" t="s">
        <v>8825</v>
      </c>
      <c r="AP1349" s="1" t="s">
        <v>8826</v>
      </c>
      <c r="AQ1349" s="1"/>
      <c r="AR1349" s="1"/>
      <c r="AS1349" s="1"/>
      <c r="AT1349" s="1" t="s">
        <v>8827</v>
      </c>
      <c r="AU1349" s="1">
        <v>2022</v>
      </c>
      <c r="AV1349" s="1">
        <v>48</v>
      </c>
      <c r="AW1349" s="1">
        <v>5</v>
      </c>
      <c r="AX1349" s="1"/>
      <c r="AY1349" s="1"/>
      <c r="AZ1349" s="1"/>
      <c r="BA1349" s="1"/>
      <c r="BB1349" s="1">
        <v>6124</v>
      </c>
      <c r="BC1349" s="1">
        <v>6130</v>
      </c>
      <c r="BD1349" s="1"/>
      <c r="BE1349" s="1" t="s">
        <v>8828</v>
      </c>
      <c r="BF1349" s="1" t="str">
        <f>HYPERLINK("http://dx.doi.org/10.1016/j.ceramint.2021.11.151","http://dx.doi.org/10.1016/j.ceramint.2021.11.151")</f>
        <v>http://dx.doi.org/10.1016/j.ceramint.2021.11.151</v>
      </c>
      <c r="BG1349" s="1"/>
      <c r="BH1349" s="1" t="s">
        <v>3630</v>
      </c>
      <c r="BI1349" s="1"/>
      <c r="BJ1349" s="1"/>
      <c r="BK1349" s="1"/>
      <c r="BL1349" s="1"/>
      <c r="BM1349" s="1"/>
      <c r="BN1349" s="1"/>
      <c r="BO1349" s="1"/>
      <c r="BP1349" s="1"/>
      <c r="BQ1349" s="1"/>
      <c r="BR1349" s="1"/>
      <c r="BS1349" s="1" t="s">
        <v>8829</v>
      </c>
      <c r="BT1349" s="1" t="str">
        <f>HYPERLINK("https%3A%2F%2Fwww.webofscience.com%2Fwos%2Fwoscc%2Ffull-record%2FWOS:000752874700003","View Full Record in Web of Science")</f>
        <v>View Full Record in Web of Science</v>
      </c>
      <c r="BU1349" s="1"/>
      <c r="BV1349" s="1"/>
      <c r="BW1349" s="1"/>
    </row>
    <row r="1350" spans="1:75" customHeight="1" ht="12.75">
      <c r="A1350" s="1" t="s">
        <v>72</v>
      </c>
      <c r="B1350" s="1" t="s">
        <v>8830</v>
      </c>
      <c r="C1350" s="1"/>
      <c r="D1350" s="1"/>
      <c r="E1350" s="1"/>
      <c r="F1350" s="1" t="s">
        <v>8831</v>
      </c>
      <c r="G1350" s="1"/>
      <c r="H1350" s="1"/>
      <c r="I1350" s="1" t="s">
        <v>8832</v>
      </c>
      <c r="J1350" s="1" t="s">
        <v>701</v>
      </c>
      <c r="K1350" s="1"/>
      <c r="L1350" s="1"/>
      <c r="M1350" s="1"/>
      <c r="N1350" s="1"/>
      <c r="O1350" s="1"/>
      <c r="P1350" s="1"/>
      <c r="Q1350" s="1"/>
      <c r="R1350" s="1"/>
      <c r="S1350" s="1"/>
      <c r="T1350" s="1"/>
      <c r="U1350" s="1"/>
      <c r="V1350" s="1"/>
      <c r="W1350" s="1"/>
      <c r="X1350" s="1"/>
      <c r="Y1350" s="1"/>
      <c r="Z1350" s="1"/>
      <c r="AA1350" s="1" t="s">
        <v>8833</v>
      </c>
      <c r="AB1350" s="1"/>
      <c r="AC1350" s="1"/>
      <c r="AD1350" s="1"/>
      <c r="AE1350" s="1"/>
      <c r="AF1350" s="1"/>
      <c r="AG1350" s="1"/>
      <c r="AH1350" s="1"/>
      <c r="AI1350" s="1"/>
      <c r="AJ1350" s="1"/>
      <c r="AK1350" s="1"/>
      <c r="AL1350" s="1"/>
      <c r="AM1350" s="1"/>
      <c r="AN1350" s="1"/>
      <c r="AO1350" s="1" t="s">
        <v>702</v>
      </c>
      <c r="AP1350" s="1"/>
      <c r="AQ1350" s="1"/>
      <c r="AR1350" s="1"/>
      <c r="AS1350" s="1"/>
      <c r="AT1350" s="1" t="s">
        <v>78</v>
      </c>
      <c r="AU1350" s="1">
        <v>2020</v>
      </c>
      <c r="AV1350" s="1">
        <v>12</v>
      </c>
      <c r="AW1350" s="1">
        <v>3</v>
      </c>
      <c r="AX1350" s="1"/>
      <c r="AY1350" s="1"/>
      <c r="AZ1350" s="1"/>
      <c r="BA1350" s="1"/>
      <c r="BB1350" s="1">
        <v>228</v>
      </c>
      <c r="BC1350" s="1">
        <v>239</v>
      </c>
      <c r="BD1350" s="1"/>
      <c r="BE1350" s="1"/>
      <c r="BF1350" s="1"/>
      <c r="BG1350" s="1"/>
      <c r="BH1350" s="1"/>
      <c r="BI1350" s="1"/>
      <c r="BJ1350" s="1"/>
      <c r="BK1350" s="1"/>
      <c r="BL1350" s="1"/>
      <c r="BM1350" s="1"/>
      <c r="BN1350" s="1"/>
      <c r="BO1350" s="1"/>
      <c r="BP1350" s="1"/>
      <c r="BQ1350" s="1"/>
      <c r="BR1350" s="1"/>
      <c r="BS1350" s="1" t="s">
        <v>8834</v>
      </c>
      <c r="BT1350" s="1" t="str">
        <f>HYPERLINK("https%3A%2F%2Fwww.webofscience.com%2Fwos%2Fwoscc%2Ffull-record%2FWOS:000539097400020","View Full Record in Web of Science")</f>
        <v>View Full Record in Web of Science</v>
      </c>
      <c r="BU1350" s="1"/>
      <c r="BV1350" s="1"/>
      <c r="BW1350" s="1"/>
    </row>
    <row r="1351" spans="1:75" customHeight="1" ht="12.75">
      <c r="A1351" s="1" t="s">
        <v>72</v>
      </c>
      <c r="B1351" s="1" t="s">
        <v>8835</v>
      </c>
      <c r="C1351" s="1"/>
      <c r="D1351" s="1"/>
      <c r="E1351" s="1"/>
      <c r="F1351" s="1" t="s">
        <v>8836</v>
      </c>
      <c r="G1351" s="1"/>
      <c r="H1351" s="1"/>
      <c r="I1351" s="1" t="s">
        <v>8837</v>
      </c>
      <c r="J1351" s="1" t="s">
        <v>95</v>
      </c>
      <c r="K1351" s="1"/>
      <c r="L1351" s="1"/>
      <c r="M1351" s="1"/>
      <c r="N1351" s="1"/>
      <c r="O1351" s="1"/>
      <c r="P1351" s="1"/>
      <c r="Q1351" s="1"/>
      <c r="R1351" s="1"/>
      <c r="S1351" s="1"/>
      <c r="T1351" s="1"/>
      <c r="U1351" s="1"/>
      <c r="V1351" s="1"/>
      <c r="W1351" s="1"/>
      <c r="X1351" s="1"/>
      <c r="Y1351" s="1"/>
      <c r="Z1351" s="1"/>
      <c r="AA1351" s="1" t="s">
        <v>7247</v>
      </c>
      <c r="AB1351" s="1" t="s">
        <v>7073</v>
      </c>
      <c r="AC1351" s="1"/>
      <c r="AD1351" s="1"/>
      <c r="AE1351" s="1"/>
      <c r="AF1351" s="1"/>
      <c r="AG1351" s="1"/>
      <c r="AH1351" s="1"/>
      <c r="AI1351" s="1"/>
      <c r="AJ1351" s="1"/>
      <c r="AK1351" s="1"/>
      <c r="AL1351" s="1"/>
      <c r="AM1351" s="1"/>
      <c r="AN1351" s="1"/>
      <c r="AO1351" s="1" t="s">
        <v>98</v>
      </c>
      <c r="AP1351" s="1" t="s">
        <v>99</v>
      </c>
      <c r="AQ1351" s="1"/>
      <c r="AR1351" s="1"/>
      <c r="AS1351" s="1"/>
      <c r="AT1351" s="1"/>
      <c r="AU1351" s="1">
        <v>2019</v>
      </c>
      <c r="AV1351" s="1"/>
      <c r="AW1351" s="1">
        <v>2</v>
      </c>
      <c r="AX1351" s="1"/>
      <c r="AY1351" s="1"/>
      <c r="AZ1351" s="1"/>
      <c r="BA1351" s="1"/>
      <c r="BB1351" s="1">
        <v>113</v>
      </c>
      <c r="BC1351" s="1">
        <v>120</v>
      </c>
      <c r="BD1351" s="1"/>
      <c r="BE1351" s="1" t="s">
        <v>8838</v>
      </c>
      <c r="BF1351" s="1" t="str">
        <f>HYPERLINK("http://dx.doi.org/10.25750/1995-4301-2019-2-113-120","http://dx.doi.org/10.25750/1995-4301-2019-2-113-120")</f>
        <v>http://dx.doi.org/10.25750/1995-4301-2019-2-113-120</v>
      </c>
      <c r="BG1351" s="1"/>
      <c r="BH1351" s="1"/>
      <c r="BI1351" s="1"/>
      <c r="BJ1351" s="1"/>
      <c r="BK1351" s="1"/>
      <c r="BL1351" s="1"/>
      <c r="BM1351" s="1"/>
      <c r="BN1351" s="1"/>
      <c r="BO1351" s="1"/>
      <c r="BP1351" s="1"/>
      <c r="BQ1351" s="1"/>
      <c r="BR1351" s="1"/>
      <c r="BS1351" s="1" t="s">
        <v>8839</v>
      </c>
      <c r="BT1351" s="1" t="str">
        <f>HYPERLINK("https%3A%2F%2Fwww.webofscience.com%2Fwos%2Fwoscc%2Ffull-record%2FWOS:000477826000014","View Full Record in Web of Science")</f>
        <v>View Full Record in Web of Science</v>
      </c>
      <c r="BU1351" s="1"/>
      <c r="BV1351" s="1"/>
      <c r="BW1351" s="1"/>
    </row>
    <row r="1352" spans="1:75" customHeight="1" ht="12.75">
      <c r="A1352" s="1" t="s">
        <v>72</v>
      </c>
      <c r="B1352" s="1" t="s">
        <v>8840</v>
      </c>
      <c r="C1352" s="1"/>
      <c r="D1352" s="1"/>
      <c r="E1352" s="1"/>
      <c r="F1352" s="1" t="s">
        <v>8841</v>
      </c>
      <c r="G1352" s="1"/>
      <c r="H1352" s="1"/>
      <c r="I1352" s="1" t="s">
        <v>8842</v>
      </c>
      <c r="J1352" s="1" t="s">
        <v>95</v>
      </c>
      <c r="K1352" s="1"/>
      <c r="L1352" s="1"/>
      <c r="M1352" s="1"/>
      <c r="N1352" s="1"/>
      <c r="O1352" s="1"/>
      <c r="P1352" s="1"/>
      <c r="Q1352" s="1"/>
      <c r="R1352" s="1"/>
      <c r="S1352" s="1"/>
      <c r="T1352" s="1"/>
      <c r="U1352" s="1"/>
      <c r="V1352" s="1"/>
      <c r="W1352" s="1"/>
      <c r="X1352" s="1"/>
      <c r="Y1352" s="1"/>
      <c r="Z1352" s="1"/>
      <c r="AA1352" s="1" t="s">
        <v>8843</v>
      </c>
      <c r="AB1352" s="1" t="s">
        <v>8844</v>
      </c>
      <c r="AC1352" s="1"/>
      <c r="AD1352" s="1"/>
      <c r="AE1352" s="1"/>
      <c r="AF1352" s="1"/>
      <c r="AG1352" s="1"/>
      <c r="AH1352" s="1"/>
      <c r="AI1352" s="1"/>
      <c r="AJ1352" s="1"/>
      <c r="AK1352" s="1"/>
      <c r="AL1352" s="1"/>
      <c r="AM1352" s="1"/>
      <c r="AN1352" s="1"/>
      <c r="AO1352" s="1" t="s">
        <v>98</v>
      </c>
      <c r="AP1352" s="1" t="s">
        <v>99</v>
      </c>
      <c r="AQ1352" s="1"/>
      <c r="AR1352" s="1"/>
      <c r="AS1352" s="1"/>
      <c r="AT1352" s="1"/>
      <c r="AU1352" s="1">
        <v>2019</v>
      </c>
      <c r="AV1352" s="1"/>
      <c r="AW1352" s="1">
        <v>3</v>
      </c>
      <c r="AX1352" s="1"/>
      <c r="AY1352" s="1"/>
      <c r="AZ1352" s="1"/>
      <c r="BA1352" s="1"/>
      <c r="BB1352" s="1">
        <v>101</v>
      </c>
      <c r="BC1352" s="1">
        <v>108</v>
      </c>
      <c r="BD1352" s="1"/>
      <c r="BE1352" s="1" t="s">
        <v>8845</v>
      </c>
      <c r="BF1352" s="1" t="str">
        <f>HYPERLINK("http://dx.doi.org/10.25750/1995-4301-2019-3-101-108","http://dx.doi.org/10.25750/1995-4301-2019-3-101-108")</f>
        <v>http://dx.doi.org/10.25750/1995-4301-2019-3-101-108</v>
      </c>
      <c r="BG1352" s="1"/>
      <c r="BH1352" s="1"/>
      <c r="BI1352" s="1"/>
      <c r="BJ1352" s="1"/>
      <c r="BK1352" s="1"/>
      <c r="BL1352" s="1"/>
      <c r="BM1352" s="1"/>
      <c r="BN1352" s="1"/>
      <c r="BO1352" s="1"/>
      <c r="BP1352" s="1"/>
      <c r="BQ1352" s="1"/>
      <c r="BR1352" s="1"/>
      <c r="BS1352" s="1" t="s">
        <v>8846</v>
      </c>
      <c r="BT1352" s="1" t="str">
        <f>HYPERLINK("https%3A%2F%2Fwww.webofscience.com%2Fwos%2Fwoscc%2Ffull-record%2FWOS:000490704900014","View Full Record in Web of Science")</f>
        <v>View Full Record in Web of Science</v>
      </c>
      <c r="BU1352" s="1"/>
      <c r="BV1352" s="1"/>
      <c r="BW1352" s="1"/>
    </row>
    <row r="1353" spans="1:75" customHeight="1" ht="12.75">
      <c r="A1353" s="1" t="s">
        <v>72</v>
      </c>
      <c r="B1353" s="1" t="s">
        <v>8847</v>
      </c>
      <c r="C1353" s="1"/>
      <c r="D1353" s="1"/>
      <c r="E1353" s="1"/>
      <c r="F1353" s="1" t="s">
        <v>8848</v>
      </c>
      <c r="G1353" s="1"/>
      <c r="H1353" s="1"/>
      <c r="I1353" s="1" t="s">
        <v>8849</v>
      </c>
      <c r="J1353" s="1" t="s">
        <v>95</v>
      </c>
      <c r="K1353" s="1"/>
      <c r="L1353" s="1"/>
      <c r="M1353" s="1"/>
      <c r="N1353" s="1"/>
      <c r="O1353" s="1"/>
      <c r="P1353" s="1"/>
      <c r="Q1353" s="1"/>
      <c r="R1353" s="1"/>
      <c r="S1353" s="1"/>
      <c r="T1353" s="1"/>
      <c r="U1353" s="1"/>
      <c r="V1353" s="1"/>
      <c r="W1353" s="1"/>
      <c r="X1353" s="1"/>
      <c r="Y1353" s="1"/>
      <c r="Z1353" s="1"/>
      <c r="AA1353" s="1" t="s">
        <v>8850</v>
      </c>
      <c r="AB1353" s="1" t="s">
        <v>8851</v>
      </c>
      <c r="AC1353" s="1"/>
      <c r="AD1353" s="1"/>
      <c r="AE1353" s="1"/>
      <c r="AF1353" s="1"/>
      <c r="AG1353" s="1"/>
      <c r="AH1353" s="1"/>
      <c r="AI1353" s="1"/>
      <c r="AJ1353" s="1"/>
      <c r="AK1353" s="1"/>
      <c r="AL1353" s="1"/>
      <c r="AM1353" s="1"/>
      <c r="AN1353" s="1"/>
      <c r="AO1353" s="1" t="s">
        <v>98</v>
      </c>
      <c r="AP1353" s="1" t="s">
        <v>99</v>
      </c>
      <c r="AQ1353" s="1"/>
      <c r="AR1353" s="1"/>
      <c r="AS1353" s="1"/>
      <c r="AT1353" s="1"/>
      <c r="AU1353" s="1">
        <v>2019</v>
      </c>
      <c r="AV1353" s="1"/>
      <c r="AW1353" s="1">
        <v>3</v>
      </c>
      <c r="AX1353" s="1"/>
      <c r="AY1353" s="1"/>
      <c r="AZ1353" s="1"/>
      <c r="BA1353" s="1"/>
      <c r="BB1353" s="1">
        <v>72</v>
      </c>
      <c r="BC1353" s="1">
        <v>79</v>
      </c>
      <c r="BD1353" s="1"/>
      <c r="BE1353" s="1" t="s">
        <v>8852</v>
      </c>
      <c r="BF1353" s="1" t="str">
        <f>HYPERLINK("http://dx.doi.org/10.25750/1995-4301-2019-3-072-079","http://dx.doi.org/10.25750/1995-4301-2019-3-072-079")</f>
        <v>http://dx.doi.org/10.25750/1995-4301-2019-3-072-079</v>
      </c>
      <c r="BG1353" s="1"/>
      <c r="BH1353" s="1"/>
      <c r="BI1353" s="1"/>
      <c r="BJ1353" s="1"/>
      <c r="BK1353" s="1"/>
      <c r="BL1353" s="1"/>
      <c r="BM1353" s="1"/>
      <c r="BN1353" s="1"/>
      <c r="BO1353" s="1"/>
      <c r="BP1353" s="1"/>
      <c r="BQ1353" s="1"/>
      <c r="BR1353" s="1"/>
      <c r="BS1353" s="1" t="s">
        <v>8853</v>
      </c>
      <c r="BT1353" s="1" t="str">
        <f>HYPERLINK("https%3A%2F%2Fwww.webofscience.com%2Fwos%2Fwoscc%2Ffull-record%2FWOS:000490704900010","View Full Record in Web of Science")</f>
        <v>View Full Record in Web of Science</v>
      </c>
      <c r="BU1353" s="1"/>
      <c r="BV1353" s="1"/>
      <c r="BW1353" s="1"/>
    </row>
    <row r="1354" spans="1:75" customHeight="1" ht="12.75">
      <c r="A1354" s="1" t="s">
        <v>72</v>
      </c>
      <c r="B1354" s="1" t="s">
        <v>8854</v>
      </c>
      <c r="C1354" s="1"/>
      <c r="D1354" s="1"/>
      <c r="E1354" s="1"/>
      <c r="F1354" s="1" t="s">
        <v>8855</v>
      </c>
      <c r="G1354" s="1"/>
      <c r="H1354" s="1"/>
      <c r="I1354" s="1" t="s">
        <v>8856</v>
      </c>
      <c r="J1354" s="1" t="s">
        <v>95</v>
      </c>
      <c r="K1354" s="1"/>
      <c r="L1354" s="1"/>
      <c r="M1354" s="1"/>
      <c r="N1354" s="1"/>
      <c r="O1354" s="1"/>
      <c r="P1354" s="1"/>
      <c r="Q1354" s="1"/>
      <c r="R1354" s="1"/>
      <c r="S1354" s="1"/>
      <c r="T1354" s="1"/>
      <c r="U1354" s="1"/>
      <c r="V1354" s="1"/>
      <c r="W1354" s="1"/>
      <c r="X1354" s="1"/>
      <c r="Y1354" s="1"/>
      <c r="Z1354" s="1"/>
      <c r="AA1354" s="1" t="s">
        <v>8857</v>
      </c>
      <c r="AB1354" s="1" t="s">
        <v>8858</v>
      </c>
      <c r="AC1354" s="1"/>
      <c r="AD1354" s="1"/>
      <c r="AE1354" s="1"/>
      <c r="AF1354" s="1"/>
      <c r="AG1354" s="1"/>
      <c r="AH1354" s="1"/>
      <c r="AI1354" s="1"/>
      <c r="AJ1354" s="1"/>
      <c r="AK1354" s="1"/>
      <c r="AL1354" s="1"/>
      <c r="AM1354" s="1"/>
      <c r="AN1354" s="1"/>
      <c r="AO1354" s="1" t="s">
        <v>98</v>
      </c>
      <c r="AP1354" s="1" t="s">
        <v>99</v>
      </c>
      <c r="AQ1354" s="1"/>
      <c r="AR1354" s="1"/>
      <c r="AS1354" s="1"/>
      <c r="AT1354" s="1"/>
      <c r="AU1354" s="1">
        <v>2018</v>
      </c>
      <c r="AV1354" s="1"/>
      <c r="AW1354" s="1">
        <v>2</v>
      </c>
      <c r="AX1354" s="1"/>
      <c r="AY1354" s="1"/>
      <c r="AZ1354" s="1"/>
      <c r="BA1354" s="1"/>
      <c r="BB1354" s="1">
        <v>117</v>
      </c>
      <c r="BC1354" s="1" t="s">
        <v>107</v>
      </c>
      <c r="BD1354" s="1"/>
      <c r="BE1354" s="1" t="s">
        <v>8859</v>
      </c>
      <c r="BF1354" s="1" t="str">
        <f>HYPERLINK("http://dx.doi.org/10.25750/1995-4301-2018-2-117-124","http://dx.doi.org/10.25750/1995-4301-2018-2-117-124")</f>
        <v>http://dx.doi.org/10.25750/1995-4301-2018-2-117-124</v>
      </c>
      <c r="BG1354" s="1"/>
      <c r="BH1354" s="1"/>
      <c r="BI1354" s="1"/>
      <c r="BJ1354" s="1"/>
      <c r="BK1354" s="1"/>
      <c r="BL1354" s="1"/>
      <c r="BM1354" s="1"/>
      <c r="BN1354" s="1"/>
      <c r="BO1354" s="1"/>
      <c r="BP1354" s="1"/>
      <c r="BQ1354" s="1"/>
      <c r="BR1354" s="1"/>
      <c r="BS1354" s="1" t="s">
        <v>8860</v>
      </c>
      <c r="BT1354" s="1" t="str">
        <f>HYPERLINK("https%3A%2F%2Fwww.webofscience.com%2Fwos%2Fwoscc%2Ffull-record%2FWOS:000468564500016","View Full Record in Web of Science")</f>
        <v>View Full Record in Web of Science</v>
      </c>
      <c r="BU1354" s="1"/>
      <c r="BV1354" s="1"/>
      <c r="BW1354" s="1"/>
    </row>
    <row r="1355" spans="1:75" customHeight="1" ht="12.75">
      <c r="A1355" s="1" t="s">
        <v>72</v>
      </c>
      <c r="B1355" s="1" t="s">
        <v>8670</v>
      </c>
      <c r="C1355" s="1"/>
      <c r="D1355" s="1"/>
      <c r="E1355" s="1"/>
      <c r="F1355" s="1" t="s">
        <v>8671</v>
      </c>
      <c r="G1355" s="1"/>
      <c r="H1355" s="1"/>
      <c r="I1355" s="1" t="s">
        <v>8861</v>
      </c>
      <c r="J1355" s="1" t="s">
        <v>8862</v>
      </c>
      <c r="K1355" s="1"/>
      <c r="L1355" s="1"/>
      <c r="M1355" s="1"/>
      <c r="N1355" s="1"/>
      <c r="O1355" s="1"/>
      <c r="P1355" s="1"/>
      <c r="Q1355" s="1"/>
      <c r="R1355" s="1"/>
      <c r="S1355" s="1"/>
      <c r="T1355" s="1"/>
      <c r="U1355" s="1"/>
      <c r="V1355" s="1"/>
      <c r="W1355" s="1"/>
      <c r="X1355" s="1"/>
      <c r="Y1355" s="1"/>
      <c r="Z1355" s="1"/>
      <c r="AA1355" s="1" t="s">
        <v>8766</v>
      </c>
      <c r="AB1355" s="1" t="s">
        <v>8767</v>
      </c>
      <c r="AC1355" s="1"/>
      <c r="AD1355" s="1"/>
      <c r="AE1355" s="1"/>
      <c r="AF1355" s="1"/>
      <c r="AG1355" s="1"/>
      <c r="AH1355" s="1"/>
      <c r="AI1355" s="1"/>
      <c r="AJ1355" s="1"/>
      <c r="AK1355" s="1"/>
      <c r="AL1355" s="1"/>
      <c r="AM1355" s="1"/>
      <c r="AN1355" s="1"/>
      <c r="AO1355" s="1" t="s">
        <v>8863</v>
      </c>
      <c r="AP1355" s="1"/>
      <c r="AQ1355" s="1"/>
      <c r="AR1355" s="1"/>
      <c r="AS1355" s="1"/>
      <c r="AT1355" s="1" t="s">
        <v>2803</v>
      </c>
      <c r="AU1355" s="1">
        <v>2018</v>
      </c>
      <c r="AV1355" s="1">
        <v>35</v>
      </c>
      <c r="AW1355" s="1">
        <v>2</v>
      </c>
      <c r="AX1355" s="1"/>
      <c r="AY1355" s="1"/>
      <c r="AZ1355" s="1"/>
      <c r="BA1355" s="1"/>
      <c r="BB1355" s="1">
        <v>115</v>
      </c>
      <c r="BC1355" s="1">
        <v>130</v>
      </c>
      <c r="BD1355" s="1"/>
      <c r="BE1355" s="1" t="s">
        <v>8864</v>
      </c>
      <c r="BF1355" s="1" t="str">
        <f>HYPERLINK("http://dx.doi.org/10.7868/S0233475518020032","http://dx.doi.org/10.7868/S0233475518020032")</f>
        <v>http://dx.doi.org/10.7868/S0233475518020032</v>
      </c>
      <c r="BG1355" s="1"/>
      <c r="BH1355" s="1"/>
      <c r="BI1355" s="1"/>
      <c r="BJ1355" s="1"/>
      <c r="BK1355" s="1"/>
      <c r="BL1355" s="1"/>
      <c r="BM1355" s="1"/>
      <c r="BN1355" s="1"/>
      <c r="BO1355" s="1"/>
      <c r="BP1355" s="1"/>
      <c r="BQ1355" s="1"/>
      <c r="BR1355" s="1"/>
      <c r="BS1355" s="1" t="s">
        <v>8865</v>
      </c>
      <c r="BT1355" s="1" t="str">
        <f>HYPERLINK("https%3A%2F%2Fwww.webofscience.com%2Fwos%2Fwoscc%2Ffull-record%2FWOS:000434479000003","View Full Record in Web of Science")</f>
        <v>View Full Record in Web of Science</v>
      </c>
      <c r="BU1355" s="1"/>
      <c r="BV1355" s="1"/>
      <c r="BW1355" s="1"/>
    </row>
    <row r="1356" spans="1:75" customHeight="1" ht="12.75">
      <c r="A1356" s="1" t="s">
        <v>72</v>
      </c>
      <c r="B1356" s="1" t="s">
        <v>8866</v>
      </c>
      <c r="C1356" s="1"/>
      <c r="D1356" s="1"/>
      <c r="E1356" s="1"/>
      <c r="F1356" s="1" t="s">
        <v>8867</v>
      </c>
      <c r="G1356" s="1"/>
      <c r="H1356" s="1"/>
      <c r="I1356" s="1" t="s">
        <v>8868</v>
      </c>
      <c r="J1356" s="1" t="s">
        <v>8129</v>
      </c>
      <c r="K1356" s="1"/>
      <c r="L1356" s="1"/>
      <c r="M1356" s="1"/>
      <c r="N1356" s="1"/>
      <c r="O1356" s="1"/>
      <c r="P1356" s="1"/>
      <c r="Q1356" s="1"/>
      <c r="R1356" s="1"/>
      <c r="S1356" s="1"/>
      <c r="T1356" s="1"/>
      <c r="U1356" s="1"/>
      <c r="V1356" s="1"/>
      <c r="W1356" s="1"/>
      <c r="X1356" s="1"/>
      <c r="Y1356" s="1"/>
      <c r="Z1356" s="1"/>
      <c r="AA1356" s="1" t="s">
        <v>8869</v>
      </c>
      <c r="AB1356" s="1" t="s">
        <v>8870</v>
      </c>
      <c r="AC1356" s="1"/>
      <c r="AD1356" s="1"/>
      <c r="AE1356" s="1"/>
      <c r="AF1356" s="1"/>
      <c r="AG1356" s="1"/>
      <c r="AH1356" s="1"/>
      <c r="AI1356" s="1"/>
      <c r="AJ1356" s="1"/>
      <c r="AK1356" s="1"/>
      <c r="AL1356" s="1"/>
      <c r="AM1356" s="1"/>
      <c r="AN1356" s="1"/>
      <c r="AO1356" s="1" t="s">
        <v>8132</v>
      </c>
      <c r="AP1356" s="1"/>
      <c r="AQ1356" s="1"/>
      <c r="AR1356" s="1"/>
      <c r="AS1356" s="1"/>
      <c r="AT1356" s="1" t="s">
        <v>8871</v>
      </c>
      <c r="AU1356" s="1">
        <v>2022</v>
      </c>
      <c r="AV1356" s="1">
        <v>12</v>
      </c>
      <c r="AW1356" s="1">
        <v>3</v>
      </c>
      <c r="AX1356" s="1"/>
      <c r="AY1356" s="1"/>
      <c r="AZ1356" s="1"/>
      <c r="BA1356" s="1"/>
      <c r="BB1356" s="1">
        <v>359</v>
      </c>
      <c r="BC1356" s="1">
        <v>364</v>
      </c>
      <c r="BD1356" s="1"/>
      <c r="BE1356" s="1" t="s">
        <v>8872</v>
      </c>
      <c r="BF1356" s="1" t="str">
        <f>HYPERLINK("http://dx.doi.org/10.31407/ijees12.345","http://dx.doi.org/10.31407/ijees12.345")</f>
        <v>http://dx.doi.org/10.31407/ijees12.345</v>
      </c>
      <c r="BG1356" s="1"/>
      <c r="BH1356" s="1"/>
      <c r="BI1356" s="1"/>
      <c r="BJ1356" s="1"/>
      <c r="BK1356" s="1"/>
      <c r="BL1356" s="1"/>
      <c r="BM1356" s="1"/>
      <c r="BN1356" s="1"/>
      <c r="BO1356" s="1"/>
      <c r="BP1356" s="1"/>
      <c r="BQ1356" s="1"/>
      <c r="BR1356" s="1"/>
      <c r="BS1356" s="1" t="s">
        <v>8873</v>
      </c>
      <c r="BT1356" s="1" t="str">
        <f>HYPERLINK("https%3A%2F%2Fwww.webofscience.com%2Fwos%2Fwoscc%2Ffull-record%2FWOS:000828158500045","View Full Record in Web of Science")</f>
        <v>View Full Record in Web of Science</v>
      </c>
      <c r="BU1356" s="1"/>
      <c r="BV1356" s="1"/>
      <c r="BW1356" s="1"/>
    </row>
    <row r="1357" spans="1:75" customHeight="1" ht="12.75">
      <c r="A1357" s="1" t="s">
        <v>72</v>
      </c>
      <c r="B1357" s="1" t="s">
        <v>8874</v>
      </c>
      <c r="C1357" s="1"/>
      <c r="D1357" s="1"/>
      <c r="E1357" s="1"/>
      <c r="F1357" s="1" t="s">
        <v>8875</v>
      </c>
      <c r="G1357" s="1"/>
      <c r="H1357" s="1"/>
      <c r="I1357" s="1" t="s">
        <v>8876</v>
      </c>
      <c r="J1357" s="1" t="s">
        <v>716</v>
      </c>
      <c r="K1357" s="1"/>
      <c r="L1357" s="1"/>
      <c r="M1357" s="1"/>
      <c r="N1357" s="1"/>
      <c r="O1357" s="1"/>
      <c r="P1357" s="1"/>
      <c r="Q1357" s="1"/>
      <c r="R1357" s="1"/>
      <c r="S1357" s="1"/>
      <c r="T1357" s="1"/>
      <c r="U1357" s="1"/>
      <c r="V1357" s="1"/>
      <c r="W1357" s="1"/>
      <c r="X1357" s="1"/>
      <c r="Y1357" s="1"/>
      <c r="Z1357" s="1"/>
      <c r="AA1357" s="1" t="s">
        <v>8877</v>
      </c>
      <c r="AB1357" s="1" t="s">
        <v>6575</v>
      </c>
      <c r="AC1357" s="1"/>
      <c r="AD1357" s="1"/>
      <c r="AE1357" s="1"/>
      <c r="AF1357" s="1"/>
      <c r="AG1357" s="1"/>
      <c r="AH1357" s="1"/>
      <c r="AI1357" s="1"/>
      <c r="AJ1357" s="1"/>
      <c r="AK1357" s="1"/>
      <c r="AL1357" s="1"/>
      <c r="AM1357" s="1"/>
      <c r="AN1357" s="1"/>
      <c r="AO1357" s="1" t="s">
        <v>719</v>
      </c>
      <c r="AP1357" s="1" t="s">
        <v>720</v>
      </c>
      <c r="AQ1357" s="1"/>
      <c r="AR1357" s="1"/>
      <c r="AS1357" s="1"/>
      <c r="AT1357" s="1" t="s">
        <v>198</v>
      </c>
      <c r="AU1357" s="1">
        <v>2019</v>
      </c>
      <c r="AV1357" s="1"/>
      <c r="AW1357" s="1">
        <v>441</v>
      </c>
      <c r="AX1357" s="1"/>
      <c r="AY1357" s="1"/>
      <c r="AZ1357" s="1"/>
      <c r="BA1357" s="1"/>
      <c r="BB1357" s="1">
        <v>235</v>
      </c>
      <c r="BC1357" s="1">
        <v>242</v>
      </c>
      <c r="BD1357" s="1"/>
      <c r="BE1357" s="1" t="s">
        <v>8878</v>
      </c>
      <c r="BF1357" s="1" t="str">
        <f>HYPERLINK("http://dx.doi.org/10.17223/15617793/441/31","http://dx.doi.org/10.17223/15617793/441/31")</f>
        <v>http://dx.doi.org/10.17223/15617793/441/31</v>
      </c>
      <c r="BG1357" s="1"/>
      <c r="BH1357" s="1"/>
      <c r="BI1357" s="1"/>
      <c r="BJ1357" s="1"/>
      <c r="BK1357" s="1"/>
      <c r="BL1357" s="1"/>
      <c r="BM1357" s="1"/>
      <c r="BN1357" s="1"/>
      <c r="BO1357" s="1"/>
      <c r="BP1357" s="1"/>
      <c r="BQ1357" s="1"/>
      <c r="BR1357" s="1"/>
      <c r="BS1357" s="1" t="s">
        <v>8879</v>
      </c>
      <c r="BT1357" s="1" t="str">
        <f>HYPERLINK("https%3A%2F%2Fwww.webofscience.com%2Fwos%2Fwoscc%2Ffull-record%2FWOS:000468214400031","View Full Record in Web of Science")</f>
        <v>View Full Record in Web of Science</v>
      </c>
      <c r="BU1357" s="1"/>
      <c r="BV1357" s="1"/>
      <c r="BW1357" s="1"/>
    </row>
    <row r="1358" spans="1:75" customHeight="1" ht="12.75">
      <c r="A1358" s="1" t="s">
        <v>72</v>
      </c>
      <c r="B1358" s="1" t="s">
        <v>8880</v>
      </c>
      <c r="C1358" s="1"/>
      <c r="D1358" s="1"/>
      <c r="E1358" s="1"/>
      <c r="F1358" s="1" t="s">
        <v>8881</v>
      </c>
      <c r="G1358" s="1"/>
      <c r="H1358" s="1"/>
      <c r="I1358" s="1" t="s">
        <v>8882</v>
      </c>
      <c r="J1358" s="1" t="s">
        <v>95</v>
      </c>
      <c r="K1358" s="1"/>
      <c r="L1358" s="1"/>
      <c r="M1358" s="1"/>
      <c r="N1358" s="1"/>
      <c r="O1358" s="1"/>
      <c r="P1358" s="1"/>
      <c r="Q1358" s="1"/>
      <c r="R1358" s="1"/>
      <c r="S1358" s="1"/>
      <c r="T1358" s="1"/>
      <c r="U1358" s="1"/>
      <c r="V1358" s="1"/>
      <c r="W1358" s="1"/>
      <c r="X1358" s="1"/>
      <c r="Y1358" s="1"/>
      <c r="Z1358" s="1"/>
      <c r="AA1358" s="1" t="s">
        <v>8883</v>
      </c>
      <c r="AB1358" s="1" t="s">
        <v>8884</v>
      </c>
      <c r="AC1358" s="1"/>
      <c r="AD1358" s="1"/>
      <c r="AE1358" s="1"/>
      <c r="AF1358" s="1"/>
      <c r="AG1358" s="1"/>
      <c r="AH1358" s="1"/>
      <c r="AI1358" s="1"/>
      <c r="AJ1358" s="1"/>
      <c r="AK1358" s="1"/>
      <c r="AL1358" s="1"/>
      <c r="AM1358" s="1"/>
      <c r="AN1358" s="1"/>
      <c r="AO1358" s="1" t="s">
        <v>98</v>
      </c>
      <c r="AP1358" s="1" t="s">
        <v>99</v>
      </c>
      <c r="AQ1358" s="1"/>
      <c r="AR1358" s="1"/>
      <c r="AS1358" s="1"/>
      <c r="AT1358" s="1"/>
      <c r="AU1358" s="1">
        <v>2021</v>
      </c>
      <c r="AV1358" s="1"/>
      <c r="AW1358" s="1">
        <v>2</v>
      </c>
      <c r="AX1358" s="1"/>
      <c r="AY1358" s="1"/>
      <c r="AZ1358" s="1"/>
      <c r="BA1358" s="1"/>
      <c r="BB1358" s="1">
        <v>215</v>
      </c>
      <c r="BC1358" s="1">
        <v>221</v>
      </c>
      <c r="BD1358" s="1"/>
      <c r="BE1358" s="1" t="s">
        <v>8885</v>
      </c>
      <c r="BF1358" s="1" t="str">
        <f>HYPERLINK("http://dx.doi.org/10.25750/1995-4301-2021-2-215-221","http://dx.doi.org/10.25750/1995-4301-2021-2-215-221")</f>
        <v>http://dx.doi.org/10.25750/1995-4301-2021-2-215-221</v>
      </c>
      <c r="BG1358" s="1"/>
      <c r="BH1358" s="1"/>
      <c r="BI1358" s="1"/>
      <c r="BJ1358" s="1"/>
      <c r="BK1358" s="1"/>
      <c r="BL1358" s="1"/>
      <c r="BM1358" s="1"/>
      <c r="BN1358" s="1"/>
      <c r="BO1358" s="1"/>
      <c r="BP1358" s="1"/>
      <c r="BQ1358" s="1"/>
      <c r="BR1358" s="1"/>
      <c r="BS1358" s="1" t="s">
        <v>8886</v>
      </c>
      <c r="BT1358" s="1" t="str">
        <f>HYPERLINK("https%3A%2F%2Fwww.webofscience.com%2Fwos%2Fwoscc%2Ffull-record%2FWOS:000667025400031","View Full Record in Web of Science")</f>
        <v>View Full Record in Web of Science</v>
      </c>
      <c r="BU1358" s="1"/>
      <c r="BV1358" s="1"/>
      <c r="BW1358" s="1"/>
    </row>
    <row r="1359" spans="1:75" customHeight="1" ht="12.75">
      <c r="A1359" s="1" t="s">
        <v>72</v>
      </c>
      <c r="B1359" s="1" t="s">
        <v>8887</v>
      </c>
      <c r="C1359" s="1"/>
      <c r="D1359" s="1"/>
      <c r="E1359" s="1"/>
      <c r="F1359" s="1" t="s">
        <v>8888</v>
      </c>
      <c r="G1359" s="1"/>
      <c r="H1359" s="1"/>
      <c r="I1359" s="1" t="s">
        <v>8889</v>
      </c>
      <c r="J1359" s="1" t="s">
        <v>8890</v>
      </c>
      <c r="K1359" s="1"/>
      <c r="L1359" s="1"/>
      <c r="M1359" s="1"/>
      <c r="N1359" s="1"/>
      <c r="O1359" s="1"/>
      <c r="P1359" s="1"/>
      <c r="Q1359" s="1"/>
      <c r="R1359" s="1"/>
      <c r="S1359" s="1"/>
      <c r="T1359" s="1"/>
      <c r="U1359" s="1"/>
      <c r="V1359" s="1"/>
      <c r="W1359" s="1"/>
      <c r="X1359" s="1"/>
      <c r="Y1359" s="1"/>
      <c r="Z1359" s="1"/>
      <c r="AA1359" s="1" t="s">
        <v>8891</v>
      </c>
      <c r="AB1359" s="1" t="s">
        <v>8892</v>
      </c>
      <c r="AC1359" s="1"/>
      <c r="AD1359" s="1"/>
      <c r="AE1359" s="1"/>
      <c r="AF1359" s="1"/>
      <c r="AG1359" s="1"/>
      <c r="AH1359" s="1"/>
      <c r="AI1359" s="1"/>
      <c r="AJ1359" s="1"/>
      <c r="AK1359" s="1"/>
      <c r="AL1359" s="1"/>
      <c r="AM1359" s="1"/>
      <c r="AN1359" s="1"/>
      <c r="AO1359" s="1" t="s">
        <v>8893</v>
      </c>
      <c r="AP1359" s="1"/>
      <c r="AQ1359" s="1"/>
      <c r="AR1359" s="1"/>
      <c r="AS1359" s="1"/>
      <c r="AT1359" s="1" t="s">
        <v>8894</v>
      </c>
      <c r="AU1359" s="1">
        <v>2015</v>
      </c>
      <c r="AV1359" s="1">
        <v>10</v>
      </c>
      <c r="AW1359" s="1">
        <v>9</v>
      </c>
      <c r="AX1359" s="1"/>
      <c r="AY1359" s="1"/>
      <c r="AZ1359" s="1"/>
      <c r="BA1359" s="1"/>
      <c r="BB1359" s="1"/>
      <c r="BC1359" s="1"/>
      <c r="BD1359" s="1" t="s">
        <v>8895</v>
      </c>
      <c r="BE1359" s="1" t="s">
        <v>8896</v>
      </c>
      <c r="BF1359" s="1" t="str">
        <f>HYPERLINK("http://dx.doi.org/10.1371/journal.pone.0137517","http://dx.doi.org/10.1371/journal.pone.0137517")</f>
        <v>http://dx.doi.org/10.1371/journal.pone.0137517</v>
      </c>
      <c r="BG1359" s="1"/>
      <c r="BH1359" s="1"/>
      <c r="BI1359" s="1"/>
      <c r="BJ1359" s="1"/>
      <c r="BK1359" s="1"/>
      <c r="BL1359" s="1"/>
      <c r="BM1359" s="1"/>
      <c r="BN1359" s="1">
        <v>26356744</v>
      </c>
      <c r="BO1359" s="1"/>
      <c r="BP1359" s="1"/>
      <c r="BQ1359" s="1"/>
      <c r="BR1359" s="1"/>
      <c r="BS1359" s="1" t="s">
        <v>8897</v>
      </c>
      <c r="BT1359" s="1" t="str">
        <f>HYPERLINK("https%3A%2F%2Fwww.webofscience.com%2Fwos%2Fwoscc%2Ffull-record%2FWOS:000360965800053","View Full Record in Web of Science")</f>
        <v>View Full Record in Web of Science</v>
      </c>
      <c r="BU1359" s="1"/>
      <c r="BV1359" s="1"/>
      <c r="BW1359" s="1"/>
    </row>
    <row r="1360" spans="1:75" customHeight="1" ht="12.75">
      <c r="A1360" s="1" t="s">
        <v>72</v>
      </c>
      <c r="B1360" s="1" t="s">
        <v>8898</v>
      </c>
      <c r="C1360" s="1"/>
      <c r="D1360" s="1"/>
      <c r="E1360" s="1"/>
      <c r="F1360" s="1" t="s">
        <v>8899</v>
      </c>
      <c r="G1360" s="1"/>
      <c r="H1360" s="1"/>
      <c r="I1360" s="1" t="s">
        <v>8900</v>
      </c>
      <c r="J1360" s="1" t="s">
        <v>5139</v>
      </c>
      <c r="K1360" s="1"/>
      <c r="L1360" s="1"/>
      <c r="M1360" s="1"/>
      <c r="N1360" s="1"/>
      <c r="O1360" s="1"/>
      <c r="P1360" s="1"/>
      <c r="Q1360" s="1"/>
      <c r="R1360" s="1"/>
      <c r="S1360" s="1"/>
      <c r="T1360" s="1"/>
      <c r="U1360" s="1"/>
      <c r="V1360" s="1"/>
      <c r="W1360" s="1"/>
      <c r="X1360" s="1"/>
      <c r="Y1360" s="1"/>
      <c r="Z1360" s="1"/>
      <c r="AA1360" s="1" t="s">
        <v>8901</v>
      </c>
      <c r="AB1360" s="1" t="s">
        <v>8902</v>
      </c>
      <c r="AC1360" s="1"/>
      <c r="AD1360" s="1"/>
      <c r="AE1360" s="1"/>
      <c r="AF1360" s="1"/>
      <c r="AG1360" s="1"/>
      <c r="AH1360" s="1"/>
      <c r="AI1360" s="1"/>
      <c r="AJ1360" s="1"/>
      <c r="AK1360" s="1"/>
      <c r="AL1360" s="1"/>
      <c r="AM1360" s="1"/>
      <c r="AN1360" s="1"/>
      <c r="AO1360" s="1" t="s">
        <v>5142</v>
      </c>
      <c r="AP1360" s="1" t="s">
        <v>5143</v>
      </c>
      <c r="AQ1360" s="1"/>
      <c r="AR1360" s="1"/>
      <c r="AS1360" s="1"/>
      <c r="AT1360" s="1"/>
      <c r="AU1360" s="1">
        <v>2018</v>
      </c>
      <c r="AV1360" s="1">
        <v>14</v>
      </c>
      <c r="AW1360" s="1">
        <v>4</v>
      </c>
      <c r="AX1360" s="1"/>
      <c r="AY1360" s="1"/>
      <c r="AZ1360" s="1"/>
      <c r="BA1360" s="1"/>
      <c r="BB1360" s="1">
        <v>1305</v>
      </c>
      <c r="BC1360" s="1">
        <v>1315</v>
      </c>
      <c r="BD1360" s="1"/>
      <c r="BE1360" s="1" t="s">
        <v>8903</v>
      </c>
      <c r="BF1360" s="1" t="str">
        <f>HYPERLINK("http://dx.doi.org/10.29333/ejmste/83561","http://dx.doi.org/10.29333/ejmste/83561")</f>
        <v>http://dx.doi.org/10.29333/ejmste/83561</v>
      </c>
      <c r="BG1360" s="1"/>
      <c r="BH1360" s="1"/>
      <c r="BI1360" s="1"/>
      <c r="BJ1360" s="1"/>
      <c r="BK1360" s="1"/>
      <c r="BL1360" s="1"/>
      <c r="BM1360" s="1"/>
      <c r="BN1360" s="1"/>
      <c r="BO1360" s="1"/>
      <c r="BP1360" s="1"/>
      <c r="BQ1360" s="1"/>
      <c r="BR1360" s="1"/>
      <c r="BS1360" s="1" t="s">
        <v>8904</v>
      </c>
      <c r="BT1360" s="1" t="str">
        <f>HYPERLINK("https%3A%2F%2Fwww.webofscience.com%2Fwos%2Fwoscc%2Ffull-record%2FWOS:000429004200016","View Full Record in Web of Science")</f>
        <v>View Full Record in Web of Science</v>
      </c>
      <c r="BU1360" s="1"/>
      <c r="BV1360" s="1"/>
      <c r="BW1360" s="1"/>
    </row>
    <row r="1361" spans="1:75" customHeight="1" ht="12.75">
      <c r="A1361" s="1" t="s">
        <v>1342</v>
      </c>
      <c r="B1361" s="1" t="s">
        <v>8905</v>
      </c>
      <c r="C1361" s="1"/>
      <c r="D1361" s="1" t="s">
        <v>8906</v>
      </c>
      <c r="E1361" s="1"/>
      <c r="F1361" s="1" t="s">
        <v>8907</v>
      </c>
      <c r="G1361" s="1"/>
      <c r="H1361" s="1"/>
      <c r="I1361" s="1" t="s">
        <v>8908</v>
      </c>
      <c r="J1361" s="1" t="s">
        <v>8909</v>
      </c>
      <c r="K1361" s="1" t="s">
        <v>8910</v>
      </c>
      <c r="L1361" s="1"/>
      <c r="M1361" s="1"/>
      <c r="N1361" s="1"/>
      <c r="O1361" s="1"/>
      <c r="P1361" s="1"/>
      <c r="Q1361" s="1"/>
      <c r="R1361" s="1"/>
      <c r="S1361" s="1"/>
      <c r="T1361" s="1"/>
      <c r="U1361" s="1"/>
      <c r="V1361" s="1"/>
      <c r="W1361" s="1"/>
      <c r="X1361" s="1"/>
      <c r="Y1361" s="1"/>
      <c r="Z1361" s="1"/>
      <c r="AA1361" s="1" t="s">
        <v>8911</v>
      </c>
      <c r="AB1361" s="1" t="s">
        <v>8912</v>
      </c>
      <c r="AC1361" s="1"/>
      <c r="AD1361" s="1"/>
      <c r="AE1361" s="1"/>
      <c r="AF1361" s="1"/>
      <c r="AG1361" s="1"/>
      <c r="AH1361" s="1"/>
      <c r="AI1361" s="1"/>
      <c r="AJ1361" s="1"/>
      <c r="AK1361" s="1"/>
      <c r="AL1361" s="1"/>
      <c r="AM1361" s="1"/>
      <c r="AN1361" s="1"/>
      <c r="AO1361" s="1" t="s">
        <v>4580</v>
      </c>
      <c r="AP1361" s="1" t="s">
        <v>4581</v>
      </c>
      <c r="AQ1361" s="1" t="s">
        <v>8913</v>
      </c>
      <c r="AR1361" s="1"/>
      <c r="AS1361" s="1"/>
      <c r="AT1361" s="1"/>
      <c r="AU1361" s="1">
        <v>2019</v>
      </c>
      <c r="AV1361" s="1">
        <v>182</v>
      </c>
      <c r="AW1361" s="1"/>
      <c r="AX1361" s="1"/>
      <c r="AY1361" s="1"/>
      <c r="AZ1361" s="1"/>
      <c r="BA1361" s="1"/>
      <c r="BB1361" s="1">
        <v>83</v>
      </c>
      <c r="BC1361" s="1">
        <v>89</v>
      </c>
      <c r="BD1361" s="1"/>
      <c r="BE1361" s="1" t="s">
        <v>8914</v>
      </c>
      <c r="BF1361" s="1" t="str">
        <f>HYPERLINK("http://dx.doi.org/10.1007/978-3-030-01514-5_10","http://dx.doi.org/10.1007/978-3-030-01514-5_10")</f>
        <v>http://dx.doi.org/10.1007/978-3-030-01514-5_10</v>
      </c>
      <c r="BG1361" s="1" t="s">
        <v>8915</v>
      </c>
      <c r="BH1361" s="1"/>
      <c r="BI1361" s="1"/>
      <c r="BJ1361" s="1"/>
      <c r="BK1361" s="1"/>
      <c r="BL1361" s="1"/>
      <c r="BM1361" s="1"/>
      <c r="BN1361" s="1"/>
      <c r="BO1361" s="1"/>
      <c r="BP1361" s="1"/>
      <c r="BQ1361" s="1"/>
      <c r="BR1361" s="1"/>
      <c r="BS1361" s="1" t="s">
        <v>8916</v>
      </c>
      <c r="BT1361" s="1" t="str">
        <f>HYPERLINK("https%3A%2F%2Fwww.webofscience.com%2Fwos%2Fwoscc%2Ffull-record%2FWOS:000475508000011","View Full Record in Web of Science")</f>
        <v>View Full Record in Web of Science</v>
      </c>
      <c r="BU1361" s="1"/>
      <c r="BV1361" s="1"/>
      <c r="BW1361" s="1"/>
    </row>
    <row r="1362" spans="1:75" customHeight="1" ht="12.75">
      <c r="A1362" s="1" t="s">
        <v>72</v>
      </c>
      <c r="B1362" s="1" t="s">
        <v>8917</v>
      </c>
      <c r="C1362" s="1"/>
      <c r="D1362" s="1"/>
      <c r="E1362" s="1"/>
      <c r="F1362" s="1" t="s">
        <v>8918</v>
      </c>
      <c r="G1362" s="1"/>
      <c r="H1362" s="1"/>
      <c r="I1362" s="1" t="s">
        <v>8919</v>
      </c>
      <c r="J1362" s="1" t="s">
        <v>8920</v>
      </c>
      <c r="K1362" s="1"/>
      <c r="L1362" s="1"/>
      <c r="M1362" s="1"/>
      <c r="N1362" s="1"/>
      <c r="O1362" s="1"/>
      <c r="P1362" s="1"/>
      <c r="Q1362" s="1"/>
      <c r="R1362" s="1"/>
      <c r="S1362" s="1"/>
      <c r="T1362" s="1"/>
      <c r="U1362" s="1"/>
      <c r="V1362" s="1"/>
      <c r="W1362" s="1"/>
      <c r="X1362" s="1"/>
      <c r="Y1362" s="1"/>
      <c r="Z1362" s="1"/>
      <c r="AA1362" s="1" t="s">
        <v>8921</v>
      </c>
      <c r="AB1362" s="1" t="s">
        <v>8922</v>
      </c>
      <c r="AC1362" s="1"/>
      <c r="AD1362" s="1"/>
      <c r="AE1362" s="1"/>
      <c r="AF1362" s="1"/>
      <c r="AG1362" s="1"/>
      <c r="AH1362" s="1"/>
      <c r="AI1362" s="1"/>
      <c r="AJ1362" s="1"/>
      <c r="AK1362" s="1"/>
      <c r="AL1362" s="1"/>
      <c r="AM1362" s="1"/>
      <c r="AN1362" s="1"/>
      <c r="AO1362" s="1" t="s">
        <v>8923</v>
      </c>
      <c r="AP1362" s="1"/>
      <c r="AQ1362" s="1"/>
      <c r="AR1362" s="1"/>
      <c r="AS1362" s="1"/>
      <c r="AT1362" s="1"/>
      <c r="AU1362" s="1">
        <v>2020</v>
      </c>
      <c r="AV1362" s="1">
        <v>15</v>
      </c>
      <c r="AW1362" s="1">
        <v>13</v>
      </c>
      <c r="AX1362" s="1"/>
      <c r="AY1362" s="1"/>
      <c r="AZ1362" s="1"/>
      <c r="BA1362" s="1"/>
      <c r="BB1362" s="1">
        <v>96</v>
      </c>
      <c r="BC1362" s="1">
        <v>115</v>
      </c>
      <c r="BD1362" s="1"/>
      <c r="BE1362" s="1" t="s">
        <v>8924</v>
      </c>
      <c r="BF1362" s="1" t="str">
        <f>HYPERLINK("http://dx.doi.org/10.3991/ijet.v15i13.14663","http://dx.doi.org/10.3991/ijet.v15i13.14663")</f>
        <v>http://dx.doi.org/10.3991/ijet.v15i13.14663</v>
      </c>
      <c r="BG1362" s="1"/>
      <c r="BH1362" s="1"/>
      <c r="BI1362" s="1"/>
      <c r="BJ1362" s="1"/>
      <c r="BK1362" s="1"/>
      <c r="BL1362" s="1"/>
      <c r="BM1362" s="1"/>
      <c r="BN1362" s="1"/>
      <c r="BO1362" s="1"/>
      <c r="BP1362" s="1"/>
      <c r="BQ1362" s="1"/>
      <c r="BR1362" s="1"/>
      <c r="BS1362" s="1" t="s">
        <v>8925</v>
      </c>
      <c r="BT1362" s="1" t="str">
        <f>HYPERLINK("https%3A%2F%2Fwww.webofscience.com%2Fwos%2Fwoscc%2Ffull-record%2FWOS:000549475600007","View Full Record in Web of Science")</f>
        <v>View Full Record in Web of Science</v>
      </c>
      <c r="BU1362" s="1"/>
      <c r="BV1362" s="1"/>
      <c r="BW1362" s="1"/>
    </row>
    <row r="1363" spans="1:75" customHeight="1" ht="12.75">
      <c r="A1363" s="1" t="s">
        <v>72</v>
      </c>
      <c r="B1363" s="1" t="s">
        <v>8926</v>
      </c>
      <c r="C1363" s="1"/>
      <c r="D1363" s="1"/>
      <c r="E1363" s="1"/>
      <c r="F1363" s="1" t="s">
        <v>8927</v>
      </c>
      <c r="G1363" s="1"/>
      <c r="H1363" s="1"/>
      <c r="I1363" s="1" t="s">
        <v>8928</v>
      </c>
      <c r="J1363" s="1" t="s">
        <v>8929</v>
      </c>
      <c r="K1363" s="1"/>
      <c r="L1363" s="1"/>
      <c r="M1363" s="1"/>
      <c r="N1363" s="1"/>
      <c r="O1363" s="1"/>
      <c r="P1363" s="1"/>
      <c r="Q1363" s="1"/>
      <c r="R1363" s="1"/>
      <c r="S1363" s="1"/>
      <c r="T1363" s="1"/>
      <c r="U1363" s="1"/>
      <c r="V1363" s="1"/>
      <c r="W1363" s="1"/>
      <c r="X1363" s="1"/>
      <c r="Y1363" s="1"/>
      <c r="Z1363" s="1"/>
      <c r="AA1363" s="1" t="s">
        <v>8930</v>
      </c>
      <c r="AB1363" s="1" t="s">
        <v>8931</v>
      </c>
      <c r="AC1363" s="1"/>
      <c r="AD1363" s="1"/>
      <c r="AE1363" s="1"/>
      <c r="AF1363" s="1"/>
      <c r="AG1363" s="1"/>
      <c r="AH1363" s="1"/>
      <c r="AI1363" s="1"/>
      <c r="AJ1363" s="1"/>
      <c r="AK1363" s="1"/>
      <c r="AL1363" s="1"/>
      <c r="AM1363" s="1"/>
      <c r="AN1363" s="1"/>
      <c r="AO1363" s="1" t="s">
        <v>8932</v>
      </c>
      <c r="AP1363" s="1" t="s">
        <v>8933</v>
      </c>
      <c r="AQ1363" s="1"/>
      <c r="AR1363" s="1"/>
      <c r="AS1363" s="1"/>
      <c r="AT1363" s="1" t="s">
        <v>8368</v>
      </c>
      <c r="AU1363" s="1">
        <v>2019</v>
      </c>
      <c r="AV1363" s="1">
        <v>36</v>
      </c>
      <c r="AW1363" s="1">
        <v>12</v>
      </c>
      <c r="AX1363" s="1"/>
      <c r="AY1363" s="1"/>
      <c r="AZ1363" s="1"/>
      <c r="BA1363" s="1"/>
      <c r="BB1363" s="1">
        <v>1772</v>
      </c>
      <c r="BC1363" s="1">
        <v>1781</v>
      </c>
      <c r="BD1363" s="1"/>
      <c r="BE1363" s="1" t="s">
        <v>8934</v>
      </c>
      <c r="BF1363" s="1" t="str">
        <f>HYPERLINK("http://dx.doi.org/10.1080/07420528.2019.1683858","http://dx.doi.org/10.1080/07420528.2019.1683858")</f>
        <v>http://dx.doi.org/10.1080/07420528.2019.1683858</v>
      </c>
      <c r="BG1363" s="1"/>
      <c r="BH1363" s="1" t="s">
        <v>4696</v>
      </c>
      <c r="BI1363" s="1"/>
      <c r="BJ1363" s="1"/>
      <c r="BK1363" s="1"/>
      <c r="BL1363" s="1"/>
      <c r="BM1363" s="1"/>
      <c r="BN1363" s="1">
        <v>31658823</v>
      </c>
      <c r="BO1363" s="1"/>
      <c r="BP1363" s="1"/>
      <c r="BQ1363" s="1"/>
      <c r="BR1363" s="1"/>
      <c r="BS1363" s="1" t="s">
        <v>8935</v>
      </c>
      <c r="BT1363" s="1" t="str">
        <f>HYPERLINK("https%3A%2F%2Fwww.webofscience.com%2Fwos%2Fwoscc%2Ffull-record%2FWOS:000493027100001","View Full Record in Web of Science")</f>
        <v>View Full Record in Web of Science</v>
      </c>
      <c r="BU1363" s="1"/>
      <c r="BV1363" s="1"/>
      <c r="BW1363" s="1"/>
    </row>
    <row r="1364" spans="1:75" customHeight="1" ht="12.75">
      <c r="A1364" s="1" t="s">
        <v>72</v>
      </c>
      <c r="B1364" s="1" t="s">
        <v>8936</v>
      </c>
      <c r="C1364" s="1"/>
      <c r="D1364" s="1"/>
      <c r="E1364" s="1"/>
      <c r="F1364" s="1" t="s">
        <v>8937</v>
      </c>
      <c r="G1364" s="1"/>
      <c r="H1364" s="1"/>
      <c r="I1364" s="1" t="s">
        <v>8938</v>
      </c>
      <c r="J1364" s="1" t="s">
        <v>8939</v>
      </c>
      <c r="K1364" s="1"/>
      <c r="L1364" s="1"/>
      <c r="M1364" s="1"/>
      <c r="N1364" s="1"/>
      <c r="O1364" s="1"/>
      <c r="P1364" s="1"/>
      <c r="Q1364" s="1"/>
      <c r="R1364" s="1"/>
      <c r="S1364" s="1"/>
      <c r="T1364" s="1"/>
      <c r="U1364" s="1"/>
      <c r="V1364" s="1"/>
      <c r="W1364" s="1"/>
      <c r="X1364" s="1"/>
      <c r="Y1364" s="1"/>
      <c r="Z1364" s="1"/>
      <c r="AA1364" s="1" t="s">
        <v>8940</v>
      </c>
      <c r="AB1364" s="1" t="s">
        <v>8941</v>
      </c>
      <c r="AC1364" s="1"/>
      <c r="AD1364" s="1"/>
      <c r="AE1364" s="1"/>
      <c r="AF1364" s="1"/>
      <c r="AG1364" s="1"/>
      <c r="AH1364" s="1"/>
      <c r="AI1364" s="1"/>
      <c r="AJ1364" s="1"/>
      <c r="AK1364" s="1"/>
      <c r="AL1364" s="1"/>
      <c r="AM1364" s="1"/>
      <c r="AN1364" s="1"/>
      <c r="AO1364" s="1" t="s">
        <v>8942</v>
      </c>
      <c r="AP1364" s="1"/>
      <c r="AQ1364" s="1"/>
      <c r="AR1364" s="1"/>
      <c r="AS1364" s="1"/>
      <c r="AT1364" s="1" t="s">
        <v>198</v>
      </c>
      <c r="AU1364" s="1">
        <v>2023</v>
      </c>
      <c r="AV1364" s="1">
        <v>13</v>
      </c>
      <c r="AW1364" s="1">
        <v>2</v>
      </c>
      <c r="AX1364" s="1"/>
      <c r="AY1364" s="1"/>
      <c r="AZ1364" s="1"/>
      <c r="BA1364" s="1"/>
      <c r="BB1364" s="1"/>
      <c r="BC1364" s="1"/>
      <c r="BD1364" s="1" t="s">
        <v>8943</v>
      </c>
      <c r="BE1364" s="1" t="s">
        <v>8944</v>
      </c>
      <c r="BF1364" s="1" t="str">
        <f>HYPERLINK("http://dx.doi.org/10.30935/ojcmt/12877","http://dx.doi.org/10.30935/ojcmt/12877")</f>
        <v>http://dx.doi.org/10.30935/ojcmt/12877</v>
      </c>
      <c r="BG1364" s="1"/>
      <c r="BH1364" s="1"/>
      <c r="BI1364" s="1"/>
      <c r="BJ1364" s="1"/>
      <c r="BK1364" s="1"/>
      <c r="BL1364" s="1"/>
      <c r="BM1364" s="1"/>
      <c r="BN1364" s="1"/>
      <c r="BO1364" s="1"/>
      <c r="BP1364" s="1"/>
      <c r="BQ1364" s="1"/>
      <c r="BR1364" s="1"/>
      <c r="BS1364" s="1" t="s">
        <v>8945</v>
      </c>
      <c r="BT1364" s="1" t="str">
        <f>HYPERLINK("https%3A%2F%2Fwww.webofscience.com%2Fwos%2Fwoscc%2Ffull-record%2FWOS:000925822400002","View Full Record in Web of Science")</f>
        <v>View Full Record in Web of Science</v>
      </c>
      <c r="BU1364" s="1"/>
      <c r="BV1364" s="1"/>
      <c r="BW1364" s="1"/>
    </row>
    <row r="1365" spans="1:75" customHeight="1" ht="12.75">
      <c r="A1365" s="1" t="s">
        <v>72</v>
      </c>
      <c r="B1365" s="1" t="s">
        <v>8946</v>
      </c>
      <c r="C1365" s="1"/>
      <c r="D1365" s="1"/>
      <c r="E1365" s="1"/>
      <c r="F1365" s="1" t="s">
        <v>8947</v>
      </c>
      <c r="G1365" s="1"/>
      <c r="H1365" s="1"/>
      <c r="I1365" s="1" t="s">
        <v>8948</v>
      </c>
      <c r="J1365" s="1" t="s">
        <v>8862</v>
      </c>
      <c r="K1365" s="1"/>
      <c r="L1365" s="1"/>
      <c r="M1365" s="1"/>
      <c r="N1365" s="1"/>
      <c r="O1365" s="1"/>
      <c r="P1365" s="1"/>
      <c r="Q1365" s="1"/>
      <c r="R1365" s="1"/>
      <c r="S1365" s="1"/>
      <c r="T1365" s="1"/>
      <c r="U1365" s="1"/>
      <c r="V1365" s="1"/>
      <c r="W1365" s="1"/>
      <c r="X1365" s="1"/>
      <c r="Y1365" s="1"/>
      <c r="Z1365" s="1"/>
      <c r="AA1365" s="1" t="s">
        <v>8949</v>
      </c>
      <c r="AB1365" s="1" t="s">
        <v>8950</v>
      </c>
      <c r="AC1365" s="1"/>
      <c r="AD1365" s="1"/>
      <c r="AE1365" s="1"/>
      <c r="AF1365" s="1"/>
      <c r="AG1365" s="1"/>
      <c r="AH1365" s="1"/>
      <c r="AI1365" s="1"/>
      <c r="AJ1365" s="1"/>
      <c r="AK1365" s="1"/>
      <c r="AL1365" s="1"/>
      <c r="AM1365" s="1"/>
      <c r="AN1365" s="1"/>
      <c r="AO1365" s="1" t="s">
        <v>8863</v>
      </c>
      <c r="AP1365" s="1"/>
      <c r="AQ1365" s="1"/>
      <c r="AR1365" s="1"/>
      <c r="AS1365" s="1"/>
      <c r="AT1365" s="1" t="s">
        <v>313</v>
      </c>
      <c r="AU1365" s="1">
        <v>2015</v>
      </c>
      <c r="AV1365" s="1">
        <v>32</v>
      </c>
      <c r="AW1365" s="1">
        <v>4</v>
      </c>
      <c r="AX1365" s="1"/>
      <c r="AY1365" s="1"/>
      <c r="AZ1365" s="1"/>
      <c r="BA1365" s="1"/>
      <c r="BB1365" s="1">
        <v>274</v>
      </c>
      <c r="BC1365" s="1">
        <v>286</v>
      </c>
      <c r="BD1365" s="1"/>
      <c r="BE1365" s="1" t="s">
        <v>8951</v>
      </c>
      <c r="BF1365" s="1" t="str">
        <f>HYPERLINK("http://dx.doi.org/10.7868/S0233475515030032","http://dx.doi.org/10.7868/S0233475515030032")</f>
        <v>http://dx.doi.org/10.7868/S0233475515030032</v>
      </c>
      <c r="BG1365" s="1"/>
      <c r="BH1365" s="1"/>
      <c r="BI1365" s="1"/>
      <c r="BJ1365" s="1"/>
      <c r="BK1365" s="1"/>
      <c r="BL1365" s="1"/>
      <c r="BM1365" s="1"/>
      <c r="BN1365" s="1"/>
      <c r="BO1365" s="1"/>
      <c r="BP1365" s="1"/>
      <c r="BQ1365" s="1"/>
      <c r="BR1365" s="1"/>
      <c r="BS1365" s="1" t="s">
        <v>8952</v>
      </c>
      <c r="BT1365" s="1" t="str">
        <f>HYPERLINK("https%3A%2F%2Fwww.webofscience.com%2Fwos%2Fwoscc%2Ffull-record%2FWOS:000360029300006","View Full Record in Web of Science")</f>
        <v>View Full Record in Web of Science</v>
      </c>
      <c r="BU1365" s="1"/>
      <c r="BV1365" s="1"/>
      <c r="BW1365" s="1"/>
    </row>
    <row r="1366" spans="1:75" customHeight="1" ht="12.75">
      <c r="A1366" s="1" t="s">
        <v>72</v>
      </c>
      <c r="B1366" s="1" t="s">
        <v>8953</v>
      </c>
      <c r="C1366" s="1"/>
      <c r="D1366" s="1"/>
      <c r="E1366" s="1"/>
      <c r="F1366" s="1" t="s">
        <v>8954</v>
      </c>
      <c r="G1366" s="1"/>
      <c r="H1366" s="1"/>
      <c r="I1366" s="1" t="s">
        <v>8955</v>
      </c>
      <c r="J1366" s="1" t="s">
        <v>8956</v>
      </c>
      <c r="K1366" s="1"/>
      <c r="L1366" s="1"/>
      <c r="M1366" s="1"/>
      <c r="N1366" s="1"/>
      <c r="O1366" s="1"/>
      <c r="P1366" s="1"/>
      <c r="Q1366" s="1"/>
      <c r="R1366" s="1"/>
      <c r="S1366" s="1"/>
      <c r="T1366" s="1"/>
      <c r="U1366" s="1"/>
      <c r="V1366" s="1"/>
      <c r="W1366" s="1"/>
      <c r="X1366" s="1"/>
      <c r="Y1366" s="1"/>
      <c r="Z1366" s="1"/>
      <c r="AA1366" s="1" t="s">
        <v>8957</v>
      </c>
      <c r="AB1366" s="1" t="s">
        <v>8958</v>
      </c>
      <c r="AC1366" s="1"/>
      <c r="AD1366" s="1"/>
      <c r="AE1366" s="1"/>
      <c r="AF1366" s="1"/>
      <c r="AG1366" s="1"/>
      <c r="AH1366" s="1"/>
      <c r="AI1366" s="1"/>
      <c r="AJ1366" s="1"/>
      <c r="AK1366" s="1"/>
      <c r="AL1366" s="1"/>
      <c r="AM1366" s="1"/>
      <c r="AN1366" s="1"/>
      <c r="AO1366" s="1" t="s">
        <v>8959</v>
      </c>
      <c r="AP1366" s="1" t="s">
        <v>8960</v>
      </c>
      <c r="AQ1366" s="1"/>
      <c r="AR1366" s="1"/>
      <c r="AS1366" s="1"/>
      <c r="AT1366" s="1"/>
      <c r="AU1366" s="1">
        <v>2018</v>
      </c>
      <c r="AV1366" s="1">
        <v>19</v>
      </c>
      <c r="AW1366" s="1">
        <v>1</v>
      </c>
      <c r="AX1366" s="1"/>
      <c r="AY1366" s="1"/>
      <c r="AZ1366" s="1"/>
      <c r="BA1366" s="1"/>
      <c r="BB1366" s="1">
        <v>43</v>
      </c>
      <c r="BC1366" s="1">
        <v>47</v>
      </c>
      <c r="BD1366" s="1"/>
      <c r="BE1366" s="1" t="s">
        <v>8961</v>
      </c>
      <c r="BF1366" s="1" t="str">
        <f>HYPERLINK("http://dx.doi.org/10.15407/jnpae2018.01.043","http://dx.doi.org/10.15407/jnpae2018.01.043")</f>
        <v>http://dx.doi.org/10.15407/jnpae2018.01.043</v>
      </c>
      <c r="BG1366" s="1"/>
      <c r="BH1366" s="1"/>
      <c r="BI1366" s="1"/>
      <c r="BJ1366" s="1"/>
      <c r="BK1366" s="1"/>
      <c r="BL1366" s="1"/>
      <c r="BM1366" s="1"/>
      <c r="BN1366" s="1"/>
      <c r="BO1366" s="1"/>
      <c r="BP1366" s="1"/>
      <c r="BQ1366" s="1"/>
      <c r="BR1366" s="1"/>
      <c r="BS1366" s="1" t="s">
        <v>8962</v>
      </c>
      <c r="BT1366" s="1" t="str">
        <f>HYPERLINK("https%3A%2F%2Fwww.webofscience.com%2Fwos%2Fwoscc%2Ffull-record%2FWOS:000461273700005","View Full Record in Web of Science")</f>
        <v>View Full Record in Web of Science</v>
      </c>
      <c r="BU1366" s="1"/>
      <c r="BV1366" s="1"/>
      <c r="BW1366" s="1"/>
    </row>
    <row r="1367" spans="1:75" customHeight="1" ht="12.75">
      <c r="A1367" s="1" t="s">
        <v>72</v>
      </c>
      <c r="B1367" s="1" t="s">
        <v>8874</v>
      </c>
      <c r="C1367" s="1"/>
      <c r="D1367" s="1"/>
      <c r="E1367" s="1"/>
      <c r="F1367" s="1" t="s">
        <v>8875</v>
      </c>
      <c r="G1367" s="1"/>
      <c r="H1367" s="1"/>
      <c r="I1367" s="1" t="s">
        <v>8963</v>
      </c>
      <c r="J1367" s="1" t="s">
        <v>716</v>
      </c>
      <c r="K1367" s="1"/>
      <c r="L1367" s="1"/>
      <c r="M1367" s="1"/>
      <c r="N1367" s="1"/>
      <c r="O1367" s="1"/>
      <c r="P1367" s="1"/>
      <c r="Q1367" s="1"/>
      <c r="R1367" s="1"/>
      <c r="S1367" s="1"/>
      <c r="T1367" s="1"/>
      <c r="U1367" s="1"/>
      <c r="V1367" s="1"/>
      <c r="W1367" s="1"/>
      <c r="X1367" s="1"/>
      <c r="Y1367" s="1"/>
      <c r="Z1367" s="1"/>
      <c r="AA1367" s="1" t="s">
        <v>8877</v>
      </c>
      <c r="AB1367" s="1" t="s">
        <v>6575</v>
      </c>
      <c r="AC1367" s="1"/>
      <c r="AD1367" s="1"/>
      <c r="AE1367" s="1"/>
      <c r="AF1367" s="1"/>
      <c r="AG1367" s="1"/>
      <c r="AH1367" s="1"/>
      <c r="AI1367" s="1"/>
      <c r="AJ1367" s="1"/>
      <c r="AK1367" s="1"/>
      <c r="AL1367" s="1"/>
      <c r="AM1367" s="1"/>
      <c r="AN1367" s="1"/>
      <c r="AO1367" s="1" t="s">
        <v>719</v>
      </c>
      <c r="AP1367" s="1" t="s">
        <v>720</v>
      </c>
      <c r="AQ1367" s="1"/>
      <c r="AR1367" s="1"/>
      <c r="AS1367" s="1"/>
      <c r="AT1367" s="1" t="s">
        <v>491</v>
      </c>
      <c r="AU1367" s="1">
        <v>2018</v>
      </c>
      <c r="AV1367" s="1"/>
      <c r="AW1367" s="1">
        <v>431</v>
      </c>
      <c r="AX1367" s="1"/>
      <c r="AY1367" s="1"/>
      <c r="AZ1367" s="1"/>
      <c r="BA1367" s="1"/>
      <c r="BB1367" s="1">
        <v>215</v>
      </c>
      <c r="BC1367" s="1">
        <v>221</v>
      </c>
      <c r="BD1367" s="1"/>
      <c r="BE1367" s="1" t="s">
        <v>8964</v>
      </c>
      <c r="BF1367" s="1" t="str">
        <f>HYPERLINK("http://dx.doi.org/10.17223/15617793/431/30","http://dx.doi.org/10.17223/15617793/431/30")</f>
        <v>http://dx.doi.org/10.17223/15617793/431/30</v>
      </c>
      <c r="BG1367" s="1"/>
      <c r="BH1367" s="1"/>
      <c r="BI1367" s="1"/>
      <c r="BJ1367" s="1"/>
      <c r="BK1367" s="1"/>
      <c r="BL1367" s="1"/>
      <c r="BM1367" s="1"/>
      <c r="BN1367" s="1"/>
      <c r="BO1367" s="1"/>
      <c r="BP1367" s="1"/>
      <c r="BQ1367" s="1"/>
      <c r="BR1367" s="1"/>
      <c r="BS1367" s="1" t="s">
        <v>8965</v>
      </c>
      <c r="BT1367" s="1" t="str">
        <f>HYPERLINK("https%3A%2F%2Fwww.webofscience.com%2Fwos%2Fwoscc%2Ffull-record%2FWOS:000441014600030","View Full Record in Web of Science")</f>
        <v>View Full Record in Web of Science</v>
      </c>
      <c r="BU1367" s="1"/>
      <c r="BV1367" s="1"/>
      <c r="BW1367" s="1"/>
    </row>
    <row r="1368" spans="1:75" customHeight="1" ht="12.75">
      <c r="A1368" s="1" t="s">
        <v>72</v>
      </c>
      <c r="B1368" s="1" t="s">
        <v>8966</v>
      </c>
      <c r="C1368" s="1"/>
      <c r="D1368" s="1"/>
      <c r="E1368" s="1"/>
      <c r="F1368" s="1" t="s">
        <v>8967</v>
      </c>
      <c r="G1368" s="1"/>
      <c r="H1368" s="1"/>
      <c r="I1368" s="1" t="s">
        <v>8968</v>
      </c>
      <c r="J1368" s="1" t="s">
        <v>8969</v>
      </c>
      <c r="K1368" s="1"/>
      <c r="L1368" s="1"/>
      <c r="M1368" s="1"/>
      <c r="N1368" s="1"/>
      <c r="O1368" s="1"/>
      <c r="P1368" s="1"/>
      <c r="Q1368" s="1"/>
      <c r="R1368" s="1"/>
      <c r="S1368" s="1"/>
      <c r="T1368" s="1"/>
      <c r="U1368" s="1"/>
      <c r="V1368" s="1"/>
      <c r="W1368" s="1"/>
      <c r="X1368" s="1"/>
      <c r="Y1368" s="1"/>
      <c r="Z1368" s="1"/>
      <c r="AA1368" s="1" t="s">
        <v>8970</v>
      </c>
      <c r="AB1368" s="1" t="s">
        <v>8971</v>
      </c>
      <c r="AC1368" s="1"/>
      <c r="AD1368" s="1"/>
      <c r="AE1368" s="1"/>
      <c r="AF1368" s="1"/>
      <c r="AG1368" s="1"/>
      <c r="AH1368" s="1"/>
      <c r="AI1368" s="1"/>
      <c r="AJ1368" s="1"/>
      <c r="AK1368" s="1"/>
      <c r="AL1368" s="1"/>
      <c r="AM1368" s="1"/>
      <c r="AN1368" s="1"/>
      <c r="AO1368" s="1" t="s">
        <v>8972</v>
      </c>
      <c r="AP1368" s="1" t="s">
        <v>8973</v>
      </c>
      <c r="AQ1368" s="1"/>
      <c r="AR1368" s="1"/>
      <c r="AS1368" s="1"/>
      <c r="AT1368" s="1" t="s">
        <v>319</v>
      </c>
      <c r="AU1368" s="1">
        <v>2015</v>
      </c>
      <c r="AV1368" s="1">
        <v>781</v>
      </c>
      <c r="AW1368" s="1"/>
      <c r="AX1368" s="1"/>
      <c r="AY1368" s="1"/>
      <c r="AZ1368" s="1"/>
      <c r="BA1368" s="1"/>
      <c r="BB1368" s="1">
        <v>49</v>
      </c>
      <c r="BC1368" s="1">
        <v>57</v>
      </c>
      <c r="BD1368" s="1"/>
      <c r="BE1368" s="1" t="s">
        <v>8974</v>
      </c>
      <c r="BF1368" s="1" t="str">
        <f>HYPERLINK("http://dx.doi.org/10.1016/j.mrfmmm.2015.09.004","http://dx.doi.org/10.1016/j.mrfmmm.2015.09.004")</f>
        <v>http://dx.doi.org/10.1016/j.mrfmmm.2015.09.004</v>
      </c>
      <c r="BG1368" s="1"/>
      <c r="BH1368" s="1"/>
      <c r="BI1368" s="1"/>
      <c r="BJ1368" s="1"/>
      <c r="BK1368" s="1"/>
      <c r="BL1368" s="1"/>
      <c r="BM1368" s="1"/>
      <c r="BN1368" s="1">
        <v>26432500</v>
      </c>
      <c r="BO1368" s="1"/>
      <c r="BP1368" s="1"/>
      <c r="BQ1368" s="1"/>
      <c r="BR1368" s="1"/>
      <c r="BS1368" s="1" t="s">
        <v>8975</v>
      </c>
      <c r="BT1368" s="1" t="str">
        <f>HYPERLINK("https%3A%2F%2Fwww.webofscience.com%2Fwos%2Fwoscc%2Ffull-record%2FWOS:000364160200006","View Full Record in Web of Science")</f>
        <v>View Full Record in Web of Science</v>
      </c>
      <c r="BU1368" s="1"/>
      <c r="BV1368" s="1"/>
      <c r="BW1368" s="1"/>
    </row>
    <row r="1369" spans="1:75" customHeight="1" ht="12.75">
      <c r="A1369" s="1" t="s">
        <v>72</v>
      </c>
      <c r="B1369" s="1" t="s">
        <v>8976</v>
      </c>
      <c r="C1369" s="1"/>
      <c r="D1369" s="1"/>
      <c r="E1369" s="1"/>
      <c r="F1369" s="1" t="s">
        <v>8977</v>
      </c>
      <c r="G1369" s="1"/>
      <c r="H1369" s="1"/>
      <c r="I1369" s="1" t="s">
        <v>8978</v>
      </c>
      <c r="J1369" s="1" t="s">
        <v>8979</v>
      </c>
      <c r="K1369" s="1"/>
      <c r="L1369" s="1"/>
      <c r="M1369" s="1"/>
      <c r="N1369" s="1"/>
      <c r="O1369" s="1"/>
      <c r="P1369" s="1"/>
      <c r="Q1369" s="1"/>
      <c r="R1369" s="1"/>
      <c r="S1369" s="1"/>
      <c r="T1369" s="1"/>
      <c r="U1369" s="1"/>
      <c r="V1369" s="1"/>
      <c r="W1369" s="1"/>
      <c r="X1369" s="1"/>
      <c r="Y1369" s="1"/>
      <c r="Z1369" s="1"/>
      <c r="AA1369" s="1" t="s">
        <v>8980</v>
      </c>
      <c r="AB1369" s="1" t="s">
        <v>8981</v>
      </c>
      <c r="AC1369" s="1"/>
      <c r="AD1369" s="1"/>
      <c r="AE1369" s="1"/>
      <c r="AF1369" s="1"/>
      <c r="AG1369" s="1"/>
      <c r="AH1369" s="1"/>
      <c r="AI1369" s="1"/>
      <c r="AJ1369" s="1"/>
      <c r="AK1369" s="1"/>
      <c r="AL1369" s="1"/>
      <c r="AM1369" s="1"/>
      <c r="AN1369" s="1"/>
      <c r="AO1369" s="1" t="s">
        <v>8982</v>
      </c>
      <c r="AP1369" s="1" t="s">
        <v>8983</v>
      </c>
      <c r="AQ1369" s="1"/>
      <c r="AR1369" s="1"/>
      <c r="AS1369" s="1"/>
      <c r="AT1369" s="1"/>
      <c r="AU1369" s="1">
        <v>2018</v>
      </c>
      <c r="AV1369" s="1">
        <v>32</v>
      </c>
      <c r="AW1369" s="1">
        <v>6</v>
      </c>
      <c r="AX1369" s="1"/>
      <c r="AY1369" s="1"/>
      <c r="AZ1369" s="1"/>
      <c r="BA1369" s="1"/>
      <c r="BB1369" s="1">
        <v>1041</v>
      </c>
      <c r="BC1369" s="1">
        <v>1055</v>
      </c>
      <c r="BD1369" s="1"/>
      <c r="BE1369" s="1" t="s">
        <v>8984</v>
      </c>
      <c r="BF1369" s="1" t="str">
        <f>HYPERLINK("http://dx.doi.org/10.1108/IJEM-10-2017-0296","http://dx.doi.org/10.1108/IJEM-10-2017-0296")</f>
        <v>http://dx.doi.org/10.1108/IJEM-10-2017-0296</v>
      </c>
      <c r="BG1369" s="1"/>
      <c r="BH1369" s="1"/>
      <c r="BI1369" s="1"/>
      <c r="BJ1369" s="1"/>
      <c r="BK1369" s="1"/>
      <c r="BL1369" s="1"/>
      <c r="BM1369" s="1"/>
      <c r="BN1369" s="1"/>
      <c r="BO1369" s="1"/>
      <c r="BP1369" s="1"/>
      <c r="BQ1369" s="1"/>
      <c r="BR1369" s="1"/>
      <c r="BS1369" s="1" t="s">
        <v>8985</v>
      </c>
      <c r="BT1369" s="1" t="str">
        <f>HYPERLINK("https%3A%2F%2Fwww.webofscience.com%2Fwos%2Fwoscc%2Ffull-record%2FWOS:000442506100007","View Full Record in Web of Science")</f>
        <v>View Full Record in Web of Science</v>
      </c>
      <c r="BU1369" s="1"/>
      <c r="BV1369" s="1"/>
      <c r="BW1369" s="1"/>
    </row>
    <row r="1370" spans="1:75" customHeight="1" ht="12.75">
      <c r="A1370" s="1" t="s">
        <v>72</v>
      </c>
      <c r="B1370" s="1" t="s">
        <v>8986</v>
      </c>
      <c r="C1370" s="1"/>
      <c r="D1370" s="1"/>
      <c r="E1370" s="1"/>
      <c r="F1370" s="1" t="s">
        <v>8987</v>
      </c>
      <c r="G1370" s="1"/>
      <c r="H1370" s="1"/>
      <c r="I1370" s="1" t="s">
        <v>8988</v>
      </c>
      <c r="J1370" s="1" t="s">
        <v>8989</v>
      </c>
      <c r="K1370" s="1"/>
      <c r="L1370" s="1"/>
      <c r="M1370" s="1"/>
      <c r="N1370" s="1"/>
      <c r="O1370" s="1"/>
      <c r="P1370" s="1"/>
      <c r="Q1370" s="1"/>
      <c r="R1370" s="1"/>
      <c r="S1370" s="1"/>
      <c r="T1370" s="1"/>
      <c r="U1370" s="1"/>
      <c r="V1370" s="1"/>
      <c r="W1370" s="1"/>
      <c r="X1370" s="1"/>
      <c r="Y1370" s="1"/>
      <c r="Z1370" s="1"/>
      <c r="AA1370" s="1" t="s">
        <v>8990</v>
      </c>
      <c r="AB1370" s="1" t="s">
        <v>8991</v>
      </c>
      <c r="AC1370" s="1"/>
      <c r="AD1370" s="1"/>
      <c r="AE1370" s="1"/>
      <c r="AF1370" s="1"/>
      <c r="AG1370" s="1"/>
      <c r="AH1370" s="1"/>
      <c r="AI1370" s="1"/>
      <c r="AJ1370" s="1"/>
      <c r="AK1370" s="1"/>
      <c r="AL1370" s="1"/>
      <c r="AM1370" s="1"/>
      <c r="AN1370" s="1"/>
      <c r="AO1370" s="1" t="s">
        <v>8992</v>
      </c>
      <c r="AP1370" s="1"/>
      <c r="AQ1370" s="1"/>
      <c r="AR1370" s="1"/>
      <c r="AS1370" s="1"/>
      <c r="AT1370" s="1" t="s">
        <v>541</v>
      </c>
      <c r="AU1370" s="1">
        <v>2021</v>
      </c>
      <c r="AV1370" s="1">
        <v>8</v>
      </c>
      <c r="AW1370" s="1">
        <v>31</v>
      </c>
      <c r="AX1370" s="1"/>
      <c r="AY1370" s="1"/>
      <c r="AZ1370" s="1"/>
      <c r="BA1370" s="1"/>
      <c r="BB1370" s="1">
        <v>155</v>
      </c>
      <c r="BC1370" s="1">
        <v>161</v>
      </c>
      <c r="BD1370" s="1"/>
      <c r="BE1370" s="1"/>
      <c r="BF1370" s="1"/>
      <c r="BG1370" s="1"/>
      <c r="BH1370" s="1"/>
      <c r="BI1370" s="1"/>
      <c r="BJ1370" s="1"/>
      <c r="BK1370" s="1"/>
      <c r="BL1370" s="1"/>
      <c r="BM1370" s="1"/>
      <c r="BN1370" s="1"/>
      <c r="BO1370" s="1"/>
      <c r="BP1370" s="1"/>
      <c r="BQ1370" s="1"/>
      <c r="BR1370" s="1"/>
      <c r="BS1370" s="1" t="s">
        <v>8993</v>
      </c>
      <c r="BT1370" s="1" t="str">
        <f>HYPERLINK("https%3A%2F%2Fwww.webofscience.com%2Fwos%2Fwoscc%2Ffull-record%2FWOS:000629197300019","View Full Record in Web of Science")</f>
        <v>View Full Record in Web of Science</v>
      </c>
      <c r="BU1370" s="1"/>
      <c r="BV1370" s="1"/>
      <c r="BW1370" s="1"/>
    </row>
    <row r="1371" spans="1:75" customHeight="1" ht="12.75">
      <c r="A1371" s="1" t="s">
        <v>72</v>
      </c>
      <c r="B1371" s="1" t="s">
        <v>8994</v>
      </c>
      <c r="C1371" s="1"/>
      <c r="D1371" s="1"/>
      <c r="E1371" s="1"/>
      <c r="F1371" s="1" t="s">
        <v>8995</v>
      </c>
      <c r="G1371" s="1"/>
      <c r="H1371" s="1"/>
      <c r="I1371" s="1" t="s">
        <v>8996</v>
      </c>
      <c r="J1371" s="1" t="s">
        <v>8997</v>
      </c>
      <c r="K1371" s="1"/>
      <c r="L1371" s="1"/>
      <c r="M1371" s="1"/>
      <c r="N1371" s="1"/>
      <c r="O1371" s="1"/>
      <c r="P1371" s="1"/>
      <c r="Q1371" s="1"/>
      <c r="R1371" s="1"/>
      <c r="S1371" s="1"/>
      <c r="T1371" s="1"/>
      <c r="U1371" s="1"/>
      <c r="V1371" s="1"/>
      <c r="W1371" s="1"/>
      <c r="X1371" s="1"/>
      <c r="Y1371" s="1"/>
      <c r="Z1371" s="1"/>
      <c r="AA1371" s="1" t="s">
        <v>8998</v>
      </c>
      <c r="AB1371" s="1" t="s">
        <v>8999</v>
      </c>
      <c r="AC1371" s="1"/>
      <c r="AD1371" s="1"/>
      <c r="AE1371" s="1"/>
      <c r="AF1371" s="1"/>
      <c r="AG1371" s="1"/>
      <c r="AH1371" s="1"/>
      <c r="AI1371" s="1"/>
      <c r="AJ1371" s="1"/>
      <c r="AK1371" s="1"/>
      <c r="AL1371" s="1"/>
      <c r="AM1371" s="1"/>
      <c r="AN1371" s="1"/>
      <c r="AO1371" s="1"/>
      <c r="AP1371" s="1" t="s">
        <v>9000</v>
      </c>
      <c r="AQ1371" s="1"/>
      <c r="AR1371" s="1"/>
      <c r="AS1371" s="1"/>
      <c r="AT1371" s="1" t="s">
        <v>9001</v>
      </c>
      <c r="AU1371" s="1">
        <v>2022</v>
      </c>
      <c r="AV1371" s="1">
        <v>9</v>
      </c>
      <c r="AW1371" s="1">
        <v>1</v>
      </c>
      <c r="AX1371" s="1"/>
      <c r="AY1371" s="1"/>
      <c r="AZ1371" s="1"/>
      <c r="BA1371" s="1"/>
      <c r="BB1371" s="1"/>
      <c r="BC1371" s="1"/>
      <c r="BD1371" s="1">
        <v>141</v>
      </c>
      <c r="BE1371" s="1" t="s">
        <v>9002</v>
      </c>
      <c r="BF1371" s="1" t="str">
        <f>HYPERLINK("http://dx.doi.org/10.1057/s41599-022-01151-2","http://dx.doi.org/10.1057/s41599-022-01151-2")</f>
        <v>http://dx.doi.org/10.1057/s41599-022-01151-2</v>
      </c>
      <c r="BG1371" s="1"/>
      <c r="BH1371" s="1"/>
      <c r="BI1371" s="1"/>
      <c r="BJ1371" s="1"/>
      <c r="BK1371" s="1"/>
      <c r="BL1371" s="1"/>
      <c r="BM1371" s="1"/>
      <c r="BN1371" s="1"/>
      <c r="BO1371" s="1"/>
      <c r="BP1371" s="1"/>
      <c r="BQ1371" s="1"/>
      <c r="BR1371" s="1"/>
      <c r="BS1371" s="1" t="s">
        <v>9003</v>
      </c>
      <c r="BT1371" s="1" t="str">
        <f>HYPERLINK("https%3A%2F%2Fwww.webofscience.com%2Fwos%2Fwoscc%2Ffull-record%2FWOS:000784659800003","View Full Record in Web of Science")</f>
        <v>View Full Record in Web of Science</v>
      </c>
      <c r="BU1371" s="1"/>
      <c r="BV1371" s="1"/>
      <c r="BW1371" s="1"/>
    </row>
    <row r="1372" spans="1:75" customHeight="1" ht="12.75">
      <c r="A1372" s="1" t="s">
        <v>72</v>
      </c>
      <c r="B1372" s="1" t="s">
        <v>9004</v>
      </c>
      <c r="C1372" s="1"/>
      <c r="D1372" s="1"/>
      <c r="E1372" s="1"/>
      <c r="F1372" s="1" t="s">
        <v>9005</v>
      </c>
      <c r="G1372" s="1"/>
      <c r="H1372" s="1"/>
      <c r="I1372" s="1" t="s">
        <v>9006</v>
      </c>
      <c r="J1372" s="1" t="s">
        <v>9007</v>
      </c>
      <c r="K1372" s="1"/>
      <c r="L1372" s="1"/>
      <c r="M1372" s="1"/>
      <c r="N1372" s="1"/>
      <c r="O1372" s="1"/>
      <c r="P1372" s="1"/>
      <c r="Q1372" s="1"/>
      <c r="R1372" s="1"/>
      <c r="S1372" s="1"/>
      <c r="T1372" s="1"/>
      <c r="U1372" s="1"/>
      <c r="V1372" s="1"/>
      <c r="W1372" s="1"/>
      <c r="X1372" s="1"/>
      <c r="Y1372" s="1"/>
      <c r="Z1372" s="1"/>
      <c r="AA1372" s="1" t="s">
        <v>9008</v>
      </c>
      <c r="AB1372" s="1" t="s">
        <v>9009</v>
      </c>
      <c r="AC1372" s="1"/>
      <c r="AD1372" s="1"/>
      <c r="AE1372" s="1"/>
      <c r="AF1372" s="1"/>
      <c r="AG1372" s="1"/>
      <c r="AH1372" s="1"/>
      <c r="AI1372" s="1"/>
      <c r="AJ1372" s="1"/>
      <c r="AK1372" s="1"/>
      <c r="AL1372" s="1"/>
      <c r="AM1372" s="1"/>
      <c r="AN1372" s="1"/>
      <c r="AO1372" s="1" t="s">
        <v>9010</v>
      </c>
      <c r="AP1372" s="1" t="s">
        <v>9011</v>
      </c>
      <c r="AQ1372" s="1"/>
      <c r="AR1372" s="1"/>
      <c r="AS1372" s="1"/>
      <c r="AT1372" s="1" t="s">
        <v>491</v>
      </c>
      <c r="AU1372" s="1">
        <v>2022</v>
      </c>
      <c r="AV1372" s="1">
        <v>27</v>
      </c>
      <c r="AW1372" s="1">
        <v>5</v>
      </c>
      <c r="AX1372" s="1"/>
      <c r="AY1372" s="1"/>
      <c r="AZ1372" s="1"/>
      <c r="BA1372" s="1"/>
      <c r="BB1372" s="1">
        <v>1585</v>
      </c>
      <c r="BC1372" s="1">
        <v>1591</v>
      </c>
      <c r="BD1372" s="1"/>
      <c r="BE1372" s="1" t="s">
        <v>9012</v>
      </c>
      <c r="BF1372" s="1" t="str">
        <f>HYPERLINK("http://dx.doi.org/10.1007/s40519-021-01259-5","http://dx.doi.org/10.1007/s40519-021-01259-5")</f>
        <v>http://dx.doi.org/10.1007/s40519-021-01259-5</v>
      </c>
      <c r="BG1372" s="1"/>
      <c r="BH1372" s="1" t="s">
        <v>3630</v>
      </c>
      <c r="BI1372" s="1"/>
      <c r="BJ1372" s="1"/>
      <c r="BK1372" s="1"/>
      <c r="BL1372" s="1"/>
      <c r="BM1372" s="1"/>
      <c r="BN1372" s="1">
        <v>35178680</v>
      </c>
      <c r="BO1372" s="1"/>
      <c r="BP1372" s="1"/>
      <c r="BQ1372" s="1"/>
      <c r="BR1372" s="1"/>
      <c r="BS1372" s="1" t="s">
        <v>9013</v>
      </c>
      <c r="BT1372" s="1" t="str">
        <f>HYPERLINK("https%3A%2F%2Fwww.webofscience.com%2Fwos%2Fwoscc%2Ffull-record%2FWOS:000757328000001","View Full Record in Web of Science")</f>
        <v>View Full Record in Web of Science</v>
      </c>
      <c r="BU1372" s="1"/>
      <c r="BV1372" s="1"/>
      <c r="BW1372" s="1"/>
    </row>
    <row r="1373" spans="1:75" customHeight="1" ht="12.75">
      <c r="A1373" s="1" t="s">
        <v>72</v>
      </c>
      <c r="B1373" s="1" t="s">
        <v>9014</v>
      </c>
      <c r="C1373" s="1"/>
      <c r="D1373" s="1"/>
      <c r="E1373" s="1"/>
      <c r="F1373" s="1" t="s">
        <v>9015</v>
      </c>
      <c r="G1373" s="1"/>
      <c r="H1373" s="1"/>
      <c r="I1373" s="1" t="s">
        <v>9016</v>
      </c>
      <c r="J1373" s="1" t="s">
        <v>9017</v>
      </c>
      <c r="K1373" s="1"/>
      <c r="L1373" s="1"/>
      <c r="M1373" s="1"/>
      <c r="N1373" s="1"/>
      <c r="O1373" s="1"/>
      <c r="P1373" s="1"/>
      <c r="Q1373" s="1"/>
      <c r="R1373" s="1"/>
      <c r="S1373" s="1"/>
      <c r="T1373" s="1"/>
      <c r="U1373" s="1"/>
      <c r="V1373" s="1"/>
      <c r="W1373" s="1"/>
      <c r="X1373" s="1"/>
      <c r="Y1373" s="1"/>
      <c r="Z1373" s="1"/>
      <c r="AA1373" s="1" t="s">
        <v>9018</v>
      </c>
      <c r="AB1373" s="1" t="s">
        <v>9019</v>
      </c>
      <c r="AC1373" s="1"/>
      <c r="AD1373" s="1"/>
      <c r="AE1373" s="1"/>
      <c r="AF1373" s="1"/>
      <c r="AG1373" s="1"/>
      <c r="AH1373" s="1"/>
      <c r="AI1373" s="1"/>
      <c r="AJ1373" s="1"/>
      <c r="AK1373" s="1"/>
      <c r="AL1373" s="1"/>
      <c r="AM1373" s="1"/>
      <c r="AN1373" s="1"/>
      <c r="AO1373" s="1" t="s">
        <v>9020</v>
      </c>
      <c r="AP1373" s="1"/>
      <c r="AQ1373" s="1"/>
      <c r="AR1373" s="1"/>
      <c r="AS1373" s="1"/>
      <c r="AT1373" s="1"/>
      <c r="AU1373" s="1">
        <v>2021</v>
      </c>
      <c r="AV1373" s="1"/>
      <c r="AW1373" s="1" t="s">
        <v>2451</v>
      </c>
      <c r="AX1373" s="1">
        <v>1</v>
      </c>
      <c r="AY1373" s="1"/>
      <c r="AZ1373" s="1">
        <v>1</v>
      </c>
      <c r="BA1373" s="1"/>
      <c r="BB1373" s="1">
        <v>122</v>
      </c>
      <c r="BC1373" s="1">
        <v>127</v>
      </c>
      <c r="BD1373" s="1"/>
      <c r="BE1373" s="1"/>
      <c r="BF1373" s="1"/>
      <c r="BG1373" s="1"/>
      <c r="BH1373" s="1"/>
      <c r="BI1373" s="1"/>
      <c r="BJ1373" s="1"/>
      <c r="BK1373" s="1"/>
      <c r="BL1373" s="1"/>
      <c r="BM1373" s="1"/>
      <c r="BN1373" s="1"/>
      <c r="BO1373" s="1"/>
      <c r="BP1373" s="1"/>
      <c r="BQ1373" s="1"/>
      <c r="BR1373" s="1"/>
      <c r="BS1373" s="1" t="s">
        <v>9021</v>
      </c>
      <c r="BT1373" s="1" t="str">
        <f>HYPERLINK("https%3A%2F%2Fwww.webofscience.com%2Fwos%2Fwoscc%2Ffull-record%2FWOS:000653732600016","View Full Record in Web of Science")</f>
        <v>View Full Record in Web of Science</v>
      </c>
      <c r="BU1373" s="1"/>
      <c r="BV1373" s="1"/>
      <c r="BW1373" s="1"/>
    </row>
    <row r="1374" spans="1:75" customHeight="1" ht="12.75">
      <c r="A1374" s="1" t="s">
        <v>72</v>
      </c>
      <c r="B1374" s="1" t="s">
        <v>9022</v>
      </c>
      <c r="C1374" s="1"/>
      <c r="D1374" s="1"/>
      <c r="E1374" s="1"/>
      <c r="F1374" s="1" t="s">
        <v>9023</v>
      </c>
      <c r="G1374" s="1"/>
      <c r="H1374" s="1"/>
      <c r="I1374" s="1" t="s">
        <v>9024</v>
      </c>
      <c r="J1374" s="1" t="s">
        <v>5139</v>
      </c>
      <c r="K1374" s="1"/>
      <c r="L1374" s="1"/>
      <c r="M1374" s="1"/>
      <c r="N1374" s="1"/>
      <c r="O1374" s="1"/>
      <c r="P1374" s="1"/>
      <c r="Q1374" s="1"/>
      <c r="R1374" s="1"/>
      <c r="S1374" s="1"/>
      <c r="T1374" s="1"/>
      <c r="U1374" s="1"/>
      <c r="V1374" s="1"/>
      <c r="W1374" s="1"/>
      <c r="X1374" s="1"/>
      <c r="Y1374" s="1"/>
      <c r="Z1374" s="1"/>
      <c r="AA1374" s="1" t="s">
        <v>9025</v>
      </c>
      <c r="AB1374" s="1" t="s">
        <v>9026</v>
      </c>
      <c r="AC1374" s="1"/>
      <c r="AD1374" s="1"/>
      <c r="AE1374" s="1"/>
      <c r="AF1374" s="1"/>
      <c r="AG1374" s="1"/>
      <c r="AH1374" s="1"/>
      <c r="AI1374" s="1"/>
      <c r="AJ1374" s="1"/>
      <c r="AK1374" s="1"/>
      <c r="AL1374" s="1"/>
      <c r="AM1374" s="1"/>
      <c r="AN1374" s="1"/>
      <c r="AO1374" s="1" t="s">
        <v>5142</v>
      </c>
      <c r="AP1374" s="1" t="s">
        <v>5143</v>
      </c>
      <c r="AQ1374" s="1"/>
      <c r="AR1374" s="1"/>
      <c r="AS1374" s="1"/>
      <c r="AT1374" s="1" t="s">
        <v>541</v>
      </c>
      <c r="AU1374" s="1">
        <v>2018</v>
      </c>
      <c r="AV1374" s="1">
        <v>14</v>
      </c>
      <c r="AW1374" s="1">
        <v>1</v>
      </c>
      <c r="AX1374" s="1"/>
      <c r="AY1374" s="1"/>
      <c r="AZ1374" s="1"/>
      <c r="BA1374" s="1"/>
      <c r="BB1374" s="1">
        <v>543</v>
      </c>
      <c r="BC1374" s="1">
        <v>552</v>
      </c>
      <c r="BD1374" s="1"/>
      <c r="BE1374" s="1" t="s">
        <v>9027</v>
      </c>
      <c r="BF1374" s="1" t="str">
        <f>HYPERLINK("http://dx.doi.org/10.12973/ejmste/80613","http://dx.doi.org/10.12973/ejmste/80613")</f>
        <v>http://dx.doi.org/10.12973/ejmste/80613</v>
      </c>
      <c r="BG1374" s="1"/>
      <c r="BH1374" s="1"/>
      <c r="BI1374" s="1"/>
      <c r="BJ1374" s="1"/>
      <c r="BK1374" s="1"/>
      <c r="BL1374" s="1"/>
      <c r="BM1374" s="1"/>
      <c r="BN1374" s="1"/>
      <c r="BO1374" s="1"/>
      <c r="BP1374" s="1"/>
      <c r="BQ1374" s="1"/>
      <c r="BR1374" s="1"/>
      <c r="BS1374" s="1" t="s">
        <v>9028</v>
      </c>
      <c r="BT1374" s="1" t="str">
        <f>HYPERLINK("https%3A%2F%2Fwww.webofscience.com%2Fwos%2Fwoscc%2Ffull-record%2FWOS:000423586100043","View Full Record in Web of Science")</f>
        <v>View Full Record in Web of Science</v>
      </c>
      <c r="BU1374" s="1"/>
      <c r="BV1374" s="1"/>
      <c r="BW1374" s="1"/>
    </row>
    <row r="1375" spans="1:75" customHeight="1" ht="12.75">
      <c r="A1375" s="1" t="s">
        <v>147</v>
      </c>
      <c r="B1375" s="1" t="s">
        <v>9029</v>
      </c>
      <c r="C1375" s="1"/>
      <c r="D1375" s="1"/>
      <c r="E1375" s="1"/>
      <c r="F1375" s="1" t="s">
        <v>9030</v>
      </c>
      <c r="G1375" s="1"/>
      <c r="H1375" s="1"/>
      <c r="I1375" s="1" t="s">
        <v>9031</v>
      </c>
      <c r="J1375" s="1" t="s">
        <v>9032</v>
      </c>
      <c r="K1375" s="1"/>
      <c r="L1375" s="1"/>
      <c r="M1375" s="1"/>
      <c r="N1375" s="1"/>
      <c r="O1375" s="1" t="s">
        <v>9033</v>
      </c>
      <c r="P1375" s="1" t="s">
        <v>9034</v>
      </c>
      <c r="Q1375" s="1" t="s">
        <v>9035</v>
      </c>
      <c r="R1375" s="1"/>
      <c r="S1375" s="1"/>
      <c r="T1375" s="1"/>
      <c r="U1375" s="1"/>
      <c r="V1375" s="1"/>
      <c r="W1375" s="1"/>
      <c r="X1375" s="1"/>
      <c r="Y1375" s="1"/>
      <c r="Z1375" s="1"/>
      <c r="AA1375" s="1" t="s">
        <v>9036</v>
      </c>
      <c r="AB1375" s="1" t="s">
        <v>9037</v>
      </c>
      <c r="AC1375" s="1"/>
      <c r="AD1375" s="1"/>
      <c r="AE1375" s="1"/>
      <c r="AF1375" s="1"/>
      <c r="AG1375" s="1"/>
      <c r="AH1375" s="1"/>
      <c r="AI1375" s="1"/>
      <c r="AJ1375" s="1"/>
      <c r="AK1375" s="1"/>
      <c r="AL1375" s="1"/>
      <c r="AM1375" s="1"/>
      <c r="AN1375" s="1"/>
      <c r="AO1375" s="1" t="s">
        <v>9038</v>
      </c>
      <c r="AP1375" s="1" t="s">
        <v>9039</v>
      </c>
      <c r="AQ1375" s="1"/>
      <c r="AR1375" s="1"/>
      <c r="AS1375" s="1"/>
      <c r="AT1375" s="1" t="s">
        <v>1167</v>
      </c>
      <c r="AU1375" s="1">
        <v>2018</v>
      </c>
      <c r="AV1375" s="1">
        <v>381</v>
      </c>
      <c r="AW1375" s="1">
        <v>1</v>
      </c>
      <c r="AX1375" s="1"/>
      <c r="AY1375" s="1"/>
      <c r="AZ1375" s="1" t="s">
        <v>339</v>
      </c>
      <c r="BA1375" s="1"/>
      <c r="BB1375" s="1"/>
      <c r="BC1375" s="1"/>
      <c r="BD1375" s="1" t="s">
        <v>9040</v>
      </c>
      <c r="BE1375" s="1" t="s">
        <v>9041</v>
      </c>
      <c r="BF1375" s="1" t="str">
        <f>HYPERLINK("http://dx.doi.org/10.1002/masy.201800130","http://dx.doi.org/10.1002/masy.201800130")</f>
        <v>http://dx.doi.org/10.1002/masy.201800130</v>
      </c>
      <c r="BG1375" s="1"/>
      <c r="BH1375" s="1"/>
      <c r="BI1375" s="1"/>
      <c r="BJ1375" s="1"/>
      <c r="BK1375" s="1"/>
      <c r="BL1375" s="1"/>
      <c r="BM1375" s="1"/>
      <c r="BN1375" s="1"/>
      <c r="BO1375" s="1"/>
      <c r="BP1375" s="1"/>
      <c r="BQ1375" s="1"/>
      <c r="BR1375" s="1"/>
      <c r="BS1375" s="1" t="s">
        <v>9042</v>
      </c>
      <c r="BT1375" s="1" t="str">
        <f>HYPERLINK("https%3A%2F%2Fwww.webofscience.com%2Fwos%2Fwoscc%2Ffull-record%2FWOS:000447303600019","View Full Record in Web of Science")</f>
        <v>View Full Record in Web of Science</v>
      </c>
      <c r="BU1375" s="1"/>
      <c r="BV1375" s="1"/>
      <c r="BW1375" s="1"/>
    </row>
    <row r="1376" spans="1:75" customHeight="1" ht="12.75">
      <c r="A1376" s="1" t="s">
        <v>72</v>
      </c>
      <c r="B1376" s="1" t="s">
        <v>9043</v>
      </c>
      <c r="C1376" s="1"/>
      <c r="D1376" s="1"/>
      <c r="E1376" s="1"/>
      <c r="F1376" s="1" t="s">
        <v>9044</v>
      </c>
      <c r="G1376" s="1"/>
      <c r="H1376" s="1"/>
      <c r="I1376" s="1" t="s">
        <v>9045</v>
      </c>
      <c r="J1376" s="1" t="s">
        <v>8685</v>
      </c>
      <c r="K1376" s="1"/>
      <c r="L1376" s="1"/>
      <c r="M1376" s="1"/>
      <c r="N1376" s="1"/>
      <c r="O1376" s="1"/>
      <c r="P1376" s="1"/>
      <c r="Q1376" s="1"/>
      <c r="R1376" s="1"/>
      <c r="S1376" s="1"/>
      <c r="T1376" s="1"/>
      <c r="U1376" s="1"/>
      <c r="V1376" s="1"/>
      <c r="W1376" s="1"/>
      <c r="X1376" s="1"/>
      <c r="Y1376" s="1"/>
      <c r="Z1376" s="1"/>
      <c r="AA1376" s="1"/>
      <c r="AB1376" s="1" t="s">
        <v>9046</v>
      </c>
      <c r="AC1376" s="1"/>
      <c r="AD1376" s="1"/>
      <c r="AE1376" s="1"/>
      <c r="AF1376" s="1"/>
      <c r="AG1376" s="1"/>
      <c r="AH1376" s="1"/>
      <c r="AI1376" s="1"/>
      <c r="AJ1376" s="1"/>
      <c r="AK1376" s="1"/>
      <c r="AL1376" s="1"/>
      <c r="AM1376" s="1"/>
      <c r="AN1376" s="1"/>
      <c r="AO1376" s="1" t="s">
        <v>8688</v>
      </c>
      <c r="AP1376" s="1" t="s">
        <v>8689</v>
      </c>
      <c r="AQ1376" s="1"/>
      <c r="AR1376" s="1"/>
      <c r="AS1376" s="1"/>
      <c r="AT1376" s="1" t="s">
        <v>1173</v>
      </c>
      <c r="AU1376" s="1">
        <v>2020</v>
      </c>
      <c r="AV1376" s="1">
        <v>8</v>
      </c>
      <c r="AW1376" s="1"/>
      <c r="AX1376" s="1"/>
      <c r="AY1376" s="1"/>
      <c r="AZ1376" s="1" t="s">
        <v>339</v>
      </c>
      <c r="BA1376" s="1"/>
      <c r="BB1376" s="1"/>
      <c r="BC1376" s="1"/>
      <c r="BD1376" s="1" t="s">
        <v>9047</v>
      </c>
      <c r="BE1376" s="1" t="s">
        <v>9048</v>
      </c>
      <c r="BF1376" s="1" t="str">
        <f>HYPERLINK("http://dx.doi.org/10.20511/pyr2020.v8nSPE2.643","http://dx.doi.org/10.20511/pyr2020.v8nSPE2.643")</f>
        <v>http://dx.doi.org/10.20511/pyr2020.v8nSPE2.643</v>
      </c>
      <c r="BG1376" s="1"/>
      <c r="BH1376" s="1"/>
      <c r="BI1376" s="1"/>
      <c r="BJ1376" s="1"/>
      <c r="BK1376" s="1"/>
      <c r="BL1376" s="1"/>
      <c r="BM1376" s="1"/>
      <c r="BN1376" s="1"/>
      <c r="BO1376" s="1"/>
      <c r="BP1376" s="1"/>
      <c r="BQ1376" s="1"/>
      <c r="BR1376" s="1"/>
      <c r="BS1376" s="1" t="s">
        <v>9049</v>
      </c>
      <c r="BT1376" s="1" t="str">
        <f>HYPERLINK("https%3A%2F%2Fwww.webofscience.com%2Fwos%2Fwoscc%2Ffull-record%2FWOS:000559769600002","View Full Record in Web of Science")</f>
        <v>View Full Record in Web of Science</v>
      </c>
      <c r="BU1376" s="1"/>
      <c r="BV1376" s="1"/>
      <c r="BW1376" s="1"/>
    </row>
    <row r="1377" spans="1:75" customHeight="1" ht="12.75">
      <c r="A1377" s="1" t="s">
        <v>72</v>
      </c>
      <c r="B1377" s="1" t="s">
        <v>9004</v>
      </c>
      <c r="C1377" s="1"/>
      <c r="D1377" s="1"/>
      <c r="E1377" s="1"/>
      <c r="F1377" s="1" t="s">
        <v>9005</v>
      </c>
      <c r="G1377" s="1"/>
      <c r="H1377" s="1"/>
      <c r="I1377" s="1" t="s">
        <v>9050</v>
      </c>
      <c r="J1377" s="1" t="s">
        <v>9051</v>
      </c>
      <c r="K1377" s="1"/>
      <c r="L1377" s="1"/>
      <c r="M1377" s="1"/>
      <c r="N1377" s="1"/>
      <c r="O1377" s="1"/>
      <c r="P1377" s="1"/>
      <c r="Q1377" s="1"/>
      <c r="R1377" s="1"/>
      <c r="S1377" s="1"/>
      <c r="T1377" s="1"/>
      <c r="U1377" s="1"/>
      <c r="V1377" s="1"/>
      <c r="W1377" s="1"/>
      <c r="X1377" s="1"/>
      <c r="Y1377" s="1"/>
      <c r="Z1377" s="1"/>
      <c r="AA1377" s="1" t="s">
        <v>9052</v>
      </c>
      <c r="AB1377" s="1" t="s">
        <v>9053</v>
      </c>
      <c r="AC1377" s="1"/>
      <c r="AD1377" s="1"/>
      <c r="AE1377" s="1"/>
      <c r="AF1377" s="1"/>
      <c r="AG1377" s="1"/>
      <c r="AH1377" s="1"/>
      <c r="AI1377" s="1"/>
      <c r="AJ1377" s="1"/>
      <c r="AK1377" s="1"/>
      <c r="AL1377" s="1"/>
      <c r="AM1377" s="1"/>
      <c r="AN1377" s="1"/>
      <c r="AO1377" s="1" t="s">
        <v>9054</v>
      </c>
      <c r="AP1377" s="1" t="s">
        <v>9055</v>
      </c>
      <c r="AQ1377" s="1"/>
      <c r="AR1377" s="1"/>
      <c r="AS1377" s="1"/>
      <c r="AT1377" s="1" t="s">
        <v>9056</v>
      </c>
      <c r="AU1377" s="1">
        <v>2022</v>
      </c>
      <c r="AV1377" s="1">
        <v>53</v>
      </c>
      <c r="AW1377" s="1">
        <v>11</v>
      </c>
      <c r="AX1377" s="1"/>
      <c r="AY1377" s="1"/>
      <c r="AZ1377" s="1"/>
      <c r="BA1377" s="1"/>
      <c r="BB1377" s="1">
        <v>1770</v>
      </c>
      <c r="BC1377" s="1">
        <v>1781</v>
      </c>
      <c r="BD1377" s="1"/>
      <c r="BE1377" s="1" t="s">
        <v>9057</v>
      </c>
      <c r="BF1377" s="1" t="str">
        <f>HYPERLINK("http://dx.doi.org/10.1080/09291016.2022.2041289","http://dx.doi.org/10.1080/09291016.2022.2041289")</f>
        <v>http://dx.doi.org/10.1080/09291016.2022.2041289</v>
      </c>
      <c r="BG1377" s="1"/>
      <c r="BH1377" s="1" t="s">
        <v>3630</v>
      </c>
      <c r="BI1377" s="1"/>
      <c r="BJ1377" s="1"/>
      <c r="BK1377" s="1"/>
      <c r="BL1377" s="1"/>
      <c r="BM1377" s="1"/>
      <c r="BN1377" s="1"/>
      <c r="BO1377" s="1"/>
      <c r="BP1377" s="1"/>
      <c r="BQ1377" s="1"/>
      <c r="BR1377" s="1"/>
      <c r="BS1377" s="1" t="s">
        <v>9058</v>
      </c>
      <c r="BT1377" s="1" t="str">
        <f>HYPERLINK("https%3A%2F%2Fwww.webofscience.com%2Fwos%2Fwoscc%2Ffull-record%2FWOS:000755399600001","View Full Record in Web of Science")</f>
        <v>View Full Record in Web of Science</v>
      </c>
      <c r="BU1377" s="1"/>
      <c r="BV1377" s="1"/>
      <c r="BW1377" s="1"/>
    </row>
    <row r="1378" spans="1:75" customHeight="1" ht="12.75">
      <c r="A1378" s="1" t="s">
        <v>72</v>
      </c>
      <c r="B1378" s="1" t="s">
        <v>9059</v>
      </c>
      <c r="C1378" s="1"/>
      <c r="D1378" s="1"/>
      <c r="E1378" s="1"/>
      <c r="F1378" s="1" t="s">
        <v>9060</v>
      </c>
      <c r="G1378" s="1"/>
      <c r="H1378" s="1"/>
      <c r="I1378" s="1" t="s">
        <v>9061</v>
      </c>
      <c r="J1378" s="1" t="s">
        <v>9062</v>
      </c>
      <c r="K1378" s="1"/>
      <c r="L1378" s="1"/>
      <c r="M1378" s="1"/>
      <c r="N1378" s="1"/>
      <c r="O1378" s="1"/>
      <c r="P1378" s="1"/>
      <c r="Q1378" s="1"/>
      <c r="R1378" s="1"/>
      <c r="S1378" s="1"/>
      <c r="T1378" s="1"/>
      <c r="U1378" s="1"/>
      <c r="V1378" s="1"/>
      <c r="W1378" s="1"/>
      <c r="X1378" s="1"/>
      <c r="Y1378" s="1"/>
      <c r="Z1378" s="1"/>
      <c r="AA1378" s="1" t="s">
        <v>9063</v>
      </c>
      <c r="AB1378" s="1" t="s">
        <v>9064</v>
      </c>
      <c r="AC1378" s="1"/>
      <c r="AD1378" s="1"/>
      <c r="AE1378" s="1"/>
      <c r="AF1378" s="1"/>
      <c r="AG1378" s="1"/>
      <c r="AH1378" s="1"/>
      <c r="AI1378" s="1"/>
      <c r="AJ1378" s="1"/>
      <c r="AK1378" s="1"/>
      <c r="AL1378" s="1"/>
      <c r="AM1378" s="1"/>
      <c r="AN1378" s="1"/>
      <c r="AO1378" s="1" t="s">
        <v>9065</v>
      </c>
      <c r="AP1378" s="1" t="s">
        <v>9066</v>
      </c>
      <c r="AQ1378" s="1"/>
      <c r="AR1378" s="1"/>
      <c r="AS1378" s="1"/>
      <c r="AT1378" s="1" t="s">
        <v>9067</v>
      </c>
      <c r="AU1378" s="1">
        <v>2022</v>
      </c>
      <c r="AV1378" s="1">
        <v>30</v>
      </c>
      <c r="AW1378" s="1">
        <v>1</v>
      </c>
      <c r="AX1378" s="1"/>
      <c r="AY1378" s="1"/>
      <c r="AZ1378" s="1" t="s">
        <v>339</v>
      </c>
      <c r="BA1378" s="1"/>
      <c r="BB1378" s="1">
        <v>177</v>
      </c>
      <c r="BC1378" s="1">
        <v>184</v>
      </c>
      <c r="BD1378" s="1"/>
      <c r="BE1378" s="1" t="s">
        <v>9068</v>
      </c>
      <c r="BF1378" s="1" t="str">
        <f>HYPERLINK("http://dx.doi.org/10.1080/1536383X.2021.1960315","http://dx.doi.org/10.1080/1536383X.2021.1960315")</f>
        <v>http://dx.doi.org/10.1080/1536383X.2021.1960315</v>
      </c>
      <c r="BG1378" s="1"/>
      <c r="BH1378" s="1" t="s">
        <v>2893</v>
      </c>
      <c r="BI1378" s="1"/>
      <c r="BJ1378" s="1"/>
      <c r="BK1378" s="1"/>
      <c r="BL1378" s="1"/>
      <c r="BM1378" s="1"/>
      <c r="BN1378" s="1"/>
      <c r="BO1378" s="1"/>
      <c r="BP1378" s="1"/>
      <c r="BQ1378" s="1"/>
      <c r="BR1378" s="1"/>
      <c r="BS1378" s="1" t="s">
        <v>9069</v>
      </c>
      <c r="BT1378" s="1" t="str">
        <f>HYPERLINK("https%3A%2F%2Fwww.webofscience.com%2Fwos%2Fwoscc%2Ffull-record%2FWOS:000684132500001","View Full Record in Web of Science")</f>
        <v>View Full Record in Web of Science</v>
      </c>
      <c r="BU1378" s="1"/>
      <c r="BV1378" s="1"/>
      <c r="BW1378" s="1"/>
    </row>
    <row r="1379" spans="1:75" customHeight="1" ht="12.75">
      <c r="A1379" s="1" t="s">
        <v>72</v>
      </c>
      <c r="B1379" s="1" t="s">
        <v>9070</v>
      </c>
      <c r="C1379" s="1"/>
      <c r="D1379" s="1"/>
      <c r="E1379" s="1"/>
      <c r="F1379" s="1" t="s">
        <v>9071</v>
      </c>
      <c r="G1379" s="1"/>
      <c r="H1379" s="1"/>
      <c r="I1379" s="1" t="s">
        <v>9072</v>
      </c>
      <c r="J1379" s="1" t="s">
        <v>9073</v>
      </c>
      <c r="K1379" s="1"/>
      <c r="L1379" s="1"/>
      <c r="M1379" s="1"/>
      <c r="N1379" s="1"/>
      <c r="O1379" s="1"/>
      <c r="P1379" s="1"/>
      <c r="Q1379" s="1"/>
      <c r="R1379" s="1"/>
      <c r="S1379" s="1"/>
      <c r="T1379" s="1"/>
      <c r="U1379" s="1"/>
      <c r="V1379" s="1"/>
      <c r="W1379" s="1"/>
      <c r="X1379" s="1"/>
      <c r="Y1379" s="1"/>
      <c r="Z1379" s="1"/>
      <c r="AA1379" s="1" t="s">
        <v>9074</v>
      </c>
      <c r="AB1379" s="1" t="s">
        <v>9075</v>
      </c>
      <c r="AC1379" s="1"/>
      <c r="AD1379" s="1"/>
      <c r="AE1379" s="1"/>
      <c r="AF1379" s="1"/>
      <c r="AG1379" s="1"/>
      <c r="AH1379" s="1"/>
      <c r="AI1379" s="1"/>
      <c r="AJ1379" s="1"/>
      <c r="AK1379" s="1"/>
      <c r="AL1379" s="1"/>
      <c r="AM1379" s="1"/>
      <c r="AN1379" s="1"/>
      <c r="AO1379" s="1"/>
      <c r="AP1379" s="1" t="s">
        <v>9076</v>
      </c>
      <c r="AQ1379" s="1"/>
      <c r="AR1379" s="1"/>
      <c r="AS1379" s="1"/>
      <c r="AT1379" s="1" t="s">
        <v>403</v>
      </c>
      <c r="AU1379" s="1">
        <v>2022</v>
      </c>
      <c r="AV1379" s="1">
        <v>12</v>
      </c>
      <c r="AW1379" s="1">
        <v>24</v>
      </c>
      <c r="AX1379" s="1"/>
      <c r="AY1379" s="1"/>
      <c r="AZ1379" s="1"/>
      <c r="BA1379" s="1"/>
      <c r="BB1379" s="1"/>
      <c r="BC1379" s="1"/>
      <c r="BD1379" s="1">
        <v>12681</v>
      </c>
      <c r="BE1379" s="1" t="s">
        <v>9077</v>
      </c>
      <c r="BF1379" s="1" t="str">
        <f>HYPERLINK("http://dx.doi.org/10.3390/app122412681","http://dx.doi.org/10.3390/app122412681")</f>
        <v>http://dx.doi.org/10.3390/app122412681</v>
      </c>
      <c r="BG1379" s="1"/>
      <c r="BH1379" s="1"/>
      <c r="BI1379" s="1"/>
      <c r="BJ1379" s="1"/>
      <c r="BK1379" s="1"/>
      <c r="BL1379" s="1"/>
      <c r="BM1379" s="1"/>
      <c r="BN1379" s="1"/>
      <c r="BO1379" s="1"/>
      <c r="BP1379" s="1"/>
      <c r="BQ1379" s="1"/>
      <c r="BR1379" s="1"/>
      <c r="BS1379" s="1" t="s">
        <v>9078</v>
      </c>
      <c r="BT1379" s="1" t="str">
        <f>HYPERLINK("https%3A%2F%2Fwww.webofscience.com%2Fwos%2Fwoscc%2Ffull-record%2FWOS:000902084800001","View Full Record in Web of Science")</f>
        <v>View Full Record in Web of Science</v>
      </c>
      <c r="BU1379" s="1"/>
      <c r="BV1379" s="1"/>
      <c r="BW1379" s="1"/>
    </row>
    <row r="1380" spans="1:75" customHeight="1" ht="12.75">
      <c r="A1380" s="1" t="s">
        <v>147</v>
      </c>
      <c r="B1380" s="1" t="s">
        <v>9079</v>
      </c>
      <c r="C1380" s="1"/>
      <c r="D1380" s="1" t="s">
        <v>8221</v>
      </c>
      <c r="E1380" s="1"/>
      <c r="F1380" s="1" t="s">
        <v>9080</v>
      </c>
      <c r="G1380" s="1"/>
      <c r="H1380" s="1"/>
      <c r="I1380" s="1" t="s">
        <v>9081</v>
      </c>
      <c r="J1380" s="1" t="s">
        <v>8224</v>
      </c>
      <c r="K1380" s="1" t="s">
        <v>445</v>
      </c>
      <c r="L1380" s="1"/>
      <c r="M1380" s="1"/>
      <c r="N1380" s="1"/>
      <c r="O1380" s="1" t="s">
        <v>8225</v>
      </c>
      <c r="P1380" s="1" t="s">
        <v>8226</v>
      </c>
      <c r="Q1380" s="1" t="s">
        <v>8227</v>
      </c>
      <c r="R1380" s="1" t="s">
        <v>8228</v>
      </c>
      <c r="S1380" s="1"/>
      <c r="T1380" s="1"/>
      <c r="U1380" s="1"/>
      <c r="V1380" s="1"/>
      <c r="W1380" s="1"/>
      <c r="X1380" s="1"/>
      <c r="Y1380" s="1"/>
      <c r="Z1380" s="1"/>
      <c r="AA1380" s="1" t="s">
        <v>9082</v>
      </c>
      <c r="AB1380" s="1" t="s">
        <v>9083</v>
      </c>
      <c r="AC1380" s="1"/>
      <c r="AD1380" s="1"/>
      <c r="AE1380" s="1"/>
      <c r="AF1380" s="1"/>
      <c r="AG1380" s="1"/>
      <c r="AH1380" s="1"/>
      <c r="AI1380" s="1"/>
      <c r="AJ1380" s="1"/>
      <c r="AK1380" s="1"/>
      <c r="AL1380" s="1"/>
      <c r="AM1380" s="1"/>
      <c r="AN1380" s="1"/>
      <c r="AO1380" s="1" t="s">
        <v>450</v>
      </c>
      <c r="AP1380" s="1"/>
      <c r="AQ1380" s="1" t="s">
        <v>8231</v>
      </c>
      <c r="AR1380" s="1"/>
      <c r="AS1380" s="1"/>
      <c r="AT1380" s="1"/>
      <c r="AU1380" s="1">
        <v>2017</v>
      </c>
      <c r="AV1380" s="1"/>
      <c r="AW1380" s="1"/>
      <c r="AX1380" s="1"/>
      <c r="AY1380" s="1"/>
      <c r="AZ1380" s="1"/>
      <c r="BA1380" s="1"/>
      <c r="BB1380" s="1">
        <v>55</v>
      </c>
      <c r="BC1380" s="1">
        <v>63</v>
      </c>
      <c r="BD1380" s="1"/>
      <c r="BE1380" s="1" t="s">
        <v>9084</v>
      </c>
      <c r="BF1380" s="1" t="str">
        <f>HYPERLINK("http://dx.doi.org/10.1007/978-3-319-45462-7_7","http://dx.doi.org/10.1007/978-3-319-45462-7_7")</f>
        <v>http://dx.doi.org/10.1007/978-3-319-45462-7_7</v>
      </c>
      <c r="BG1380" s="1"/>
      <c r="BH1380" s="1"/>
      <c r="BI1380" s="1"/>
      <c r="BJ1380" s="1"/>
      <c r="BK1380" s="1"/>
      <c r="BL1380" s="1"/>
      <c r="BM1380" s="1"/>
      <c r="BN1380" s="1"/>
      <c r="BO1380" s="1"/>
      <c r="BP1380" s="1"/>
      <c r="BQ1380" s="1"/>
      <c r="BR1380" s="1"/>
      <c r="BS1380" s="1" t="s">
        <v>9085</v>
      </c>
      <c r="BT1380" s="1" t="str">
        <f>HYPERLINK("https%3A%2F%2Fwww.webofscience.com%2Fwos%2Fwoscc%2Ffull-record%2FWOS:000406973000007","View Full Record in Web of Science")</f>
        <v>View Full Record in Web of Science</v>
      </c>
      <c r="BU1380" s="1"/>
      <c r="BV1380" s="1"/>
      <c r="BW1380" s="1"/>
    </row>
    <row r="1381" spans="1:75" customHeight="1" ht="12.75">
      <c r="A1381" s="1" t="s">
        <v>72</v>
      </c>
      <c r="B1381" s="1" t="s">
        <v>9086</v>
      </c>
      <c r="C1381" s="1"/>
      <c r="D1381" s="1"/>
      <c r="E1381" s="1"/>
      <c r="F1381" s="1" t="s">
        <v>9087</v>
      </c>
      <c r="G1381" s="1"/>
      <c r="H1381" s="1"/>
      <c r="I1381" s="1" t="s">
        <v>9088</v>
      </c>
      <c r="J1381" s="1" t="s">
        <v>8939</v>
      </c>
      <c r="K1381" s="1"/>
      <c r="L1381" s="1"/>
      <c r="M1381" s="1"/>
      <c r="N1381" s="1"/>
      <c r="O1381" s="1"/>
      <c r="P1381" s="1"/>
      <c r="Q1381" s="1"/>
      <c r="R1381" s="1"/>
      <c r="S1381" s="1"/>
      <c r="T1381" s="1"/>
      <c r="U1381" s="1"/>
      <c r="V1381" s="1"/>
      <c r="W1381" s="1"/>
      <c r="X1381" s="1"/>
      <c r="Y1381" s="1"/>
      <c r="Z1381" s="1"/>
      <c r="AA1381" s="1" t="s">
        <v>9089</v>
      </c>
      <c r="AB1381" s="1" t="s">
        <v>9090</v>
      </c>
      <c r="AC1381" s="1"/>
      <c r="AD1381" s="1"/>
      <c r="AE1381" s="1"/>
      <c r="AF1381" s="1"/>
      <c r="AG1381" s="1"/>
      <c r="AH1381" s="1"/>
      <c r="AI1381" s="1"/>
      <c r="AJ1381" s="1"/>
      <c r="AK1381" s="1"/>
      <c r="AL1381" s="1"/>
      <c r="AM1381" s="1"/>
      <c r="AN1381" s="1"/>
      <c r="AO1381" s="1" t="s">
        <v>8942</v>
      </c>
      <c r="AP1381" s="1"/>
      <c r="AQ1381" s="1"/>
      <c r="AR1381" s="1"/>
      <c r="AS1381" s="1"/>
      <c r="AT1381" s="1" t="s">
        <v>198</v>
      </c>
      <c r="AU1381" s="1">
        <v>2023</v>
      </c>
      <c r="AV1381" s="1">
        <v>13</v>
      </c>
      <c r="AW1381" s="1">
        <v>2</v>
      </c>
      <c r="AX1381" s="1"/>
      <c r="AY1381" s="1"/>
      <c r="AZ1381" s="1"/>
      <c r="BA1381" s="1"/>
      <c r="BB1381" s="1"/>
      <c r="BC1381" s="1"/>
      <c r="BD1381" s="1" t="s">
        <v>9091</v>
      </c>
      <c r="BE1381" s="1" t="s">
        <v>9092</v>
      </c>
      <c r="BF1381" s="1" t="str">
        <f>HYPERLINK("http://dx.doi.org/10.30935/ojcmt/13018","http://dx.doi.org/10.30935/ojcmt/13018")</f>
        <v>http://dx.doi.org/10.30935/ojcmt/13018</v>
      </c>
      <c r="BG1381" s="1"/>
      <c r="BH1381" s="1"/>
      <c r="BI1381" s="1"/>
      <c r="BJ1381" s="1"/>
      <c r="BK1381" s="1"/>
      <c r="BL1381" s="1"/>
      <c r="BM1381" s="1"/>
      <c r="BN1381" s="1"/>
      <c r="BO1381" s="1"/>
      <c r="BP1381" s="1"/>
      <c r="BQ1381" s="1"/>
      <c r="BR1381" s="1"/>
      <c r="BS1381" s="1" t="s">
        <v>9093</v>
      </c>
      <c r="BT1381" s="1" t="str">
        <f>HYPERLINK("https%3A%2F%2Fwww.webofscience.com%2Fwos%2Fwoscc%2Ffull-record%2FWOS:000944253000003","View Full Record in Web of Science")</f>
        <v>View Full Record in Web of Science</v>
      </c>
      <c r="BU1381" s="1"/>
      <c r="BV1381" s="1"/>
      <c r="BW1381" s="1"/>
    </row>
    <row r="1382" spans="1:75" customHeight="1" ht="12.75">
      <c r="A1382" s="1" t="s">
        <v>72</v>
      </c>
      <c r="B1382" s="1" t="s">
        <v>9094</v>
      </c>
      <c r="C1382" s="1"/>
      <c r="D1382" s="1"/>
      <c r="E1382" s="1"/>
      <c r="F1382" s="1" t="s">
        <v>9095</v>
      </c>
      <c r="G1382" s="1"/>
      <c r="H1382" s="1"/>
      <c r="I1382" s="1" t="s">
        <v>9096</v>
      </c>
      <c r="J1382" s="1" t="s">
        <v>9097</v>
      </c>
      <c r="K1382" s="1"/>
      <c r="L1382" s="1"/>
      <c r="M1382" s="1"/>
      <c r="N1382" s="1"/>
      <c r="O1382" s="1"/>
      <c r="P1382" s="1"/>
      <c r="Q1382" s="1"/>
      <c r="R1382" s="1"/>
      <c r="S1382" s="1"/>
      <c r="T1382" s="1"/>
      <c r="U1382" s="1"/>
      <c r="V1382" s="1"/>
      <c r="W1382" s="1"/>
      <c r="X1382" s="1"/>
      <c r="Y1382" s="1"/>
      <c r="Z1382" s="1"/>
      <c r="AA1382" s="1" t="s">
        <v>9098</v>
      </c>
      <c r="AB1382" s="1" t="s">
        <v>9099</v>
      </c>
      <c r="AC1382" s="1"/>
      <c r="AD1382" s="1"/>
      <c r="AE1382" s="1"/>
      <c r="AF1382" s="1"/>
      <c r="AG1382" s="1"/>
      <c r="AH1382" s="1"/>
      <c r="AI1382" s="1"/>
      <c r="AJ1382" s="1"/>
      <c r="AK1382" s="1"/>
      <c r="AL1382" s="1"/>
      <c r="AM1382" s="1"/>
      <c r="AN1382" s="1"/>
      <c r="AO1382" s="1" t="s">
        <v>9100</v>
      </c>
      <c r="AP1382" s="1" t="s">
        <v>9101</v>
      </c>
      <c r="AQ1382" s="1"/>
      <c r="AR1382" s="1"/>
      <c r="AS1382" s="1"/>
      <c r="AT1382" s="1" t="s">
        <v>541</v>
      </c>
      <c r="AU1382" s="1">
        <v>2021</v>
      </c>
      <c r="AV1382" s="1">
        <v>14</v>
      </c>
      <c r="AW1382" s="1">
        <v>1</v>
      </c>
      <c r="AX1382" s="1"/>
      <c r="AY1382" s="1"/>
      <c r="AZ1382" s="1"/>
      <c r="BA1382" s="1"/>
      <c r="BB1382" s="1"/>
      <c r="BC1382" s="1"/>
      <c r="BD1382" s="1">
        <v>38</v>
      </c>
      <c r="BE1382" s="1" t="s">
        <v>9102</v>
      </c>
      <c r="BF1382" s="1" t="str">
        <f>HYPERLINK("http://dx.doi.org/10.3390/jrfm14010038","http://dx.doi.org/10.3390/jrfm14010038")</f>
        <v>http://dx.doi.org/10.3390/jrfm14010038</v>
      </c>
      <c r="BG1382" s="1"/>
      <c r="BH1382" s="1"/>
      <c r="BI1382" s="1"/>
      <c r="BJ1382" s="1"/>
      <c r="BK1382" s="1"/>
      <c r="BL1382" s="1"/>
      <c r="BM1382" s="1"/>
      <c r="BN1382" s="1"/>
      <c r="BO1382" s="1"/>
      <c r="BP1382" s="1"/>
      <c r="BQ1382" s="1"/>
      <c r="BR1382" s="1"/>
      <c r="BS1382" s="1" t="s">
        <v>9103</v>
      </c>
      <c r="BT1382" s="1" t="str">
        <f>HYPERLINK("https%3A%2F%2Fwww.webofscience.com%2Fwos%2Fwoscc%2Ffull-record%2FWOS:000610339500001","View Full Record in Web of Science")</f>
        <v>View Full Record in Web of Science</v>
      </c>
      <c r="BU1382" s="1"/>
      <c r="BV1382" s="1"/>
      <c r="BW1382" s="1"/>
    </row>
    <row r="1383" spans="1:75" customHeight="1" ht="12.75">
      <c r="A1383" s="1" t="s">
        <v>72</v>
      </c>
      <c r="B1383" s="1" t="s">
        <v>9104</v>
      </c>
      <c r="C1383" s="1"/>
      <c r="D1383" s="1"/>
      <c r="E1383" s="1"/>
      <c r="F1383" s="1" t="s">
        <v>9105</v>
      </c>
      <c r="G1383" s="1"/>
      <c r="H1383" s="1"/>
      <c r="I1383" s="1" t="s">
        <v>9106</v>
      </c>
      <c r="J1383" s="1" t="s">
        <v>9107</v>
      </c>
      <c r="K1383" s="1"/>
      <c r="L1383" s="1"/>
      <c r="M1383" s="1"/>
      <c r="N1383" s="1"/>
      <c r="O1383" s="1"/>
      <c r="P1383" s="1"/>
      <c r="Q1383" s="1"/>
      <c r="R1383" s="1"/>
      <c r="S1383" s="1"/>
      <c r="T1383" s="1"/>
      <c r="U1383" s="1"/>
      <c r="V1383" s="1"/>
      <c r="W1383" s="1"/>
      <c r="X1383" s="1"/>
      <c r="Y1383" s="1"/>
      <c r="Z1383" s="1"/>
      <c r="AA1383" s="1" t="s">
        <v>9108</v>
      </c>
      <c r="AB1383" s="1" t="s">
        <v>9109</v>
      </c>
      <c r="AC1383" s="1"/>
      <c r="AD1383" s="1"/>
      <c r="AE1383" s="1"/>
      <c r="AF1383" s="1"/>
      <c r="AG1383" s="1"/>
      <c r="AH1383" s="1"/>
      <c r="AI1383" s="1"/>
      <c r="AJ1383" s="1"/>
      <c r="AK1383" s="1"/>
      <c r="AL1383" s="1"/>
      <c r="AM1383" s="1"/>
      <c r="AN1383" s="1"/>
      <c r="AO1383" s="1"/>
      <c r="AP1383" s="1" t="s">
        <v>9110</v>
      </c>
      <c r="AQ1383" s="1"/>
      <c r="AR1383" s="1"/>
      <c r="AS1383" s="1"/>
      <c r="AT1383" s="1" t="s">
        <v>403</v>
      </c>
      <c r="AU1383" s="1">
        <v>2020</v>
      </c>
      <c r="AV1383" s="1">
        <v>10</v>
      </c>
      <c r="AW1383" s="1">
        <v>12</v>
      </c>
      <c r="AX1383" s="1"/>
      <c r="AY1383" s="1"/>
      <c r="AZ1383" s="1"/>
      <c r="BA1383" s="1"/>
      <c r="BB1383" s="1"/>
      <c r="BC1383" s="1"/>
      <c r="BD1383" s="1">
        <v>1694</v>
      </c>
      <c r="BE1383" s="1" t="s">
        <v>9111</v>
      </c>
      <c r="BF1383" s="1" t="str">
        <f>HYPERLINK("http://dx.doi.org/10.3390/biom10121694","http://dx.doi.org/10.3390/biom10121694")</f>
        <v>http://dx.doi.org/10.3390/biom10121694</v>
      </c>
      <c r="BG1383" s="1"/>
      <c r="BH1383" s="1"/>
      <c r="BI1383" s="1"/>
      <c r="BJ1383" s="1"/>
      <c r="BK1383" s="1"/>
      <c r="BL1383" s="1"/>
      <c r="BM1383" s="1"/>
      <c r="BN1383" s="1">
        <v>33353123</v>
      </c>
      <c r="BO1383" s="1"/>
      <c r="BP1383" s="1"/>
      <c r="BQ1383" s="1"/>
      <c r="BR1383" s="1"/>
      <c r="BS1383" s="1" t="s">
        <v>9112</v>
      </c>
      <c r="BT1383" s="1" t="str">
        <f>HYPERLINK("https%3A%2F%2Fwww.webofscience.com%2Fwos%2Fwoscc%2Ffull-record%2FWOS:000601745400001","View Full Record in Web of Science")</f>
        <v>View Full Record in Web of Science</v>
      </c>
      <c r="BU1383" s="1"/>
      <c r="BV1383" s="1"/>
      <c r="BW1383" s="1"/>
    </row>
    <row r="1384" spans="1:75" customHeight="1" ht="12.75">
      <c r="A1384" s="1" t="s">
        <v>72</v>
      </c>
      <c r="B1384" s="1" t="s">
        <v>9113</v>
      </c>
      <c r="C1384" s="1"/>
      <c r="D1384" s="1"/>
      <c r="E1384" s="1"/>
      <c r="F1384" s="1" t="s">
        <v>9114</v>
      </c>
      <c r="G1384" s="1"/>
      <c r="H1384" s="1"/>
      <c r="I1384" s="1" t="s">
        <v>9115</v>
      </c>
      <c r="J1384" s="1" t="s">
        <v>9116</v>
      </c>
      <c r="K1384" s="1"/>
      <c r="L1384" s="1"/>
      <c r="M1384" s="1"/>
      <c r="N1384" s="1"/>
      <c r="O1384" s="1"/>
      <c r="P1384" s="1"/>
      <c r="Q1384" s="1"/>
      <c r="R1384" s="1"/>
      <c r="S1384" s="1"/>
      <c r="T1384" s="1"/>
      <c r="U1384" s="1"/>
      <c r="V1384" s="1"/>
      <c r="W1384" s="1"/>
      <c r="X1384" s="1"/>
      <c r="Y1384" s="1"/>
      <c r="Z1384" s="1"/>
      <c r="AA1384" s="1"/>
      <c r="AB1384" s="1"/>
      <c r="AC1384" s="1"/>
      <c r="AD1384" s="1"/>
      <c r="AE1384" s="1"/>
      <c r="AF1384" s="1"/>
      <c r="AG1384" s="1"/>
      <c r="AH1384" s="1"/>
      <c r="AI1384" s="1"/>
      <c r="AJ1384" s="1"/>
      <c r="AK1384" s="1"/>
      <c r="AL1384" s="1"/>
      <c r="AM1384" s="1"/>
      <c r="AN1384" s="1"/>
      <c r="AO1384" s="1" t="s">
        <v>9117</v>
      </c>
      <c r="AP1384" s="1"/>
      <c r="AQ1384" s="1"/>
      <c r="AR1384" s="1"/>
      <c r="AS1384" s="1"/>
      <c r="AT1384" s="1" t="s">
        <v>1173</v>
      </c>
      <c r="AU1384" s="1">
        <v>2023</v>
      </c>
      <c r="AV1384" s="1">
        <v>18</v>
      </c>
      <c r="AW1384" s="1">
        <v>3</v>
      </c>
      <c r="AX1384" s="1"/>
      <c r="AY1384" s="1"/>
      <c r="AZ1384" s="1"/>
      <c r="BA1384" s="1"/>
      <c r="BB1384" s="1">
        <v>4492</v>
      </c>
      <c r="BC1384" s="1">
        <v>4509</v>
      </c>
      <c r="BD1384" s="1"/>
      <c r="BE1384" s="1" t="s">
        <v>9118</v>
      </c>
      <c r="BF1384" s="1" t="str">
        <f>HYPERLINK("http://dx.doi.org/10.15376/biores.18.3.4492-4509","http://dx.doi.org/10.15376/biores.18.3.4492-4509")</f>
        <v>http://dx.doi.org/10.15376/biores.18.3.4492-4509</v>
      </c>
      <c r="BG1384" s="1"/>
      <c r="BH1384" s="1"/>
      <c r="BI1384" s="1"/>
      <c r="BJ1384" s="1"/>
      <c r="BK1384" s="1"/>
      <c r="BL1384" s="1"/>
      <c r="BM1384" s="1"/>
      <c r="BN1384" s="1"/>
      <c r="BO1384" s="1"/>
      <c r="BP1384" s="1"/>
      <c r="BQ1384" s="1"/>
      <c r="BR1384" s="1"/>
      <c r="BS1384" s="1" t="s">
        <v>9119</v>
      </c>
      <c r="BT1384" s="1" t="str">
        <f>HYPERLINK("https%3A%2F%2Fwww.webofscience.com%2Fwos%2Fwoscc%2Ffull-record%2FWOS:000992191400015","View Full Record in Web of Science")</f>
        <v>View Full Record in Web of Science</v>
      </c>
      <c r="BU1384" s="1"/>
      <c r="BV1384" s="1"/>
      <c r="BW1384" s="1"/>
    </row>
    <row r="1385" spans="1:75" customHeight="1" ht="12.75">
      <c r="A1385" s="1" t="s">
        <v>72</v>
      </c>
      <c r="B1385" s="1" t="s">
        <v>9120</v>
      </c>
      <c r="C1385" s="1"/>
      <c r="D1385" s="1"/>
      <c r="E1385" s="1"/>
      <c r="F1385" s="1" t="s">
        <v>9121</v>
      </c>
      <c r="G1385" s="1"/>
      <c r="H1385" s="1"/>
      <c r="I1385" s="1" t="s">
        <v>9122</v>
      </c>
      <c r="J1385" s="1" t="s">
        <v>9123</v>
      </c>
      <c r="K1385" s="1"/>
      <c r="L1385" s="1"/>
      <c r="M1385" s="1"/>
      <c r="N1385" s="1"/>
      <c r="O1385" s="1"/>
      <c r="P1385" s="1"/>
      <c r="Q1385" s="1"/>
      <c r="R1385" s="1"/>
      <c r="S1385" s="1"/>
      <c r="T1385" s="1"/>
      <c r="U1385" s="1"/>
      <c r="V1385" s="1"/>
      <c r="W1385" s="1"/>
      <c r="X1385" s="1"/>
      <c r="Y1385" s="1"/>
      <c r="Z1385" s="1"/>
      <c r="AA1385" s="1" t="s">
        <v>9124</v>
      </c>
      <c r="AB1385" s="1" t="s">
        <v>9125</v>
      </c>
      <c r="AC1385" s="1"/>
      <c r="AD1385" s="1"/>
      <c r="AE1385" s="1"/>
      <c r="AF1385" s="1"/>
      <c r="AG1385" s="1"/>
      <c r="AH1385" s="1"/>
      <c r="AI1385" s="1"/>
      <c r="AJ1385" s="1"/>
      <c r="AK1385" s="1"/>
      <c r="AL1385" s="1"/>
      <c r="AM1385" s="1"/>
      <c r="AN1385" s="1"/>
      <c r="AO1385" s="1" t="s">
        <v>9126</v>
      </c>
      <c r="AP1385" s="1"/>
      <c r="AQ1385" s="1"/>
      <c r="AR1385" s="1"/>
      <c r="AS1385" s="1"/>
      <c r="AT1385" s="1"/>
      <c r="AU1385" s="1">
        <v>2019</v>
      </c>
      <c r="AV1385" s="1">
        <v>28</v>
      </c>
      <c r="AW1385" s="1">
        <v>107</v>
      </c>
      <c r="AX1385" s="1"/>
      <c r="AY1385" s="1"/>
      <c r="AZ1385" s="1"/>
      <c r="BA1385" s="1"/>
      <c r="BB1385" s="1">
        <v>219</v>
      </c>
      <c r="BC1385" s="1">
        <v>227</v>
      </c>
      <c r="BD1385" s="1" t="s">
        <v>9127</v>
      </c>
      <c r="BE1385" s="1"/>
      <c r="BF1385" s="1"/>
      <c r="BG1385" s="1"/>
      <c r="BH1385" s="1"/>
      <c r="BI1385" s="1"/>
      <c r="BJ1385" s="1"/>
      <c r="BK1385" s="1"/>
      <c r="BL1385" s="1"/>
      <c r="BM1385" s="1"/>
      <c r="BN1385" s="1"/>
      <c r="BO1385" s="1"/>
      <c r="BP1385" s="1"/>
      <c r="BQ1385" s="1"/>
      <c r="BR1385" s="1"/>
      <c r="BS1385" s="1" t="s">
        <v>9128</v>
      </c>
      <c r="BT1385" s="1" t="str">
        <f>HYPERLINK("https%3A%2F%2Fwww.webofscience.com%2Fwos%2Fwoscc%2Ffull-record%2FWOS:000461678300026","View Full Record in Web of Science")</f>
        <v>View Full Record in Web of Science</v>
      </c>
      <c r="BU1385" s="1"/>
      <c r="BV1385" s="1"/>
      <c r="BW1385" s="1"/>
    </row>
    <row r="1386" spans="1:75" customHeight="1" ht="12.75">
      <c r="A1386" s="1" t="s">
        <v>72</v>
      </c>
      <c r="B1386" s="1" t="s">
        <v>9129</v>
      </c>
      <c r="C1386" s="1"/>
      <c r="D1386" s="1"/>
      <c r="E1386" s="1"/>
      <c r="F1386" s="1" t="s">
        <v>9130</v>
      </c>
      <c r="G1386" s="1"/>
      <c r="H1386" s="1"/>
      <c r="I1386" s="1" t="s">
        <v>9131</v>
      </c>
      <c r="J1386" s="1" t="s">
        <v>8685</v>
      </c>
      <c r="K1386" s="1"/>
      <c r="L1386" s="1"/>
      <c r="M1386" s="1"/>
      <c r="N1386" s="1"/>
      <c r="O1386" s="1"/>
      <c r="P1386" s="1"/>
      <c r="Q1386" s="1"/>
      <c r="R1386" s="1"/>
      <c r="S1386" s="1"/>
      <c r="T1386" s="1"/>
      <c r="U1386" s="1"/>
      <c r="V1386" s="1"/>
      <c r="W1386" s="1"/>
      <c r="X1386" s="1"/>
      <c r="Y1386" s="1"/>
      <c r="Z1386" s="1"/>
      <c r="AA1386" s="1" t="s">
        <v>9132</v>
      </c>
      <c r="AB1386" s="1" t="s">
        <v>9133</v>
      </c>
      <c r="AC1386" s="1"/>
      <c r="AD1386" s="1"/>
      <c r="AE1386" s="1"/>
      <c r="AF1386" s="1"/>
      <c r="AG1386" s="1"/>
      <c r="AH1386" s="1"/>
      <c r="AI1386" s="1"/>
      <c r="AJ1386" s="1"/>
      <c r="AK1386" s="1"/>
      <c r="AL1386" s="1"/>
      <c r="AM1386" s="1"/>
      <c r="AN1386" s="1"/>
      <c r="AO1386" s="1" t="s">
        <v>8688</v>
      </c>
      <c r="AP1386" s="1" t="s">
        <v>8689</v>
      </c>
      <c r="AQ1386" s="1"/>
      <c r="AR1386" s="1"/>
      <c r="AS1386" s="1"/>
      <c r="AT1386" s="1" t="s">
        <v>88</v>
      </c>
      <c r="AU1386" s="1">
        <v>2021</v>
      </c>
      <c r="AV1386" s="1">
        <v>9</v>
      </c>
      <c r="AW1386" s="1"/>
      <c r="AX1386" s="1"/>
      <c r="AY1386" s="1"/>
      <c r="AZ1386" s="1" t="s">
        <v>339</v>
      </c>
      <c r="BA1386" s="1"/>
      <c r="BB1386" s="1"/>
      <c r="BC1386" s="1"/>
      <c r="BD1386" s="1" t="s">
        <v>9134</v>
      </c>
      <c r="BE1386" s="1" t="s">
        <v>9135</v>
      </c>
      <c r="BF1386" s="1" t="str">
        <f>HYPERLINK("http://dx.doi.org/10.20511/pyr2021.v9nSPE3.1133","http://dx.doi.org/10.20511/pyr2021.v9nSPE3.1133")</f>
        <v>http://dx.doi.org/10.20511/pyr2021.v9nSPE3.1133</v>
      </c>
      <c r="BG1386" s="1"/>
      <c r="BH1386" s="1"/>
      <c r="BI1386" s="1"/>
      <c r="BJ1386" s="1"/>
      <c r="BK1386" s="1"/>
      <c r="BL1386" s="1"/>
      <c r="BM1386" s="1"/>
      <c r="BN1386" s="1"/>
      <c r="BO1386" s="1"/>
      <c r="BP1386" s="1"/>
      <c r="BQ1386" s="1"/>
      <c r="BR1386" s="1"/>
      <c r="BS1386" s="1" t="s">
        <v>9136</v>
      </c>
      <c r="BT1386" s="1" t="str">
        <f>HYPERLINK("https%3A%2F%2Fwww.webofscience.com%2Fwos%2Fwoscc%2Ffull-record%2FWOS:000631706900069","View Full Record in Web of Science")</f>
        <v>View Full Record in Web of Science</v>
      </c>
      <c r="BU1386" s="1"/>
      <c r="BV1386" s="1"/>
      <c r="BW1386" s="1"/>
    </row>
    <row r="1387" spans="1:75" customHeight="1" ht="12.75">
      <c r="A1387" s="1" t="s">
        <v>72</v>
      </c>
      <c r="B1387" s="1" t="s">
        <v>9137</v>
      </c>
      <c r="C1387" s="1"/>
      <c r="D1387" s="1"/>
      <c r="E1387" s="1"/>
      <c r="F1387" s="1" t="s">
        <v>9138</v>
      </c>
      <c r="G1387" s="1"/>
      <c r="H1387" s="1"/>
      <c r="I1387" s="1" t="s">
        <v>9139</v>
      </c>
      <c r="J1387" s="1" t="s">
        <v>3310</v>
      </c>
      <c r="K1387" s="1"/>
      <c r="L1387" s="1"/>
      <c r="M1387" s="1"/>
      <c r="N1387" s="1"/>
      <c r="O1387" s="1"/>
      <c r="P1387" s="1"/>
      <c r="Q1387" s="1"/>
      <c r="R1387" s="1"/>
      <c r="S1387" s="1"/>
      <c r="T1387" s="1"/>
      <c r="U1387" s="1"/>
      <c r="V1387" s="1"/>
      <c r="W1387" s="1"/>
      <c r="X1387" s="1"/>
      <c r="Y1387" s="1"/>
      <c r="Z1387" s="1"/>
      <c r="AA1387" s="1" t="s">
        <v>9140</v>
      </c>
      <c r="AB1387" s="1" t="s">
        <v>9141</v>
      </c>
      <c r="AC1387" s="1"/>
      <c r="AD1387" s="1"/>
      <c r="AE1387" s="1"/>
      <c r="AF1387" s="1"/>
      <c r="AG1387" s="1"/>
      <c r="AH1387" s="1"/>
      <c r="AI1387" s="1"/>
      <c r="AJ1387" s="1"/>
      <c r="AK1387" s="1"/>
      <c r="AL1387" s="1"/>
      <c r="AM1387" s="1"/>
      <c r="AN1387" s="1"/>
      <c r="AO1387" s="1" t="s">
        <v>3313</v>
      </c>
      <c r="AP1387" s="1"/>
      <c r="AQ1387" s="1"/>
      <c r="AR1387" s="1"/>
      <c r="AS1387" s="1"/>
      <c r="AT1387" s="1" t="s">
        <v>1012</v>
      </c>
      <c r="AU1387" s="1">
        <v>2018</v>
      </c>
      <c r="AV1387" s="1">
        <v>39</v>
      </c>
      <c r="AW1387" s="1">
        <v>5</v>
      </c>
      <c r="AX1387" s="1"/>
      <c r="AY1387" s="1"/>
      <c r="AZ1387" s="1"/>
      <c r="BA1387" s="1"/>
      <c r="BB1387" s="1">
        <v>87</v>
      </c>
      <c r="BC1387" s="1">
        <v>98</v>
      </c>
      <c r="BD1387" s="1"/>
      <c r="BE1387" s="1" t="s">
        <v>9142</v>
      </c>
      <c r="BF1387" s="1" t="str">
        <f>HYPERLINK("http://dx.doi.org/10.31857/S020595920000838-7","http://dx.doi.org/10.31857/S020595920000838-7")</f>
        <v>http://dx.doi.org/10.31857/S020595920000838-7</v>
      </c>
      <c r="BG1387" s="1"/>
      <c r="BH1387" s="1"/>
      <c r="BI1387" s="1"/>
      <c r="BJ1387" s="1"/>
      <c r="BK1387" s="1"/>
      <c r="BL1387" s="1"/>
      <c r="BM1387" s="1"/>
      <c r="BN1387" s="1"/>
      <c r="BO1387" s="1"/>
      <c r="BP1387" s="1"/>
      <c r="BQ1387" s="1"/>
      <c r="BR1387" s="1"/>
      <c r="BS1387" s="1" t="s">
        <v>9143</v>
      </c>
      <c r="BT1387" s="1" t="str">
        <f>HYPERLINK("https%3A%2F%2Fwww.webofscience.com%2Fwos%2Fwoscc%2Ffull-record%2FWOS:000453484800009","View Full Record in Web of Science")</f>
        <v>View Full Record in Web of Science</v>
      </c>
      <c r="BU1387" s="1"/>
      <c r="BV1387" s="1"/>
      <c r="BW1387" s="1"/>
    </row>
    <row r="1388" spans="1:75" customHeight="1" ht="12.75">
      <c r="A1388" s="1" t="s">
        <v>72</v>
      </c>
      <c r="B1388" s="1" t="s">
        <v>9144</v>
      </c>
      <c r="C1388" s="1"/>
      <c r="D1388" s="1"/>
      <c r="E1388" s="1"/>
      <c r="F1388" s="1" t="s">
        <v>9145</v>
      </c>
      <c r="G1388" s="1"/>
      <c r="H1388" s="1"/>
      <c r="I1388" s="1" t="s">
        <v>9146</v>
      </c>
      <c r="J1388" s="1" t="s">
        <v>9147</v>
      </c>
      <c r="K1388" s="1"/>
      <c r="L1388" s="1"/>
      <c r="M1388" s="1"/>
      <c r="N1388" s="1"/>
      <c r="O1388" s="1"/>
      <c r="P1388" s="1"/>
      <c r="Q1388" s="1"/>
      <c r="R1388" s="1"/>
      <c r="S1388" s="1"/>
      <c r="T1388" s="1"/>
      <c r="U1388" s="1"/>
      <c r="V1388" s="1"/>
      <c r="W1388" s="1"/>
      <c r="X1388" s="1"/>
      <c r="Y1388" s="1"/>
      <c r="Z1388" s="1"/>
      <c r="AA1388" s="1" t="s">
        <v>9148</v>
      </c>
      <c r="AB1388" s="1" t="s">
        <v>9149</v>
      </c>
      <c r="AC1388" s="1"/>
      <c r="AD1388" s="1"/>
      <c r="AE1388" s="1"/>
      <c r="AF1388" s="1"/>
      <c r="AG1388" s="1"/>
      <c r="AH1388" s="1"/>
      <c r="AI1388" s="1"/>
      <c r="AJ1388" s="1"/>
      <c r="AK1388" s="1"/>
      <c r="AL1388" s="1"/>
      <c r="AM1388" s="1"/>
      <c r="AN1388" s="1"/>
      <c r="AO1388" s="1" t="s">
        <v>9150</v>
      </c>
      <c r="AP1388" s="1" t="s">
        <v>9151</v>
      </c>
      <c r="AQ1388" s="1"/>
      <c r="AR1388" s="1"/>
      <c r="AS1388" s="1"/>
      <c r="AT1388" s="1" t="s">
        <v>125</v>
      </c>
      <c r="AU1388" s="1">
        <v>2020</v>
      </c>
      <c r="AV1388" s="1">
        <v>28</v>
      </c>
      <c r="AW1388" s="1">
        <v>4</v>
      </c>
      <c r="AX1388" s="1"/>
      <c r="AY1388" s="1"/>
      <c r="AZ1388" s="1"/>
      <c r="BA1388" s="1"/>
      <c r="BB1388" s="1">
        <v>465</v>
      </c>
      <c r="BC1388" s="1">
        <v>472</v>
      </c>
      <c r="BD1388" s="1"/>
      <c r="BE1388" s="1" t="s">
        <v>9152</v>
      </c>
      <c r="BF1388" s="1" t="str">
        <f>HYPERLINK("http://dx.doi.org/10.1002/erv.2731","http://dx.doi.org/10.1002/erv.2731")</f>
        <v>http://dx.doi.org/10.1002/erv.2731</v>
      </c>
      <c r="BG1388" s="1"/>
      <c r="BH1388" s="1"/>
      <c r="BI1388" s="1"/>
      <c r="BJ1388" s="1"/>
      <c r="BK1388" s="1"/>
      <c r="BL1388" s="1"/>
      <c r="BM1388" s="1"/>
      <c r="BN1388" s="1">
        <v>32144879</v>
      </c>
      <c r="BO1388" s="1"/>
      <c r="BP1388" s="1"/>
      <c r="BQ1388" s="1"/>
      <c r="BR1388" s="1"/>
      <c r="BS1388" s="1" t="s">
        <v>9153</v>
      </c>
      <c r="BT1388" s="1" t="str">
        <f>HYPERLINK("https%3A%2F%2Fwww.webofscience.com%2Fwos%2Fwoscc%2Ffull-record%2FWOS:000541677300010","View Full Record in Web of Science")</f>
        <v>View Full Record in Web of Science</v>
      </c>
      <c r="BU1388" s="1"/>
      <c r="BV1388" s="1"/>
      <c r="BW1388" s="1"/>
    </row>
    <row r="1389" spans="1:75" customHeight="1" ht="12.75">
      <c r="A1389" s="1" t="s">
        <v>72</v>
      </c>
      <c r="B1389" s="1" t="s">
        <v>9154</v>
      </c>
      <c r="C1389" s="1"/>
      <c r="D1389" s="1"/>
      <c r="E1389" s="1"/>
      <c r="F1389" s="1" t="s">
        <v>9155</v>
      </c>
      <c r="G1389" s="1"/>
      <c r="H1389" s="1"/>
      <c r="I1389" s="1" t="s">
        <v>9156</v>
      </c>
      <c r="J1389" s="1" t="s">
        <v>9147</v>
      </c>
      <c r="K1389" s="1"/>
      <c r="L1389" s="1"/>
      <c r="M1389" s="1"/>
      <c r="N1389" s="1"/>
      <c r="O1389" s="1"/>
      <c r="P1389" s="1"/>
      <c r="Q1389" s="1"/>
      <c r="R1389" s="1"/>
      <c r="S1389" s="1"/>
      <c r="T1389" s="1"/>
      <c r="U1389" s="1"/>
      <c r="V1389" s="1"/>
      <c r="W1389" s="1"/>
      <c r="X1389" s="1"/>
      <c r="Y1389" s="1"/>
      <c r="Z1389" s="1"/>
      <c r="AA1389" s="1" t="s">
        <v>9157</v>
      </c>
      <c r="AB1389" s="1" t="s">
        <v>9158</v>
      </c>
      <c r="AC1389" s="1"/>
      <c r="AD1389" s="1"/>
      <c r="AE1389" s="1"/>
      <c r="AF1389" s="1"/>
      <c r="AG1389" s="1"/>
      <c r="AH1389" s="1"/>
      <c r="AI1389" s="1"/>
      <c r="AJ1389" s="1"/>
      <c r="AK1389" s="1"/>
      <c r="AL1389" s="1"/>
      <c r="AM1389" s="1"/>
      <c r="AN1389" s="1"/>
      <c r="AO1389" s="1" t="s">
        <v>9150</v>
      </c>
      <c r="AP1389" s="1" t="s">
        <v>9151</v>
      </c>
      <c r="AQ1389" s="1"/>
      <c r="AR1389" s="1"/>
      <c r="AS1389" s="1"/>
      <c r="AT1389" s="1" t="s">
        <v>88</v>
      </c>
      <c r="AU1389" s="1">
        <v>2020</v>
      </c>
      <c r="AV1389" s="1">
        <v>28</v>
      </c>
      <c r="AW1389" s="1">
        <v>3</v>
      </c>
      <c r="AX1389" s="1"/>
      <c r="AY1389" s="1"/>
      <c r="AZ1389" s="1"/>
      <c r="BA1389" s="1"/>
      <c r="BB1389" s="1">
        <v>332</v>
      </c>
      <c r="BC1389" s="1">
        <v>342</v>
      </c>
      <c r="BD1389" s="1"/>
      <c r="BE1389" s="1" t="s">
        <v>9159</v>
      </c>
      <c r="BF1389" s="1" t="str">
        <f>HYPERLINK("http://dx.doi.org/10.1002/erv.2728","http://dx.doi.org/10.1002/erv.2728")</f>
        <v>http://dx.doi.org/10.1002/erv.2728</v>
      </c>
      <c r="BG1389" s="1"/>
      <c r="BH1389" s="1"/>
      <c r="BI1389" s="1"/>
      <c r="BJ1389" s="1"/>
      <c r="BK1389" s="1"/>
      <c r="BL1389" s="1"/>
      <c r="BM1389" s="1"/>
      <c r="BN1389" s="1">
        <v>32153116</v>
      </c>
      <c r="BO1389" s="1"/>
      <c r="BP1389" s="1"/>
      <c r="BQ1389" s="1"/>
      <c r="BR1389" s="1"/>
      <c r="BS1389" s="1" t="s">
        <v>9160</v>
      </c>
      <c r="BT1389" s="1" t="str">
        <f>HYPERLINK("https%3A%2F%2Fwww.webofscience.com%2Fwos%2Fwoscc%2Ffull-record%2FWOS:000529065200009","View Full Record in Web of Science")</f>
        <v>View Full Record in Web of Science</v>
      </c>
      <c r="BU1389" s="1"/>
      <c r="BV1389" s="1"/>
      <c r="BW1389" s="1"/>
    </row>
    <row r="1390" spans="1:75" customHeight="1" ht="12.75">
      <c r="A1390" s="1" t="s">
        <v>231</v>
      </c>
      <c r="B1390" s="1" t="s">
        <v>9161</v>
      </c>
      <c r="C1390" s="1" t="s">
        <v>9162</v>
      </c>
      <c r="D1390" s="1"/>
      <c r="E1390" s="1"/>
      <c r="F1390" s="1" t="s">
        <v>9163</v>
      </c>
      <c r="G1390" s="1" t="s">
        <v>9162</v>
      </c>
      <c r="H1390" s="1"/>
      <c r="I1390" s="1" t="s">
        <v>9164</v>
      </c>
      <c r="J1390" s="1" t="s">
        <v>9165</v>
      </c>
      <c r="K1390" s="1"/>
      <c r="L1390" s="1"/>
      <c r="M1390" s="1"/>
      <c r="N1390" s="1"/>
      <c r="O1390" s="1"/>
      <c r="P1390" s="1"/>
      <c r="Q1390" s="1"/>
      <c r="R1390" s="1"/>
      <c r="S1390" s="1"/>
      <c r="T1390" s="1"/>
      <c r="U1390" s="1"/>
      <c r="V1390" s="1"/>
      <c r="W1390" s="1"/>
      <c r="X1390" s="1"/>
      <c r="Y1390" s="1"/>
      <c r="Z1390" s="1"/>
      <c r="AA1390" s="1" t="s">
        <v>9166</v>
      </c>
      <c r="AB1390" s="1" t="s">
        <v>9167</v>
      </c>
      <c r="AC1390" s="1"/>
      <c r="AD1390" s="1"/>
      <c r="AE1390" s="1"/>
      <c r="AF1390" s="1"/>
      <c r="AG1390" s="1"/>
      <c r="AH1390" s="1"/>
      <c r="AI1390" s="1"/>
      <c r="AJ1390" s="1"/>
      <c r="AK1390" s="1"/>
      <c r="AL1390" s="1"/>
      <c r="AM1390" s="1"/>
      <c r="AN1390" s="1"/>
      <c r="AO1390" s="1"/>
      <c r="AP1390" s="1"/>
      <c r="AQ1390" s="1" t="s">
        <v>9168</v>
      </c>
      <c r="AR1390" s="1"/>
      <c r="AS1390" s="1"/>
      <c r="AT1390" s="1"/>
      <c r="AU1390" s="1">
        <v>2019</v>
      </c>
      <c r="AV1390" s="1"/>
      <c r="AW1390" s="1"/>
      <c r="AX1390" s="1"/>
      <c r="AY1390" s="1"/>
      <c r="AZ1390" s="1"/>
      <c r="BA1390" s="1"/>
      <c r="BB1390" s="1">
        <v>195</v>
      </c>
      <c r="BC1390" s="1">
        <v>223</v>
      </c>
      <c r="BD1390" s="1"/>
      <c r="BE1390" s="1" t="s">
        <v>9169</v>
      </c>
      <c r="BF1390" s="1" t="str">
        <f>HYPERLINK("http://dx.doi.org/10.1108/978-1-78973-881-020191012","http://dx.doi.org/10.1108/978-1-78973-881-020191012")</f>
        <v>http://dx.doi.org/10.1108/978-1-78973-881-020191012</v>
      </c>
      <c r="BG1390" s="1" t="s">
        <v>9170</v>
      </c>
      <c r="BH1390" s="1"/>
      <c r="BI1390" s="1"/>
      <c r="BJ1390" s="1"/>
      <c r="BK1390" s="1"/>
      <c r="BL1390" s="1"/>
      <c r="BM1390" s="1"/>
      <c r="BN1390" s="1"/>
      <c r="BO1390" s="1"/>
      <c r="BP1390" s="1"/>
      <c r="BQ1390" s="1"/>
      <c r="BR1390" s="1"/>
      <c r="BS1390" s="1" t="s">
        <v>9171</v>
      </c>
      <c r="BT1390" s="1" t="str">
        <f>HYPERLINK("https%3A%2F%2Fwww.webofscience.com%2Fwos%2Fwoscc%2Ffull-record%2FWOS:000487529300011","View Full Record in Web of Science")</f>
        <v>View Full Record in Web of Science</v>
      </c>
      <c r="BU1390" s="1"/>
      <c r="BV1390" s="1"/>
      <c r="BW1390" s="1"/>
    </row>
    <row r="1391" spans="1:75" customHeight="1" ht="12.75">
      <c r="A1391" s="1" t="s">
        <v>72</v>
      </c>
      <c r="B1391" s="1" t="s">
        <v>9172</v>
      </c>
      <c r="C1391" s="1"/>
      <c r="D1391" s="1"/>
      <c r="E1391" s="1"/>
      <c r="F1391" s="1" t="s">
        <v>9173</v>
      </c>
      <c r="G1391" s="1"/>
      <c r="H1391" s="1"/>
      <c r="I1391" s="1" t="s">
        <v>9174</v>
      </c>
      <c r="J1391" s="1" t="s">
        <v>9007</v>
      </c>
      <c r="K1391" s="1"/>
      <c r="L1391" s="1"/>
      <c r="M1391" s="1"/>
      <c r="N1391" s="1"/>
      <c r="O1391" s="1"/>
      <c r="P1391" s="1"/>
      <c r="Q1391" s="1"/>
      <c r="R1391" s="1"/>
      <c r="S1391" s="1"/>
      <c r="T1391" s="1"/>
      <c r="U1391" s="1"/>
      <c r="V1391" s="1"/>
      <c r="W1391" s="1"/>
      <c r="X1391" s="1"/>
      <c r="Y1391" s="1"/>
      <c r="Z1391" s="1"/>
      <c r="AA1391" s="1" t="s">
        <v>9175</v>
      </c>
      <c r="AB1391" s="1" t="s">
        <v>9176</v>
      </c>
      <c r="AC1391" s="1"/>
      <c r="AD1391" s="1"/>
      <c r="AE1391" s="1"/>
      <c r="AF1391" s="1"/>
      <c r="AG1391" s="1"/>
      <c r="AH1391" s="1"/>
      <c r="AI1391" s="1"/>
      <c r="AJ1391" s="1"/>
      <c r="AK1391" s="1"/>
      <c r="AL1391" s="1"/>
      <c r="AM1391" s="1"/>
      <c r="AN1391" s="1"/>
      <c r="AO1391" s="1" t="s">
        <v>9010</v>
      </c>
      <c r="AP1391" s="1" t="s">
        <v>9011</v>
      </c>
      <c r="AQ1391" s="1"/>
      <c r="AR1391" s="1"/>
      <c r="AS1391" s="1"/>
      <c r="AT1391" s="1" t="s">
        <v>1167</v>
      </c>
      <c r="AU1391" s="1">
        <v>2021</v>
      </c>
      <c r="AV1391" s="1">
        <v>26</v>
      </c>
      <c r="AW1391" s="1">
        <v>7</v>
      </c>
      <c r="AX1391" s="1"/>
      <c r="AY1391" s="1"/>
      <c r="AZ1391" s="1"/>
      <c r="BA1391" s="1"/>
      <c r="BB1391" s="1">
        <v>2333</v>
      </c>
      <c r="BC1391" s="1">
        <v>2343</v>
      </c>
      <c r="BD1391" s="1"/>
      <c r="BE1391" s="1" t="s">
        <v>9177</v>
      </c>
      <c r="BF1391" s="1" t="str">
        <f>HYPERLINK("http://dx.doi.org/10.1007/s40519-020-01064-6","http://dx.doi.org/10.1007/s40519-020-01064-6")</f>
        <v>http://dx.doi.org/10.1007/s40519-020-01064-6</v>
      </c>
      <c r="BG1391" s="1"/>
      <c r="BH1391" s="1" t="s">
        <v>9178</v>
      </c>
      <c r="BI1391" s="1"/>
      <c r="BJ1391" s="1"/>
      <c r="BK1391" s="1"/>
      <c r="BL1391" s="1"/>
      <c r="BM1391" s="1"/>
      <c r="BN1391" s="1">
        <v>33389716</v>
      </c>
      <c r="BO1391" s="1"/>
      <c r="BP1391" s="1"/>
      <c r="BQ1391" s="1"/>
      <c r="BR1391" s="1"/>
      <c r="BS1391" s="1" t="s">
        <v>9179</v>
      </c>
      <c r="BT1391" s="1" t="str">
        <f>HYPERLINK("https%3A%2F%2Fwww.webofscience.com%2Fwos%2Fwoscc%2Ffull-record%2FWOS:000604484700009","View Full Record in Web of Science")</f>
        <v>View Full Record in Web of Science</v>
      </c>
      <c r="BU1391" s="1"/>
      <c r="BV1391" s="1"/>
      <c r="BW1391" s="1"/>
    </row>
    <row r="1392" spans="1:75" customHeight="1" ht="12.75">
      <c r="A1392" s="1" t="s">
        <v>72</v>
      </c>
      <c r="B1392" s="1" t="s">
        <v>9180</v>
      </c>
      <c r="C1392" s="1"/>
      <c r="D1392" s="1"/>
      <c r="E1392" s="1"/>
      <c r="F1392" s="1" t="s">
        <v>9181</v>
      </c>
      <c r="G1392" s="1"/>
      <c r="H1392" s="1"/>
      <c r="I1392" s="1" t="s">
        <v>9182</v>
      </c>
      <c r="J1392" s="1" t="s">
        <v>9183</v>
      </c>
      <c r="K1392" s="1"/>
      <c r="L1392" s="1"/>
      <c r="M1392" s="1"/>
      <c r="N1392" s="1"/>
      <c r="O1392" s="1"/>
      <c r="P1392" s="1"/>
      <c r="Q1392" s="1"/>
      <c r="R1392" s="1"/>
      <c r="S1392" s="1"/>
      <c r="T1392" s="1"/>
      <c r="U1392" s="1"/>
      <c r="V1392" s="1"/>
      <c r="W1392" s="1"/>
      <c r="X1392" s="1"/>
      <c r="Y1392" s="1"/>
      <c r="Z1392" s="1"/>
      <c r="AA1392" s="1" t="s">
        <v>9184</v>
      </c>
      <c r="AB1392" s="1" t="s">
        <v>9185</v>
      </c>
      <c r="AC1392" s="1"/>
      <c r="AD1392" s="1"/>
      <c r="AE1392" s="1"/>
      <c r="AF1392" s="1"/>
      <c r="AG1392" s="1"/>
      <c r="AH1392" s="1"/>
      <c r="AI1392" s="1"/>
      <c r="AJ1392" s="1"/>
      <c r="AK1392" s="1"/>
      <c r="AL1392" s="1"/>
      <c r="AM1392" s="1"/>
      <c r="AN1392" s="1"/>
      <c r="AO1392" s="1" t="s">
        <v>9186</v>
      </c>
      <c r="AP1392" s="1" t="s">
        <v>9187</v>
      </c>
      <c r="AQ1392" s="1"/>
      <c r="AR1392" s="1"/>
      <c r="AS1392" s="1"/>
      <c r="AT1392" s="1" t="s">
        <v>88</v>
      </c>
      <c r="AU1392" s="1">
        <v>2021</v>
      </c>
      <c r="AV1392" s="1">
        <v>42</v>
      </c>
      <c r="AW1392" s="1">
        <v>3</v>
      </c>
      <c r="AX1392" s="1"/>
      <c r="AY1392" s="1"/>
      <c r="AZ1392" s="1"/>
      <c r="BA1392" s="1"/>
      <c r="BB1392" s="1">
        <v>217</v>
      </c>
      <c r="BC1392" s="1">
        <v>224</v>
      </c>
      <c r="BD1392" s="1"/>
      <c r="BE1392" s="1" t="s">
        <v>9188</v>
      </c>
      <c r="BF1392" s="1" t="str">
        <f>HYPERLINK("http://dx.doi.org/10.3103/S1068366621030132","http://dx.doi.org/10.3103/S1068366621030132")</f>
        <v>http://dx.doi.org/10.3103/S1068366621030132</v>
      </c>
      <c r="BG1392" s="1"/>
      <c r="BH1392" s="1"/>
      <c r="BI1392" s="1"/>
      <c r="BJ1392" s="1"/>
      <c r="BK1392" s="1"/>
      <c r="BL1392" s="1"/>
      <c r="BM1392" s="1"/>
      <c r="BN1392" s="1"/>
      <c r="BO1392" s="1"/>
      <c r="BP1392" s="1"/>
      <c r="BQ1392" s="1"/>
      <c r="BR1392" s="1"/>
      <c r="BS1392" s="1" t="s">
        <v>9189</v>
      </c>
      <c r="BT1392" s="1" t="str">
        <f>HYPERLINK("https%3A%2F%2Fwww.webofscience.com%2Fwos%2Fwoscc%2Ffull-record%2FWOS:000712575600013","View Full Record in Web of Science")</f>
        <v>View Full Record in Web of Science</v>
      </c>
      <c r="BU1392" s="1"/>
      <c r="BV1392" s="1"/>
      <c r="BW1392" s="1"/>
    </row>
    <row r="1393" spans="1:75" customHeight="1" ht="12.75">
      <c r="A1393" s="1" t="s">
        <v>72</v>
      </c>
      <c r="B1393" s="1" t="s">
        <v>9190</v>
      </c>
      <c r="C1393" s="1"/>
      <c r="D1393" s="1"/>
      <c r="E1393" s="1"/>
      <c r="F1393" s="1" t="s">
        <v>9191</v>
      </c>
      <c r="G1393" s="1"/>
      <c r="H1393" s="1"/>
      <c r="I1393" s="1" t="s">
        <v>9192</v>
      </c>
      <c r="J1393" s="1" t="s">
        <v>594</v>
      </c>
      <c r="K1393" s="1"/>
      <c r="L1393" s="1"/>
      <c r="M1393" s="1"/>
      <c r="N1393" s="1"/>
      <c r="O1393" s="1"/>
      <c r="P1393" s="1"/>
      <c r="Q1393" s="1"/>
      <c r="R1393" s="1"/>
      <c r="S1393" s="1"/>
      <c r="T1393" s="1"/>
      <c r="U1393" s="1"/>
      <c r="V1393" s="1"/>
      <c r="W1393" s="1"/>
      <c r="X1393" s="1"/>
      <c r="Y1393" s="1"/>
      <c r="Z1393" s="1"/>
      <c r="AA1393" s="1" t="s">
        <v>9193</v>
      </c>
      <c r="AB1393" s="1" t="s">
        <v>8941</v>
      </c>
      <c r="AC1393" s="1"/>
      <c r="AD1393" s="1"/>
      <c r="AE1393" s="1"/>
      <c r="AF1393" s="1"/>
      <c r="AG1393" s="1"/>
      <c r="AH1393" s="1"/>
      <c r="AI1393" s="1"/>
      <c r="AJ1393" s="1"/>
      <c r="AK1393" s="1"/>
      <c r="AL1393" s="1"/>
      <c r="AM1393" s="1"/>
      <c r="AN1393" s="1"/>
      <c r="AO1393" s="1" t="s">
        <v>597</v>
      </c>
      <c r="AP1393" s="1"/>
      <c r="AQ1393" s="1"/>
      <c r="AR1393" s="1"/>
      <c r="AS1393" s="1"/>
      <c r="AT1393" s="1" t="s">
        <v>88</v>
      </c>
      <c r="AU1393" s="1">
        <v>2018</v>
      </c>
      <c r="AV1393" s="1">
        <v>8</v>
      </c>
      <c r="AW1393" s="1">
        <v>5</v>
      </c>
      <c r="AX1393" s="1"/>
      <c r="AY1393" s="1"/>
      <c r="AZ1393" s="1"/>
      <c r="BA1393" s="1"/>
      <c r="BB1393" s="1">
        <v>380</v>
      </c>
      <c r="BC1393" s="1">
        <v>393</v>
      </c>
      <c r="BD1393" s="1"/>
      <c r="BE1393" s="1"/>
      <c r="BF1393" s="1"/>
      <c r="BG1393" s="1"/>
      <c r="BH1393" s="1"/>
      <c r="BI1393" s="1"/>
      <c r="BJ1393" s="1"/>
      <c r="BK1393" s="1"/>
      <c r="BL1393" s="1"/>
      <c r="BM1393" s="1"/>
      <c r="BN1393" s="1"/>
      <c r="BO1393" s="1"/>
      <c r="BP1393" s="1"/>
      <c r="BQ1393" s="1"/>
      <c r="BR1393" s="1"/>
      <c r="BS1393" s="1" t="s">
        <v>9194</v>
      </c>
      <c r="BT1393" s="1" t="str">
        <f>HYPERLINK("https%3A%2F%2Fwww.webofscience.com%2Fwos%2Fwoscc%2Ffull-record%2FWOS:000432679600026","View Full Record in Web of Science")</f>
        <v>View Full Record in Web of Science</v>
      </c>
      <c r="BU1393" s="1"/>
      <c r="BV1393" s="1"/>
      <c r="BW1393" s="1"/>
    </row>
    <row r="1394" spans="1:75" customHeight="1" ht="12.75">
      <c r="A1394" s="1" t="s">
        <v>72</v>
      </c>
      <c r="B1394" s="1" t="s">
        <v>9195</v>
      </c>
      <c r="C1394" s="1"/>
      <c r="D1394" s="1"/>
      <c r="E1394" s="1"/>
      <c r="F1394" s="1" t="s">
        <v>9196</v>
      </c>
      <c r="G1394" s="1"/>
      <c r="H1394" s="1"/>
      <c r="I1394" s="1" t="s">
        <v>9197</v>
      </c>
      <c r="J1394" s="1" t="s">
        <v>9198</v>
      </c>
      <c r="K1394" s="1"/>
      <c r="L1394" s="1"/>
      <c r="M1394" s="1"/>
      <c r="N1394" s="1"/>
      <c r="O1394" s="1"/>
      <c r="P1394" s="1"/>
      <c r="Q1394" s="1"/>
      <c r="R1394" s="1"/>
      <c r="S1394" s="1"/>
      <c r="T1394" s="1"/>
      <c r="U1394" s="1"/>
      <c r="V1394" s="1"/>
      <c r="W1394" s="1"/>
      <c r="X1394" s="1"/>
      <c r="Y1394" s="1"/>
      <c r="Z1394" s="1"/>
      <c r="AA1394" s="1" t="s">
        <v>9199</v>
      </c>
      <c r="AB1394" s="1" t="s">
        <v>9075</v>
      </c>
      <c r="AC1394" s="1"/>
      <c r="AD1394" s="1"/>
      <c r="AE1394" s="1"/>
      <c r="AF1394" s="1"/>
      <c r="AG1394" s="1"/>
      <c r="AH1394" s="1"/>
      <c r="AI1394" s="1"/>
      <c r="AJ1394" s="1"/>
      <c r="AK1394" s="1"/>
      <c r="AL1394" s="1"/>
      <c r="AM1394" s="1"/>
      <c r="AN1394" s="1"/>
      <c r="AO1394" s="1"/>
      <c r="AP1394" s="1" t="s">
        <v>9200</v>
      </c>
      <c r="AQ1394" s="1"/>
      <c r="AR1394" s="1"/>
      <c r="AS1394" s="1"/>
      <c r="AT1394" s="1" t="s">
        <v>1173</v>
      </c>
      <c r="AU1394" s="1">
        <v>2022</v>
      </c>
      <c r="AV1394" s="1">
        <v>27</v>
      </c>
      <c r="AW1394" s="1">
        <v>15</v>
      </c>
      <c r="AX1394" s="1"/>
      <c r="AY1394" s="1"/>
      <c r="AZ1394" s="1"/>
      <c r="BA1394" s="1"/>
      <c r="BB1394" s="1"/>
      <c r="BC1394" s="1"/>
      <c r="BD1394" s="1">
        <v>4812</v>
      </c>
      <c r="BE1394" s="1" t="s">
        <v>9201</v>
      </c>
      <c r="BF1394" s="1" t="str">
        <f>HYPERLINK("http://dx.doi.org/10.3390/molecules27154812","http://dx.doi.org/10.3390/molecules27154812")</f>
        <v>http://dx.doi.org/10.3390/molecules27154812</v>
      </c>
      <c r="BG1394" s="1"/>
      <c r="BH1394" s="1"/>
      <c r="BI1394" s="1"/>
      <c r="BJ1394" s="1"/>
      <c r="BK1394" s="1"/>
      <c r="BL1394" s="1"/>
      <c r="BM1394" s="1"/>
      <c r="BN1394" s="1">
        <v>35956763</v>
      </c>
      <c r="BO1394" s="1"/>
      <c r="BP1394" s="1"/>
      <c r="BQ1394" s="1"/>
      <c r="BR1394" s="1"/>
      <c r="BS1394" s="1" t="s">
        <v>9202</v>
      </c>
      <c r="BT1394" s="1" t="str">
        <f>HYPERLINK("https%3A%2F%2Fwww.webofscience.com%2Fwos%2Fwoscc%2Ffull-record%2FWOS:000839796000001","View Full Record in Web of Science")</f>
        <v>View Full Record in Web of Science</v>
      </c>
      <c r="BU1394" s="1"/>
      <c r="BV1394" s="1"/>
      <c r="BW1394" s="1"/>
    </row>
    <row r="1395" spans="1:75" customHeight="1" ht="12.75">
      <c r="A1395" s="1" t="s">
        <v>72</v>
      </c>
      <c r="B1395" s="1" t="s">
        <v>9203</v>
      </c>
      <c r="C1395" s="1"/>
      <c r="D1395" s="1"/>
      <c r="E1395" s="1"/>
      <c r="F1395" s="1" t="s">
        <v>9204</v>
      </c>
      <c r="G1395" s="1"/>
      <c r="H1395" s="1"/>
      <c r="I1395" s="1" t="s">
        <v>9205</v>
      </c>
      <c r="J1395" s="1" t="s">
        <v>9206</v>
      </c>
      <c r="K1395" s="1"/>
      <c r="L1395" s="1"/>
      <c r="M1395" s="1"/>
      <c r="N1395" s="1"/>
      <c r="O1395" s="1"/>
      <c r="P1395" s="1"/>
      <c r="Q1395" s="1"/>
      <c r="R1395" s="1"/>
      <c r="S1395" s="1"/>
      <c r="T1395" s="1"/>
      <c r="U1395" s="1"/>
      <c r="V1395" s="1"/>
      <c r="W1395" s="1"/>
      <c r="X1395" s="1"/>
      <c r="Y1395" s="1"/>
      <c r="Z1395" s="1"/>
      <c r="AA1395" s="1" t="s">
        <v>9207</v>
      </c>
      <c r="AB1395" s="1" t="s">
        <v>9208</v>
      </c>
      <c r="AC1395" s="1"/>
      <c r="AD1395" s="1"/>
      <c r="AE1395" s="1"/>
      <c r="AF1395" s="1"/>
      <c r="AG1395" s="1"/>
      <c r="AH1395" s="1"/>
      <c r="AI1395" s="1"/>
      <c r="AJ1395" s="1"/>
      <c r="AK1395" s="1"/>
      <c r="AL1395" s="1"/>
      <c r="AM1395" s="1"/>
      <c r="AN1395" s="1"/>
      <c r="AO1395" s="1" t="s">
        <v>9209</v>
      </c>
      <c r="AP1395" s="1" t="s">
        <v>9210</v>
      </c>
      <c r="AQ1395" s="1"/>
      <c r="AR1395" s="1"/>
      <c r="AS1395" s="1"/>
      <c r="AT1395" s="1" t="s">
        <v>171</v>
      </c>
      <c r="AU1395" s="1">
        <v>2018</v>
      </c>
      <c r="AV1395" s="1">
        <v>13</v>
      </c>
      <c r="AW1395" s="1" t="s">
        <v>1639</v>
      </c>
      <c r="AX1395" s="1"/>
      <c r="AY1395" s="1"/>
      <c r="AZ1395" s="1"/>
      <c r="BA1395" s="1"/>
      <c r="BB1395" s="1">
        <v>195</v>
      </c>
      <c r="BC1395" s="1">
        <v>198</v>
      </c>
      <c r="BD1395" s="1"/>
      <c r="BE1395" s="1" t="s">
        <v>9211</v>
      </c>
      <c r="BF1395" s="1" t="str">
        <f>HYPERLINK("http://dx.doi.org/10.1134/S1995078018020040","http://dx.doi.org/10.1134/S1995078018020040")</f>
        <v>http://dx.doi.org/10.1134/S1995078018020040</v>
      </c>
      <c r="BG1395" s="1"/>
      <c r="BH1395" s="1"/>
      <c r="BI1395" s="1"/>
      <c r="BJ1395" s="1"/>
      <c r="BK1395" s="1"/>
      <c r="BL1395" s="1"/>
      <c r="BM1395" s="1"/>
      <c r="BN1395" s="1"/>
      <c r="BO1395" s="1"/>
      <c r="BP1395" s="1"/>
      <c r="BQ1395" s="1"/>
      <c r="BR1395" s="1"/>
      <c r="BS1395" s="1" t="s">
        <v>9212</v>
      </c>
      <c r="BT1395" s="1" t="str">
        <f>HYPERLINK("https%3A%2F%2Fwww.webofscience.com%2Fwos%2Fwoscc%2Ffull-record%2FWOS:000446030400015","View Full Record in Web of Science")</f>
        <v>View Full Record in Web of Science</v>
      </c>
      <c r="BU1395" s="1"/>
      <c r="BV1395" s="1"/>
      <c r="BW1395" s="1"/>
    </row>
    <row r="1396" spans="1:75" customHeight="1" ht="12.75">
      <c r="A1396" s="1" t="s">
        <v>72</v>
      </c>
      <c r="B1396" s="1" t="s">
        <v>9213</v>
      </c>
      <c r="C1396" s="1"/>
      <c r="D1396" s="1"/>
      <c r="E1396" s="1"/>
      <c r="F1396" s="1" t="s">
        <v>9214</v>
      </c>
      <c r="G1396" s="1"/>
      <c r="H1396" s="1"/>
      <c r="I1396" s="1" t="s">
        <v>9215</v>
      </c>
      <c r="J1396" s="1" t="s">
        <v>8822</v>
      </c>
      <c r="K1396" s="1"/>
      <c r="L1396" s="1"/>
      <c r="M1396" s="1"/>
      <c r="N1396" s="1"/>
      <c r="O1396" s="1"/>
      <c r="P1396" s="1"/>
      <c r="Q1396" s="1"/>
      <c r="R1396" s="1"/>
      <c r="S1396" s="1"/>
      <c r="T1396" s="1"/>
      <c r="U1396" s="1"/>
      <c r="V1396" s="1"/>
      <c r="W1396" s="1"/>
      <c r="X1396" s="1"/>
      <c r="Y1396" s="1"/>
      <c r="Z1396" s="1"/>
      <c r="AA1396" s="1" t="s">
        <v>9216</v>
      </c>
      <c r="AB1396" s="1" t="s">
        <v>9217</v>
      </c>
      <c r="AC1396" s="1"/>
      <c r="AD1396" s="1"/>
      <c r="AE1396" s="1"/>
      <c r="AF1396" s="1"/>
      <c r="AG1396" s="1"/>
      <c r="AH1396" s="1"/>
      <c r="AI1396" s="1"/>
      <c r="AJ1396" s="1"/>
      <c r="AK1396" s="1"/>
      <c r="AL1396" s="1"/>
      <c r="AM1396" s="1"/>
      <c r="AN1396" s="1"/>
      <c r="AO1396" s="1" t="s">
        <v>8825</v>
      </c>
      <c r="AP1396" s="1" t="s">
        <v>8826</v>
      </c>
      <c r="AQ1396" s="1"/>
      <c r="AR1396" s="1"/>
      <c r="AS1396" s="1"/>
      <c r="AT1396" s="1" t="s">
        <v>7253</v>
      </c>
      <c r="AU1396" s="1">
        <v>2022</v>
      </c>
      <c r="AV1396" s="1">
        <v>48</v>
      </c>
      <c r="AW1396" s="1">
        <v>23</v>
      </c>
      <c r="AX1396" s="1" t="s">
        <v>9218</v>
      </c>
      <c r="AY1396" s="1"/>
      <c r="AZ1396" s="1"/>
      <c r="BA1396" s="1"/>
      <c r="BB1396" s="1">
        <v>35166</v>
      </c>
      <c r="BC1396" s="1">
        <v>35175</v>
      </c>
      <c r="BD1396" s="1"/>
      <c r="BE1396" s="1" t="s">
        <v>9219</v>
      </c>
      <c r="BF1396" s="1" t="str">
        <f>HYPERLINK("http://dx.doi.org/10.1016/j.ceramint.2022.08.115","http://dx.doi.org/10.1016/j.ceramint.2022.08.115")</f>
        <v>http://dx.doi.org/10.1016/j.ceramint.2022.08.115</v>
      </c>
      <c r="BG1396" s="1"/>
      <c r="BH1396" s="1" t="s">
        <v>7529</v>
      </c>
      <c r="BI1396" s="1"/>
      <c r="BJ1396" s="1"/>
      <c r="BK1396" s="1"/>
      <c r="BL1396" s="1"/>
      <c r="BM1396" s="1"/>
      <c r="BN1396" s="1"/>
      <c r="BO1396" s="1"/>
      <c r="BP1396" s="1"/>
      <c r="BQ1396" s="1"/>
      <c r="BR1396" s="1"/>
      <c r="BS1396" s="1" t="s">
        <v>9220</v>
      </c>
      <c r="BT1396" s="1" t="str">
        <f>HYPERLINK("https%3A%2F%2Fwww.webofscience.com%2Fwos%2Fwoscc%2Ffull-record%2FWOS:000894019500001","View Full Record in Web of Science")</f>
        <v>View Full Record in Web of Science</v>
      </c>
      <c r="BU1396" s="1"/>
      <c r="BV1396" s="1"/>
      <c r="BW1396" s="1"/>
    </row>
    <row r="1397" spans="1:75" customHeight="1" ht="12.75">
      <c r="A1397" s="1" t="s">
        <v>72</v>
      </c>
      <c r="B1397" s="1" t="s">
        <v>9221</v>
      </c>
      <c r="C1397" s="1"/>
      <c r="D1397" s="1"/>
      <c r="E1397" s="1"/>
      <c r="F1397" s="1" t="s">
        <v>9222</v>
      </c>
      <c r="G1397" s="1"/>
      <c r="H1397" s="1"/>
      <c r="I1397" s="1" t="s">
        <v>9223</v>
      </c>
      <c r="J1397" s="1" t="s">
        <v>9116</v>
      </c>
      <c r="K1397" s="1"/>
      <c r="L1397" s="1"/>
      <c r="M1397" s="1"/>
      <c r="N1397" s="1"/>
      <c r="O1397" s="1"/>
      <c r="P1397" s="1"/>
      <c r="Q1397" s="1"/>
      <c r="R1397" s="1"/>
      <c r="S1397" s="1"/>
      <c r="T1397" s="1"/>
      <c r="U1397" s="1"/>
      <c r="V1397" s="1"/>
      <c r="W1397" s="1"/>
      <c r="X1397" s="1"/>
      <c r="Y1397" s="1"/>
      <c r="Z1397" s="1"/>
      <c r="AA1397" s="1" t="s">
        <v>9224</v>
      </c>
      <c r="AB1397" s="1" t="s">
        <v>9225</v>
      </c>
      <c r="AC1397" s="1"/>
      <c r="AD1397" s="1"/>
      <c r="AE1397" s="1"/>
      <c r="AF1397" s="1"/>
      <c r="AG1397" s="1"/>
      <c r="AH1397" s="1"/>
      <c r="AI1397" s="1"/>
      <c r="AJ1397" s="1"/>
      <c r="AK1397" s="1"/>
      <c r="AL1397" s="1"/>
      <c r="AM1397" s="1"/>
      <c r="AN1397" s="1"/>
      <c r="AO1397" s="1" t="s">
        <v>9117</v>
      </c>
      <c r="AP1397" s="1"/>
      <c r="AQ1397" s="1"/>
      <c r="AR1397" s="1"/>
      <c r="AS1397" s="1"/>
      <c r="AT1397" s="1" t="s">
        <v>88</v>
      </c>
      <c r="AU1397" s="1">
        <v>2022</v>
      </c>
      <c r="AV1397" s="1">
        <v>17</v>
      </c>
      <c r="AW1397" s="1">
        <v>2</v>
      </c>
      <c r="AX1397" s="1"/>
      <c r="AY1397" s="1"/>
      <c r="AZ1397" s="1"/>
      <c r="BA1397" s="1"/>
      <c r="BB1397" s="1">
        <v>3025</v>
      </c>
      <c r="BC1397" s="1">
        <v>3041</v>
      </c>
      <c r="BD1397" s="1"/>
      <c r="BE1397" s="1" t="s">
        <v>9226</v>
      </c>
      <c r="BF1397" s="1" t="str">
        <f>HYPERLINK("http://dx.doi.org/10.15376/biores.17.2.3025-3041","http://dx.doi.org/10.15376/biores.17.2.3025-3041")</f>
        <v>http://dx.doi.org/10.15376/biores.17.2.3025-3041</v>
      </c>
      <c r="BG1397" s="1"/>
      <c r="BH1397" s="1"/>
      <c r="BI1397" s="1"/>
      <c r="BJ1397" s="1"/>
      <c r="BK1397" s="1"/>
      <c r="BL1397" s="1"/>
      <c r="BM1397" s="1"/>
      <c r="BN1397" s="1"/>
      <c r="BO1397" s="1"/>
      <c r="BP1397" s="1"/>
      <c r="BQ1397" s="1"/>
      <c r="BR1397" s="1"/>
      <c r="BS1397" s="1" t="s">
        <v>9227</v>
      </c>
      <c r="BT1397" s="1" t="str">
        <f>HYPERLINK("https%3A%2F%2Fwww.webofscience.com%2Fwos%2Fwoscc%2Ffull-record%2FWOS:000795947000024","View Full Record in Web of Science")</f>
        <v>View Full Record in Web of Science</v>
      </c>
      <c r="BU1397" s="1"/>
      <c r="BV1397" s="1"/>
      <c r="BW1397" s="1"/>
    </row>
    <row r="1398" spans="1:75" customHeight="1" ht="12.75">
      <c r="A1398" s="1" t="s">
        <v>72</v>
      </c>
      <c r="B1398" s="1" t="s">
        <v>9228</v>
      </c>
      <c r="C1398" s="1"/>
      <c r="D1398" s="1"/>
      <c r="E1398" s="1"/>
      <c r="F1398" s="1" t="s">
        <v>9229</v>
      </c>
      <c r="G1398" s="1"/>
      <c r="H1398" s="1"/>
      <c r="I1398" s="1" t="s">
        <v>9230</v>
      </c>
      <c r="J1398" s="1" t="s">
        <v>594</v>
      </c>
      <c r="K1398" s="1"/>
      <c r="L1398" s="1"/>
      <c r="M1398" s="1"/>
      <c r="N1398" s="1"/>
      <c r="O1398" s="1"/>
      <c r="P1398" s="1"/>
      <c r="Q1398" s="1"/>
      <c r="R1398" s="1"/>
      <c r="S1398" s="1"/>
      <c r="T1398" s="1"/>
      <c r="U1398" s="1"/>
      <c r="V1398" s="1"/>
      <c r="W1398" s="1"/>
      <c r="X1398" s="1"/>
      <c r="Y1398" s="1"/>
      <c r="Z1398" s="1"/>
      <c r="AA1398" s="1" t="s">
        <v>9231</v>
      </c>
      <c r="AB1398" s="1"/>
      <c r="AC1398" s="1"/>
      <c r="AD1398" s="1"/>
      <c r="AE1398" s="1"/>
      <c r="AF1398" s="1"/>
      <c r="AG1398" s="1"/>
      <c r="AH1398" s="1"/>
      <c r="AI1398" s="1"/>
      <c r="AJ1398" s="1"/>
      <c r="AK1398" s="1"/>
      <c r="AL1398" s="1"/>
      <c r="AM1398" s="1"/>
      <c r="AN1398" s="1"/>
      <c r="AO1398" s="1"/>
      <c r="AP1398" s="1" t="s">
        <v>597</v>
      </c>
      <c r="AQ1398" s="1"/>
      <c r="AR1398" s="1"/>
      <c r="AS1398" s="1"/>
      <c r="AT1398" s="1" t="s">
        <v>491</v>
      </c>
      <c r="AU1398" s="1">
        <v>2018</v>
      </c>
      <c r="AV1398" s="1">
        <v>8</v>
      </c>
      <c r="AW1398" s="1">
        <v>6</v>
      </c>
      <c r="AX1398" s="1"/>
      <c r="AY1398" s="1"/>
      <c r="AZ1398" s="1"/>
      <c r="BA1398" s="1"/>
      <c r="BB1398" s="1">
        <v>383</v>
      </c>
      <c r="BC1398" s="1">
        <v>394</v>
      </c>
      <c r="BD1398" s="1"/>
      <c r="BE1398" s="1"/>
      <c r="BF1398" s="1"/>
      <c r="BG1398" s="1"/>
      <c r="BH1398" s="1"/>
      <c r="BI1398" s="1"/>
      <c r="BJ1398" s="1"/>
      <c r="BK1398" s="1"/>
      <c r="BL1398" s="1"/>
      <c r="BM1398" s="1"/>
      <c r="BN1398" s="1"/>
      <c r="BO1398" s="1"/>
      <c r="BP1398" s="1"/>
      <c r="BQ1398" s="1"/>
      <c r="BR1398" s="1"/>
      <c r="BS1398" s="1" t="s">
        <v>9232</v>
      </c>
      <c r="BT1398" s="1" t="str">
        <f>HYPERLINK("https%3A%2F%2Fwww.webofscience.com%2Fwos%2Fwoscc%2Ffull-record%2FWOS:000443674500040","View Full Record in Web of Science")</f>
        <v>View Full Record in Web of Science</v>
      </c>
      <c r="BU1398" s="1"/>
      <c r="BV1398" s="1"/>
      <c r="BW1398" s="1"/>
    </row>
    <row r="1399" spans="1:75" customHeight="1" ht="12.75">
      <c r="A1399" s="1" t="s">
        <v>72</v>
      </c>
      <c r="B1399" s="1" t="s">
        <v>9233</v>
      </c>
      <c r="C1399" s="1"/>
      <c r="D1399" s="1"/>
      <c r="E1399" s="1"/>
      <c r="F1399" s="1" t="s">
        <v>9234</v>
      </c>
      <c r="G1399" s="1"/>
      <c r="H1399" s="1"/>
      <c r="I1399" s="1" t="s">
        <v>9235</v>
      </c>
      <c r="J1399" s="1" t="s">
        <v>5139</v>
      </c>
      <c r="K1399" s="1"/>
      <c r="L1399" s="1"/>
      <c r="M1399" s="1"/>
      <c r="N1399" s="1"/>
      <c r="O1399" s="1"/>
      <c r="P1399" s="1"/>
      <c r="Q1399" s="1"/>
      <c r="R1399" s="1"/>
      <c r="S1399" s="1"/>
      <c r="T1399" s="1"/>
      <c r="U1399" s="1"/>
      <c r="V1399" s="1"/>
      <c r="W1399" s="1"/>
      <c r="X1399" s="1"/>
      <c r="Y1399" s="1"/>
      <c r="Z1399" s="1"/>
      <c r="AA1399" s="1" t="s">
        <v>9236</v>
      </c>
      <c r="AB1399" s="1" t="s">
        <v>9237</v>
      </c>
      <c r="AC1399" s="1"/>
      <c r="AD1399" s="1"/>
      <c r="AE1399" s="1"/>
      <c r="AF1399" s="1"/>
      <c r="AG1399" s="1"/>
      <c r="AH1399" s="1"/>
      <c r="AI1399" s="1"/>
      <c r="AJ1399" s="1"/>
      <c r="AK1399" s="1"/>
      <c r="AL1399" s="1"/>
      <c r="AM1399" s="1"/>
      <c r="AN1399" s="1"/>
      <c r="AO1399" s="1" t="s">
        <v>5142</v>
      </c>
      <c r="AP1399" s="1" t="s">
        <v>5143</v>
      </c>
      <c r="AQ1399" s="1"/>
      <c r="AR1399" s="1"/>
      <c r="AS1399" s="1"/>
      <c r="AT1399" s="1" t="s">
        <v>1173</v>
      </c>
      <c r="AU1399" s="1">
        <v>2017</v>
      </c>
      <c r="AV1399" s="1">
        <v>13</v>
      </c>
      <c r="AW1399" s="1">
        <v>8</v>
      </c>
      <c r="AX1399" s="1"/>
      <c r="AY1399" s="1"/>
      <c r="AZ1399" s="1"/>
      <c r="BA1399" s="1"/>
      <c r="BB1399" s="1">
        <v>5281</v>
      </c>
      <c r="BC1399" s="1">
        <v>5293</v>
      </c>
      <c r="BD1399" s="1"/>
      <c r="BE1399" s="1" t="s">
        <v>9238</v>
      </c>
      <c r="BF1399" s="1" t="str">
        <f>HYPERLINK("http://dx.doi.org/10.12973/eurasia.2017.01003a","http://dx.doi.org/10.12973/eurasia.2017.01003a")</f>
        <v>http://dx.doi.org/10.12973/eurasia.2017.01003a</v>
      </c>
      <c r="BG1399" s="1"/>
      <c r="BH1399" s="1"/>
      <c r="BI1399" s="1"/>
      <c r="BJ1399" s="1"/>
      <c r="BK1399" s="1"/>
      <c r="BL1399" s="1"/>
      <c r="BM1399" s="1"/>
      <c r="BN1399" s="1"/>
      <c r="BO1399" s="1"/>
      <c r="BP1399" s="1"/>
      <c r="BQ1399" s="1"/>
      <c r="BR1399" s="1"/>
      <c r="BS1399" s="1" t="s">
        <v>9239</v>
      </c>
      <c r="BT1399" s="1" t="str">
        <f>HYPERLINK("https%3A%2F%2Fwww.webofscience.com%2Fwos%2Fwoscc%2Ffull-record%2FWOS:000409067500069","View Full Record in Web of Science")</f>
        <v>View Full Record in Web of Science</v>
      </c>
      <c r="BU1399" s="1"/>
      <c r="BV1399" s="1"/>
      <c r="BW1399" s="1"/>
    </row>
    <row r="1400" spans="1:75" customHeight="1" ht="12.75">
      <c r="A1400" s="1" t="s">
        <v>72</v>
      </c>
      <c r="B1400" s="1" t="s">
        <v>9240</v>
      </c>
      <c r="C1400" s="1"/>
      <c r="D1400" s="1"/>
      <c r="E1400" s="1"/>
      <c r="F1400" s="1" t="s">
        <v>9241</v>
      </c>
      <c r="G1400" s="1"/>
      <c r="H1400" s="1"/>
      <c r="I1400" s="1" t="s">
        <v>9242</v>
      </c>
      <c r="J1400" s="1" t="s">
        <v>9243</v>
      </c>
      <c r="K1400" s="1"/>
      <c r="L1400" s="1"/>
      <c r="M1400" s="1"/>
      <c r="N1400" s="1"/>
      <c r="O1400" s="1"/>
      <c r="P1400" s="1"/>
      <c r="Q1400" s="1"/>
      <c r="R1400" s="1"/>
      <c r="S1400" s="1"/>
      <c r="T1400" s="1"/>
      <c r="U1400" s="1"/>
      <c r="V1400" s="1"/>
      <c r="W1400" s="1"/>
      <c r="X1400" s="1"/>
      <c r="Y1400" s="1"/>
      <c r="Z1400" s="1"/>
      <c r="AA1400" s="1" t="s">
        <v>9244</v>
      </c>
      <c r="AB1400" s="1" t="s">
        <v>9245</v>
      </c>
      <c r="AC1400" s="1"/>
      <c r="AD1400" s="1"/>
      <c r="AE1400" s="1"/>
      <c r="AF1400" s="1"/>
      <c r="AG1400" s="1"/>
      <c r="AH1400" s="1"/>
      <c r="AI1400" s="1"/>
      <c r="AJ1400" s="1"/>
      <c r="AK1400" s="1"/>
      <c r="AL1400" s="1"/>
      <c r="AM1400" s="1"/>
      <c r="AN1400" s="1"/>
      <c r="AO1400" s="1" t="s">
        <v>9246</v>
      </c>
      <c r="AP1400" s="1" t="s">
        <v>9247</v>
      </c>
      <c r="AQ1400" s="1"/>
      <c r="AR1400" s="1"/>
      <c r="AS1400" s="1"/>
      <c r="AT1400" s="1" t="s">
        <v>403</v>
      </c>
      <c r="AU1400" s="1">
        <v>2021</v>
      </c>
      <c r="AV1400" s="1">
        <v>24</v>
      </c>
      <c r="AW1400" s="1">
        <v>18</v>
      </c>
      <c r="AX1400" s="1"/>
      <c r="AY1400" s="1"/>
      <c r="AZ1400" s="1"/>
      <c r="BA1400" s="1"/>
      <c r="BB1400" s="1">
        <v>6027</v>
      </c>
      <c r="BC1400" s="1">
        <v>6033</v>
      </c>
      <c r="BD1400" s="1"/>
      <c r="BE1400" s="1" t="s">
        <v>9248</v>
      </c>
      <c r="BF1400" s="1" t="str">
        <f>HYPERLINK("http://dx.doi.org/10.1017/S1368980021002160","http://dx.doi.org/10.1017/S1368980021002160")</f>
        <v>http://dx.doi.org/10.1017/S1368980021002160</v>
      </c>
      <c r="BG1400" s="1"/>
      <c r="BH1400" s="1"/>
      <c r="BI1400" s="1"/>
      <c r="BJ1400" s="1"/>
      <c r="BK1400" s="1"/>
      <c r="BL1400" s="1"/>
      <c r="BM1400" s="1"/>
      <c r="BN1400" s="1">
        <v>34034842</v>
      </c>
      <c r="BO1400" s="1"/>
      <c r="BP1400" s="1"/>
      <c r="BQ1400" s="1"/>
      <c r="BR1400" s="1"/>
      <c r="BS1400" s="1" t="s">
        <v>9249</v>
      </c>
      <c r="BT1400" s="1" t="str">
        <f>HYPERLINK("https%3A%2F%2Fwww.webofscience.com%2Fwos%2Fwoscc%2Ffull-record%2FWOS:000721004700008","View Full Record in Web of Science")</f>
        <v>View Full Record in Web of Science</v>
      </c>
      <c r="BU1400" s="1"/>
      <c r="BV1400" s="1"/>
      <c r="BW1400" s="1"/>
    </row>
    <row r="1401" spans="1:75" customHeight="1" ht="12.75">
      <c r="A1401" s="1" t="s">
        <v>72</v>
      </c>
      <c r="B1401" s="1" t="s">
        <v>9250</v>
      </c>
      <c r="C1401" s="1"/>
      <c r="D1401" s="1"/>
      <c r="E1401" s="1"/>
      <c r="F1401" s="1" t="s">
        <v>9251</v>
      </c>
      <c r="G1401" s="1"/>
      <c r="H1401" s="1"/>
      <c r="I1401" s="1" t="s">
        <v>9252</v>
      </c>
      <c r="J1401" s="1" t="s">
        <v>594</v>
      </c>
      <c r="K1401" s="1"/>
      <c r="L1401" s="1"/>
      <c r="M1401" s="1"/>
      <c r="N1401" s="1"/>
      <c r="O1401" s="1"/>
      <c r="P1401" s="1"/>
      <c r="Q1401" s="1"/>
      <c r="R1401" s="1"/>
      <c r="S1401" s="1"/>
      <c r="T1401" s="1"/>
      <c r="U1401" s="1"/>
      <c r="V1401" s="1"/>
      <c r="W1401" s="1"/>
      <c r="X1401" s="1"/>
      <c r="Y1401" s="1"/>
      <c r="Z1401" s="1"/>
      <c r="AA1401" s="1" t="s">
        <v>9253</v>
      </c>
      <c r="AB1401" s="1" t="s">
        <v>9254</v>
      </c>
      <c r="AC1401" s="1"/>
      <c r="AD1401" s="1"/>
      <c r="AE1401" s="1"/>
      <c r="AF1401" s="1"/>
      <c r="AG1401" s="1"/>
      <c r="AH1401" s="1"/>
      <c r="AI1401" s="1"/>
      <c r="AJ1401" s="1"/>
      <c r="AK1401" s="1"/>
      <c r="AL1401" s="1"/>
      <c r="AM1401" s="1"/>
      <c r="AN1401" s="1"/>
      <c r="AO1401" s="1" t="s">
        <v>597</v>
      </c>
      <c r="AP1401" s="1"/>
      <c r="AQ1401" s="1"/>
      <c r="AR1401" s="1"/>
      <c r="AS1401" s="1"/>
      <c r="AT1401" s="1" t="s">
        <v>830</v>
      </c>
      <c r="AU1401" s="1">
        <v>2018</v>
      </c>
      <c r="AV1401" s="1">
        <v>8</v>
      </c>
      <c r="AW1401" s="1">
        <v>9</v>
      </c>
      <c r="AX1401" s="1"/>
      <c r="AY1401" s="1"/>
      <c r="AZ1401" s="1"/>
      <c r="BA1401" s="1"/>
      <c r="BB1401" s="1">
        <v>197</v>
      </c>
      <c r="BC1401" s="1">
        <v>208</v>
      </c>
      <c r="BD1401" s="1"/>
      <c r="BE1401" s="1"/>
      <c r="BF1401" s="1"/>
      <c r="BG1401" s="1"/>
      <c r="BH1401" s="1"/>
      <c r="BI1401" s="1"/>
      <c r="BJ1401" s="1"/>
      <c r="BK1401" s="1"/>
      <c r="BL1401" s="1"/>
      <c r="BM1401" s="1"/>
      <c r="BN1401" s="1"/>
      <c r="BO1401" s="1"/>
      <c r="BP1401" s="1"/>
      <c r="BQ1401" s="1"/>
      <c r="BR1401" s="1"/>
      <c r="BS1401" s="1" t="s">
        <v>9255</v>
      </c>
      <c r="BT1401" s="1" t="str">
        <f>HYPERLINK("https%3A%2F%2Fwww.webofscience.com%2Fwos%2Fwoscc%2Ffull-record%2FWOS:000449115800022","View Full Record in Web of Science")</f>
        <v>View Full Record in Web of Science</v>
      </c>
      <c r="BU1401" s="1"/>
      <c r="BV1401" s="1"/>
      <c r="BW1401" s="1"/>
    </row>
    <row r="1402" spans="1:75" customHeight="1" ht="12.75">
      <c r="A1402" s="1" t="s">
        <v>72</v>
      </c>
      <c r="B1402" s="1" t="s">
        <v>9256</v>
      </c>
      <c r="C1402" s="1"/>
      <c r="D1402" s="1"/>
      <c r="E1402" s="1"/>
      <c r="F1402" s="1" t="s">
        <v>9257</v>
      </c>
      <c r="G1402" s="1"/>
      <c r="H1402" s="1"/>
      <c r="I1402" s="1" t="s">
        <v>9258</v>
      </c>
      <c r="J1402" s="1" t="s">
        <v>9183</v>
      </c>
      <c r="K1402" s="1"/>
      <c r="L1402" s="1"/>
      <c r="M1402" s="1"/>
      <c r="N1402" s="1"/>
      <c r="O1402" s="1"/>
      <c r="P1402" s="1"/>
      <c r="Q1402" s="1"/>
      <c r="R1402" s="1"/>
      <c r="S1402" s="1"/>
      <c r="T1402" s="1"/>
      <c r="U1402" s="1"/>
      <c r="V1402" s="1"/>
      <c r="W1402" s="1"/>
      <c r="X1402" s="1"/>
      <c r="Y1402" s="1"/>
      <c r="Z1402" s="1"/>
      <c r="AA1402" s="1" t="s">
        <v>9259</v>
      </c>
      <c r="AB1402" s="1" t="s">
        <v>9260</v>
      </c>
      <c r="AC1402" s="1"/>
      <c r="AD1402" s="1"/>
      <c r="AE1402" s="1"/>
      <c r="AF1402" s="1"/>
      <c r="AG1402" s="1"/>
      <c r="AH1402" s="1"/>
      <c r="AI1402" s="1"/>
      <c r="AJ1402" s="1"/>
      <c r="AK1402" s="1"/>
      <c r="AL1402" s="1"/>
      <c r="AM1402" s="1"/>
      <c r="AN1402" s="1"/>
      <c r="AO1402" s="1" t="s">
        <v>9186</v>
      </c>
      <c r="AP1402" s="1" t="s">
        <v>9187</v>
      </c>
      <c r="AQ1402" s="1"/>
      <c r="AR1402" s="1"/>
      <c r="AS1402" s="1"/>
      <c r="AT1402" s="1" t="s">
        <v>319</v>
      </c>
      <c r="AU1402" s="1">
        <v>2019</v>
      </c>
      <c r="AV1402" s="1">
        <v>40</v>
      </c>
      <c r="AW1402" s="1">
        <v>6</v>
      </c>
      <c r="AX1402" s="1"/>
      <c r="AY1402" s="1"/>
      <c r="AZ1402" s="1"/>
      <c r="BA1402" s="1"/>
      <c r="BB1402" s="1">
        <v>546</v>
      </c>
      <c r="BC1402" s="1">
        <v>554</v>
      </c>
      <c r="BD1402" s="1"/>
      <c r="BE1402" s="1" t="s">
        <v>9261</v>
      </c>
      <c r="BF1402" s="1" t="str">
        <f>HYPERLINK("http://dx.doi.org/10.3103/S1068366619060217","http://dx.doi.org/10.3103/S1068366619060217")</f>
        <v>http://dx.doi.org/10.3103/S1068366619060217</v>
      </c>
      <c r="BG1402" s="1"/>
      <c r="BH1402" s="1"/>
      <c r="BI1402" s="1"/>
      <c r="BJ1402" s="1"/>
      <c r="BK1402" s="1"/>
      <c r="BL1402" s="1"/>
      <c r="BM1402" s="1"/>
      <c r="BN1402" s="1"/>
      <c r="BO1402" s="1"/>
      <c r="BP1402" s="1"/>
      <c r="BQ1402" s="1"/>
      <c r="BR1402" s="1"/>
      <c r="BS1402" s="1" t="s">
        <v>9262</v>
      </c>
      <c r="BT1402" s="1" t="str">
        <f>HYPERLINK("https%3A%2F%2Fwww.webofscience.com%2Fwos%2Fwoscc%2Ffull-record%2FWOS:000511537300012","View Full Record in Web of Science")</f>
        <v>View Full Record in Web of Science</v>
      </c>
      <c r="BU1402" s="1"/>
      <c r="BV1402" s="1"/>
      <c r="BW1402" s="1"/>
    </row>
    <row r="1403" spans="1:75" customHeight="1" ht="12.75">
      <c r="A1403" s="1" t="s">
        <v>72</v>
      </c>
      <c r="B1403" s="1" t="s">
        <v>9263</v>
      </c>
      <c r="C1403" s="1"/>
      <c r="D1403" s="1"/>
      <c r="E1403" s="1"/>
      <c r="F1403" s="1" t="s">
        <v>9264</v>
      </c>
      <c r="G1403" s="1"/>
      <c r="H1403" s="1"/>
      <c r="I1403" s="1" t="s">
        <v>9265</v>
      </c>
      <c r="J1403" s="1" t="s">
        <v>9123</v>
      </c>
      <c r="K1403" s="1"/>
      <c r="L1403" s="1"/>
      <c r="M1403" s="1"/>
      <c r="N1403" s="1"/>
      <c r="O1403" s="1"/>
      <c r="P1403" s="1"/>
      <c r="Q1403" s="1"/>
      <c r="R1403" s="1"/>
      <c r="S1403" s="1"/>
      <c r="T1403" s="1"/>
      <c r="U1403" s="1"/>
      <c r="V1403" s="1"/>
      <c r="W1403" s="1"/>
      <c r="X1403" s="1"/>
      <c r="Y1403" s="1"/>
      <c r="Z1403" s="1"/>
      <c r="AA1403" s="1" t="s">
        <v>9266</v>
      </c>
      <c r="AB1403" s="1" t="s">
        <v>9267</v>
      </c>
      <c r="AC1403" s="1"/>
      <c r="AD1403" s="1"/>
      <c r="AE1403" s="1"/>
      <c r="AF1403" s="1"/>
      <c r="AG1403" s="1"/>
      <c r="AH1403" s="1"/>
      <c r="AI1403" s="1"/>
      <c r="AJ1403" s="1"/>
      <c r="AK1403" s="1"/>
      <c r="AL1403" s="1"/>
      <c r="AM1403" s="1"/>
      <c r="AN1403" s="1"/>
      <c r="AO1403" s="1" t="s">
        <v>9126</v>
      </c>
      <c r="AP1403" s="1"/>
      <c r="AQ1403" s="1"/>
      <c r="AR1403" s="1"/>
      <c r="AS1403" s="1"/>
      <c r="AT1403" s="1"/>
      <c r="AU1403" s="1">
        <v>2019</v>
      </c>
      <c r="AV1403" s="1">
        <v>28</v>
      </c>
      <c r="AW1403" s="1">
        <v>107</v>
      </c>
      <c r="AX1403" s="1"/>
      <c r="AY1403" s="1"/>
      <c r="AZ1403" s="1"/>
      <c r="BA1403" s="1"/>
      <c r="BB1403" s="1">
        <v>133</v>
      </c>
      <c r="BC1403" s="1">
        <v>140</v>
      </c>
      <c r="BD1403" s="1" t="s">
        <v>9268</v>
      </c>
      <c r="BE1403" s="1"/>
      <c r="BF1403" s="1"/>
      <c r="BG1403" s="1"/>
      <c r="BH1403" s="1"/>
      <c r="BI1403" s="1"/>
      <c r="BJ1403" s="1"/>
      <c r="BK1403" s="1"/>
      <c r="BL1403" s="1"/>
      <c r="BM1403" s="1"/>
      <c r="BN1403" s="1"/>
      <c r="BO1403" s="1"/>
      <c r="BP1403" s="1"/>
      <c r="BQ1403" s="1"/>
      <c r="BR1403" s="1"/>
      <c r="BS1403" s="1" t="s">
        <v>9269</v>
      </c>
      <c r="BT1403" s="1" t="str">
        <f>HYPERLINK("https%3A%2F%2Fwww.webofscience.com%2Fwos%2Fwoscc%2Ffull-record%2FWOS:000461678300017","View Full Record in Web of Science")</f>
        <v>View Full Record in Web of Science</v>
      </c>
      <c r="BU1403" s="1"/>
      <c r="BV1403" s="1"/>
      <c r="BW1403" s="1"/>
    </row>
    <row r="1404" spans="1:75" customHeight="1" ht="12.75">
      <c r="A1404" s="1" t="s">
        <v>72</v>
      </c>
      <c r="B1404" s="1" t="s">
        <v>9270</v>
      </c>
      <c r="C1404" s="1"/>
      <c r="D1404" s="1"/>
      <c r="E1404" s="1"/>
      <c r="F1404" s="1" t="s">
        <v>9271</v>
      </c>
      <c r="G1404" s="1"/>
      <c r="H1404" s="1"/>
      <c r="I1404" s="1" t="s">
        <v>9272</v>
      </c>
      <c r="J1404" s="1" t="s">
        <v>594</v>
      </c>
      <c r="K1404" s="1"/>
      <c r="L1404" s="1"/>
      <c r="M1404" s="1"/>
      <c r="N1404" s="1"/>
      <c r="O1404" s="1"/>
      <c r="P1404" s="1"/>
      <c r="Q1404" s="1"/>
      <c r="R1404" s="1"/>
      <c r="S1404" s="1"/>
      <c r="T1404" s="1"/>
      <c r="U1404" s="1"/>
      <c r="V1404" s="1"/>
      <c r="W1404" s="1"/>
      <c r="X1404" s="1"/>
      <c r="Y1404" s="1"/>
      <c r="Z1404" s="1"/>
      <c r="AA1404" s="1" t="s">
        <v>9273</v>
      </c>
      <c r="AB1404" s="1" t="s">
        <v>9274</v>
      </c>
      <c r="AC1404" s="1"/>
      <c r="AD1404" s="1"/>
      <c r="AE1404" s="1"/>
      <c r="AF1404" s="1"/>
      <c r="AG1404" s="1"/>
      <c r="AH1404" s="1"/>
      <c r="AI1404" s="1"/>
      <c r="AJ1404" s="1"/>
      <c r="AK1404" s="1"/>
      <c r="AL1404" s="1"/>
      <c r="AM1404" s="1"/>
      <c r="AN1404" s="1"/>
      <c r="AO1404" s="1" t="s">
        <v>597</v>
      </c>
      <c r="AP1404" s="1"/>
      <c r="AQ1404" s="1"/>
      <c r="AR1404" s="1"/>
      <c r="AS1404" s="1"/>
      <c r="AT1404" s="1" t="s">
        <v>1173</v>
      </c>
      <c r="AU1404" s="1">
        <v>2018</v>
      </c>
      <c r="AV1404" s="1">
        <v>8</v>
      </c>
      <c r="AW1404" s="1">
        <v>8</v>
      </c>
      <c r="AX1404" s="1"/>
      <c r="AY1404" s="1"/>
      <c r="AZ1404" s="1"/>
      <c r="BA1404" s="1"/>
      <c r="BB1404" s="1">
        <v>28</v>
      </c>
      <c r="BC1404" s="1">
        <v>38</v>
      </c>
      <c r="BD1404" s="1"/>
      <c r="BE1404" s="1"/>
      <c r="BF1404" s="1"/>
      <c r="BG1404" s="1"/>
      <c r="BH1404" s="1"/>
      <c r="BI1404" s="1"/>
      <c r="BJ1404" s="1"/>
      <c r="BK1404" s="1"/>
      <c r="BL1404" s="1"/>
      <c r="BM1404" s="1"/>
      <c r="BN1404" s="1"/>
      <c r="BO1404" s="1"/>
      <c r="BP1404" s="1"/>
      <c r="BQ1404" s="1"/>
      <c r="BR1404" s="1"/>
      <c r="BS1404" s="1" t="s">
        <v>9275</v>
      </c>
      <c r="BT1404" s="1" t="str">
        <f>HYPERLINK("https%3A%2F%2Fwww.webofscience.com%2Fwos%2Fwoscc%2Ffull-record%2FWOS:000451687800003","View Full Record in Web of Science")</f>
        <v>View Full Record in Web of Science</v>
      </c>
      <c r="BU1404" s="1"/>
      <c r="BV1404" s="1"/>
      <c r="BW1404" s="1"/>
    </row>
    <row r="1405" spans="1:75" customHeight="1" ht="12.75">
      <c r="A1405" s="1" t="s">
        <v>72</v>
      </c>
      <c r="B1405" s="1" t="s">
        <v>9276</v>
      </c>
      <c r="C1405" s="1"/>
      <c r="D1405" s="1"/>
      <c r="E1405" s="1"/>
      <c r="F1405" s="1" t="s">
        <v>9277</v>
      </c>
      <c r="G1405" s="1"/>
      <c r="H1405" s="1"/>
      <c r="I1405" s="1" t="s">
        <v>9278</v>
      </c>
      <c r="J1405" s="1" t="s">
        <v>594</v>
      </c>
      <c r="K1405" s="1"/>
      <c r="L1405" s="1"/>
      <c r="M1405" s="1"/>
      <c r="N1405" s="1"/>
      <c r="O1405" s="1"/>
      <c r="P1405" s="1"/>
      <c r="Q1405" s="1"/>
      <c r="R1405" s="1"/>
      <c r="S1405" s="1"/>
      <c r="T1405" s="1"/>
      <c r="U1405" s="1"/>
      <c r="V1405" s="1"/>
      <c r="W1405" s="1"/>
      <c r="X1405" s="1"/>
      <c r="Y1405" s="1"/>
      <c r="Z1405" s="1"/>
      <c r="AA1405" s="1" t="s">
        <v>9279</v>
      </c>
      <c r="AB1405" s="1"/>
      <c r="AC1405" s="1"/>
      <c r="AD1405" s="1"/>
      <c r="AE1405" s="1"/>
      <c r="AF1405" s="1"/>
      <c r="AG1405" s="1"/>
      <c r="AH1405" s="1"/>
      <c r="AI1405" s="1"/>
      <c r="AJ1405" s="1"/>
      <c r="AK1405" s="1"/>
      <c r="AL1405" s="1"/>
      <c r="AM1405" s="1"/>
      <c r="AN1405" s="1"/>
      <c r="AO1405" s="1" t="s">
        <v>597</v>
      </c>
      <c r="AP1405" s="1"/>
      <c r="AQ1405" s="1"/>
      <c r="AR1405" s="1"/>
      <c r="AS1405" s="1"/>
      <c r="AT1405" s="1" t="s">
        <v>319</v>
      </c>
      <c r="AU1405" s="1">
        <v>2018</v>
      </c>
      <c r="AV1405" s="1">
        <v>8</v>
      </c>
      <c r="AW1405" s="1">
        <v>11</v>
      </c>
      <c r="AX1405" s="1"/>
      <c r="AY1405" s="1"/>
      <c r="AZ1405" s="1"/>
      <c r="BA1405" s="1"/>
      <c r="BB1405" s="1">
        <v>919</v>
      </c>
      <c r="BC1405" s="1">
        <v>925</v>
      </c>
      <c r="BD1405" s="1"/>
      <c r="BE1405" s="1"/>
      <c r="BF1405" s="1"/>
      <c r="BG1405" s="1"/>
      <c r="BH1405" s="1"/>
      <c r="BI1405" s="1"/>
      <c r="BJ1405" s="1"/>
      <c r="BK1405" s="1"/>
      <c r="BL1405" s="1"/>
      <c r="BM1405" s="1"/>
      <c r="BN1405" s="1"/>
      <c r="BO1405" s="1"/>
      <c r="BP1405" s="1"/>
      <c r="BQ1405" s="1"/>
      <c r="BR1405" s="1"/>
      <c r="BS1405" s="1" t="s">
        <v>9280</v>
      </c>
      <c r="BT1405" s="1" t="str">
        <f>HYPERLINK("https%3A%2F%2Fwww.webofscience.com%2Fwos%2Fwoscc%2Ffull-record%2FWOS:000451688200116","View Full Record in Web of Science")</f>
        <v>View Full Record in Web of Science</v>
      </c>
      <c r="BU1405" s="1"/>
      <c r="BV1405" s="1"/>
      <c r="BW1405" s="1"/>
    </row>
    <row r="1406" spans="1:75" customHeight="1" ht="12.75">
      <c r="A1406" s="1" t="s">
        <v>72</v>
      </c>
      <c r="B1406" s="1" t="s">
        <v>9281</v>
      </c>
      <c r="C1406" s="1"/>
      <c r="D1406" s="1"/>
      <c r="E1406" s="1"/>
      <c r="F1406" s="1" t="s">
        <v>9282</v>
      </c>
      <c r="G1406" s="1"/>
      <c r="H1406" s="1"/>
      <c r="I1406" s="1" t="s">
        <v>9283</v>
      </c>
      <c r="J1406" s="1" t="s">
        <v>6728</v>
      </c>
      <c r="K1406" s="1"/>
      <c r="L1406" s="1"/>
      <c r="M1406" s="1"/>
      <c r="N1406" s="1"/>
      <c r="O1406" s="1"/>
      <c r="P1406" s="1"/>
      <c r="Q1406" s="1"/>
      <c r="R1406" s="1"/>
      <c r="S1406" s="1"/>
      <c r="T1406" s="1"/>
      <c r="U1406" s="1"/>
      <c r="V1406" s="1"/>
      <c r="W1406" s="1"/>
      <c r="X1406" s="1"/>
      <c r="Y1406" s="1"/>
      <c r="Z1406" s="1"/>
      <c r="AA1406" s="1" t="s">
        <v>9284</v>
      </c>
      <c r="AB1406" s="1" t="s">
        <v>9285</v>
      </c>
      <c r="AC1406" s="1"/>
      <c r="AD1406" s="1"/>
      <c r="AE1406" s="1"/>
      <c r="AF1406" s="1"/>
      <c r="AG1406" s="1"/>
      <c r="AH1406" s="1"/>
      <c r="AI1406" s="1"/>
      <c r="AJ1406" s="1"/>
      <c r="AK1406" s="1"/>
      <c r="AL1406" s="1"/>
      <c r="AM1406" s="1"/>
      <c r="AN1406" s="1"/>
      <c r="AO1406" s="1" t="s">
        <v>6731</v>
      </c>
      <c r="AP1406" s="1" t="s">
        <v>6732</v>
      </c>
      <c r="AQ1406" s="1"/>
      <c r="AR1406" s="1"/>
      <c r="AS1406" s="1"/>
      <c r="AT1406" s="1" t="s">
        <v>9286</v>
      </c>
      <c r="AU1406" s="1">
        <v>2020</v>
      </c>
      <c r="AV1406" s="1">
        <v>167</v>
      </c>
      <c r="AW1406" s="1">
        <v>10</v>
      </c>
      <c r="AX1406" s="1"/>
      <c r="AY1406" s="1"/>
      <c r="AZ1406" s="1"/>
      <c r="BA1406" s="1"/>
      <c r="BB1406" s="1"/>
      <c r="BC1406" s="1"/>
      <c r="BD1406" s="1">
        <v>100530</v>
      </c>
      <c r="BE1406" s="1" t="s">
        <v>9287</v>
      </c>
      <c r="BF1406" s="1" t="str">
        <f>HYPERLINK("http://dx.doi.org/10.1149/1945-7111/ab9a2a","http://dx.doi.org/10.1149/1945-7111/ab9a2a")</f>
        <v>http://dx.doi.org/10.1149/1945-7111/ab9a2a</v>
      </c>
      <c r="BG1406" s="1"/>
      <c r="BH1406" s="1"/>
      <c r="BI1406" s="1"/>
      <c r="BJ1406" s="1"/>
      <c r="BK1406" s="1"/>
      <c r="BL1406" s="1"/>
      <c r="BM1406" s="1"/>
      <c r="BN1406" s="1"/>
      <c r="BO1406" s="1"/>
      <c r="BP1406" s="1"/>
      <c r="BQ1406" s="1"/>
      <c r="BR1406" s="1"/>
      <c r="BS1406" s="1" t="s">
        <v>9288</v>
      </c>
      <c r="BT1406" s="1" t="str">
        <f>HYPERLINK("https%3A%2F%2Fwww.webofscience.com%2Fwos%2Fwoscc%2Ffull-record%2FWOS:000613254900001","View Full Record in Web of Science")</f>
        <v>View Full Record in Web of Science</v>
      </c>
      <c r="BU1406" s="1"/>
      <c r="BV1406" s="1"/>
      <c r="BW1406" s="1"/>
    </row>
    <row r="1407" spans="1:75" customHeight="1" ht="12.75">
      <c r="A1407" s="1" t="s">
        <v>72</v>
      </c>
      <c r="B1407" s="1" t="s">
        <v>9289</v>
      </c>
      <c r="C1407" s="1"/>
      <c r="D1407" s="1"/>
      <c r="E1407" s="1"/>
      <c r="F1407" s="1" t="s">
        <v>9290</v>
      </c>
      <c r="G1407" s="1"/>
      <c r="H1407" s="1"/>
      <c r="I1407" s="1" t="s">
        <v>9291</v>
      </c>
      <c r="J1407" s="1" t="s">
        <v>9292</v>
      </c>
      <c r="K1407" s="1"/>
      <c r="L1407" s="1"/>
      <c r="M1407" s="1"/>
      <c r="N1407" s="1"/>
      <c r="O1407" s="1"/>
      <c r="P1407" s="1"/>
      <c r="Q1407" s="1"/>
      <c r="R1407" s="1"/>
      <c r="S1407" s="1"/>
      <c r="T1407" s="1"/>
      <c r="U1407" s="1"/>
      <c r="V1407" s="1"/>
      <c r="W1407" s="1"/>
      <c r="X1407" s="1"/>
      <c r="Y1407" s="1"/>
      <c r="Z1407" s="1"/>
      <c r="AA1407" s="1" t="s">
        <v>9293</v>
      </c>
      <c r="AB1407" s="1" t="s">
        <v>9294</v>
      </c>
      <c r="AC1407" s="1"/>
      <c r="AD1407" s="1"/>
      <c r="AE1407" s="1"/>
      <c r="AF1407" s="1"/>
      <c r="AG1407" s="1"/>
      <c r="AH1407" s="1"/>
      <c r="AI1407" s="1"/>
      <c r="AJ1407" s="1"/>
      <c r="AK1407" s="1"/>
      <c r="AL1407" s="1"/>
      <c r="AM1407" s="1"/>
      <c r="AN1407" s="1"/>
      <c r="AO1407" s="1" t="s">
        <v>9295</v>
      </c>
      <c r="AP1407" s="1" t="s">
        <v>9296</v>
      </c>
      <c r="AQ1407" s="1"/>
      <c r="AR1407" s="1"/>
      <c r="AS1407" s="1"/>
      <c r="AT1407" s="1" t="s">
        <v>8679</v>
      </c>
      <c r="AU1407" s="1">
        <v>2021</v>
      </c>
      <c r="AV1407" s="1">
        <v>9</v>
      </c>
      <c r="AW1407" s="1"/>
      <c r="AX1407" s="1"/>
      <c r="AY1407" s="1"/>
      <c r="AZ1407" s="1"/>
      <c r="BA1407" s="1"/>
      <c r="BB1407" s="1"/>
      <c r="BC1407" s="1"/>
      <c r="BD1407" s="1" t="s">
        <v>9297</v>
      </c>
      <c r="BE1407" s="1" t="s">
        <v>9298</v>
      </c>
      <c r="BF1407" s="1" t="str">
        <f>HYPERLINK("http://dx.doi.org/10.3897/BDJ.9.e77615","http://dx.doi.org/10.3897/BDJ.9.e77615")</f>
        <v>http://dx.doi.org/10.3897/BDJ.9.e77615</v>
      </c>
      <c r="BG1407" s="1"/>
      <c r="BH1407" s="1"/>
      <c r="BI1407" s="1"/>
      <c r="BJ1407" s="1"/>
      <c r="BK1407" s="1"/>
      <c r="BL1407" s="1"/>
      <c r="BM1407" s="1"/>
      <c r="BN1407" s="1">
        <v>34866965</v>
      </c>
      <c r="BO1407" s="1"/>
      <c r="BP1407" s="1"/>
      <c r="BQ1407" s="1"/>
      <c r="BR1407" s="1"/>
      <c r="BS1407" s="1" t="s">
        <v>9299</v>
      </c>
      <c r="BT1407" s="1" t="str">
        <f>HYPERLINK("https%3A%2F%2Fwww.webofscience.com%2Fwos%2Fwoscc%2Ffull-record%2FWOS:000723025300003","View Full Record in Web of Science")</f>
        <v>View Full Record in Web of Science</v>
      </c>
      <c r="BU1407" s="1"/>
      <c r="BV1407" s="1"/>
      <c r="BW1407" s="1"/>
    </row>
    <row r="1408" spans="1:75" customHeight="1" ht="12.75">
      <c r="A1408" s="1" t="s">
        <v>72</v>
      </c>
      <c r="B1408" s="1" t="s">
        <v>9300</v>
      </c>
      <c r="C1408" s="1"/>
      <c r="D1408" s="1"/>
      <c r="E1408" s="1"/>
      <c r="F1408" s="1" t="s">
        <v>9301</v>
      </c>
      <c r="G1408" s="1"/>
      <c r="H1408" s="1"/>
      <c r="I1408" s="1" t="s">
        <v>9302</v>
      </c>
      <c r="J1408" s="1" t="s">
        <v>8890</v>
      </c>
      <c r="K1408" s="1"/>
      <c r="L1408" s="1"/>
      <c r="M1408" s="1"/>
      <c r="N1408" s="1"/>
      <c r="O1408" s="1"/>
      <c r="P1408" s="1"/>
      <c r="Q1408" s="1"/>
      <c r="R1408" s="1"/>
      <c r="S1408" s="1"/>
      <c r="T1408" s="1"/>
      <c r="U1408" s="1"/>
      <c r="V1408" s="1"/>
      <c r="W1408" s="1"/>
      <c r="X1408" s="1"/>
      <c r="Y1408" s="1"/>
      <c r="Z1408" s="1"/>
      <c r="AA1408" s="1" t="s">
        <v>9303</v>
      </c>
      <c r="AB1408" s="1" t="s">
        <v>9304</v>
      </c>
      <c r="AC1408" s="1"/>
      <c r="AD1408" s="1"/>
      <c r="AE1408" s="1"/>
      <c r="AF1408" s="1"/>
      <c r="AG1408" s="1"/>
      <c r="AH1408" s="1"/>
      <c r="AI1408" s="1"/>
      <c r="AJ1408" s="1"/>
      <c r="AK1408" s="1"/>
      <c r="AL1408" s="1"/>
      <c r="AM1408" s="1"/>
      <c r="AN1408" s="1"/>
      <c r="AO1408" s="1" t="s">
        <v>8893</v>
      </c>
      <c r="AP1408" s="1"/>
      <c r="AQ1408" s="1"/>
      <c r="AR1408" s="1"/>
      <c r="AS1408" s="1"/>
      <c r="AT1408" s="1" t="s">
        <v>9305</v>
      </c>
      <c r="AU1408" s="1">
        <v>2023</v>
      </c>
      <c r="AV1408" s="1">
        <v>18</v>
      </c>
      <c r="AW1408" s="1">
        <v>3</v>
      </c>
      <c r="AX1408" s="1"/>
      <c r="AY1408" s="1"/>
      <c r="AZ1408" s="1"/>
      <c r="BA1408" s="1"/>
      <c r="BB1408" s="1"/>
      <c r="BC1408" s="1"/>
      <c r="BD1408" s="1" t="s">
        <v>9306</v>
      </c>
      <c r="BE1408" s="1" t="s">
        <v>9307</v>
      </c>
      <c r="BF1408" s="1" t="str">
        <f>HYPERLINK("http://dx.doi.org/10.1371/journal.pone.0282345","http://dx.doi.org/10.1371/journal.pone.0282345")</f>
        <v>http://dx.doi.org/10.1371/journal.pone.0282345</v>
      </c>
      <c r="BG1408" s="1"/>
      <c r="BH1408" s="1"/>
      <c r="BI1408" s="1"/>
      <c r="BJ1408" s="1"/>
      <c r="BK1408" s="1"/>
      <c r="BL1408" s="1"/>
      <c r="BM1408" s="1"/>
      <c r="BN1408" s="1">
        <v>36897839</v>
      </c>
      <c r="BO1408" s="1"/>
      <c r="BP1408" s="1"/>
      <c r="BQ1408" s="1"/>
      <c r="BR1408" s="1"/>
      <c r="BS1408" s="1" t="s">
        <v>9308</v>
      </c>
      <c r="BT1408" s="1" t="str">
        <f>HYPERLINK("https%3A%2F%2Fwww.webofscience.com%2Fwos%2Fwoscc%2Ffull-record%2FWOS:000995666700001","View Full Record in Web of Science")</f>
        <v>View Full Record in Web of Science</v>
      </c>
      <c r="BU1408" s="1"/>
      <c r="BV1408" s="1"/>
      <c r="BW1408" s="1"/>
    </row>
    <row r="1409" spans="1:75" customHeight="1" ht="12.75">
      <c r="A1409" s="1" t="s">
        <v>72</v>
      </c>
      <c r="B1409" s="1" t="s">
        <v>9309</v>
      </c>
      <c r="C1409" s="1"/>
      <c r="D1409" s="1"/>
      <c r="E1409" s="1"/>
      <c r="F1409" s="1" t="s">
        <v>9310</v>
      </c>
      <c r="G1409" s="1"/>
      <c r="H1409" s="1"/>
      <c r="I1409" s="1" t="s">
        <v>9311</v>
      </c>
      <c r="J1409" s="1" t="s">
        <v>9312</v>
      </c>
      <c r="K1409" s="1"/>
      <c r="L1409" s="1"/>
      <c r="M1409" s="1"/>
      <c r="N1409" s="1"/>
      <c r="O1409" s="1"/>
      <c r="P1409" s="1"/>
      <c r="Q1409" s="1"/>
      <c r="R1409" s="1"/>
      <c r="S1409" s="1"/>
      <c r="T1409" s="1"/>
      <c r="U1409" s="1"/>
      <c r="V1409" s="1"/>
      <c r="W1409" s="1"/>
      <c r="X1409" s="1"/>
      <c r="Y1409" s="1"/>
      <c r="Z1409" s="1"/>
      <c r="AA1409" s="1" t="s">
        <v>9313</v>
      </c>
      <c r="AB1409" s="1" t="s">
        <v>9314</v>
      </c>
      <c r="AC1409" s="1"/>
      <c r="AD1409" s="1"/>
      <c r="AE1409" s="1"/>
      <c r="AF1409" s="1"/>
      <c r="AG1409" s="1"/>
      <c r="AH1409" s="1"/>
      <c r="AI1409" s="1"/>
      <c r="AJ1409" s="1"/>
      <c r="AK1409" s="1"/>
      <c r="AL1409" s="1"/>
      <c r="AM1409" s="1"/>
      <c r="AN1409" s="1"/>
      <c r="AO1409" s="1"/>
      <c r="AP1409" s="1" t="s">
        <v>9315</v>
      </c>
      <c r="AQ1409" s="1"/>
      <c r="AR1409" s="1"/>
      <c r="AS1409" s="1"/>
      <c r="AT1409" s="1" t="s">
        <v>9316</v>
      </c>
      <c r="AU1409" s="1">
        <v>2023</v>
      </c>
      <c r="AV1409" s="1">
        <v>6</v>
      </c>
      <c r="AW1409" s="1">
        <v>1</v>
      </c>
      <c r="AX1409" s="1"/>
      <c r="AY1409" s="1"/>
      <c r="AZ1409" s="1"/>
      <c r="BA1409" s="1"/>
      <c r="BB1409" s="1"/>
      <c r="BC1409" s="1"/>
      <c r="BD1409" s="1">
        <v>362</v>
      </c>
      <c r="BE1409" s="1" t="s">
        <v>9317</v>
      </c>
      <c r="BF1409" s="1" t="str">
        <f>HYPERLINK("http://dx.doi.org/10.1038/s42003-023-04727-z","http://dx.doi.org/10.1038/s42003-023-04727-z")</f>
        <v>http://dx.doi.org/10.1038/s42003-023-04727-z</v>
      </c>
      <c r="BG1409" s="1"/>
      <c r="BH1409" s="1"/>
      <c r="BI1409" s="1"/>
      <c r="BJ1409" s="1"/>
      <c r="BK1409" s="1"/>
      <c r="BL1409" s="1"/>
      <c r="BM1409" s="1"/>
      <c r="BN1409" s="1">
        <v>37012383</v>
      </c>
      <c r="BO1409" s="1"/>
      <c r="BP1409" s="1"/>
      <c r="BQ1409" s="1"/>
      <c r="BR1409" s="1"/>
      <c r="BS1409" s="1" t="s">
        <v>9318</v>
      </c>
      <c r="BT1409" s="1" t="str">
        <f>HYPERLINK("https%3A%2F%2Fwww.webofscience.com%2Fwos%2Fwoscc%2Ffull-record%2FWOS:000962868600002","View Full Record in Web of Science")</f>
        <v>View Full Record in Web of Science</v>
      </c>
      <c r="BU1409" s="1"/>
      <c r="BV1409" s="1"/>
      <c r="BW1409" s="1"/>
    </row>
    <row r="1410" spans="1:75" customHeight="1" ht="12.75" s="2" customFormat="1">
      <c r="A1410" s="1" t="s">
        <v>72</v>
      </c>
      <c r="B1410" s="1" t="s">
        <v>9319</v>
      </c>
      <c r="C1410" s="1"/>
      <c r="D1410" s="1"/>
      <c r="E1410" s="1"/>
      <c r="F1410" s="1" t="s">
        <v>9320</v>
      </c>
      <c r="G1410" s="1"/>
      <c r="H1410" s="1"/>
      <c r="I1410" s="1" t="s">
        <v>9321</v>
      </c>
      <c r="J1410" s="1" t="s">
        <v>9322</v>
      </c>
      <c r="K1410" s="1"/>
      <c r="L1410" s="1"/>
      <c r="M1410" s="1"/>
      <c r="N1410" s="1"/>
      <c r="O1410" s="1"/>
      <c r="P1410" s="1"/>
      <c r="Q1410" s="1"/>
      <c r="R1410" s="1"/>
      <c r="S1410" s="1"/>
      <c r="T1410" s="1"/>
      <c r="U1410" s="1"/>
      <c r="V1410" s="1"/>
      <c r="W1410" s="1"/>
      <c r="X1410" s="1"/>
      <c r="Y1410" s="1"/>
      <c r="Z1410" s="1"/>
      <c r="AA1410" s="1" t="s">
        <v>9323</v>
      </c>
      <c r="AB1410" s="1" t="s">
        <v>9324</v>
      </c>
      <c r="AC1410" s="1"/>
      <c r="AD1410" s="1"/>
      <c r="AE1410" s="1"/>
      <c r="AF1410" s="1"/>
      <c r="AG1410" s="1"/>
      <c r="AH1410" s="1"/>
      <c r="AI1410" s="1"/>
      <c r="AJ1410" s="1"/>
      <c r="AK1410" s="1"/>
      <c r="AL1410" s="1"/>
      <c r="AM1410" s="1"/>
      <c r="AN1410" s="1"/>
      <c r="AO1410" s="1"/>
      <c r="AP1410" s="1" t="s">
        <v>9325</v>
      </c>
      <c r="AQ1410" s="1"/>
      <c r="AR1410" s="1"/>
      <c r="AS1410" s="1"/>
      <c r="AT1410" s="1" t="s">
        <v>9326</v>
      </c>
      <c r="AU1410" s="1">
        <v>2022</v>
      </c>
      <c r="AV1410" s="1">
        <v>13</v>
      </c>
      <c r="AW1410" s="1">
        <v>1</v>
      </c>
      <c r="AX1410" s="1"/>
      <c r="AY1410" s="1"/>
      <c r="AZ1410" s="1"/>
      <c r="BA1410" s="1"/>
      <c r="BB1410" s="1"/>
      <c r="BC1410" s="1"/>
      <c r="BD1410" s="1">
        <v>4736</v>
      </c>
      <c r="BE1410" s="1" t="s">
        <v>9327</v>
      </c>
      <c r="BF1410" s="1" t="str">
        <f>HYPERLINK("http://dx.doi.org/10.1038/s41467-022-32447-1","http://dx.doi.org/10.1038/s41467-022-32447-1")</f>
        <v>http://dx.doi.org/10.1038/s41467-022-32447-1</v>
      </c>
      <c r="BG1410" s="1"/>
      <c r="BH1410" s="1"/>
      <c r="BI1410" s="1"/>
      <c r="BJ1410" s="1"/>
      <c r="BK1410" s="1"/>
      <c r="BL1410" s="1"/>
      <c r="BM1410" s="1"/>
      <c r="BN1410" s="1">
        <v>35961984.0</v>
      </c>
      <c r="BO1410" s="1"/>
      <c r="BP1410" s="1"/>
      <c r="BQ1410" s="1"/>
      <c r="BR1410" s="1"/>
      <c r="BS1410" s="1" t="s">
        <v>9328</v>
      </c>
      <c r="BT1410" s="1" t="str">
        <f>HYPERLINK("https%3A%2F%2Fwww.webofscience.com%2Fwos%2Fwoscc%2Ffull-record%2FWOS:000840114800006","View Full Record in Web of Science")</f>
        <v>View Full Record in Web of Science</v>
      </c>
      <c r="BU1410" s="1"/>
      <c r="BV1410" s="1"/>
      <c r="BW1410" s="1"/>
    </row>
  </sheetData>
  <sheetProtection sheet="false" objects="false" scenarios="false" formatCells="true" formatColumns="true" formatRows="true" insertColumns="true" insertRows="true" insertHyperlinks="true" deleteColumns="true" deleteRows="true" selectLockedCells="false" sort="true" autoFilter="true" pivotTables="true" selectUnlockedCells="false"/>
  <hyperlinks>
    <hyperlink ref="BT2" r:id="rId_hyperlink_1" tooltip="View Full Record in Web of Science" display="View Full Record in Web of Science"/>
    <hyperlink ref="BF3" r:id="rId_hyperlink_2" tooltip="http://dx.doi.org/10.1016/j.jocs.2022.101609" display="http://dx.doi.org/10.1016/j.jocs.2022.101609"/>
    <hyperlink ref="BT3" r:id="rId_hyperlink_3" tooltip="View Full Record in Web of Science" display="View Full Record in Web of Science"/>
    <hyperlink ref="BF4" r:id="rId_hyperlink_4" tooltip="http://dx.doi.org/10.25750/1995-4301-2022-1-235-242" display="http://dx.doi.org/10.25750/1995-4301-2022-1-235-242"/>
    <hyperlink ref="BT4" r:id="rId_hyperlink_5" tooltip="View Full Record in Web of Science" display="View Full Record in Web of Science"/>
    <hyperlink ref="BF5" r:id="rId_hyperlink_6" tooltip="http://dx.doi.org/10.28995/2073-0101-2022-2-384-395" display="http://dx.doi.org/10.28995/2073-0101-2022-2-384-395"/>
    <hyperlink ref="BT5" r:id="rId_hyperlink_7" tooltip="View Full Record in Web of Science" display="View Full Record in Web of Science"/>
    <hyperlink ref="BF6" r:id="rId_hyperlink_8" tooltip="http://dx.doi.org/10.15688/jvolsu4.2022.2.6" display="http://dx.doi.org/10.15688/jvolsu4.2022.2.6"/>
    <hyperlink ref="BT6" r:id="rId_hyperlink_9" tooltip="View Full Record in Web of Science" display="View Full Record in Web of Science"/>
    <hyperlink ref="BF7" r:id="rId_hyperlink_10" tooltip="http://dx.doi.org/10.12911/22998993/139066" display="http://dx.doi.org/10.12911/22998993/139066"/>
    <hyperlink ref="BT7" r:id="rId_hyperlink_11" tooltip="View Full Record in Web of Science" display="View Full Record in Web of Science"/>
    <hyperlink ref="BF8" r:id="rId_hyperlink_12" tooltip="http://dx.doi.org/10.14529/hsm20s208" display="http://dx.doi.org/10.14529/hsm20s208"/>
    <hyperlink ref="BT8" r:id="rId_hyperlink_13" tooltip="View Full Record in Web of Science" display="View Full Record in Web of Science"/>
    <hyperlink ref="BF9" r:id="rId_hyperlink_14" tooltip="http://dx.doi.org/10.5281/zenodo.4316637" display="http://dx.doi.org/10.5281/zenodo.4316637"/>
    <hyperlink ref="BT9" r:id="rId_hyperlink_15" tooltip="View Full Record in Web of Science" display="View Full Record in Web of Science"/>
    <hyperlink ref="BF10" r:id="rId_hyperlink_16" tooltip="http://dx.doi.org/10.1007/978-3-030-39225-3_47" display="http://dx.doi.org/10.1007/978-3-030-39225-3_47"/>
    <hyperlink ref="BT10" r:id="rId_hyperlink_17" tooltip="View Full Record in Web of Science" display="View Full Record in Web of Science"/>
    <hyperlink ref="BF11" r:id="rId_hyperlink_18" tooltip="http://dx.doi.org/10.13187/ejced.2019.1.167" display="http://dx.doi.org/10.13187/ejced.2019.1.167"/>
    <hyperlink ref="BT11" r:id="rId_hyperlink_19" tooltip="View Full Record in Web of Science" display="View Full Record in Web of Science"/>
    <hyperlink ref="BF12" r:id="rId_hyperlink_20" tooltip="http://dx.doi.org/10.1088/1742-6596/1399/3/033094" display="http://dx.doi.org/10.1088/1742-6596/1399/3/033094"/>
    <hyperlink ref="BT12" r:id="rId_hyperlink_21" tooltip="View Full Record in Web of Science" display="View Full Record in Web of Science"/>
    <hyperlink ref="BF13" r:id="rId_hyperlink_22" tooltip="http://dx.doi.org/10.17223/23062061/16/9" display="http://dx.doi.org/10.17223/23062061/16/9"/>
    <hyperlink ref="BT13" r:id="rId_hyperlink_23" tooltip="View Full Record in Web of Science" display="View Full Record in Web of Science"/>
    <hyperlink ref="BF14" r:id="rId_hyperlink_24" tooltip="http://dx.doi.org/10.17853/1994-5639-2018-4-180-199" display="http://dx.doi.org/10.17853/1994-5639-2018-4-180-199"/>
    <hyperlink ref="BT14" r:id="rId_hyperlink_25" tooltip="View Full Record in Web of Science" display="View Full Record in Web of Science"/>
    <hyperlink ref="BT15" r:id="rId_hyperlink_26" tooltip="View Full Record in Web of Science" display="View Full Record in Web of Science"/>
    <hyperlink ref="BF16" r:id="rId_hyperlink_27" tooltip="http://dx.doi.org/10.1088/1742-6596/1015/3/032059" display="http://dx.doi.org/10.1088/1742-6596/1015/3/032059"/>
    <hyperlink ref="BT16" r:id="rId_hyperlink_28" tooltip="View Full Record in Web of Science" display="View Full Record in Web of Science"/>
    <hyperlink ref="BT17" r:id="rId_hyperlink_29" tooltip="View Full Record in Web of Science" display="View Full Record in Web of Science"/>
    <hyperlink ref="BT18" r:id="rId_hyperlink_30" tooltip="View Full Record in Web of Science" display="View Full Record in Web of Science"/>
    <hyperlink ref="BF19" r:id="rId_hyperlink_31" tooltip="http://dx.doi.org/10.15405/epsbs.2017.08.02.55" display="http://dx.doi.org/10.15405/epsbs.2017.08.02.55"/>
    <hyperlink ref="BT19" r:id="rId_hyperlink_32" tooltip="View Full Record in Web of Science" display="View Full Record in Web of Science"/>
    <hyperlink ref="BF20" r:id="rId_hyperlink_33" tooltip="http://dx.doi.org/10.15405/epsbs.2016.07.8" display="http://dx.doi.org/10.15405/epsbs.2016.07.8"/>
    <hyperlink ref="BT20" r:id="rId_hyperlink_34" tooltip="View Full Record in Web of Science" display="View Full Record in Web of Science"/>
    <hyperlink ref="BT21" r:id="rId_hyperlink_35" tooltip="View Full Record in Web of Science" display="View Full Record in Web of Science"/>
    <hyperlink ref="BT22" r:id="rId_hyperlink_36" tooltip="View Full Record in Web of Science" display="View Full Record in Web of Science"/>
    <hyperlink ref="BT23" r:id="rId_hyperlink_37" tooltip="View Full Record in Web of Science" display="View Full Record in Web of Science"/>
    <hyperlink ref="BT24" r:id="rId_hyperlink_38" tooltip="View Full Record in Web of Science" display="View Full Record in Web of Science"/>
    <hyperlink ref="BT25" r:id="rId_hyperlink_39" tooltip="View Full Record in Web of Science" display="View Full Record in Web of Science"/>
    <hyperlink ref="BF26" r:id="rId_hyperlink_40" tooltip="http://dx.doi.org/10.1023/B:TFCE.0000036967.86553.56" display="http://dx.doi.org/10.1023/B:TFCE.0000036967.86553.56"/>
    <hyperlink ref="BT26" r:id="rId_hyperlink_41" tooltip="View Full Record in Web of Science" display="View Full Record in Web of Science"/>
    <hyperlink ref="BF27" r:id="rId_hyperlink_42" tooltip="http://dx.doi.org/10.17853/1994-5639-2022-9-11-42" display="http://dx.doi.org/10.17853/1994-5639-2022-9-11-42"/>
    <hyperlink ref="BT27" r:id="rId_hyperlink_43" tooltip="View Full Record in Web of Science" display="View Full Record in Web of Science"/>
    <hyperlink ref="BF28" r:id="rId_hyperlink_44" tooltip="http://dx.doi.org/10.24874/IJQR16.03-20" display="http://dx.doi.org/10.24874/IJQR16.03-20"/>
    <hyperlink ref="BT28" r:id="rId_hyperlink_45" tooltip="View Full Record in Web of Science" display="View Full Record in Web of Science"/>
    <hyperlink ref="BT29" r:id="rId_hyperlink_46" tooltip="View Full Record in Web of Science" display="View Full Record in Web of Science"/>
    <hyperlink ref="BF30" r:id="rId_hyperlink_47" tooltip="http://dx.doi.org/10.31166/VoprosyIstorii202010Staty165" display="http://dx.doi.org/10.31166/VoprosyIstorii202010Staty165"/>
    <hyperlink ref="BT30" r:id="rId_hyperlink_48" tooltip="View Full Record in Web of Science" display="View Full Record in Web of Science"/>
    <hyperlink ref="BF31" r:id="rId_hyperlink_49" tooltip="http://dx.doi.org/10.24874/IJQR14.02-12" display="http://dx.doi.org/10.24874/IJQR14.02-12"/>
    <hyperlink ref="BT31" r:id="rId_hyperlink_50" tooltip="View Full Record in Web of Science" display="View Full Record in Web of Science"/>
    <hyperlink ref="BF32" r:id="rId_hyperlink_51" tooltip="http://dx.doi.org/10.25750/1995-4301-2020-2-057-063" display="http://dx.doi.org/10.25750/1995-4301-2020-2-057-063"/>
    <hyperlink ref="BT32" r:id="rId_hyperlink_52" tooltip="View Full Record in Web of Science" display="View Full Record in Web of Science"/>
    <hyperlink ref="BT33" r:id="rId_hyperlink_53" tooltip="View Full Record in Web of Science" display="View Full Record in Web of Science"/>
    <hyperlink ref="BF34" r:id="rId_hyperlink_54" tooltip="http://dx.doi.org/10.1007/978-3-030-39225-3_70" display="http://dx.doi.org/10.1007/978-3-030-39225-3_70"/>
    <hyperlink ref="BT34" r:id="rId_hyperlink_55" tooltip="View Full Record in Web of Science" display="View Full Record in Web of Science"/>
    <hyperlink ref="BT35" r:id="rId_hyperlink_56" tooltip="View Full Record in Web of Science" display="View Full Record in Web of Science"/>
    <hyperlink ref="BT36" r:id="rId_hyperlink_57" tooltip="View Full Record in Web of Science" display="View Full Record in Web of Science"/>
    <hyperlink ref="BF37" r:id="rId_hyperlink_58" tooltip="http://dx.doi.org/10.17223/23062061/18/8" display="http://dx.doi.org/10.17223/23062061/18/8"/>
    <hyperlink ref="BT37" r:id="rId_hyperlink_59" tooltip="View Full Record in Web of Science" display="View Full Record in Web of Science"/>
    <hyperlink ref="BF38" r:id="rId_hyperlink_60" tooltip="http://dx.doi.org/10.1134/S1070427218070182" display="http://dx.doi.org/10.1134/S1070427218070182"/>
    <hyperlink ref="BT38" r:id="rId_hyperlink_61" tooltip="View Full Record in Web of Science" display="View Full Record in Web of Science"/>
    <hyperlink ref="BT39" r:id="rId_hyperlink_62" tooltip="View Full Record in Web of Science" display="View Full Record in Web of Science"/>
    <hyperlink ref="BF40" r:id="rId_hyperlink_63" tooltip="http://dx.doi.org/10.24833/2071-8160-2018-4-61-241-261" display="http://dx.doi.org/10.24833/2071-8160-2018-4-61-241-261"/>
    <hyperlink ref="BT40" r:id="rId_hyperlink_64" tooltip="View Full Record in Web of Science" display="View Full Record in Web of Science"/>
    <hyperlink ref="BF41" r:id="rId_hyperlink_65" tooltip="http://dx.doi.org/10.1007/978-3-319-60696-5_3" display="http://dx.doi.org/10.1007/978-3-319-60696-5_3"/>
    <hyperlink ref="BT41" r:id="rId_hyperlink_66" tooltip="View Full Record in Web of Science" display="View Full Record in Web of Science"/>
    <hyperlink ref="BF42" r:id="rId_hyperlink_67" tooltip="http://dx.doi.org/10.1007/978-3-319-60696-5_71" display="http://dx.doi.org/10.1007/978-3-319-60696-5_71"/>
    <hyperlink ref="BT42" r:id="rId_hyperlink_68" tooltip="View Full Record in Web of Science" display="View Full Record in Web of Science"/>
    <hyperlink ref="BT43" r:id="rId_hyperlink_69" tooltip="View Full Record in Web of Science" display="View Full Record in Web of Science"/>
    <hyperlink ref="BT44" r:id="rId_hyperlink_70" tooltip="View Full Record in Web of Science" display="View Full Record in Web of Science"/>
    <hyperlink ref="BF45" r:id="rId_hyperlink_71" tooltip="http://dx.doi.org/10.1023/A:1025776212553" display="http://dx.doi.org/10.1023/A:1025776212553"/>
    <hyperlink ref="BT45" r:id="rId_hyperlink_72" tooltip="View Full Record in Web of Science" display="View Full Record in Web of Science"/>
    <hyperlink ref="BT46" r:id="rId_hyperlink_73" tooltip="View Full Record in Web of Science" display="View Full Record in Web of Science"/>
    <hyperlink ref="BF47" r:id="rId_hyperlink_74" tooltip="http://dx.doi.org/10.1139/er-2022-0081" display="http://dx.doi.org/10.1139/er-2022-0081"/>
    <hyperlink ref="BT47" r:id="rId_hyperlink_75" tooltip="View Full Record in Web of Science" display="View Full Record in Web of Science"/>
    <hyperlink ref="BF48" r:id="rId_hyperlink_76" tooltip="http://dx.doi.org/10.21638/spbu14.2022.102" display="http://dx.doi.org/10.21638/spbu14.2022.102"/>
    <hyperlink ref="BT48" r:id="rId_hyperlink_77" tooltip="View Full Record in Web of Science" display="View Full Record in Web of Science"/>
    <hyperlink ref="BF49" r:id="rId_hyperlink_78" tooltip="http://dx.doi.org/10.17223/22274200/22/2" display="http://dx.doi.org/10.17223/22274200/22/2"/>
    <hyperlink ref="BT49" r:id="rId_hyperlink_79" tooltip="View Full Record in Web of Science" display="View Full Record in Web of Science"/>
    <hyperlink ref="BF50" r:id="rId_hyperlink_80" tooltip="http://dx.doi.org/10.52254/1857-0070.2021.4-52.01" display="http://dx.doi.org/10.52254/1857-0070.2021.4-52.01"/>
    <hyperlink ref="BT50" r:id="rId_hyperlink_81" tooltip="View Full Record in Web of Science" display="View Full Record in Web of Science"/>
    <hyperlink ref="BF51" r:id="rId_hyperlink_82" tooltip="http://dx.doi.org/10.33407/itlt.v86i6.4320" display="http://dx.doi.org/10.33407/itlt.v86i6.4320"/>
    <hyperlink ref="BT51" r:id="rId_hyperlink_83" tooltip="View Full Record in Web of Science" display="View Full Record in Web of Science"/>
    <hyperlink ref="BF52" r:id="rId_hyperlink_84" tooltip="http://dx.doi.org/10.3390/w13010047" display="http://dx.doi.org/10.3390/w13010047"/>
    <hyperlink ref="BT52" r:id="rId_hyperlink_85" tooltip="View Full Record in Web of Science" display="View Full Record in Web of Science"/>
    <hyperlink ref="BF53" r:id="rId_hyperlink_86" tooltip="http://dx.doi.org/10.13187/ejced.2020.1.160" display="http://dx.doi.org/10.13187/ejced.2020.1.160"/>
    <hyperlink ref="BT53" r:id="rId_hyperlink_87" tooltip="View Full Record in Web of Science" display="View Full Record in Web of Science"/>
    <hyperlink ref="BF54" r:id="rId_hyperlink_88" tooltip="http://dx.doi.org/10.15561/26649837.2020.0606" display="http://dx.doi.org/10.15561/26649837.2020.0606"/>
    <hyperlink ref="BT54" r:id="rId_hyperlink_89" tooltip="View Full Record in Web of Science" display="View Full Record in Web of Science"/>
    <hyperlink ref="BF55" r:id="rId_hyperlink_90" tooltip="http://dx.doi.org/10.1134/S0869864319020112" display="http://dx.doi.org/10.1134/S0869864319020112"/>
    <hyperlink ref="BT55" r:id="rId_hyperlink_91" tooltip="View Full Record in Web of Science" display="View Full Record in Web of Science"/>
    <hyperlink ref="BT56" r:id="rId_hyperlink_92" tooltip="View Full Record in Web of Science" display="View Full Record in Web of Science"/>
    <hyperlink ref="BF57" r:id="rId_hyperlink_93" tooltip="http://dx.doi.org/10.18720/MCE.89.6" display="http://dx.doi.org/10.18720/MCE.89.6"/>
    <hyperlink ref="BT57" r:id="rId_hyperlink_94" tooltip="View Full Record in Web of Science" display="View Full Record in Web of Science"/>
    <hyperlink ref="BT58" r:id="rId_hyperlink_95" tooltip="View Full Record in Web of Science" display="View Full Record in Web of Science"/>
    <hyperlink ref="BT59" r:id="rId_hyperlink_96" tooltip="View Full Record in Web of Science" display="View Full Record in Web of Science"/>
    <hyperlink ref="BT60" r:id="rId_hyperlink_97" tooltip="View Full Record in Web of Science" display="View Full Record in Web of Science"/>
    <hyperlink ref="BF61" r:id="rId_hyperlink_98" tooltip="http://dx.doi.org/10.1134/S1023193512120051" display="http://dx.doi.org/10.1134/S1023193512120051"/>
    <hyperlink ref="BT61" r:id="rId_hyperlink_99" tooltip="View Full Record in Web of Science" display="View Full Record in Web of Science"/>
    <hyperlink ref="BF62" r:id="rId_hyperlink_100" tooltip="http://dx.doi.org/10.1134/S0036024411010286" display="http://dx.doi.org/10.1134/S0036024411010286"/>
    <hyperlink ref="BT62" r:id="rId_hyperlink_101" tooltip="View Full Record in Web of Science" display="View Full Record in Web of Science"/>
    <hyperlink ref="BF63" r:id="rId_hyperlink_102" tooltip="http://dx.doi.org/10.25750/1995-4301-2022-4-119-123" display="http://dx.doi.org/10.25750/1995-4301-2022-4-119-123"/>
    <hyperlink ref="BT63" r:id="rId_hyperlink_103" tooltip="View Full Record in Web of Science" display="View Full Record in Web of Science"/>
    <hyperlink ref="BF64" r:id="rId_hyperlink_104" tooltip="http://dx.doi.org/10.15688/jvolsu4.2022.2.8" display="http://dx.doi.org/10.15688/jvolsu4.2022.2.8"/>
    <hyperlink ref="BT64" r:id="rId_hyperlink_105" tooltip="View Full Record in Web of Science" display="View Full Record in Web of Science"/>
    <hyperlink ref="BF65" r:id="rId_hyperlink_106" tooltip="http://dx.doi.org/10.15826/qr.2022.5.755" display="http://dx.doi.org/10.15826/qr.2022.5.755"/>
    <hyperlink ref="BT65" r:id="rId_hyperlink_107" tooltip="View Full Record in Web of Science" display="View Full Record in Web of Science"/>
    <hyperlink ref="BF66" r:id="rId_hyperlink_108" tooltip="http://dx.doi.org/10.1134/S0036029520020032" display="http://dx.doi.org/10.1134/S0036029520020032"/>
    <hyperlink ref="BT66" r:id="rId_hyperlink_109" tooltip="View Full Record in Web of Science" display="View Full Record in Web of Science"/>
    <hyperlink ref="BF67" r:id="rId_hyperlink_110" tooltip="http://dx.doi.org/10.17759/psylaw.2020100115" display="http://dx.doi.org/10.17759/psylaw.2020100115"/>
    <hyperlink ref="BT67" r:id="rId_hyperlink_111" tooltip="View Full Record in Web of Science" display="View Full Record in Web of Science"/>
    <hyperlink ref="BF68" r:id="rId_hyperlink_112" tooltip="http://dx.doi.org/10.24224/2227-1295-2020-1-400-421" display="http://dx.doi.org/10.24224/2227-1295-2020-1-400-421"/>
    <hyperlink ref="BT68" r:id="rId_hyperlink_113" tooltip="View Full Record in Web of Science" display="View Full Record in Web of Science"/>
    <hyperlink ref="BF69" r:id="rId_hyperlink_114" tooltip="http://dx.doi.org/10.18254/S207987840013183-0" display="http://dx.doi.org/10.18254/S207987840013183-0"/>
    <hyperlink ref="BT69" r:id="rId_hyperlink_115" tooltip="View Full Record in Web of Science" display="View Full Record in Web of Science"/>
    <hyperlink ref="BF70" r:id="rId_hyperlink_116" tooltip="http://dx.doi.org/10.1134/S1062359019060116" display="http://dx.doi.org/10.1134/S1062359019060116"/>
    <hyperlink ref="BT70" r:id="rId_hyperlink_117" tooltip="View Full Record in Web of Science" display="View Full Record in Web of Science"/>
    <hyperlink ref="BF71" r:id="rId_hyperlink_118" tooltip="http://dx.doi.org/10.25750/1995-4301-2019-3-087-094" display="http://dx.doi.org/10.25750/1995-4301-2019-3-087-094"/>
    <hyperlink ref="BT71" r:id="rId_hyperlink_119" tooltip="View Full Record in Web of Science" display="View Full Record in Web of Science"/>
    <hyperlink ref="BT72" r:id="rId_hyperlink_120" tooltip="View Full Record in Web of Science" display="View Full Record in Web of Science"/>
    <hyperlink ref="BF73" r:id="rId_hyperlink_121" tooltip="http://dx.doi.org/10.1134/S0031918X18070098" display="http://dx.doi.org/10.1134/S0031918X18070098"/>
    <hyperlink ref="BT73" r:id="rId_hyperlink_122" tooltip="View Full Record in Web of Science" display="View Full Record in Web of Science"/>
    <hyperlink ref="BF74" r:id="rId_hyperlink_123" tooltip="http://dx.doi.org/10.17223/15617793/429/20" display="http://dx.doi.org/10.17223/15617793/429/20"/>
    <hyperlink ref="BT74" r:id="rId_hyperlink_124" tooltip="View Full Record in Web of Science" display="View Full Record in Web of Science"/>
    <hyperlink ref="BT75" r:id="rId_hyperlink_125" tooltip="View Full Record in Web of Science" display="View Full Record in Web of Science"/>
    <hyperlink ref="BT76" r:id="rId_hyperlink_126" tooltip="View Full Record in Web of Science" display="View Full Record in Web of Science"/>
    <hyperlink ref="BT77" r:id="rId_hyperlink_127" tooltip="View Full Record in Web of Science" display="View Full Record in Web of Science"/>
    <hyperlink ref="BT78" r:id="rId_hyperlink_128" tooltip="View Full Record in Web of Science" display="View Full Record in Web of Science"/>
    <hyperlink ref="BT79" r:id="rId_hyperlink_129" tooltip="View Full Record in Web of Science" display="View Full Record in Web of Science"/>
    <hyperlink ref="BF80" r:id="rId_hyperlink_130" tooltip="http://dx.doi.org/10.17223/15617793/464/24" display="http://dx.doi.org/10.17223/15617793/464/24"/>
    <hyperlink ref="BT80" r:id="rId_hyperlink_131" tooltip="View Full Record in Web of Science" display="View Full Record in Web of Science"/>
    <hyperlink ref="BF81" r:id="rId_hyperlink_132" tooltip="http://dx.doi.org/10.1016/j.matpr.2020.08.165" display="http://dx.doi.org/10.1016/j.matpr.2020.08.165"/>
    <hyperlink ref="BT81" r:id="rId_hyperlink_133" tooltip="View Full Record in Web of Science" display="View Full Record in Web of Science"/>
    <hyperlink ref="BF82" r:id="rId_hyperlink_134" tooltip="http://dx.doi.org/10.31166/VoprosyIstorii202201Statyi02" display="http://dx.doi.org/10.31166/VoprosyIstorii202201Statyi02"/>
    <hyperlink ref="BT82" r:id="rId_hyperlink_135" tooltip="View Full Record in Web of Science" display="View Full Record in Web of Science"/>
    <hyperlink ref="BF83" r:id="rId_hyperlink_136" tooltip="http://dx.doi.org/10.15826/qr.2021.3.628" display="http://dx.doi.org/10.15826/qr.2021.3.628"/>
    <hyperlink ref="BT83" r:id="rId_hyperlink_137" tooltip="View Full Record in Web of Science" display="View Full Record in Web of Science"/>
    <hyperlink ref="BF84" r:id="rId_hyperlink_138" tooltip="http://dx.doi.org/10.1134/S1995425520030105" display="http://dx.doi.org/10.1134/S1995425520030105"/>
    <hyperlink ref="BT84" r:id="rId_hyperlink_139" tooltip="View Full Record in Web of Science" display="View Full Record in Web of Science"/>
    <hyperlink ref="BF85" r:id="rId_hyperlink_140" tooltip="http://dx.doi.org/10.1109/ITNT49337.2020.9253206" display="http://dx.doi.org/10.1109/ITNT49337.2020.9253206"/>
    <hyperlink ref="BT85" r:id="rId_hyperlink_141" tooltip="View Full Record in Web of Science" display="View Full Record in Web of Science"/>
    <hyperlink ref="BF86" r:id="rId_hyperlink_142" tooltip="http://dx.doi.org/10.1007/978-3-030-22041-9_80" display="http://dx.doi.org/10.1007/978-3-030-22041-9_80"/>
    <hyperlink ref="BT86" r:id="rId_hyperlink_143" tooltip="View Full Record in Web of Science" display="View Full Record in Web of Science"/>
    <hyperlink ref="BF87" r:id="rId_hyperlink_144" tooltip="http://dx.doi.org/10.13187/ejced.2019.3.613" display="http://dx.doi.org/10.13187/ejced.2019.3.613"/>
    <hyperlink ref="BT87" r:id="rId_hyperlink_145" tooltip="View Full Record in Web of Science" display="View Full Record in Web of Science"/>
    <hyperlink ref="BF88" r:id="rId_hyperlink_146" tooltip="http://dx.doi.org/10.17853/1994-5639-2019-7-164-202" display="http://dx.doi.org/10.17853/1994-5639-2019-7-164-202"/>
    <hyperlink ref="BT88" r:id="rId_hyperlink_147" tooltip="View Full Record in Web of Science" display="View Full Record in Web of Science"/>
    <hyperlink ref="BF89" r:id="rId_hyperlink_148" tooltip="http://dx.doi.org/10.17223/15617793/441/6" display="http://dx.doi.org/10.17223/15617793/441/6"/>
    <hyperlink ref="BT89" r:id="rId_hyperlink_149" tooltip="View Full Record in Web of Science" display="View Full Record in Web of Science"/>
    <hyperlink ref="BT90" r:id="rId_hyperlink_150" tooltip="View Full Record in Web of Science" display="View Full Record in Web of Science"/>
    <hyperlink ref="BF91" r:id="rId_hyperlink_151" tooltip="http://dx.doi.org/10.6060/ivkkt.20196209.5920" display="http://dx.doi.org/10.6060/ivkkt.20196209.5920"/>
    <hyperlink ref="BT91" r:id="rId_hyperlink_152" tooltip="View Full Record in Web of Science" display="View Full Record in Web of Science"/>
    <hyperlink ref="BT92" r:id="rId_hyperlink_153" tooltip="View Full Record in Web of Science" display="View Full Record in Web of Science"/>
    <hyperlink ref="BF93" r:id="rId_hyperlink_154" tooltip="http://dx.doi.org/10.15561/20755279.2018.0101" display="http://dx.doi.org/10.15561/20755279.2018.0101"/>
    <hyperlink ref="BT93" r:id="rId_hyperlink_155" tooltip="View Full Record in Web of Science" display="View Full Record in Web of Science"/>
    <hyperlink ref="BF94" r:id="rId_hyperlink_156" tooltip="http://dx.doi.org/10.1088/1742-6596/944/1/012089" display="http://dx.doi.org/10.1088/1742-6596/944/1/012089"/>
    <hyperlink ref="BT94" r:id="rId_hyperlink_157" tooltip="View Full Record in Web of Science" display="View Full Record in Web of Science"/>
    <hyperlink ref="BF95" r:id="rId_hyperlink_158" tooltip="http://dx.doi.org/10.13187/bg.2018.4.1725" display="http://dx.doi.org/10.13187/bg.2018.4.1725"/>
    <hyperlink ref="BT95" r:id="rId_hyperlink_159" tooltip="View Full Record in Web of Science" display="View Full Record in Web of Science"/>
    <hyperlink ref="BF96" r:id="rId_hyperlink_160" tooltip="http://dx.doi.org/10.1016/j.proeng.2017.10.716" display="http://dx.doi.org/10.1016/j.proeng.2017.10.716"/>
    <hyperlink ref="BT96" r:id="rId_hyperlink_161" tooltip="View Full Record in Web of Science" display="View Full Record in Web of Science"/>
    <hyperlink ref="BT97" r:id="rId_hyperlink_162" tooltip="View Full Record in Web of Science" display="View Full Record in Web of Science"/>
    <hyperlink ref="BF98" r:id="rId_hyperlink_163" tooltip="http://dx.doi.org/10.1109/EnT.2016.23" display="http://dx.doi.org/10.1109/EnT.2016.23"/>
    <hyperlink ref="BT98" r:id="rId_hyperlink_164" tooltip="View Full Record in Web of Science" display="View Full Record in Web of Science"/>
    <hyperlink ref="BF99" r:id="rId_hyperlink_165" tooltip="http://dx.doi.org/10.1007/s11041-015-9821-6" display="http://dx.doi.org/10.1007/s11041-015-9821-6"/>
    <hyperlink ref="BT99" r:id="rId_hyperlink_166" tooltip="View Full Record in Web of Science" display="View Full Record in Web of Science"/>
    <hyperlink ref="BF100" r:id="rId_hyperlink_167" tooltip="http://dx.doi.org/10.1109/EMS.2014.71" display="http://dx.doi.org/10.1109/EMS.2014.71"/>
    <hyperlink ref="BT100" r:id="rId_hyperlink_168" tooltip="View Full Record in Web of Science" display="View Full Record in Web of Science"/>
    <hyperlink ref="BT101" r:id="rId_hyperlink_169" tooltip="View Full Record in Web of Science" display="View Full Record in Web of Science"/>
    <hyperlink ref="BF102" r:id="rId_hyperlink_170" tooltip="http://dx.doi.org/10.1134/S0003683813030150" display="http://dx.doi.org/10.1134/S0003683813030150"/>
    <hyperlink ref="BT102" r:id="rId_hyperlink_171" tooltip="View Full Record in Web of Science" display="View Full Record in Web of Science"/>
    <hyperlink ref="BT103" r:id="rId_hyperlink_172" tooltip="View Full Record in Web of Science" display="View Full Record in Web of Science"/>
    <hyperlink ref="BF104" r:id="rId_hyperlink_173" tooltip="http://dx.doi.org/10.1134/S1070427212050195" display="http://dx.doi.org/10.1134/S1070427212050195"/>
    <hyperlink ref="BT104" r:id="rId_hyperlink_174" tooltip="View Full Record in Web of Science" display="View Full Record in Web of Science"/>
    <hyperlink ref="BF105" r:id="rId_hyperlink_175" tooltip="http://dx.doi.org/10.1134/S0001434609050198" display="http://dx.doi.org/10.1134/S0001434609050198"/>
    <hyperlink ref="BT105" r:id="rId_hyperlink_176" tooltip="View Full Record in Web of Science" display="View Full Record in Web of Science"/>
    <hyperlink ref="BF106" r:id="rId_hyperlink_177" tooltip="http://dx.doi.org/10.1134/S0003683807040072" display="http://dx.doi.org/10.1134/S0003683807040072"/>
    <hyperlink ref="BT106" r:id="rId_hyperlink_178" tooltip="View Full Record in Web of Science" display="View Full Record in Web of Science"/>
    <hyperlink ref="BF107" r:id="rId_hyperlink_179" tooltip="http://dx.doi.org/10.1134/S002626170603012X" display="http://dx.doi.org/10.1134/S002626170603012X"/>
    <hyperlink ref="BT107" r:id="rId_hyperlink_180" tooltip="View Full Record in Web of Science" display="View Full Record in Web of Science"/>
    <hyperlink ref="BF108" r:id="rId_hyperlink_181" tooltip="http://dx.doi.org/10.1023/A:1012394524649" display="http://dx.doi.org/10.1023/A:1012394524649"/>
    <hyperlink ref="BT108" r:id="rId_hyperlink_182" tooltip="View Full Record in Web of Science" display="View Full Record in Web of Science"/>
    <hyperlink ref="BF109" r:id="rId_hyperlink_183" tooltip="http://dx.doi.org/10.1007/BF02467476" display="http://dx.doi.org/10.1007/BF02467476"/>
    <hyperlink ref="BT109" r:id="rId_hyperlink_184" tooltip="View Full Record in Web of Science" display="View Full Record in Web of Science"/>
    <hyperlink ref="BT110" r:id="rId_hyperlink_185" tooltip="View Full Record in Web of Science" display="View Full Record in Web of Science"/>
    <hyperlink ref="BF111" r:id="rId_hyperlink_186" tooltip="http://dx.doi.org/10.3103/S0005105522030037" display="http://dx.doi.org/10.3103/S0005105522030037"/>
    <hyperlink ref="BT111" r:id="rId_hyperlink_187" tooltip="View Full Record in Web of Science" display="View Full Record in Web of Science"/>
    <hyperlink ref="BF112" r:id="rId_hyperlink_188" tooltip="http://dx.doi.org/10.17223/15617793/468/24" display="http://dx.doi.org/10.17223/15617793/468/24"/>
    <hyperlink ref="BT112" r:id="rId_hyperlink_189" tooltip="View Full Record in Web of Science" display="View Full Record in Web of Science"/>
    <hyperlink ref="BF113" r:id="rId_hyperlink_190" tooltip="http://dx.doi.org/10.3103/S0147688221020064" display="http://dx.doi.org/10.3103/S0147688221020064"/>
    <hyperlink ref="BT113" r:id="rId_hyperlink_191" tooltip="View Full Record in Web of Science" display="View Full Record in Web of Science"/>
    <hyperlink ref="BF114" r:id="rId_hyperlink_192" tooltip="http://dx.doi.org/10.1109/SIBCON50419.2021.9438922" display="http://dx.doi.org/10.1109/SIBCON50419.2021.9438922"/>
    <hyperlink ref="BT114" r:id="rId_hyperlink_193" tooltip="View Full Record in Web of Science" display="View Full Record in Web of Science"/>
    <hyperlink ref="BF115" r:id="rId_hyperlink_194" tooltip="http://dx.doi.org/10.15405/epsbs.2021.07.02.40" display="http://dx.doi.org/10.15405/epsbs.2021.07.02.40"/>
    <hyperlink ref="BT115" r:id="rId_hyperlink_195" tooltip="View Full Record in Web of Science" display="View Full Record in Web of Science"/>
    <hyperlink ref="BF116" r:id="rId_hyperlink_196" tooltip="http://dx.doi.org/10.1134/S1995080220090255" display="http://dx.doi.org/10.1134/S1995080220090255"/>
    <hyperlink ref="BT116" r:id="rId_hyperlink_197" tooltip="View Full Record in Web of Science" display="View Full Record in Web of Science"/>
    <hyperlink ref="BF117" r:id="rId_hyperlink_198" tooltip="http://dx.doi.org/10.37358/mp.20.1.5313" display="http://dx.doi.org/10.37358/mp.20.1.5313"/>
    <hyperlink ref="BT117" r:id="rId_hyperlink_199" tooltip="View Full Record in Web of Science" display="View Full Record in Web of Science"/>
    <hyperlink ref="BF118" r:id="rId_hyperlink_200" tooltip="http://dx.doi.org/10.6060/ivkkt.20206301.6051" display="http://dx.doi.org/10.6060/ivkkt.20206301.6051"/>
    <hyperlink ref="BT118" r:id="rId_hyperlink_201" tooltip="View Full Record in Web of Science" display="View Full Record in Web of Science"/>
    <hyperlink ref="BF119" r:id="rId_hyperlink_202" tooltip="http://dx.doi.org/10.1007/978-3-030-22041-9_113" display="http://dx.doi.org/10.1007/978-3-030-22041-9_113"/>
    <hyperlink ref="BT119" r:id="rId_hyperlink_203" tooltip="View Full Record in Web of Science" display="View Full Record in Web of Science"/>
    <hyperlink ref="BT120" r:id="rId_hyperlink_204" tooltip="View Full Record in Web of Science" display="View Full Record in Web of Science"/>
    <hyperlink ref="BF121" r:id="rId_hyperlink_205" tooltip="http://dx.doi.org/10.17223/19988613/62/9" display="http://dx.doi.org/10.17223/19988613/62/9"/>
    <hyperlink ref="BT121" r:id="rId_hyperlink_206" tooltip="View Full Record in Web of Science" display="View Full Record in Web of Science"/>
    <hyperlink ref="BF122" r:id="rId_hyperlink_207" tooltip="http://dx.doi.org/10.25789/YMJ.2018.64.17" display="http://dx.doi.org/10.25789/YMJ.2018.64.17"/>
    <hyperlink ref="BT122" r:id="rId_hyperlink_208" tooltip="View Full Record in Web of Science" display="View Full Record in Web of Science"/>
    <hyperlink ref="BT123" r:id="rId_hyperlink_209" tooltip="View Full Record in Web of Science" display="View Full Record in Web of Science"/>
    <hyperlink ref="BT124" r:id="rId_hyperlink_210" tooltip="View Full Record in Web of Science" display="View Full Record in Web of Science"/>
    <hyperlink ref="BT125" r:id="rId_hyperlink_211" tooltip="View Full Record in Web of Science" display="View Full Record in Web of Science"/>
    <hyperlink ref="BT126" r:id="rId_hyperlink_212" tooltip="View Full Record in Web of Science" display="View Full Record in Web of Science"/>
    <hyperlink ref="BF127" r:id="rId_hyperlink_213" tooltip="http://dx.doi.org/10.1134/S1070427211120263" display="http://dx.doi.org/10.1134/S1070427211120263"/>
    <hyperlink ref="BT127" r:id="rId_hyperlink_214" tooltip="View Full Record in Web of Science" display="View Full Record in Web of Science"/>
    <hyperlink ref="BF128" r:id="rId_hyperlink_215" tooltip="http://dx.doi.org/10.1134/S1070427208100133" display="http://dx.doi.org/10.1134/S1070427208100133"/>
    <hyperlink ref="BT128" r:id="rId_hyperlink_216" tooltip="View Full Record in Web of Science" display="View Full Record in Web of Science"/>
    <hyperlink ref="BF129" r:id="rId_hyperlink_217" tooltip="http://dx.doi.org/10.1134/S0040579508040040" display="http://dx.doi.org/10.1134/S0040579508040040"/>
    <hyperlink ref="BT129" r:id="rId_hyperlink_218" tooltip="View Full Record in Web of Science" display="View Full Record in Web of Science"/>
    <hyperlink ref="BT130" r:id="rId_hyperlink_219" tooltip="View Full Record in Web of Science" display="View Full Record in Web of Science"/>
    <hyperlink ref="BF131" r:id="rId_hyperlink_220" tooltip="http://dx.doi.org/10.1117/12.783049" display="http://dx.doi.org/10.1117/12.783049"/>
    <hyperlink ref="BT131" r:id="rId_hyperlink_221" tooltip="View Full Record in Web of Science" display="View Full Record in Web of Science"/>
    <hyperlink ref="BF132" r:id="rId_hyperlink_222" tooltip="http://dx.doi.org/10.1016/j.quaint.2006.02.018" display="http://dx.doi.org/10.1016/j.quaint.2006.02.018"/>
    <hyperlink ref="BT132" r:id="rId_hyperlink_223" tooltip="View Full Record in Web of Science" display="View Full Record in Web of Science"/>
    <hyperlink ref="BF133" r:id="rId_hyperlink_224" tooltip="http://dx.doi.org/10.1134/S0036024406030241" display="http://dx.doi.org/10.1134/S0036024406030241"/>
    <hyperlink ref="BT133" r:id="rId_hyperlink_225" tooltip="View Full Record in Web of Science" display="View Full Record in Web of Science"/>
    <hyperlink ref="BF134" r:id="rId_hyperlink_226" tooltip="http://dx.doi.org/10.52254/1857-0070.2021.4-52.10" display="http://dx.doi.org/10.52254/1857-0070.2021.4-52.10"/>
    <hyperlink ref="BT134" r:id="rId_hyperlink_227" tooltip="View Full Record in Web of Science" display="View Full Record in Web of Science"/>
    <hyperlink ref="BF135" r:id="rId_hyperlink_228" tooltip="http://dx.doi.org/10.1051/bioconf/20202400073" display="http://dx.doi.org/10.1051/bioconf/20202400073"/>
    <hyperlink ref="BT135" r:id="rId_hyperlink_229" tooltip="View Full Record in Web of Science" display="View Full Record in Web of Science"/>
    <hyperlink ref="BT136" r:id="rId_hyperlink_230" tooltip="View Full Record in Web of Science" display="View Full Record in Web of Science"/>
    <hyperlink ref="BF137" r:id="rId_hyperlink_231" tooltip="http://dx.doi.org/10.1051/e3sconf/201911002026" display="http://dx.doi.org/10.1051/e3sconf/201911002026"/>
    <hyperlink ref="BT137" r:id="rId_hyperlink_232" tooltip="View Full Record in Web of Science" display="View Full Record in Web of Science"/>
    <hyperlink ref="BF138" r:id="rId_hyperlink_233" tooltip="http://dx.doi.org/10.13187/ejced.2018.2.275" display="http://dx.doi.org/10.13187/ejced.2018.2.275"/>
    <hyperlink ref="BT138" r:id="rId_hyperlink_234" tooltip="View Full Record in Web of Science" display="View Full Record in Web of Science"/>
    <hyperlink ref="BT139" r:id="rId_hyperlink_235" tooltip="View Full Record in Web of Science" display="View Full Record in Web of Science"/>
    <hyperlink ref="BF140" r:id="rId_hyperlink_236" tooltip="http://dx.doi.org/10.25750/1995-4301-2018-3-019-026" display="http://dx.doi.org/10.25750/1995-4301-2018-3-019-026"/>
    <hyperlink ref="BT140" r:id="rId_hyperlink_237" tooltip="View Full Record in Web of Science" display="View Full Record in Web of Science"/>
    <hyperlink ref="BT141" r:id="rId_hyperlink_238" tooltip="View Full Record in Web of Science" display="View Full Record in Web of Science"/>
    <hyperlink ref="BT142" r:id="rId_hyperlink_239" tooltip="View Full Record in Web of Science" display="View Full Record in Web of Science"/>
    <hyperlink ref="BF143" r:id="rId_hyperlink_240" tooltip="http://dx.doi.org/10.1051/matecconf/201712901013" display="http://dx.doi.org/10.1051/matecconf/201712901013"/>
    <hyperlink ref="BT143" r:id="rId_hyperlink_241" tooltip="View Full Record in Web of Science" display="View Full Record in Web of Science"/>
    <hyperlink ref="BT144" r:id="rId_hyperlink_242" tooltip="View Full Record in Web of Science" display="View Full Record in Web of Science"/>
    <hyperlink ref="BT145" r:id="rId_hyperlink_243" tooltip="View Full Record in Web of Science" display="View Full Record in Web of Science"/>
    <hyperlink ref="BF146" r:id="rId_hyperlink_244" tooltip="http://dx.doi.org/10.1007/978-3-319-41920-6_12" display="http://dx.doi.org/10.1007/978-3-319-41920-6_12"/>
    <hyperlink ref="BT146" r:id="rId_hyperlink_245" tooltip="View Full Record in Web of Science" display="View Full Record in Web of Science"/>
    <hyperlink ref="BF147" r:id="rId_hyperlink_246" tooltip="http://dx.doi.org/10.1007/978-3-319-33625-1_19" display="http://dx.doi.org/10.1007/978-3-319-33625-1_19"/>
    <hyperlink ref="BT147" r:id="rId_hyperlink_247" tooltip="View Full Record in Web of Science" display="View Full Record in Web of Science"/>
    <hyperlink ref="BT148" r:id="rId_hyperlink_248" tooltip="View Full Record in Web of Science" display="View Full Record in Web of Science"/>
    <hyperlink ref="BF149" r:id="rId_hyperlink_249" tooltip="http://dx.doi.org/10.1134/S0036024411030204" display="http://dx.doi.org/10.1134/S0036024411030204"/>
    <hyperlink ref="BT149" r:id="rId_hyperlink_250" tooltip="View Full Record in Web of Science" display="View Full Record in Web of Science"/>
    <hyperlink ref="BF150" r:id="rId_hyperlink_251" tooltip="http://dx.doi.org/10.12911/22998993/148148" display="http://dx.doi.org/10.12911/22998993/148148"/>
    <hyperlink ref="BT150" r:id="rId_hyperlink_252" tooltip="View Full Record in Web of Science" display="View Full Record in Web of Science"/>
    <hyperlink ref="BF151" r:id="rId_hyperlink_253" tooltip="http://dx.doi.org/10.1007/978-3-030-70194-9_33" display="http://dx.doi.org/10.1007/978-3-030-70194-9_33"/>
    <hyperlink ref="BT151" r:id="rId_hyperlink_254" tooltip="View Full Record in Web of Science" display="View Full Record in Web of Science"/>
    <hyperlink ref="BF152" r:id="rId_hyperlink_255" tooltip="http://dx.doi.org/10.17223/1998863X/50/6" display="http://dx.doi.org/10.17223/1998863X/50/6"/>
    <hyperlink ref="BT152" r:id="rId_hyperlink_256" tooltip="View Full Record in Web of Science" display="View Full Record in Web of Science"/>
    <hyperlink ref="BF153" r:id="rId_hyperlink_257" tooltip="http://dx.doi.org/10.3103/S0147688219020096" display="http://dx.doi.org/10.3103/S0147688219020096"/>
    <hyperlink ref="BT153" r:id="rId_hyperlink_258" tooltip="View Full Record in Web of Science" display="View Full Record in Web of Science"/>
    <hyperlink ref="BF154" r:id="rId_hyperlink_259" tooltip="http://dx.doi.org/10.3897/ap.1.e0698" display="http://dx.doi.org/10.3897/ap.1.e0698"/>
    <hyperlink ref="BT154" r:id="rId_hyperlink_260" tooltip="View Full Record in Web of Science" display="View Full Record in Web of Science"/>
    <hyperlink ref="BT155" r:id="rId_hyperlink_261" tooltip="View Full Record in Web of Science" display="View Full Record in Web of Science"/>
    <hyperlink ref="BT156" r:id="rId_hyperlink_262" tooltip="View Full Record in Web of Science" display="View Full Record in Web of Science"/>
    <hyperlink ref="BT157" r:id="rId_hyperlink_263" tooltip="View Full Record in Web of Science" display="View Full Record in Web of Science"/>
    <hyperlink ref="BF158" r:id="rId_hyperlink_264" tooltip="http://dx.doi.org/10.25750/1995-4301-2018-4-108-113" display="http://dx.doi.org/10.25750/1995-4301-2018-4-108-113"/>
    <hyperlink ref="BT158" r:id="rId_hyperlink_265" tooltip="View Full Record in Web of Science" display="View Full Record in Web of Science"/>
    <hyperlink ref="BF159" r:id="rId_hyperlink_266" tooltip="http://dx.doi.org/10.1134/S1064230715060106" display="http://dx.doi.org/10.1134/S1064230715060106"/>
    <hyperlink ref="BT159" r:id="rId_hyperlink_267" tooltip="View Full Record in Web of Science" display="View Full Record in Web of Science"/>
    <hyperlink ref="BT160" r:id="rId_hyperlink_268" tooltip="View Full Record in Web of Science" display="View Full Record in Web of Science"/>
    <hyperlink ref="BT161" r:id="rId_hyperlink_269" tooltip="View Full Record in Web of Science" display="View Full Record in Web of Science"/>
    <hyperlink ref="BF162" r:id="rId_hyperlink_270" tooltip="http://dx.doi.org/10.1134/S1070427212080101" display="http://dx.doi.org/10.1134/S1070427212080101"/>
    <hyperlink ref="BT162" r:id="rId_hyperlink_271" tooltip="View Full Record in Web of Science" display="View Full Record in Web of Science"/>
    <hyperlink ref="BT163" r:id="rId_hyperlink_272" tooltip="View Full Record in Web of Science" display="View Full Record in Web of Science"/>
    <hyperlink ref="BT164" r:id="rId_hyperlink_273" tooltip="View Full Record in Web of Science" display="View Full Record in Web of Science"/>
    <hyperlink ref="BT165" r:id="rId_hyperlink_274" tooltip="View Full Record in Web of Science" display="View Full Record in Web of Science"/>
    <hyperlink ref="BT166" r:id="rId_hyperlink_275" tooltip="View Full Record in Web of Science" display="View Full Record in Web of Science"/>
    <hyperlink ref="BF167" r:id="rId_hyperlink_276" tooltip="http://dx.doi.org/10.31166/VoprosyIstorii202106Statyi39" display="http://dx.doi.org/10.31166/VoprosyIstorii202106Statyi39"/>
    <hyperlink ref="BT167" r:id="rId_hyperlink_277" tooltip="View Full Record in Web of Science" display="View Full Record in Web of Science"/>
    <hyperlink ref="BF168" r:id="rId_hyperlink_278" tooltip="http://dx.doi.org/10.34910/MCE.107.7" display="http://dx.doi.org/10.34910/MCE.107.7"/>
    <hyperlink ref="BT168" r:id="rId_hyperlink_279" tooltip="View Full Record in Web of Science" display="View Full Record in Web of Science"/>
    <hyperlink ref="BF169" r:id="rId_hyperlink_280" tooltip="http://dx.doi.org/10.1007/978-3-030-39225-3_65" display="http://dx.doi.org/10.1007/978-3-030-39225-3_65"/>
    <hyperlink ref="BT169" r:id="rId_hyperlink_281" tooltip="View Full Record in Web of Science" display="View Full Record in Web of Science"/>
    <hyperlink ref="BF170" r:id="rId_hyperlink_282" tooltip="http://dx.doi.org/10.31166/VoprosyIstorii202006Statyi08" display="http://dx.doi.org/10.31166/VoprosyIstorii202006Statyi08"/>
    <hyperlink ref="BT170" r:id="rId_hyperlink_283" tooltip="View Full Record in Web of Science" display="View Full Record in Web of Science"/>
    <hyperlink ref="BF171" r:id="rId_hyperlink_284" tooltip="http://dx.doi.org/10.1088/1757-899X/971/3/032024" display="http://dx.doi.org/10.1088/1757-899X/971/3/032024"/>
    <hyperlink ref="BT171" r:id="rId_hyperlink_285" tooltip="View Full Record in Web of Science" display="View Full Record in Web of Science"/>
    <hyperlink ref="BF172" r:id="rId_hyperlink_286" tooltip="http://dx.doi.org/10.24411/2500-2872-2020-10030" display="http://dx.doi.org/10.24411/2500-2872-2020-10030"/>
    <hyperlink ref="BT172" r:id="rId_hyperlink_287" tooltip="View Full Record in Web of Science" display="View Full Record in Web of Science"/>
    <hyperlink ref="BF173" r:id="rId_hyperlink_288" tooltip="http://dx.doi.org/10.13187/ejced.2019.2.357" display="http://dx.doi.org/10.13187/ejced.2019.2.357"/>
    <hyperlink ref="BT173" r:id="rId_hyperlink_289" tooltip="View Full Record in Web of Science" display="View Full Record in Web of Science"/>
    <hyperlink ref="BF174" r:id="rId_hyperlink_290" tooltip="http://dx.doi.org/10.1007/978-3-030-37334-4_12" display="http://dx.doi.org/10.1007/978-3-030-37334-4_12"/>
    <hyperlink ref="BT174" r:id="rId_hyperlink_291" tooltip="View Full Record in Web of Science" display="View Full Record in Web of Science"/>
    <hyperlink ref="BF175" r:id="rId_hyperlink_292" tooltip="http://dx.doi.org/10.1134/S0869864319010074" display="http://dx.doi.org/10.1134/S0869864319010074"/>
    <hyperlink ref="BT175" r:id="rId_hyperlink_293" tooltip="View Full Record in Web of Science" display="View Full Record in Web of Science"/>
    <hyperlink ref="BT176" r:id="rId_hyperlink_294" tooltip="View Full Record in Web of Science" display="View Full Record in Web of Science"/>
    <hyperlink ref="BF177" r:id="rId_hyperlink_295" tooltip="http://dx.doi.org/10.1134/S0036029518080049" display="http://dx.doi.org/10.1134/S0036029518080049"/>
    <hyperlink ref="BT177" r:id="rId_hyperlink_296" tooltip="View Full Record in Web of Science" display="View Full Record in Web of Science"/>
    <hyperlink ref="BF178" r:id="rId_hyperlink_297" tooltip="http://dx.doi.org/10.22631/ijaep.v7i2.268" display="http://dx.doi.org/10.22631/ijaep.v7i2.268"/>
    <hyperlink ref="BT178" r:id="rId_hyperlink_298" tooltip="View Full Record in Web of Science" display="View Full Record in Web of Science"/>
    <hyperlink ref="BF179" r:id="rId_hyperlink_299" tooltip="http://dx.doi.org/10.17223/2312461X/19/9" display="http://dx.doi.org/10.17223/2312461X/19/9"/>
    <hyperlink ref="BT179" r:id="rId_hyperlink_300" tooltip="View Full Record in Web of Science" display="View Full Record in Web of Science"/>
    <hyperlink ref="BT180" r:id="rId_hyperlink_301" tooltip="View Full Record in Web of Science" display="View Full Record in Web of Science"/>
    <hyperlink ref="BT181" r:id="rId_hyperlink_302" tooltip="View Full Record in Web of Science" display="View Full Record in Web of Science"/>
    <hyperlink ref="BT182" r:id="rId_hyperlink_303" tooltip="View Full Record in Web of Science" display="View Full Record in Web of Science"/>
    <hyperlink ref="BF183" r:id="rId_hyperlink_304" tooltip="http://dx.doi.org/10.1088/1755-1315/41/1/012024" display="http://dx.doi.org/10.1088/1755-1315/41/1/012024"/>
    <hyperlink ref="BT183" r:id="rId_hyperlink_305" tooltip="View Full Record in Web of Science" display="View Full Record in Web of Science"/>
    <hyperlink ref="BT184" r:id="rId_hyperlink_306" tooltip="View Full Record in Web of Science" display="View Full Record in Web of Science"/>
    <hyperlink ref="BF185" r:id="rId_hyperlink_307" tooltip="http://dx.doi.org/10.1134/S0036024409030169" display="http://dx.doi.org/10.1134/S0036024409030169"/>
    <hyperlink ref="BT185" r:id="rId_hyperlink_308" tooltip="View Full Record in Web of Science" display="View Full Record in Web of Science"/>
    <hyperlink ref="BF186" r:id="rId_hyperlink_309" tooltip="http://dx.doi.org/10.1007/s11041-006-0113-z" display="http://dx.doi.org/10.1007/s11041-006-0113-z"/>
    <hyperlink ref="BT186" r:id="rId_hyperlink_310" tooltip="View Full Record in Web of Science" display="View Full Record in Web of Science"/>
    <hyperlink ref="BT187" r:id="rId_hyperlink_311" tooltip="View Full Record in Web of Science" display="View Full Record in Web of Science"/>
    <hyperlink ref="BT188" r:id="rId_hyperlink_312" tooltip="View Full Record in Web of Science" display="View Full Record in Web of Science"/>
    <hyperlink ref="BF189" r:id="rId_hyperlink_313" tooltip="http://dx.doi.org/10.15507/2658-4123.031.202103.349-363" display="http://dx.doi.org/10.15507/2658-4123.031.202103.349-363"/>
    <hyperlink ref="BT189" r:id="rId_hyperlink_314" tooltip="View Full Record in Web of Science" display="View Full Record in Web of Science"/>
    <hyperlink ref="BF190" r:id="rId_hyperlink_315" tooltip="http://dx.doi.org/10.1088/1757-899X/962/2/022047" display="http://dx.doi.org/10.1088/1757-899X/962/2/022047"/>
    <hyperlink ref="BT190" r:id="rId_hyperlink_316" tooltip="View Full Record in Web of Science" display="View Full Record in Web of Science"/>
    <hyperlink ref="BT191" r:id="rId_hyperlink_317" tooltip="View Full Record in Web of Science" display="View Full Record in Web of Science"/>
    <hyperlink ref="BF192" r:id="rId_hyperlink_318" tooltip="http://dx.doi.org/10.1108/OTH-07-2019-0041" display="http://dx.doi.org/10.1108/OTH-07-2019-0041"/>
    <hyperlink ref="BT192" r:id="rId_hyperlink_319" tooltip="View Full Record in Web of Science" display="View Full Record in Web of Science"/>
    <hyperlink ref="BF193" r:id="rId_hyperlink_320" tooltip="http://dx.doi.org/10.33186/1027-3689-2019-12-100-119" display="http://dx.doi.org/10.33186/1027-3689-2019-12-100-119"/>
    <hyperlink ref="BT193" r:id="rId_hyperlink_321" tooltip="View Full Record in Web of Science" display="View Full Record in Web of Science"/>
    <hyperlink ref="BT194" r:id="rId_hyperlink_322" tooltip="View Full Record in Web of Science" display="View Full Record in Web of Science"/>
    <hyperlink ref="BF195" r:id="rId_hyperlink_323" tooltip="http://dx.doi.org/10.17223/15617793/434/26" display="http://dx.doi.org/10.17223/15617793/434/26"/>
    <hyperlink ref="BT195" r:id="rId_hyperlink_324" tooltip="View Full Record in Web of Science" display="View Full Record in Web of Science"/>
    <hyperlink ref="BT196" r:id="rId_hyperlink_325" tooltip="View Full Record in Web of Science" display="View Full Record in Web of Science"/>
    <hyperlink ref="BF197" r:id="rId_hyperlink_326" tooltip="http://dx.doi.org/10.1007/978-3-030-01204-5_14" display="http://dx.doi.org/10.1007/978-3-030-01204-5_14"/>
    <hyperlink ref="BT197" r:id="rId_hyperlink_327" tooltip="View Full Record in Web of Science" display="View Full Record in Web of Science"/>
    <hyperlink ref="BF198" r:id="rId_hyperlink_328" tooltip="http://dx.doi.org/10.6060/tcct.20186104-05.5596" display="http://dx.doi.org/10.6060/tcct.20186104-05.5596"/>
    <hyperlink ref="BT198" r:id="rId_hyperlink_329" tooltip="View Full Record in Web of Science" display="View Full Record in Web of Science"/>
    <hyperlink ref="BF199" r:id="rId_hyperlink_330" tooltip="http://dx.doi.org/10.1007/978-3-319-67516-9_4" display="http://dx.doi.org/10.1007/978-3-319-67516-9_4"/>
    <hyperlink ref="BT199" r:id="rId_hyperlink_331" tooltip="View Full Record in Web of Science" display="View Full Record in Web of Science"/>
    <hyperlink ref="BF200" r:id="rId_hyperlink_332" tooltip="http://dx.doi.org/10.1088/1757-899X/451/1/012046" display="http://dx.doi.org/10.1088/1757-899X/451/1/012046"/>
    <hyperlink ref="BT200" r:id="rId_hyperlink_333" tooltip="View Full Record in Web of Science" display="View Full Record in Web of Science"/>
    <hyperlink ref="BT201" r:id="rId_hyperlink_334" tooltip="View Full Record in Web of Science" display="View Full Record in Web of Science"/>
    <hyperlink ref="BT202" r:id="rId_hyperlink_335" tooltip="View Full Record in Web of Science" display="View Full Record in Web of Science"/>
    <hyperlink ref="BF203" r:id="rId_hyperlink_336" tooltip="http://dx.doi.org/10.1134/S102319351505002X" display="http://dx.doi.org/10.1134/S102319351505002X"/>
    <hyperlink ref="BT203" r:id="rId_hyperlink_337" tooltip="View Full Record in Web of Science" display="View Full Record in Web of Science"/>
    <hyperlink ref="BT204" r:id="rId_hyperlink_338" tooltip="View Full Record in Web of Science" display="View Full Record in Web of Science"/>
    <hyperlink ref="BF205" r:id="rId_hyperlink_339" tooltip="http://dx.doi.org/10.1134/S1070427214080126" display="http://dx.doi.org/10.1134/S1070427214080126"/>
    <hyperlink ref="BT205" r:id="rId_hyperlink_340" tooltip="View Full Record in Web of Science" display="View Full Record in Web of Science"/>
    <hyperlink ref="BF206" r:id="rId_hyperlink_341" tooltip="http://dx.doi.org/10.1134/S107042720808020X" display="http://dx.doi.org/10.1134/S107042720808020X"/>
    <hyperlink ref="BT206" r:id="rId_hyperlink_342" tooltip="View Full Record in Web of Science" display="View Full Record in Web of Science"/>
    <hyperlink ref="BF207" r:id="rId_hyperlink_343" tooltip="http://dx.doi.org/10.1134/S004057950803007X" display="http://dx.doi.org/10.1134/S004057950803007X"/>
    <hyperlink ref="BT207" r:id="rId_hyperlink_344" tooltip="View Full Record in Web of Science" display="View Full Record in Web of Science"/>
    <hyperlink ref="BF208" r:id="rId_hyperlink_345" tooltip="http://dx.doi.org/10.1023/A:1023833111833" display="http://dx.doi.org/10.1023/A:1023833111833"/>
    <hyperlink ref="BT208" r:id="rId_hyperlink_346" tooltip="View Full Record in Web of Science" display="View Full Record in Web of Science"/>
    <hyperlink ref="BT209" r:id="rId_hyperlink_347" tooltip="View Full Record in Web of Science" display="View Full Record in Web of Science"/>
    <hyperlink ref="BF210" r:id="rId_hyperlink_348" tooltip="http://dx.doi.org/10.1134/S0001434622090061" display="http://dx.doi.org/10.1134/S0001434622090061"/>
    <hyperlink ref="BT210" r:id="rId_hyperlink_349" tooltip="View Full Record in Web of Science" display="View Full Record in Web of Science"/>
    <hyperlink ref="BF211" r:id="rId_hyperlink_350" tooltip="http://dx.doi.org/10.1007/978-3-030-93244-2_78" display="http://dx.doi.org/10.1007/978-3-030-93244-2_78"/>
    <hyperlink ref="BT211" r:id="rId_hyperlink_351" tooltip="View Full Record in Web of Science" display="View Full Record in Web of Science"/>
    <hyperlink ref="BF212" r:id="rId_hyperlink_352" tooltip="http://dx.doi.org/10.15211/soveurope320212737" display="http://dx.doi.org/10.15211/soveurope320212737"/>
    <hyperlink ref="BT212" r:id="rId_hyperlink_353" tooltip="View Full Record in Web of Science" display="View Full Record in Web of Science"/>
    <hyperlink ref="BF213" r:id="rId_hyperlink_354" tooltip="http://dx.doi.org/10.22363/2312-8674-2021-20-1-108-124" display="http://dx.doi.org/10.22363/2312-8674-2021-20-1-108-124"/>
    <hyperlink ref="BT213" r:id="rId_hyperlink_355" tooltip="View Full Record in Web of Science" display="View Full Record in Web of Science"/>
    <hyperlink ref="BF214" r:id="rId_hyperlink_356" tooltip="http://dx.doi.org/10.25750/1995-4301-2021-1-181-187" display="http://dx.doi.org/10.25750/1995-4301-2021-1-181-187"/>
    <hyperlink ref="BT214" r:id="rId_hyperlink_357" tooltip="View Full Record in Web of Science" display="View Full Record in Web of Science"/>
    <hyperlink ref="BF215" r:id="rId_hyperlink_358" tooltip="http://dx.doi.org/10.3897/ap.2.e1227" display="http://dx.doi.org/10.3897/ap.2.e1227"/>
    <hyperlink ref="BT215" r:id="rId_hyperlink_359" tooltip="View Full Record in Web of Science" display="View Full Record in Web of Science"/>
    <hyperlink ref="BF216" r:id="rId_hyperlink_360" tooltip="http://dx.doi.org/10.24874/IJQR14.01-07" display="http://dx.doi.org/10.24874/IJQR14.01-07"/>
    <hyperlink ref="BT216" r:id="rId_hyperlink_361" tooltip="View Full Record in Web of Science" display="View Full Record in Web of Science"/>
    <hyperlink ref="BF217" r:id="rId_hyperlink_362" tooltip="http://dx.doi.org/10.1108/OTH-07-2019-0042" display="http://dx.doi.org/10.1108/OTH-07-2019-0042"/>
    <hyperlink ref="BT217" r:id="rId_hyperlink_363" tooltip="View Full Record in Web of Science" display="View Full Record in Web of Science"/>
    <hyperlink ref="BT218" r:id="rId_hyperlink_364" tooltip="View Full Record in Web of Science" display="View Full Record in Web of Science"/>
    <hyperlink ref="BT219" r:id="rId_hyperlink_365" tooltip="View Full Record in Web of Science" display="View Full Record in Web of Science"/>
    <hyperlink ref="BF220" r:id="rId_hyperlink_366" tooltip="http://dx.doi.org/10.18720/MCE.91.8" display="http://dx.doi.org/10.18720/MCE.91.8"/>
    <hyperlink ref="BT220" r:id="rId_hyperlink_367" tooltip="View Full Record in Web of Science" display="View Full Record in Web of Science"/>
    <hyperlink ref="BT221" r:id="rId_hyperlink_368" tooltip="View Full Record in Web of Science" display="View Full Record in Web of Science"/>
    <hyperlink ref="BT222" r:id="rId_hyperlink_369" tooltip="View Full Record in Web of Science" display="View Full Record in Web of Science"/>
    <hyperlink ref="BT223" r:id="rId_hyperlink_370" tooltip="View Full Record in Web of Science" display="View Full Record in Web of Science"/>
    <hyperlink ref="BF224" r:id="rId_hyperlink_371" tooltip="http://dx.doi.org/10.17072/2219-3111-2018-4-107-116" display="http://dx.doi.org/10.17072/2219-3111-2018-4-107-116"/>
    <hyperlink ref="BT224" r:id="rId_hyperlink_372" tooltip="View Full Record in Web of Science" display="View Full Record in Web of Science"/>
    <hyperlink ref="BT225" r:id="rId_hyperlink_373" tooltip="View Full Record in Web of Science" display="View Full Record in Web of Science"/>
    <hyperlink ref="BT226" r:id="rId_hyperlink_374" tooltip="View Full Record in Web of Science" display="View Full Record in Web of Science"/>
    <hyperlink ref="BF227" r:id="rId_hyperlink_375" tooltip="http://dx.doi.org/10.1051/matecconf/201710608012" display="http://dx.doi.org/10.1051/matecconf/201710608012"/>
    <hyperlink ref="BT227" r:id="rId_hyperlink_376" tooltip="View Full Record in Web of Science" display="View Full Record in Web of Science"/>
    <hyperlink ref="BF228" r:id="rId_hyperlink_377" tooltip="http://dx.doi.org/10.15405/epsbs.2017.08.02.64" display="http://dx.doi.org/10.15405/epsbs.2017.08.02.64"/>
    <hyperlink ref="BT228" r:id="rId_hyperlink_378" tooltip="View Full Record in Web of Science" display="View Full Record in Web of Science"/>
    <hyperlink ref="BT229" r:id="rId_hyperlink_379" tooltip="View Full Record in Web of Science" display="View Full Record in Web of Science"/>
    <hyperlink ref="BF230" r:id="rId_hyperlink_380" tooltip="http://dx.doi.org/10.1134/S1087659612040025" display="http://dx.doi.org/10.1134/S1087659612040025"/>
    <hyperlink ref="BT230" r:id="rId_hyperlink_381" tooltip="View Full Record in Web of Science" display="View Full Record in Web of Science"/>
    <hyperlink ref="BF231" r:id="rId_hyperlink_382" tooltip="http://dx.doi.org/10.1134/S1087659611060095" display="http://dx.doi.org/10.1134/S1087659611060095"/>
    <hyperlink ref="BT231" r:id="rId_hyperlink_383" tooltip="View Full Record in Web of Science" display="View Full Record in Web of Science"/>
    <hyperlink ref="BF232" r:id="rId_hyperlink_384" tooltip="http://dx.doi.org/10.1134/S0036024409030170" display="http://dx.doi.org/10.1134/S0036024409030170"/>
    <hyperlink ref="BT232" r:id="rId_hyperlink_385" tooltip="View Full Record in Web of Science" display="View Full Record in Web of Science"/>
    <hyperlink ref="BF233" r:id="rId_hyperlink_386" tooltip="http://dx.doi.org/10.1134/S1070427208020080" display="http://dx.doi.org/10.1134/S1070427208020080"/>
    <hyperlink ref="BT233" r:id="rId_hyperlink_387" tooltip="View Full Record in Web of Science" display="View Full Record in Web of Science"/>
    <hyperlink ref="BT234" r:id="rId_hyperlink_388" tooltip="View Full Record in Web of Science" display="View Full Record in Web of Science"/>
    <hyperlink ref="BT235" r:id="rId_hyperlink_389" tooltip="View Full Record in Web of Science" display="View Full Record in Web of Science"/>
    <hyperlink ref="BF236" r:id="rId_hyperlink_390" tooltip="http://dx.doi.org/10.31166/VoprosyIstorii202212Statyi52" display="http://dx.doi.org/10.31166/VoprosyIstorii202212Statyi52"/>
    <hyperlink ref="BT236" r:id="rId_hyperlink_391" tooltip="View Full Record in Web of Science" display="View Full Record in Web of Science"/>
    <hyperlink ref="BF237" r:id="rId_hyperlink_392" tooltip="http://dx.doi.org/10.25750/1995-4301-2022-2-165-172" display="http://dx.doi.org/10.25750/1995-4301-2022-2-165-172"/>
    <hyperlink ref="BT237" r:id="rId_hyperlink_393" tooltip="View Full Record in Web of Science" display="View Full Record in Web of Science"/>
    <hyperlink ref="BF238" r:id="rId_hyperlink_394" tooltip="http://dx.doi.org/10.24224/2227-1295-2021-12-396-412" display="http://dx.doi.org/10.24224/2227-1295-2021-12-396-412"/>
    <hyperlink ref="BT238" r:id="rId_hyperlink_395" tooltip="View Full Record in Web of Science" display="View Full Record in Web of Science"/>
    <hyperlink ref="BF239" r:id="rId_hyperlink_396" tooltip="http://dx.doi.org/10.21638/11701/spbu02.2021.114" display="http://dx.doi.org/10.21638/11701/spbu02.2021.114"/>
    <hyperlink ref="BT239" r:id="rId_hyperlink_397" tooltip="View Full Record in Web of Science" display="View Full Record in Web of Science"/>
    <hyperlink ref="BF240" r:id="rId_hyperlink_398" tooltip="http://dx.doi.org/10.15826/qr.2021.4.651" display="http://dx.doi.org/10.15826/qr.2021.4.651"/>
    <hyperlink ref="BT240" r:id="rId_hyperlink_399" tooltip="View Full Record in Web of Science" display="View Full Record in Web of Science"/>
    <hyperlink ref="BF241" r:id="rId_hyperlink_400" tooltip="http://dx.doi.org/10.18254/S207987840017862-7" display="http://dx.doi.org/10.18254/S207987840017862-7"/>
    <hyperlink ref="BT241" r:id="rId_hyperlink_401" tooltip="View Full Record in Web of Science" display="View Full Record in Web of Science"/>
    <hyperlink ref="BF242" r:id="rId_hyperlink_402" tooltip="http://dx.doi.org/10.24224/2227-1295-2020-5-171-191" display="http://dx.doi.org/10.24224/2227-1295-2020-5-171-191"/>
    <hyperlink ref="BT242" r:id="rId_hyperlink_403" tooltip="View Full Record in Web of Science" display="View Full Record in Web of Science"/>
    <hyperlink ref="BF243" r:id="rId_hyperlink_404" tooltip="http://dx.doi.org/10.17072/2219-3111-2020-3-118-127" display="http://dx.doi.org/10.17072/2219-3111-2020-3-118-127"/>
    <hyperlink ref="BT243" r:id="rId_hyperlink_405" tooltip="View Full Record in Web of Science" display="View Full Record in Web of Science"/>
    <hyperlink ref="BF244" r:id="rId_hyperlink_406" tooltip="http://dx.doi.org/10.1108/OTH-07-2019-0039" display="http://dx.doi.org/10.1108/OTH-07-2019-0039"/>
    <hyperlink ref="BT244" r:id="rId_hyperlink_407" tooltip="View Full Record in Web of Science" display="View Full Record in Web of Science"/>
    <hyperlink ref="BF245" r:id="rId_hyperlink_408" tooltip="http://dx.doi.org/10.30472/ijaep.v8i1.303" display="http://dx.doi.org/10.30472/ijaep.v8i1.303"/>
    <hyperlink ref="BT245" r:id="rId_hyperlink_409" tooltip="View Full Record in Web of Science" display="View Full Record in Web of Science"/>
    <hyperlink ref="BF246" r:id="rId_hyperlink_410" tooltip="http://dx.doi.org/10.28995/2073-0101-2019-2-458-466" display="http://dx.doi.org/10.28995/2073-0101-2019-2-458-466"/>
    <hyperlink ref="BT246" r:id="rId_hyperlink_411" tooltip="View Full Record in Web of Science" display="View Full Record in Web of Science"/>
    <hyperlink ref="BF247" r:id="rId_hyperlink_412" tooltip="http://dx.doi.org/10.17223/19986645/51/13" display="http://dx.doi.org/10.17223/19986645/51/13"/>
    <hyperlink ref="BT247" r:id="rId_hyperlink_413" tooltip="View Full Record in Web of Science" display="View Full Record in Web of Science"/>
    <hyperlink ref="BF248" r:id="rId_hyperlink_414" tooltip="http://dx.doi.org/10.17323/2072-8166.2018.4.196.215" display="http://dx.doi.org/10.17323/2072-8166.2018.4.196.215"/>
    <hyperlink ref="BT248" r:id="rId_hyperlink_415" tooltip="View Full Record in Web of Science" display="View Full Record in Web of Science"/>
    <hyperlink ref="BF249" r:id="rId_hyperlink_416" tooltip="http://dx.doi.org/10.1134/S0965544117110068" display="http://dx.doi.org/10.1134/S0965544117110068"/>
    <hyperlink ref="BT249" r:id="rId_hyperlink_417" tooltip="View Full Record in Web of Science" display="View Full Record in Web of Science"/>
    <hyperlink ref="BT250" r:id="rId_hyperlink_418" tooltip="View Full Record in Web of Science" display="View Full Record in Web of Science"/>
    <hyperlink ref="BT251" r:id="rId_hyperlink_419" tooltip="View Full Record in Web of Science" display="View Full Record in Web of Science"/>
    <hyperlink ref="BT252" r:id="rId_hyperlink_420" tooltip="View Full Record in Web of Science" display="View Full Record in Web of Science"/>
    <hyperlink ref="BT253" r:id="rId_hyperlink_421" tooltip="View Full Record in Web of Science" display="View Full Record in Web of Science"/>
    <hyperlink ref="BF254" r:id="rId_hyperlink_422" tooltip="http://dx.doi.org/10.1007/s11236-005-0083-7" display="http://dx.doi.org/10.1007/s11236-005-0083-7"/>
    <hyperlink ref="BT254" r:id="rId_hyperlink_423" tooltip="View Full Record in Web of Science" display="View Full Record in Web of Science"/>
    <hyperlink ref="BT255" r:id="rId_hyperlink_424" tooltip="View Full Record in Web of Science" display="View Full Record in Web of Science"/>
    <hyperlink ref="BF256" r:id="rId_hyperlink_425" tooltip="http://dx.doi.org/10.34910/MCE.117.13" display="http://dx.doi.org/10.34910/MCE.117.13"/>
    <hyperlink ref="BT256" r:id="rId_hyperlink_426" tooltip="View Full Record in Web of Science" display="View Full Record in Web of Science"/>
    <hyperlink ref="BF257" r:id="rId_hyperlink_427" tooltip="http://dx.doi.org/10.1016/j.micpro.2022.104529" display="http://dx.doi.org/10.1016/j.micpro.2022.104529"/>
    <hyperlink ref="BT257" r:id="rId_hyperlink_428" tooltip="View Full Record in Web of Science" display="View Full Record in Web of Science"/>
    <hyperlink ref="BF258" r:id="rId_hyperlink_429" tooltip="http://dx.doi.org/10.1134/S0001434622030191" display="http://dx.doi.org/10.1134/S0001434622030191"/>
    <hyperlink ref="BT258" r:id="rId_hyperlink_430" tooltip="View Full Record in Web of Science" display="View Full Record in Web of Science"/>
    <hyperlink ref="BF259" r:id="rId_hyperlink_431" tooltip="http://dx.doi.org/10.17072/2219-3111-2022-1-163-171" display="http://dx.doi.org/10.17072/2219-3111-2022-1-163-171"/>
    <hyperlink ref="BT259" r:id="rId_hyperlink_432" tooltip="View Full Record in Web of Science" display="View Full Record in Web of Science"/>
    <hyperlink ref="BF260" r:id="rId_hyperlink_433" tooltip="http://dx.doi.org/10.25750/1995-4301-2021-2-229-234" display="http://dx.doi.org/10.25750/1995-4301-2021-2-229-234"/>
    <hyperlink ref="BT260" r:id="rId_hyperlink_434" tooltip="View Full Record in Web of Science" display="View Full Record in Web of Science"/>
    <hyperlink ref="BF261" r:id="rId_hyperlink_435" tooltip="http://dx.doi.org/10.1007/978-3-030-70194-9_34" display="http://dx.doi.org/10.1007/978-3-030-70194-9_34"/>
    <hyperlink ref="BT261" r:id="rId_hyperlink_436" tooltip="View Full Record in Web of Science" display="View Full Record in Web of Science"/>
    <hyperlink ref="BF262" r:id="rId_hyperlink_437" tooltip="http://dx.doi.org/10.13187/ejced.2020.3.529" display="http://dx.doi.org/10.13187/ejced.2020.3.529"/>
    <hyperlink ref="BT262" r:id="rId_hyperlink_438" tooltip="View Full Record in Web of Science" display="View Full Record in Web of Science"/>
    <hyperlink ref="BT263" r:id="rId_hyperlink_439" tooltip="View Full Record in Web of Science" display="View Full Record in Web of Science"/>
    <hyperlink ref="BF264" r:id="rId_hyperlink_440" tooltip="http://dx.doi.org/10.20952/revtee.v12i31.11888" display="http://dx.doi.org/10.20952/revtee.v12i31.11888"/>
    <hyperlink ref="BT264" r:id="rId_hyperlink_441" tooltip="View Full Record in Web of Science" display="View Full Record in Web of Science"/>
    <hyperlink ref="BF265" r:id="rId_hyperlink_442" tooltip="http://dx.doi.org/10.31901/24566322.2019/26.1-3.1083" display="http://dx.doi.org/10.31901/24566322.2019/26.1-3.1083"/>
    <hyperlink ref="BT265" r:id="rId_hyperlink_443" tooltip="View Full Record in Web of Science" display="View Full Record in Web of Science"/>
    <hyperlink ref="BF266" r:id="rId_hyperlink_444" tooltip="http://dx.doi.org/10.1051/e3sconf/201911002021" display="http://dx.doi.org/10.1051/e3sconf/201911002021"/>
    <hyperlink ref="BT266" r:id="rId_hyperlink_445" tooltip="View Full Record in Web of Science" display="View Full Record in Web of Science"/>
    <hyperlink ref="BT267" r:id="rId_hyperlink_446" tooltip="View Full Record in Web of Science" display="View Full Record in Web of Science"/>
    <hyperlink ref="BF268" r:id="rId_hyperlink_447" tooltip="http://dx.doi.org/10.18720/MCE.85.9" display="http://dx.doi.org/10.18720/MCE.85.9"/>
    <hyperlink ref="BT268" r:id="rId_hyperlink_448" tooltip="View Full Record in Web of Science" display="View Full Record in Web of Science"/>
    <hyperlink ref="BF269" r:id="rId_hyperlink_449" tooltip="http://dx.doi.org/10.15826/qr.2019.4.441" display="http://dx.doi.org/10.15826/qr.2019.4.441"/>
    <hyperlink ref="BT269" r:id="rId_hyperlink_450" tooltip="View Full Record in Web of Science" display="View Full Record in Web of Science"/>
    <hyperlink ref="BF270" r:id="rId_hyperlink_451" tooltip="http://dx.doi.org/10.17223/23062061/16/7" display="http://dx.doi.org/10.17223/23062061/16/7"/>
    <hyperlink ref="BT270" r:id="rId_hyperlink_452" tooltip="View Full Record in Web of Science" display="View Full Record in Web of Science"/>
    <hyperlink ref="BT271" r:id="rId_hyperlink_453" tooltip="View Full Record in Web of Science" display="View Full Record in Web of Science"/>
    <hyperlink ref="BT272" r:id="rId_hyperlink_454" tooltip="View Full Record in Web of Science" display="View Full Record in Web of Science"/>
    <hyperlink ref="BF273" r:id="rId_hyperlink_455" tooltip="http://dx.doi.org/10.1088/1742-6596/891/1/012226" display="http://dx.doi.org/10.1088/1742-6596/891/1/012226"/>
    <hyperlink ref="BT273" r:id="rId_hyperlink_456" tooltip="View Full Record in Web of Science" display="View Full Record in Web of Science"/>
    <hyperlink ref="BF274" r:id="rId_hyperlink_457" tooltip="http://dx.doi.org/10.1007/978-3-319-60696-5_1" display="http://dx.doi.org/10.1007/978-3-319-60696-5_1"/>
    <hyperlink ref="BT274" r:id="rId_hyperlink_458" tooltip="View Full Record in Web of Science" display="View Full Record in Web of Science"/>
    <hyperlink ref="BT275" r:id="rId_hyperlink_459" tooltip="View Full Record in Web of Science" display="View Full Record in Web of Science"/>
    <hyperlink ref="BF276" r:id="rId_hyperlink_460" tooltip="http://dx.doi.org/10.1134/S199542551505011X" display="http://dx.doi.org/10.1134/S199542551505011X"/>
    <hyperlink ref="BT276" r:id="rId_hyperlink_461" tooltip="View Full Record in Web of Science" display="View Full Record in Web of Science"/>
    <hyperlink ref="BT277" r:id="rId_hyperlink_462" tooltip="View Full Record in Web of Science" display="View Full Record in Web of Science"/>
    <hyperlink ref="BT278" r:id="rId_hyperlink_463" tooltip="View Full Record in Web of Science" display="View Full Record in Web of Science"/>
    <hyperlink ref="BT279" r:id="rId_hyperlink_464" tooltip="View Full Record in Web of Science" display="View Full Record in Web of Science"/>
    <hyperlink ref="BF280" r:id="rId_hyperlink_465" tooltip="http://dx.doi.org/10.1007/s11236-005-0112-6" display="http://dx.doi.org/10.1007/s11236-005-0112-6"/>
    <hyperlink ref="BT280" r:id="rId_hyperlink_466" tooltip="View Full Record in Web of Science" display="View Full Record in Web of Science"/>
    <hyperlink ref="BT281" r:id="rId_hyperlink_467" tooltip="View Full Record in Web of Science" display="View Full Record in Web of Science"/>
    <hyperlink ref="BT282" r:id="rId_hyperlink_468" tooltip="View Full Record in Web of Science" display="View Full Record in Web of Science"/>
    <hyperlink ref="BT283" r:id="rId_hyperlink_469" tooltip="View Full Record in Web of Science" display="View Full Record in Web of Science"/>
    <hyperlink ref="BF284" r:id="rId_hyperlink_470" tooltip="http://dx.doi.org/10.1134/S0040601523010044" display="http://dx.doi.org/10.1134/S0040601523010044"/>
    <hyperlink ref="BT284" r:id="rId_hyperlink_471" tooltip="View Full Record in Web of Science" display="View Full Record in Web of Science"/>
    <hyperlink ref="BF285" r:id="rId_hyperlink_472" tooltip="http://dx.doi.org/10.54770/20729286_2023_1_50" display="http://dx.doi.org/10.54770/20729286_2023_1_50"/>
    <hyperlink ref="BT285" r:id="rId_hyperlink_473" tooltip="View Full Record in Web of Science" display="View Full Record in Web of Science"/>
    <hyperlink ref="BF286" r:id="rId_hyperlink_474" tooltip="http://dx.doi.org/10.25750/1995-4301-2022-3-034-040" display="http://dx.doi.org/10.25750/1995-4301-2022-3-034-040"/>
    <hyperlink ref="BT286" r:id="rId_hyperlink_475" tooltip="View Full Record in Web of Science" display="View Full Record in Web of Science"/>
    <hyperlink ref="BF287" r:id="rId_hyperlink_476" tooltip="http://dx.doi.org/10.17150/2500-4255.2022.16(2).257-267" display="http://dx.doi.org/10.17150/2500-4255.2022.16(2).257-267"/>
    <hyperlink ref="BT287" r:id="rId_hyperlink_477" tooltip="View Full Record in Web of Science" display="View Full Record in Web of Science"/>
    <hyperlink ref="BF288" r:id="rId_hyperlink_478" tooltip="http://dx.doi.org/10.21638/11701/spbu24.2022.106" display="http://dx.doi.org/10.21638/11701/spbu24.2022.106"/>
    <hyperlink ref="BT288" r:id="rId_hyperlink_479" tooltip="View Full Record in Web of Science" display="View Full Record in Web of Science"/>
    <hyperlink ref="BF289" r:id="rId_hyperlink_480" tooltip="http://dx.doi.org/10.31166/VoprosyIstorii202005Statyi06" display="http://dx.doi.org/10.31166/VoprosyIstorii202005Statyi06"/>
    <hyperlink ref="BT289" r:id="rId_hyperlink_481" tooltip="View Full Record in Web of Science" display="View Full Record in Web of Science"/>
    <hyperlink ref="BF290" r:id="rId_hyperlink_482" tooltip="http://dx.doi.org/10.24874/IJQR14.02-13" display="http://dx.doi.org/10.24874/IJQR14.02-13"/>
    <hyperlink ref="BT290" r:id="rId_hyperlink_483" tooltip="View Full Record in Web of Science" display="View Full Record in Web of Science"/>
    <hyperlink ref="BF291" r:id="rId_hyperlink_484" tooltip="http://dx.doi.org/10.17223/15617793/450/2" display="http://dx.doi.org/10.17223/15617793/450/2"/>
    <hyperlink ref="BT291" r:id="rId_hyperlink_485" tooltip="View Full Record in Web of Science" display="View Full Record in Web of Science"/>
    <hyperlink ref="BF292" r:id="rId_hyperlink_486" tooltip="http://dx.doi.org/10.24833/2071-8160-2020-1-70-56-81" display="http://dx.doi.org/10.24833/2071-8160-2020-1-70-56-81"/>
    <hyperlink ref="BT292" r:id="rId_hyperlink_487" tooltip="View Full Record in Web of Science" display="View Full Record in Web of Science"/>
    <hyperlink ref="BF293" r:id="rId_hyperlink_488" tooltip="http://dx.doi.org/10.15507/2658-4123.029.201903.383-395" display="http://dx.doi.org/10.15507/2658-4123.029.201903.383-395"/>
    <hyperlink ref="BT293" r:id="rId_hyperlink_489" tooltip="View Full Record in Web of Science" display="View Full Record in Web of Science"/>
    <hyperlink ref="BF294" r:id="rId_hyperlink_490" tooltip="http://dx.doi.org/10.5281/zenodo.1343404" display="http://dx.doi.org/10.5281/zenodo.1343404"/>
    <hyperlink ref="BT294" r:id="rId_hyperlink_491" tooltip="View Full Record in Web of Science" display="View Full Record in Web of Science"/>
    <hyperlink ref="BF295" r:id="rId_hyperlink_492" tooltip="http://dx.doi.org/10.1088/1742-6596/1058/1/012017" display="http://dx.doi.org/10.1088/1742-6596/1058/1/012017"/>
    <hyperlink ref="BT295" r:id="rId_hyperlink_493" tooltip="View Full Record in Web of Science" display="View Full Record in Web of Science"/>
    <hyperlink ref="BF296" r:id="rId_hyperlink_494" tooltip="http://dx.doi.org/10.1080/09668136.2017.1371496" display="http://dx.doi.org/10.1080/09668136.2017.1371496"/>
    <hyperlink ref="BT296" r:id="rId_hyperlink_495" tooltip="View Full Record in Web of Science" display="View Full Record in Web of Science"/>
    <hyperlink ref="BT297" r:id="rId_hyperlink_496" tooltip="View Full Record in Web of Science" display="View Full Record in Web of Science"/>
    <hyperlink ref="BF298" r:id="rId_hyperlink_497" tooltip="http://dx.doi.org/10.1134/S1023193515060129" display="http://dx.doi.org/10.1134/S1023193515060129"/>
    <hyperlink ref="BT298" r:id="rId_hyperlink_498" tooltip="View Full Record in Web of Science" display="View Full Record in Web of Science"/>
    <hyperlink ref="BF299" r:id="rId_hyperlink_499" tooltip="http://dx.doi.org/10.1134/S1023193511050053" display="http://dx.doi.org/10.1134/S1023193511050053"/>
    <hyperlink ref="BT299" r:id="rId_hyperlink_500" tooltip="View Full Record in Web of Science" display="View Full Record in Web of Science"/>
    <hyperlink ref="BF300" r:id="rId_hyperlink_501" tooltip="http://dx.doi.org/10.1134/S1087659609030158" display="http://dx.doi.org/10.1134/S1087659609030158"/>
    <hyperlink ref="BT300" r:id="rId_hyperlink_502" tooltip="View Full Record in Web of Science" display="View Full Record in Web of Science"/>
    <hyperlink ref="BT301" r:id="rId_hyperlink_503" tooltip="View Full Record in Web of Science" display="View Full Record in Web of Science"/>
    <hyperlink ref="BT302" r:id="rId_hyperlink_504" tooltip="View Full Record in Web of Science" display="View Full Record in Web of Science"/>
    <hyperlink ref="BF303" r:id="rId_hyperlink_505" tooltip="http://dx.doi.org/10.17853/1994-5639-2023-5-49-76" display="http://dx.doi.org/10.17853/1994-5639-2023-5-49-76"/>
    <hyperlink ref="BT303" r:id="rId_hyperlink_506" tooltip="View Full Record in Web of Science" display="View Full Record in Web of Science"/>
    <hyperlink ref="BF304" r:id="rId_hyperlink_507" tooltip="http://dx.doi.org/10.17150/2500-1442.2023.17(1).22-34" display="http://dx.doi.org/10.17150/2500-1442.2023.17(1).22-34"/>
    <hyperlink ref="BT304" r:id="rId_hyperlink_508" tooltip="View Full Record in Web of Science" display="View Full Record in Web of Science"/>
    <hyperlink ref="BF305" r:id="rId_hyperlink_509" tooltip="http://dx.doi.org/10.15405/epsbs.2021.04.91" display="http://dx.doi.org/10.15405/epsbs.2021.04.91"/>
    <hyperlink ref="BT305" r:id="rId_hyperlink_510" tooltip="View Full Record in Web of Science" display="View Full Record in Web of Science"/>
    <hyperlink ref="BF306" r:id="rId_hyperlink_511" tooltip="http://dx.doi.org/10.18254/S207987840016048-1" display="http://dx.doi.org/10.18254/S207987840016048-1"/>
    <hyperlink ref="BT306" r:id="rId_hyperlink_512" tooltip="View Full Record in Web of Science" display="View Full Record in Web of Science"/>
    <hyperlink ref="BF307" r:id="rId_hyperlink_513" tooltip="http://dx.doi.org/10.16926/par.2020.08.06" display="http://dx.doi.org/10.16926/par.2020.08.06"/>
    <hyperlink ref="BT307" r:id="rId_hyperlink_514" tooltip="View Full Record in Web of Science" display="View Full Record in Web of Science"/>
    <hyperlink ref="BF308" r:id="rId_hyperlink_515" tooltip="http://dx.doi.org/10.13187/me.2020.3.549" display="http://dx.doi.org/10.13187/me.2020.3.549"/>
    <hyperlink ref="BT308" r:id="rId_hyperlink_516" tooltip="View Full Record in Web of Science" display="View Full Record in Web of Science"/>
    <hyperlink ref="BT309" r:id="rId_hyperlink_517" tooltip="View Full Record in Web of Science" display="View Full Record in Web of Science"/>
    <hyperlink ref="BF310" r:id="rId_hyperlink_518" tooltip="http://dx.doi.org/10.1590/1806-9282.65.2.211" display="http://dx.doi.org/10.1590/1806-9282.65.2.211"/>
    <hyperlink ref="BT310" r:id="rId_hyperlink_519" tooltip="View Full Record in Web of Science" display="View Full Record in Web of Science"/>
    <hyperlink ref="BT311" r:id="rId_hyperlink_520" tooltip="View Full Record in Web of Science" display="View Full Record in Web of Science"/>
    <hyperlink ref="BT312" r:id="rId_hyperlink_521" tooltip="View Full Record in Web of Science" display="View Full Record in Web of Science"/>
    <hyperlink ref="BT313" r:id="rId_hyperlink_522" tooltip="View Full Record in Web of Science" display="View Full Record in Web of Science"/>
    <hyperlink ref="BF314" r:id="rId_hyperlink_523" tooltip="http://dx.doi.org/10.1134/S0036029518020076" display="http://dx.doi.org/10.1134/S0036029518020076"/>
    <hyperlink ref="BT314" r:id="rId_hyperlink_524" tooltip="View Full Record in Web of Science" display="View Full Record in Web of Science"/>
    <hyperlink ref="BF315" r:id="rId_hyperlink_525" tooltip="http://dx.doi.org/10.1134/S1023193517070059" display="http://dx.doi.org/10.1134/S1023193517070059"/>
    <hyperlink ref="BT315" r:id="rId_hyperlink_526" tooltip="View Full Record in Web of Science" display="View Full Record in Web of Science"/>
    <hyperlink ref="BF316" r:id="rId_hyperlink_527" tooltip="http://dx.doi.org/10.1088/1757-899X/262/1/012010" display="http://dx.doi.org/10.1088/1757-899X/262/1/012010"/>
    <hyperlink ref="BT316" r:id="rId_hyperlink_528" tooltip="View Full Record in Web of Science" display="View Full Record in Web of Science"/>
    <hyperlink ref="BT317" r:id="rId_hyperlink_529" tooltip="View Full Record in Web of Science" display="View Full Record in Web of Science"/>
    <hyperlink ref="BF318" r:id="rId_hyperlink_530" tooltip="http://dx.doi.org/10.1504/IJDMB.2014.060049" display="http://dx.doi.org/10.1504/IJDMB.2014.060049"/>
    <hyperlink ref="BT318" r:id="rId_hyperlink_531" tooltip="View Full Record in Web of Science" display="View Full Record in Web of Science"/>
    <hyperlink ref="BF319" r:id="rId_hyperlink_532" tooltip="http://dx.doi.org/10.1134/S102319351308003X" display="http://dx.doi.org/10.1134/S102319351308003X"/>
    <hyperlink ref="BT319" r:id="rId_hyperlink_533" tooltip="View Full Record in Web of Science" display="View Full Record in Web of Science"/>
    <hyperlink ref="BF320" r:id="rId_hyperlink_534" tooltip="http://dx.doi.org/10.1134/S1070427211090278" display="http://dx.doi.org/10.1134/S1070427211090278"/>
    <hyperlink ref="BT320" r:id="rId_hyperlink_535" tooltip="View Full Record in Web of Science" display="View Full Record in Web of Science"/>
    <hyperlink ref="BF321" r:id="rId_hyperlink_536" tooltip="http://dx.doi.org/10.1023/A:1015564806467" display="http://dx.doi.org/10.1023/A:1015564806467"/>
    <hyperlink ref="BT321" r:id="rId_hyperlink_537" tooltip="View Full Record in Web of Science" display="View Full Record in Web of Science"/>
    <hyperlink ref="BF322" r:id="rId_hyperlink_538" tooltip="http://dx.doi.org/10.1007/BF01395646" display="http://dx.doi.org/10.1007/BF01395646"/>
    <hyperlink ref="BT322" r:id="rId_hyperlink_539" tooltip="View Full Record in Web of Science" display="View Full Record in Web of Science"/>
    <hyperlink ref="BF323" r:id="rId_hyperlink_540" tooltip="http://dx.doi.org/10.28995/2073-0101-2022-4-1271-1279" display="http://dx.doi.org/10.28995/2073-0101-2022-4-1271-1279"/>
    <hyperlink ref="BT323" r:id="rId_hyperlink_541" tooltip="View Full Record in Web of Science" display="View Full Record in Web of Science"/>
    <hyperlink ref="BF324" r:id="rId_hyperlink_542" tooltip="http://dx.doi.org/10.1007/s11041-021-00646-0" display="http://dx.doi.org/10.1007/s11041-021-00646-0"/>
    <hyperlink ref="BT324" r:id="rId_hyperlink_543" tooltip="View Full Record in Web of Science" display="View Full Record in Web of Science"/>
    <hyperlink ref="BF325" r:id="rId_hyperlink_544" tooltip="http://dx.doi.org/10.24874/IJQR14.02-03" display="http://dx.doi.org/10.24874/IJQR14.02-03"/>
    <hyperlink ref="BT325" r:id="rId_hyperlink_545" tooltip="View Full Record in Web of Science" display="View Full Record in Web of Science"/>
    <hyperlink ref="BF326" r:id="rId_hyperlink_546" tooltip="http://dx.doi.org/10.1088/1757-899X/971/3/032028" display="http://dx.doi.org/10.1088/1757-899X/971/3/032028"/>
    <hyperlink ref="BT326" r:id="rId_hyperlink_547" tooltip="View Full Record in Web of Science" display="View Full Record in Web of Science"/>
    <hyperlink ref="BF327" r:id="rId_hyperlink_548" tooltip="http://dx.doi.org/10.24833/2071-8160-2020-6-75-53-76" display="http://dx.doi.org/10.24833/2071-8160-2020-6-75-53-76"/>
    <hyperlink ref="BT327" r:id="rId_hyperlink_549" tooltip="View Full Record in Web of Science" display="View Full Record in Web of Science"/>
    <hyperlink ref="BF328" r:id="rId_hyperlink_550" tooltip="http://dx.doi.org/10.24224/2227-1295-2020-4-401-419" display="http://dx.doi.org/10.24224/2227-1295-2020-4-401-419"/>
    <hyperlink ref="BT328" r:id="rId_hyperlink_551" tooltip="View Full Record in Web of Science" display="View Full Record in Web of Science"/>
    <hyperlink ref="BF329" r:id="rId_hyperlink_552" tooltip="http://dx.doi.org/10.17223/19988613/63/13" display="http://dx.doi.org/10.17223/19988613/63/13"/>
    <hyperlink ref="BT329" r:id="rId_hyperlink_553" tooltip="View Full Record in Web of Science" display="View Full Record in Web of Science"/>
    <hyperlink ref="BF330" r:id="rId_hyperlink_554" tooltip="http://dx.doi.org/10.33048/semi.2020.17.021" display="http://dx.doi.org/10.33048/semi.2020.17.021"/>
    <hyperlink ref="BT330" r:id="rId_hyperlink_555" tooltip="View Full Record in Web of Science" display="View Full Record in Web of Science"/>
    <hyperlink ref="BF331" r:id="rId_hyperlink_556" tooltip="http://dx.doi.org/10.4018/IJCINI.2019040104" display="http://dx.doi.org/10.4018/IJCINI.2019040104"/>
    <hyperlink ref="BT331" r:id="rId_hyperlink_557" tooltip="View Full Record in Web of Science" display="View Full Record in Web of Science"/>
    <hyperlink ref="BF332" r:id="rId_hyperlink_558" tooltip="http://dx.doi.org/10.13187/ejced.2018.3.541" display="http://dx.doi.org/10.13187/ejced.2018.3.541"/>
    <hyperlink ref="BT332" r:id="rId_hyperlink_559" tooltip="View Full Record in Web of Science" display="View Full Record in Web of Science"/>
    <hyperlink ref="BT333" r:id="rId_hyperlink_560" tooltip="View Full Record in Web of Science" display="View Full Record in Web of Science"/>
    <hyperlink ref="BT334" r:id="rId_hyperlink_561" tooltip="View Full Record in Web of Science" display="View Full Record in Web of Science"/>
    <hyperlink ref="BF335" r:id="rId_hyperlink_562" tooltip="http://dx.doi.org/10.22616/ERDev2018.17.N241" display="http://dx.doi.org/10.22616/ERDev2018.17.N241"/>
    <hyperlink ref="BT335" r:id="rId_hyperlink_563" tooltip="View Full Record in Web of Science" display="View Full Record in Web of Science"/>
    <hyperlink ref="BT336" r:id="rId_hyperlink_564" tooltip="View Full Record in Web of Science" display="View Full Record in Web of Science"/>
    <hyperlink ref="BF337" r:id="rId_hyperlink_565" tooltip="http://dx.doi.org/10.1088/1755-1315/177/1/012007" display="http://dx.doi.org/10.1088/1755-1315/177/1/012007"/>
    <hyperlink ref="BT337" r:id="rId_hyperlink_566" tooltip="View Full Record in Web of Science" display="View Full Record in Web of Science"/>
    <hyperlink ref="BF338" r:id="rId_hyperlink_567" tooltip="http://dx.doi.org/10.18720/MCE.77.3" display="http://dx.doi.org/10.18720/MCE.77.3"/>
    <hyperlink ref="BT338" r:id="rId_hyperlink_568" tooltip="View Full Record in Web of Science" display="View Full Record in Web of Science"/>
    <hyperlink ref="BF339" r:id="rId_hyperlink_569" tooltip="http://dx.doi.org/10.15826/qr.2018.1.294" display="http://dx.doi.org/10.15826/qr.2018.1.294"/>
    <hyperlink ref="BT339" r:id="rId_hyperlink_570" tooltip="View Full Record in Web of Science" display="View Full Record in Web of Science"/>
    <hyperlink ref="BF340" r:id="rId_hyperlink_571" tooltip="http://dx.doi.org/10.1088/1742-6596/1058/1/012028" display="http://dx.doi.org/10.1088/1742-6596/1058/1/012028"/>
    <hyperlink ref="BT340" r:id="rId_hyperlink_572" tooltip="View Full Record in Web of Science" display="View Full Record in Web of Science"/>
    <hyperlink ref="BT341" r:id="rId_hyperlink_573" tooltip="View Full Record in Web of Science" display="View Full Record in Web of Science"/>
    <hyperlink ref="BT342" r:id="rId_hyperlink_574" tooltip="View Full Record in Web of Science" display="View Full Record in Web of Science"/>
    <hyperlink ref="BT343" r:id="rId_hyperlink_575" tooltip="View Full Record in Web of Science" display="View Full Record in Web of Science"/>
    <hyperlink ref="BT344" r:id="rId_hyperlink_576" tooltip="View Full Record in Web of Science" display="View Full Record in Web of Science"/>
    <hyperlink ref="BT345" r:id="rId_hyperlink_577" tooltip="View Full Record in Web of Science" display="View Full Record in Web of Science"/>
    <hyperlink ref="BT346" r:id="rId_hyperlink_578" tooltip="View Full Record in Web of Science" display="View Full Record in Web of Science"/>
    <hyperlink ref="BF347" r:id="rId_hyperlink_579" tooltip="http://dx.doi.org/10.1134/S0040579510040056" display="http://dx.doi.org/10.1134/S0040579510040056"/>
    <hyperlink ref="BT347" r:id="rId_hyperlink_580" tooltip="View Full Record in Web of Science" display="View Full Record in Web of Science"/>
    <hyperlink ref="BT348" r:id="rId_hyperlink_581" tooltip="View Full Record in Web of Science" display="View Full Record in Web of Science"/>
    <hyperlink ref="BT349" r:id="rId_hyperlink_582" tooltip="View Full Record in Web of Science" display="View Full Record in Web of Science"/>
    <hyperlink ref="BT350" r:id="rId_hyperlink_583" tooltip="View Full Record in Web of Science" display="View Full Record in Web of Science"/>
    <hyperlink ref="BF351" r:id="rId_hyperlink_584" tooltip="http://dx.doi.org/10.17223/19988613/63/12" display="http://dx.doi.org/10.17223/19988613/63/12"/>
    <hyperlink ref="BT351" r:id="rId_hyperlink_585" tooltip="View Full Record in Web of Science" display="View Full Record in Web of Science"/>
    <hyperlink ref="BT352" r:id="rId_hyperlink_586" tooltip="View Full Record in Web of Science" display="View Full Record in Web of Science"/>
    <hyperlink ref="BF353" r:id="rId_hyperlink_587" tooltip="http://dx.doi.org/10.15561/18189172.2019.0107" display="http://dx.doi.org/10.15561/18189172.2019.0107"/>
    <hyperlink ref="BT353" r:id="rId_hyperlink_588" tooltip="View Full Record in Web of Science" display="View Full Record in Web of Science"/>
    <hyperlink ref="BF354" r:id="rId_hyperlink_589" tooltip="http://dx.doi.org/10.26170/FK19-02-25" display="http://dx.doi.org/10.26170/FK19-02-25"/>
    <hyperlink ref="BT354" r:id="rId_hyperlink_590" tooltip="View Full Record in Web of Science" display="View Full Record in Web of Science"/>
    <hyperlink ref="BT355" r:id="rId_hyperlink_591" tooltip="View Full Record in Web of Science" display="View Full Record in Web of Science"/>
    <hyperlink ref="BT356" r:id="rId_hyperlink_592" tooltip="View Full Record in Web of Science" display="View Full Record in Web of Science"/>
    <hyperlink ref="BF357" r:id="rId_hyperlink_593" tooltip="http://dx.doi.org/10.15826/izv2.2018.20.2.022" display="http://dx.doi.org/10.15826/izv2.2018.20.2.022"/>
    <hyperlink ref="BT357" r:id="rId_hyperlink_594" tooltip="View Full Record in Web of Science" display="View Full Record in Web of Science"/>
    <hyperlink ref="BF358" r:id="rId_hyperlink_595" tooltip="http://dx.doi.org/10.15561/18189172.2018.0108" display="http://dx.doi.org/10.15561/18189172.2018.0108"/>
    <hyperlink ref="BT358" r:id="rId_hyperlink_596" tooltip="View Full Record in Web of Science" display="View Full Record in Web of Science"/>
    <hyperlink ref="BF359" r:id="rId_hyperlink_597" tooltip="http://dx.doi.org/10.1088/1755-1315/90/1/012087" display="http://dx.doi.org/10.1088/1755-1315/90/1/012087"/>
    <hyperlink ref="BT359" r:id="rId_hyperlink_598" tooltip="View Full Record in Web of Science" display="View Full Record in Web of Science"/>
    <hyperlink ref="BT360" r:id="rId_hyperlink_599" tooltip="View Full Record in Web of Science" display="View Full Record in Web of Science"/>
    <hyperlink ref="BT361" r:id="rId_hyperlink_600" tooltip="View Full Record in Web of Science" display="View Full Record in Web of Science"/>
    <hyperlink ref="BT362" r:id="rId_hyperlink_601" tooltip="View Full Record in Web of Science" display="View Full Record in Web of Science"/>
    <hyperlink ref="BF363" r:id="rId_hyperlink_602" tooltip="http://dx.doi.org/10.1134/S0036024411010134" display="http://dx.doi.org/10.1134/S0036024411010134"/>
    <hyperlink ref="BT363" r:id="rId_hyperlink_603" tooltip="View Full Record in Web of Science" display="View Full Record in Web of Science"/>
    <hyperlink ref="BT364" r:id="rId_hyperlink_604" tooltip="View Full Record in Web of Science" display="View Full Record in Web of Science"/>
    <hyperlink ref="BF365" r:id="rId_hyperlink_605" tooltip="http://dx.doi.org/10.1134/S1087659607040104" display="http://dx.doi.org/10.1134/S1087659607040104"/>
    <hyperlink ref="BT365" r:id="rId_hyperlink_606" tooltip="View Full Record in Web of Science" display="View Full Record in Web of Science"/>
    <hyperlink ref="BF366" r:id="rId_hyperlink_607" tooltip="http://dx.doi.org/10.1134/S1023193507060043" display="http://dx.doi.org/10.1134/S1023193507060043"/>
    <hyperlink ref="BT366" r:id="rId_hyperlink_608" tooltip="View Full Record in Web of Science" display="View Full Record in Web of Science"/>
    <hyperlink ref="BT367" r:id="rId_hyperlink_609" tooltip="View Full Record in Web of Science" display="View Full Record in Web of Science"/>
    <hyperlink ref="BF368" r:id="rId_hyperlink_610" tooltip="http://dx.doi.org/10.1007/978-3-030-70194-9_36" display="http://dx.doi.org/10.1007/978-3-030-70194-9_36"/>
    <hyperlink ref="BT368" r:id="rId_hyperlink_611" tooltip="View Full Record in Web of Science" display="View Full Record in Web of Science"/>
    <hyperlink ref="BF369" r:id="rId_hyperlink_612" tooltip="http://dx.doi.org/10.1109/SIBCON50419.2021.9438931" display="http://dx.doi.org/10.1109/SIBCON50419.2021.9438931"/>
    <hyperlink ref="BT369" r:id="rId_hyperlink_613" tooltip="View Full Record in Web of Science" display="View Full Record in Web of Science"/>
    <hyperlink ref="BF370" r:id="rId_hyperlink_614" tooltip="http://dx.doi.org/10.14529/hsm200110" display="http://dx.doi.org/10.14529/hsm200110"/>
    <hyperlink ref="BT370" r:id="rId_hyperlink_615" tooltip="View Full Record in Web of Science" display="View Full Record in Web of Science"/>
    <hyperlink ref="BF371" r:id="rId_hyperlink_616" tooltip="http://dx.doi.org/10.31166/VoprosyIstorii202012Statyi19" display="http://dx.doi.org/10.31166/VoprosyIstorii202012Statyi19"/>
    <hyperlink ref="BT371" r:id="rId_hyperlink_617" tooltip="View Full Record in Web of Science" display="View Full Record in Web of Science"/>
    <hyperlink ref="BF372" r:id="rId_hyperlink_618" tooltip="http://dx.doi.org/10.1088/1757-899X/962/2/022041" display="http://dx.doi.org/10.1088/1757-899X/962/2/022041"/>
    <hyperlink ref="BT372" r:id="rId_hyperlink_619" tooltip="View Full Record in Web of Science" display="View Full Record in Web of Science"/>
    <hyperlink ref="BF373" r:id="rId_hyperlink_620" tooltip="http://dx.doi.org/10.25750/1995-4301-2020-4-149-154" display="http://dx.doi.org/10.25750/1995-4301-2020-4-149-154"/>
    <hyperlink ref="BT373" r:id="rId_hyperlink_621" tooltip="View Full Record in Web of Science" display="View Full Record in Web of Science"/>
    <hyperlink ref="BF374" r:id="rId_hyperlink_622" tooltip="http://dx.doi.org/10.1108/OTH-07-2019-0034" display="http://dx.doi.org/10.1108/OTH-07-2019-0034"/>
    <hyperlink ref="BT374" r:id="rId_hyperlink_623" tooltip="View Full Record in Web of Science" display="View Full Record in Web of Science"/>
    <hyperlink ref="BF375" r:id="rId_hyperlink_624" tooltip="http://dx.doi.org/10.1134/S0361768819050074" display="http://dx.doi.org/10.1134/S0361768819050074"/>
    <hyperlink ref="BT375" r:id="rId_hyperlink_625" tooltip="View Full Record in Web of Science" display="View Full Record in Web of Science"/>
    <hyperlink ref="BF376" r:id="rId_hyperlink_626" tooltip="http://dx.doi.org/10.1051/e3sconf/201911002005" display="http://dx.doi.org/10.1051/e3sconf/201911002005"/>
    <hyperlink ref="BT376" r:id="rId_hyperlink_627" tooltip="View Full Record in Web of Science" display="View Full Record in Web of Science"/>
    <hyperlink ref="BT377" r:id="rId_hyperlink_628" tooltip="View Full Record in Web of Science" display="View Full Record in Web of Science"/>
    <hyperlink ref="BF378" r:id="rId_hyperlink_629" tooltip="http://dx.doi.org/10.1134/S0036029518080177" display="http://dx.doi.org/10.1134/S0036029518080177"/>
    <hyperlink ref="BT378" r:id="rId_hyperlink_630" tooltip="View Full Record in Web of Science" display="View Full Record in Web of Science"/>
    <hyperlink ref="BF379" r:id="rId_hyperlink_631" tooltip="http://dx.doi.org/10.3103/S0005105518010089" display="http://dx.doi.org/10.3103/S0005105518010089"/>
    <hyperlink ref="BT379" r:id="rId_hyperlink_632" tooltip="View Full Record in Web of Science" display="View Full Record in Web of Science"/>
    <hyperlink ref="BF380" r:id="rId_hyperlink_633" tooltip="http://dx.doi.org/10.1088/1742-6596/944/1/012088" display="http://dx.doi.org/10.1088/1742-6596/944/1/012088"/>
    <hyperlink ref="BT380" r:id="rId_hyperlink_634" tooltip="View Full Record in Web of Science" display="View Full Record in Web of Science"/>
    <hyperlink ref="BF381" r:id="rId_hyperlink_635" tooltip="http://dx.doi.org/10.5281/zenodo.2222335" display="http://dx.doi.org/10.5281/zenodo.2222335"/>
    <hyperlink ref="BT381" r:id="rId_hyperlink_636" tooltip="View Full Record in Web of Science" display="View Full Record in Web of Science"/>
    <hyperlink ref="BT382" r:id="rId_hyperlink_637" tooltip="View Full Record in Web of Science" display="View Full Record in Web of Science"/>
    <hyperlink ref="BT383" r:id="rId_hyperlink_638" tooltip="View Full Record in Web of Science" display="View Full Record in Web of Science"/>
    <hyperlink ref="BT384" r:id="rId_hyperlink_639" tooltip="View Full Record in Web of Science" display="View Full Record in Web of Science"/>
    <hyperlink ref="BT385" r:id="rId_hyperlink_640" tooltip="View Full Record in Web of Science" display="View Full Record in Web of Science"/>
    <hyperlink ref="BF386" r:id="rId_hyperlink_641" tooltip="http://dx.doi.org/10.1016/j.proeng.2016.11.808" display="http://dx.doi.org/10.1016/j.proeng.2016.11.808"/>
    <hyperlink ref="BT386" r:id="rId_hyperlink_642" tooltip="View Full Record in Web of Science" display="View Full Record in Web of Science"/>
    <hyperlink ref="BF387" r:id="rId_hyperlink_643" tooltip="http://dx.doi.org/10.1134/S0031030115140166" display="http://dx.doi.org/10.1134/S0031030115140166"/>
    <hyperlink ref="BT387" r:id="rId_hyperlink_644" tooltip="View Full Record in Web of Science" display="View Full Record in Web of Science"/>
    <hyperlink ref="BT388" r:id="rId_hyperlink_645" tooltip="View Full Record in Web of Science" display="View Full Record in Web of Science"/>
    <hyperlink ref="BT389" r:id="rId_hyperlink_646" tooltip="View Full Record in Web of Science" display="View Full Record in Web of Science"/>
    <hyperlink ref="BT390" r:id="rId_hyperlink_647" tooltip="View Full Record in Web of Science" display="View Full Record in Web of Science"/>
    <hyperlink ref="BF391" r:id="rId_hyperlink_648" tooltip="http://dx.doi.org/10.1134/S0001434609070165" display="http://dx.doi.org/10.1134/S0001434609070165"/>
    <hyperlink ref="BT391" r:id="rId_hyperlink_649" tooltip="View Full Record in Web of Science" display="View Full Record in Web of Science"/>
    <hyperlink ref="BF392" r:id="rId_hyperlink_650" tooltip="http://dx.doi.org/10.1134/S1023193507050072" display="http://dx.doi.org/10.1134/S1023193507050072"/>
    <hyperlink ref="BT392" r:id="rId_hyperlink_651" tooltip="View Full Record in Web of Science" display="View Full Record in Web of Science"/>
    <hyperlink ref="BT393" r:id="rId_hyperlink_652" tooltip="View Full Record in Web of Science" display="View Full Record in Web of Science"/>
    <hyperlink ref="BF394" r:id="rId_hyperlink_653" tooltip="http://dx.doi.org/10.1007/s11167-005-0056-y" display="http://dx.doi.org/10.1007/s11167-005-0056-y"/>
    <hyperlink ref="BT394" r:id="rId_hyperlink_654" tooltip="View Full Record in Web of Science" display="View Full Record in Web of Science"/>
    <hyperlink ref="BF395" r:id="rId_hyperlink_655" tooltip="http://dx.doi.org/10.1080/09668136.2023.2181591" display="http://dx.doi.org/10.1080/09668136.2023.2181591"/>
    <hyperlink ref="BT395" r:id="rId_hyperlink_656" tooltip="View Full Record in Web of Science" display="View Full Record in Web of Science"/>
    <hyperlink ref="BF396" r:id="rId_hyperlink_657" tooltip="http://dx.doi.org/10.1007/s10527-022-10173-8" display="http://dx.doi.org/10.1007/s10527-022-10173-8"/>
    <hyperlink ref="BT396" r:id="rId_hyperlink_658" tooltip="View Full Record in Web of Science" display="View Full Record in Web of Science"/>
    <hyperlink ref="BF397" r:id="rId_hyperlink_659" tooltip="http://dx.doi.org/10.25750/1995-4301-2022-4-224-231" display="http://dx.doi.org/10.25750/1995-4301-2022-4-224-231"/>
    <hyperlink ref="BT397" r:id="rId_hyperlink_660" tooltip="View Full Record in Web of Science" display="View Full Record in Web of Science"/>
    <hyperlink ref="BF398" r:id="rId_hyperlink_661" tooltip="http://dx.doi.org/10.1080/09668136.2021.1948972" display="http://dx.doi.org/10.1080/09668136.2021.1948972"/>
    <hyperlink ref="BT398" r:id="rId_hyperlink_662" tooltip="View Full Record in Web of Science" display="View Full Record in Web of Science"/>
    <hyperlink ref="BF399" r:id="rId_hyperlink_663" tooltip="http://dx.doi.org/10.17072/2219-3111-2020-1-167-178" display="http://dx.doi.org/10.17072/2219-3111-2020-1-167-178"/>
    <hyperlink ref="BT399" r:id="rId_hyperlink_664" tooltip="View Full Record in Web of Science" display="View Full Record in Web of Science"/>
    <hyperlink ref="BF400" r:id="rId_hyperlink_665" tooltip="http://dx.doi.org/10.31166/VoprosyIstorii202010Statyi82" display="http://dx.doi.org/10.31166/VoprosyIstorii202010Statyi82"/>
    <hyperlink ref="BT400" r:id="rId_hyperlink_666" tooltip="View Full Record in Web of Science" display="View Full Record in Web of Science"/>
    <hyperlink ref="BF401" r:id="rId_hyperlink_667" tooltip="http://dx.doi.org/10.3897/ap.2.e2633" display="http://dx.doi.org/10.3897/ap.2.e2633"/>
    <hyperlink ref="BT401" r:id="rId_hyperlink_668" tooltip="View Full Record in Web of Science" display="View Full Record in Web of Science"/>
    <hyperlink ref="BT402" r:id="rId_hyperlink_669" tooltip="View Full Record in Web of Science" display="View Full Record in Web of Science"/>
    <hyperlink ref="BT403" r:id="rId_hyperlink_670" tooltip="View Full Record in Web of Science" display="View Full Record in Web of Science"/>
    <hyperlink ref="BF404" r:id="rId_hyperlink_671" tooltip="http://dx.doi.org/10.3897/ap.1.e0545" display="http://dx.doi.org/10.3897/ap.1.e0545"/>
    <hyperlink ref="BT404" r:id="rId_hyperlink_672" tooltip="View Full Record in Web of Science" display="View Full Record in Web of Science"/>
    <hyperlink ref="BF405" r:id="rId_hyperlink_673" tooltip="http://dx.doi.org/10.15405/epsbs.2019.08.03.67" display="http://dx.doi.org/10.15405/epsbs.2019.08.03.67"/>
    <hyperlink ref="BT405" r:id="rId_hyperlink_674" tooltip="View Full Record in Web of Science" display="View Full Record in Web of Science"/>
    <hyperlink ref="BF406" r:id="rId_hyperlink_675" tooltip="http://dx.doi.org/10.5281/zenodo.3562205" display="http://dx.doi.org/10.5281/zenodo.3562205"/>
    <hyperlink ref="BT406" r:id="rId_hyperlink_676" tooltip="View Full Record in Web of Science" display="View Full Record in Web of Science"/>
    <hyperlink ref="BF407" r:id="rId_hyperlink_677" tooltip="http://dx.doi.org/10.1007/978-3-319-70987-1_34" display="http://dx.doi.org/10.1007/978-3-319-70987-1_34"/>
    <hyperlink ref="BT407" r:id="rId_hyperlink_678" tooltip="View Full Record in Web of Science" display="View Full Record in Web of Science"/>
    <hyperlink ref="BT408" r:id="rId_hyperlink_679" tooltip="View Full Record in Web of Science" display="View Full Record in Web of Science"/>
    <hyperlink ref="BF409" r:id="rId_hyperlink_680" tooltip="http://dx.doi.org/10.17072/2219-3111-2018-4-40-49" display="http://dx.doi.org/10.17072/2219-3111-2018-4-40-49"/>
    <hyperlink ref="BT409" r:id="rId_hyperlink_681" tooltip="View Full Record in Web of Science" display="View Full Record in Web of Science"/>
    <hyperlink ref="BT410" r:id="rId_hyperlink_682" tooltip="View Full Record in Web of Science" display="View Full Record in Web of Science"/>
    <hyperlink ref="BT411" r:id="rId_hyperlink_683" tooltip="View Full Record in Web of Science" display="View Full Record in Web of Science"/>
    <hyperlink ref="BT412" r:id="rId_hyperlink_684" tooltip="View Full Record in Web of Science" display="View Full Record in Web of Science"/>
    <hyperlink ref="BT413" r:id="rId_hyperlink_685" tooltip="View Full Record in Web of Science" display="View Full Record in Web of Science"/>
    <hyperlink ref="BT414" r:id="rId_hyperlink_686" tooltip="View Full Record in Web of Science" display="View Full Record in Web of Science"/>
    <hyperlink ref="BT415" r:id="rId_hyperlink_687" tooltip="View Full Record in Web of Science" display="View Full Record in Web of Science"/>
    <hyperlink ref="BT416" r:id="rId_hyperlink_688" tooltip="View Full Record in Web of Science" display="View Full Record in Web of Science"/>
    <hyperlink ref="BF417" r:id="rId_hyperlink_689" tooltip="http://dx.doi.org/10.1134/S1023193511070068" display="http://dx.doi.org/10.1134/S1023193511070068"/>
    <hyperlink ref="BT417" r:id="rId_hyperlink_690" tooltip="View Full Record in Web of Science" display="View Full Record in Web of Science"/>
    <hyperlink ref="BF418" r:id="rId_hyperlink_691" tooltip="http://dx.doi.org/10.1023/A:1023816608198" display="http://dx.doi.org/10.1023/A:1023816608198"/>
    <hyperlink ref="BT418" r:id="rId_hyperlink_692" tooltip="View Full Record in Web of Science" display="View Full Record in Web of Science"/>
    <hyperlink ref="BT419" r:id="rId_hyperlink_693" tooltip="View Full Record in Web of Science" display="View Full Record in Web of Science"/>
    <hyperlink ref="BF420" r:id="rId_hyperlink_694" tooltip="http://dx.doi.org/10.31857/S0201708322040088" display="http://dx.doi.org/10.31857/S0201708322040088"/>
    <hyperlink ref="BT420" r:id="rId_hyperlink_695" tooltip="View Full Record in Web of Science" display="View Full Record in Web of Science"/>
    <hyperlink ref="BF421" r:id="rId_hyperlink_696" tooltip="http://dx.doi.org/10.1134/S0036029522020033" display="http://dx.doi.org/10.1134/S0036029522020033"/>
    <hyperlink ref="BT421" r:id="rId_hyperlink_697" tooltip="View Full Record in Web of Science" display="View Full Record in Web of Science"/>
    <hyperlink ref="BF422" r:id="rId_hyperlink_698" tooltip="http://dx.doi.org/10.25750/1995-4301-2022-3-041-048" display="http://dx.doi.org/10.25750/1995-4301-2022-3-041-048"/>
    <hyperlink ref="BT422" r:id="rId_hyperlink_699" tooltip="View Full Record in Web of Science" display="View Full Record in Web of Science"/>
    <hyperlink ref="BF423" r:id="rId_hyperlink_700" tooltip="http://dx.doi.org/10.25750/1995-4301-2022-3-103-109" display="http://dx.doi.org/10.25750/1995-4301-2022-3-103-109"/>
    <hyperlink ref="BT423" r:id="rId_hyperlink_701" tooltip="View Full Record in Web of Science" display="View Full Record in Web of Science"/>
    <hyperlink ref="BF424" r:id="rId_hyperlink_702" tooltip="http://dx.doi.org/10.24224/2227-1295-2021-11-216-234" display="http://dx.doi.org/10.24224/2227-1295-2021-11-216-234"/>
    <hyperlink ref="BT424" r:id="rId_hyperlink_703" tooltip="View Full Record in Web of Science" display="View Full Record in Web of Science"/>
    <hyperlink ref="BF425" r:id="rId_hyperlink_704" tooltip="http://dx.doi.org/10.17759/psylaw.2021110405" display="http://dx.doi.org/10.17759/psylaw.2021110405"/>
    <hyperlink ref="BT425" r:id="rId_hyperlink_705" tooltip="View Full Record in Web of Science" display="View Full Record in Web of Science"/>
    <hyperlink ref="BF426" r:id="rId_hyperlink_706" tooltip="http://dx.doi.org/10.1007/978-3-030-70194-9_35" display="http://dx.doi.org/10.1007/978-3-030-70194-9_35"/>
    <hyperlink ref="BT426" r:id="rId_hyperlink_707" tooltip="View Full Record in Web of Science" display="View Full Record in Web of Science"/>
    <hyperlink ref="BF427" r:id="rId_hyperlink_708" tooltip="http://dx.doi.org/10.25750/995-4301-2021-4-058-063" display="http://dx.doi.org/10.25750/995-4301-2021-4-058-063"/>
    <hyperlink ref="BT427" r:id="rId_hyperlink_709" tooltip="View Full Record in Web of Science" display="View Full Record in Web of Science"/>
    <hyperlink ref="BF428" r:id="rId_hyperlink_710" tooltip="http://dx.doi.org/10.17223/15617793/451/8" display="http://dx.doi.org/10.17223/15617793/451/8"/>
    <hyperlink ref="BT428" r:id="rId_hyperlink_711" tooltip="View Full Record in Web of Science" display="View Full Record in Web of Science"/>
    <hyperlink ref="BF429" r:id="rId_hyperlink_712" tooltip="http://dx.doi.org/10.17323/1813-8918-2020-4-696-718" display="http://dx.doi.org/10.17323/1813-8918-2020-4-696-718"/>
    <hyperlink ref="BT429" r:id="rId_hyperlink_713" tooltip="View Full Record in Web of Science" display="View Full Record in Web of Science"/>
    <hyperlink ref="BF430" r:id="rId_hyperlink_714" tooltip="http://dx.doi.org/10.5281/zenodo.4317048" display="http://dx.doi.org/10.5281/zenodo.4317048"/>
    <hyperlink ref="BT430" r:id="rId_hyperlink_715" tooltip="View Full Record in Web of Science" display="View Full Record in Web of Science"/>
    <hyperlink ref="BF431" r:id="rId_hyperlink_716" tooltip="http://dx.doi.org/10.6060/ivkkt.20206302.6055" display="http://dx.doi.org/10.6060/ivkkt.20206302.6055"/>
    <hyperlink ref="BT431" r:id="rId_hyperlink_717" tooltip="View Full Record in Web of Science" display="View Full Record in Web of Science"/>
    <hyperlink ref="BF432" r:id="rId_hyperlink_718" tooltip="http://dx.doi.org/10.25750/1995-4301-2019-2-143-148" display="http://dx.doi.org/10.25750/1995-4301-2019-2-143-148"/>
    <hyperlink ref="BT432" r:id="rId_hyperlink_719" tooltip="View Full Record in Web of Science" display="View Full Record in Web of Science"/>
    <hyperlink ref="BT433" r:id="rId_hyperlink_720" tooltip="View Full Record in Web of Science" display="View Full Record in Web of Science"/>
    <hyperlink ref="BT434" r:id="rId_hyperlink_721" tooltip="View Full Record in Web of Science" display="View Full Record in Web of Science"/>
    <hyperlink ref="BF435" r:id="rId_hyperlink_722" tooltip="http://dx.doi.org/10.3103/S0147688218030036" display="http://dx.doi.org/10.3103/S0147688218030036"/>
    <hyperlink ref="BT435" r:id="rId_hyperlink_723" tooltip="View Full Record in Web of Science" display="View Full Record in Web of Science"/>
    <hyperlink ref="BF436" r:id="rId_hyperlink_724" tooltip="http://dx.doi.org/10.17377/semi.2018.15.053" display="http://dx.doi.org/10.17377/semi.2018.15.053"/>
    <hyperlink ref="BT436" r:id="rId_hyperlink_725" tooltip="View Full Record in Web of Science" display="View Full Record in Web of Science"/>
    <hyperlink ref="BT437" r:id="rId_hyperlink_726" tooltip="View Full Record in Web of Science" display="View Full Record in Web of Science"/>
    <hyperlink ref="BF438" r:id="rId_hyperlink_727" tooltip="http://dx.doi.org/10.1007/978-3-319-71746-3_12" display="http://dx.doi.org/10.1007/978-3-319-71746-3_12"/>
    <hyperlink ref="BT438" r:id="rId_hyperlink_728" tooltip="View Full Record in Web of Science" display="View Full Record in Web of Science"/>
    <hyperlink ref="BF439" r:id="rId_hyperlink_729" tooltip="http://dx.doi.org/10.1080/09668136.2018.1503891" display="http://dx.doi.org/10.1080/09668136.2018.1503891"/>
    <hyperlink ref="BT439" r:id="rId_hyperlink_730" tooltip="View Full Record in Web of Science" display="View Full Record in Web of Science"/>
    <hyperlink ref="BF440" r:id="rId_hyperlink_731" tooltip="http://dx.doi.org/10.15688/jvolsu4.2018.4.10" display="http://dx.doi.org/10.15688/jvolsu4.2018.4.10"/>
    <hyperlink ref="BT440" r:id="rId_hyperlink_732" tooltip="View Full Record in Web of Science" display="View Full Record in Web of Science"/>
    <hyperlink ref="BT441" r:id="rId_hyperlink_733" tooltip="View Full Record in Web of Science" display="View Full Record in Web of Science"/>
    <hyperlink ref="BF442" r:id="rId_hyperlink_734" tooltip="http://dx.doi.org/10.1109/ICEnT.2017.36" display="http://dx.doi.org/10.1109/ICEnT.2017.36"/>
    <hyperlink ref="BT442" r:id="rId_hyperlink_735" tooltip="View Full Record in Web of Science" display="View Full Record in Web of Science"/>
    <hyperlink ref="BT443" r:id="rId_hyperlink_736" tooltip="View Full Record in Web of Science" display="View Full Record in Web of Science"/>
    <hyperlink ref="BF444" r:id="rId_hyperlink_737" tooltip="http://dx.doi.org/10.1007/978-3-319-60696-5_4" display="http://dx.doi.org/10.1007/978-3-319-60696-5_4"/>
    <hyperlink ref="BT444" r:id="rId_hyperlink_738" tooltip="View Full Record in Web of Science" display="View Full Record in Web of Science"/>
    <hyperlink ref="BF445" r:id="rId_hyperlink_739" tooltip="http://dx.doi.org/10.1007/978-3-319-60696-5_51" display="http://dx.doi.org/10.1007/978-3-319-60696-5_51"/>
    <hyperlink ref="BT445" r:id="rId_hyperlink_740" tooltip="View Full Record in Web of Science" display="View Full Record in Web of Science"/>
    <hyperlink ref="BF446" r:id="rId_hyperlink_741" tooltip="http://dx.doi.org/10.3103/S1067821214020096" display="http://dx.doi.org/10.3103/S1067821214020096"/>
    <hyperlink ref="BT446" r:id="rId_hyperlink_742" tooltip="View Full Record in Web of Science" display="View Full Record in Web of Science"/>
    <hyperlink ref="BF447" r:id="rId_hyperlink_743" tooltip="http://dx.doi.org/10.1134/S1023193511050089" display="http://dx.doi.org/10.1134/S1023193511050089"/>
    <hyperlink ref="BT447" r:id="rId_hyperlink_744" tooltip="View Full Record in Web of Science" display="View Full Record in Web of Science"/>
    <hyperlink ref="BF448" r:id="rId_hyperlink_745" tooltip="http://dx.doi.org/10.1134/S0036024406110069" display="http://dx.doi.org/10.1134/S0036024406110069"/>
    <hyperlink ref="BT448" r:id="rId_hyperlink_746" tooltip="View Full Record in Web of Science" display="View Full Record in Web of Science"/>
    <hyperlink ref="BF449" r:id="rId_hyperlink_747" tooltip="http://dx.doi.org/10.1007/978-3-030-93244-2_83" display="http://dx.doi.org/10.1007/978-3-030-93244-2_83"/>
    <hyperlink ref="BT449" r:id="rId_hyperlink_748" tooltip="View Full Record in Web of Science" display="View Full Record in Web of Science"/>
    <hyperlink ref="BF450" r:id="rId_hyperlink_749" tooltip="http://dx.doi.org/10.15507/2658-4123.032.202202.279-294" display="http://dx.doi.org/10.15507/2658-4123.032.202202.279-294"/>
    <hyperlink ref="BT450" r:id="rId_hyperlink_750" tooltip="View Full Record in Web of Science" display="View Full Record in Web of Science"/>
    <hyperlink ref="BF451" r:id="rId_hyperlink_751" tooltip="http://dx.doi.org/10.17223/15617793/465/15" display="http://dx.doi.org/10.17223/15617793/465/15"/>
    <hyperlink ref="BT451" r:id="rId_hyperlink_752" tooltip="View Full Record in Web of Science" display="View Full Record in Web of Science"/>
    <hyperlink ref="BF452" r:id="rId_hyperlink_753" tooltip="http://dx.doi.org/10.24833/2071-8160-2021-4-79-26-50" display="http://dx.doi.org/10.24833/2071-8160-2021-4-79-26-50"/>
    <hyperlink ref="BT452" r:id="rId_hyperlink_754" tooltip="View Full Record in Web of Science" display="View Full Record in Web of Science"/>
    <hyperlink ref="BF453" r:id="rId_hyperlink_755" tooltip="http://dx.doi.org/10.17223/15617793/460/23" display="http://dx.doi.org/10.17223/15617793/460/23"/>
    <hyperlink ref="BT453" r:id="rId_hyperlink_756" tooltip="View Full Record in Web of Science" display="View Full Record in Web of Science"/>
    <hyperlink ref="BF454" r:id="rId_hyperlink_757" tooltip="http://dx.doi.org/10.12911/22998993/125459" display="http://dx.doi.org/10.12911/22998993/125459"/>
    <hyperlink ref="BT454" r:id="rId_hyperlink_758" tooltip="View Full Record in Web of Science" display="View Full Record in Web of Science"/>
    <hyperlink ref="BT455" r:id="rId_hyperlink_759" tooltip="View Full Record in Web of Science" display="View Full Record in Web of Science"/>
    <hyperlink ref="BF456" r:id="rId_hyperlink_760" tooltip="http://dx.doi.org/10.1007/978-3-030-19810-7_1" display="http://dx.doi.org/10.1007/978-3-030-19810-7_1"/>
    <hyperlink ref="BT456" r:id="rId_hyperlink_761" tooltip="View Full Record in Web of Science" display="View Full Record in Web of Science"/>
    <hyperlink ref="BT457" r:id="rId_hyperlink_762" tooltip="View Full Record in Web of Science" display="View Full Record in Web of Science"/>
    <hyperlink ref="BF458" r:id="rId_hyperlink_763" tooltip="http://dx.doi.org/10.33048/semi.2019.16.103" display="http://dx.doi.org/10.33048/semi.2019.16.103"/>
    <hyperlink ref="BT458" r:id="rId_hyperlink_764" tooltip="View Full Record in Web of Science" display="View Full Record in Web of Science"/>
    <hyperlink ref="BF459" r:id="rId_hyperlink_765" tooltip="http://dx.doi.org/10.17223/19996195/41/16" display="http://dx.doi.org/10.17223/19996195/41/16"/>
    <hyperlink ref="BT459" r:id="rId_hyperlink_766" tooltip="View Full Record in Web of Science" display="View Full Record in Web of Science"/>
    <hyperlink ref="BF460" r:id="rId_hyperlink_767" tooltip="http://dx.doi.org/10.1109/EnT-MIPT.2018.00042" display="http://dx.doi.org/10.1109/EnT-MIPT.2018.00042"/>
    <hyperlink ref="BT460" r:id="rId_hyperlink_768" tooltip="View Full Record in Web of Science" display="View Full Record in Web of Science"/>
    <hyperlink ref="BF461" r:id="rId_hyperlink_769" tooltip="http://dx.doi.org/10.1088/1742-6596/944/1/012045" display="http://dx.doi.org/10.1088/1742-6596/944/1/012045"/>
    <hyperlink ref="BT461" r:id="rId_hyperlink_770" tooltip="View Full Record in Web of Science" display="View Full Record in Web of Science"/>
    <hyperlink ref="BT462" r:id="rId_hyperlink_771" tooltip="View Full Record in Web of Science" display="View Full Record in Web of Science"/>
    <hyperlink ref="BF463" r:id="rId_hyperlink_772" tooltip="http://dx.doi.org/10.21638/11701/spbu02.2018.417" display="http://dx.doi.org/10.21638/11701/spbu02.2018.417"/>
    <hyperlink ref="BT463" r:id="rId_hyperlink_773" tooltip="View Full Record in Web of Science" display="View Full Record in Web of Science"/>
    <hyperlink ref="BT464" r:id="rId_hyperlink_774" tooltip="View Full Record in Web of Science" display="View Full Record in Web of Science"/>
    <hyperlink ref="BT465" r:id="rId_hyperlink_775" tooltip="View Full Record in Web of Science" display="View Full Record in Web of Science"/>
    <hyperlink ref="BF466" r:id="rId_hyperlink_776" tooltip="http://dx.doi.org/10.1007/978-3-319-62932-2_18" display="http://dx.doi.org/10.1007/978-3-319-62932-2_18"/>
    <hyperlink ref="BT466" r:id="rId_hyperlink_777" tooltip="View Full Record in Web of Science" display="View Full Record in Web of Science"/>
    <hyperlink ref="BT467" r:id="rId_hyperlink_778" tooltip="View Full Record in Web of Science" display="View Full Record in Web of Science"/>
    <hyperlink ref="BT468" r:id="rId_hyperlink_779" tooltip="View Full Record in Web of Science" display="View Full Record in Web of Science"/>
    <hyperlink ref="BT469" r:id="rId_hyperlink_780" tooltip="View Full Record in Web of Science" display="View Full Record in Web of Science"/>
    <hyperlink ref="BT470" r:id="rId_hyperlink_781" tooltip="View Full Record in Web of Science" display="View Full Record in Web of Science"/>
    <hyperlink ref="BF471" r:id="rId_hyperlink_782" tooltip="http://dx.doi.org/10.1070/RM2007v062n01ABEH004387" display="http://dx.doi.org/10.1070/RM2007v062n01ABEH004387"/>
    <hyperlink ref="BT471" r:id="rId_hyperlink_783" tooltip="View Full Record in Web of Science" display="View Full Record in Web of Science"/>
    <hyperlink ref="BF472" r:id="rId_hyperlink_784" tooltip="http://dx.doi.org/10.1134/S102319350612007X" display="http://dx.doi.org/10.1134/S102319350612007X"/>
    <hyperlink ref="BT472" r:id="rId_hyperlink_785" tooltip="View Full Record in Web of Science" display="View Full Record in Web of Science"/>
    <hyperlink ref="BT473" r:id="rId_hyperlink_786" tooltip="View Full Record in Web of Science" display="View Full Record in Web of Science"/>
    <hyperlink ref="BF474" r:id="rId_hyperlink_787" tooltip="http://dx.doi.org/10.1023/A:1016616732627" display="http://dx.doi.org/10.1023/A:1016616732627"/>
    <hyperlink ref="BT474" r:id="rId_hyperlink_788" tooltip="View Full Record in Web of Science" display="View Full Record in Web of Science"/>
    <hyperlink ref="BF475" r:id="rId_hyperlink_789" tooltip="http://dx.doi.org/10.1109/ACCESS.2023.3269720" display="http://dx.doi.org/10.1109/ACCESS.2023.3269720"/>
    <hyperlink ref="BT475" r:id="rId_hyperlink_790" tooltip="View Full Record in Web of Science" display="View Full Record in Web of Science"/>
    <hyperlink ref="BF476" r:id="rId_hyperlink_791" tooltip="http://dx.doi.org/10.1080/09668136.2022.2083309" display="http://dx.doi.org/10.1080/09668136.2022.2083309"/>
    <hyperlink ref="BT476" r:id="rId_hyperlink_792" tooltip="View Full Record in Web of Science" display="View Full Record in Web of Science"/>
    <hyperlink ref="BF477" r:id="rId_hyperlink_793" tooltip="http://dx.doi.org/10.4025/actascihealthsci.v44i1.56397" display="http://dx.doi.org/10.4025/actascihealthsci.v44i1.56397"/>
    <hyperlink ref="BT477" r:id="rId_hyperlink_794" tooltip="View Full Record in Web of Science" display="View Full Record in Web of Science"/>
    <hyperlink ref="BF478" r:id="rId_hyperlink_795" tooltip="http://dx.doi.org/10.24224/2227-1295-2022-11-7-59-73" display="http://dx.doi.org/10.24224/2227-1295-2022-11-7-59-73"/>
    <hyperlink ref="BT478" r:id="rId_hyperlink_796" tooltip="View Full Record in Web of Science" display="View Full Record in Web of Science"/>
    <hyperlink ref="BF479" r:id="rId_hyperlink_797" tooltip="http://dx.doi.org/10.1080/09668136.2021.1977037" display="http://dx.doi.org/10.1080/09668136.2021.1977037"/>
    <hyperlink ref="BT479" r:id="rId_hyperlink_798" tooltip="View Full Record in Web of Science" display="View Full Record in Web of Science"/>
    <hyperlink ref="BF480" r:id="rId_hyperlink_799" tooltip="http://dx.doi.org/10.15405/epsbs.2021.07.02.46" display="http://dx.doi.org/10.15405/epsbs.2021.07.02.46"/>
    <hyperlink ref="BT480" r:id="rId_hyperlink_800" tooltip="View Full Record in Web of Science" display="View Full Record in Web of Science"/>
    <hyperlink ref="BF481" r:id="rId_hyperlink_801" tooltip="http://dx.doi.org/10.26170/FK20-03-11" display="http://dx.doi.org/10.26170/FK20-03-11"/>
    <hyperlink ref="BT481" r:id="rId_hyperlink_802" tooltip="View Full Record in Web of Science" display="View Full Record in Web of Science"/>
    <hyperlink ref="BF482" r:id="rId_hyperlink_803" tooltip="http://dx.doi.org/10.24874/IJQR14.01-16" display="http://dx.doi.org/10.24874/IJQR14.01-16"/>
    <hyperlink ref="BT482" r:id="rId_hyperlink_804" tooltip="View Full Record in Web of Science" display="View Full Record in Web of Science"/>
    <hyperlink ref="BF483" r:id="rId_hyperlink_805" tooltip="http://dx.doi.org/10.24833/2071-8160-2020-2-71-7-39" display="http://dx.doi.org/10.24833/2071-8160-2020-2-71-7-39"/>
    <hyperlink ref="BT483" r:id="rId_hyperlink_806" tooltip="View Full Record in Web of Science" display="View Full Record in Web of Science"/>
    <hyperlink ref="BT484" r:id="rId_hyperlink_807" tooltip="View Full Record in Web of Science" display="View Full Record in Web of Science"/>
    <hyperlink ref="BF485" r:id="rId_hyperlink_808" tooltip="http://dx.doi.org/10.24224/2227-1295-2019-9-159-172" display="http://dx.doi.org/10.24224/2227-1295-2019-9-159-172"/>
    <hyperlink ref="BT485" r:id="rId_hyperlink_809" tooltip="View Full Record in Web of Science" display="View Full Record in Web of Science"/>
    <hyperlink ref="BF486" r:id="rId_hyperlink_810" tooltip="http://dx.doi.org/10.1145/3357419.3357430" display="http://dx.doi.org/10.1145/3357419.3357430"/>
    <hyperlink ref="BT486" r:id="rId_hyperlink_811" tooltip="View Full Record in Web of Science" display="View Full Record in Web of Science"/>
    <hyperlink ref="BT487" r:id="rId_hyperlink_812" tooltip="View Full Record in Web of Science" display="View Full Record in Web of Science"/>
    <hyperlink ref="BF488" r:id="rId_hyperlink_813" tooltip="http://dx.doi.org/10.17853/1994-5639-2018-3-53-82" display="http://dx.doi.org/10.17853/1994-5639-2018-3-53-82"/>
    <hyperlink ref="BT488" r:id="rId_hyperlink_814" tooltip="View Full Record in Web of Science" display="View Full Record in Web of Science"/>
    <hyperlink ref="BF489" r:id="rId_hyperlink_815" tooltip="http://dx.doi.org/10.1142/S0218126618500044" display="http://dx.doi.org/10.1142/S0218126618500044"/>
    <hyperlink ref="BT489" r:id="rId_hyperlink_816" tooltip="View Full Record in Web of Science" display="View Full Record in Web of Science"/>
    <hyperlink ref="BF490" r:id="rId_hyperlink_817" tooltip="http://dx.doi.org/10.15507/0236-2910.028.201803.416-428" display="http://dx.doi.org/10.15507/0236-2910.028.201803.416-428"/>
    <hyperlink ref="BT490" r:id="rId_hyperlink_818" tooltip="View Full Record in Web of Science" display="View Full Record in Web of Science"/>
    <hyperlink ref="BT491" r:id="rId_hyperlink_819" tooltip="View Full Record in Web of Science" display="View Full Record in Web of Science"/>
    <hyperlink ref="BT492" r:id="rId_hyperlink_820" tooltip="View Full Record in Web of Science" display="View Full Record in Web of Science"/>
    <hyperlink ref="BT493" r:id="rId_hyperlink_821" tooltip="View Full Record in Web of Science" display="View Full Record in Web of Science"/>
    <hyperlink ref="BF494" r:id="rId_hyperlink_822" tooltip="http://dx.doi.org/10.1007/s11185-016-9174-9" display="http://dx.doi.org/10.1007/s11185-016-9174-9"/>
    <hyperlink ref="BT494" r:id="rId_hyperlink_823" tooltip="View Full Record in Web of Science" display="View Full Record in Web of Science"/>
    <hyperlink ref="BT495" r:id="rId_hyperlink_824" tooltip="View Full Record in Web of Science" display="View Full Record in Web of Science"/>
    <hyperlink ref="BF496" r:id="rId_hyperlink_825" tooltip="http://dx.doi.org/10.1016/j.proeng.2017.10.692" display="http://dx.doi.org/10.1016/j.proeng.2017.10.692"/>
    <hyperlink ref="BT496" r:id="rId_hyperlink_826" tooltip="View Full Record in Web of Science" display="View Full Record in Web of Science"/>
    <hyperlink ref="BT497" r:id="rId_hyperlink_827" tooltip="View Full Record in Web of Science" display="View Full Record in Web of Science"/>
    <hyperlink ref="BF498" r:id="rId_hyperlink_828" tooltip="http://dx.doi.org/10.1007/978-3-319-21909-7_5" display="http://dx.doi.org/10.1007/978-3-319-21909-7_5"/>
    <hyperlink ref="BT498" r:id="rId_hyperlink_829" tooltip="View Full Record in Web of Science" display="View Full Record in Web of Science"/>
    <hyperlink ref="BF499" r:id="rId_hyperlink_830" tooltip="http://dx.doi.org/10.1007/s11141-007-0030-z" display="http://dx.doi.org/10.1007/s11141-007-0030-z"/>
    <hyperlink ref="BT499" r:id="rId_hyperlink_831" tooltip="View Full Record in Web of Science" display="View Full Record in Web of Science"/>
    <hyperlink ref="BF500" r:id="rId_hyperlink_832" tooltip="http://dx.doi.org/10.1023/A:1021274019713" display="http://dx.doi.org/10.1023/A:1021274019713"/>
    <hyperlink ref="BT500" r:id="rId_hyperlink_833" tooltip="View Full Record in Web of Science" display="View Full Record in Web of Science"/>
    <hyperlink ref="BF501" r:id="rId_hyperlink_834" tooltip="http://dx.doi.org/10.12911/22998993/131029" display="http://dx.doi.org/10.12911/22998993/131029"/>
    <hyperlink ref="BT501" r:id="rId_hyperlink_835" tooltip="View Full Record in Web of Science" display="View Full Record in Web of Science"/>
    <hyperlink ref="BF502" r:id="rId_hyperlink_836" tooltip="http://dx.doi.org/10.17212/1994-6309-2020-22.4-18-30" display="http://dx.doi.org/10.17212/1994-6309-2020-22.4-18-30"/>
    <hyperlink ref="BT502" r:id="rId_hyperlink_837" tooltip="View Full Record in Web of Science" display="View Full Record in Web of Science"/>
    <hyperlink ref="BF503" r:id="rId_hyperlink_838" tooltip="http://dx.doi.org/10.1016/j.dib.2020.105506" display="http://dx.doi.org/10.1016/j.dib.2020.105506"/>
    <hyperlink ref="BT503" r:id="rId_hyperlink_839" tooltip="View Full Record in Web of Science" display="View Full Record in Web of Science"/>
    <hyperlink ref="BF504" r:id="rId_hyperlink_840" tooltip="http://dx.doi.org/10.17223/22220836/38/16" display="http://dx.doi.org/10.17223/22220836/38/16"/>
    <hyperlink ref="BT504" r:id="rId_hyperlink_841" tooltip="View Full Record in Web of Science" display="View Full Record in Web of Science"/>
    <hyperlink ref="BF505" r:id="rId_hyperlink_842" tooltip="http://dx.doi.org/10.17223/15617793/451/23" display="http://dx.doi.org/10.17223/15617793/451/23"/>
    <hyperlink ref="BT505" r:id="rId_hyperlink_843" tooltip="View Full Record in Web of Science" display="View Full Record in Web of Science"/>
    <hyperlink ref="BF506" r:id="rId_hyperlink_844" tooltip="http://dx.doi.org/10.15393/j9.art.2020.6882" display="http://dx.doi.org/10.15393/j9.art.2020.6882"/>
    <hyperlink ref="BT506" r:id="rId_hyperlink_845" tooltip="View Full Record in Web of Science" display="View Full Record in Web of Science"/>
    <hyperlink ref="BF507" r:id="rId_hyperlink_846" tooltip="http://dx.doi.org/10.24224/2227-1295-2020-9-420-433" display="http://dx.doi.org/10.24224/2227-1295-2020-9-420-433"/>
    <hyperlink ref="BT507" r:id="rId_hyperlink_847" tooltip="View Full Record in Web of Science" display="View Full Record in Web of Science"/>
    <hyperlink ref="BF508" r:id="rId_hyperlink_848" tooltip="http://dx.doi.org/10.21538/0134-4889-2020-26-3-171-186" display="http://dx.doi.org/10.21538/0134-4889-2020-26-3-171-186"/>
    <hyperlink ref="BT508" r:id="rId_hyperlink_849" tooltip="View Full Record in Web of Science" display="View Full Record in Web of Science"/>
    <hyperlink ref="BF509" r:id="rId_hyperlink_850" tooltip="http://dx.doi.org/10.18720/MCE.95.9" display="http://dx.doi.org/10.18720/MCE.95.9"/>
    <hyperlink ref="BT509" r:id="rId_hyperlink_851" tooltip="View Full Record in Web of Science" display="View Full Record in Web of Science"/>
    <hyperlink ref="BF510" r:id="rId_hyperlink_852" tooltip="http://dx.doi.org/10.15405/epsbs.2019.03.73" display="http://dx.doi.org/10.15405/epsbs.2019.03.73"/>
    <hyperlink ref="BT510" r:id="rId_hyperlink_853" tooltip="View Full Record in Web of Science" display="View Full Record in Web of Science"/>
    <hyperlink ref="BF511" r:id="rId_hyperlink_854" tooltip="http://dx.doi.org/10.3116/VoprosyIstorii201912Statyi45" display="http://dx.doi.org/10.3116/VoprosyIstorii201912Statyi45"/>
    <hyperlink ref="BT511" r:id="rId_hyperlink_855" tooltip="View Full Record in Web of Science" display="View Full Record in Web of Science"/>
    <hyperlink ref="BF512" r:id="rId_hyperlink_856" tooltip="http://dx.doi.org/10.17223/20710410/44/2" display="http://dx.doi.org/10.17223/20710410/44/2"/>
    <hyperlink ref="BT512" r:id="rId_hyperlink_857" tooltip="View Full Record in Web of Science" display="View Full Record in Web of Science"/>
    <hyperlink ref="BF513" r:id="rId_hyperlink_858" tooltip="http://dx.doi.org/10.1007/978-3-030-00102-5_114" display="http://dx.doi.org/10.1007/978-3-030-00102-5_114"/>
    <hyperlink ref="BT513" r:id="rId_hyperlink_859" tooltip="View Full Record in Web of Science" display="View Full Record in Web of Science"/>
    <hyperlink ref="BF514" r:id="rId_hyperlink_860" tooltip="http://dx.doi.org/10.18254/S207987840005469-4" display="http://dx.doi.org/10.18254/S207987840005469-4"/>
    <hyperlink ref="BT514" r:id="rId_hyperlink_861" tooltip="View Full Record in Web of Science" display="View Full Record in Web of Science"/>
    <hyperlink ref="BF515" r:id="rId_hyperlink_862" tooltip="http://dx.doi.org/10.18720/MCE.79.6" display="http://dx.doi.org/10.18720/MCE.79.6"/>
    <hyperlink ref="BT515" r:id="rId_hyperlink_863" tooltip="View Full Record in Web of Science" display="View Full Record in Web of Science"/>
    <hyperlink ref="BF516" r:id="rId_hyperlink_864" tooltip="http://dx.doi.org/10.15405/epsbs.2018.09.60" display="http://dx.doi.org/10.15405/epsbs.2018.09.60"/>
    <hyperlink ref="BT516" r:id="rId_hyperlink_865" tooltip="View Full Record in Web of Science" display="View Full Record in Web of Science"/>
    <hyperlink ref="BT517" r:id="rId_hyperlink_866" tooltip="View Full Record in Web of Science" display="View Full Record in Web of Science"/>
    <hyperlink ref="BT518" r:id="rId_hyperlink_867" tooltip="View Full Record in Web of Science" display="View Full Record in Web of Science"/>
    <hyperlink ref="BT519" r:id="rId_hyperlink_868" tooltip="View Full Record in Web of Science" display="View Full Record in Web of Science"/>
    <hyperlink ref="BF520" r:id="rId_hyperlink_869" tooltip="http://dx.doi.org/10.1134/S102319350906010X" display="http://dx.doi.org/10.1134/S102319350906010X"/>
    <hyperlink ref="BT520" r:id="rId_hyperlink_870" tooltip="View Full Record in Web of Science" display="View Full Record in Web of Science"/>
    <hyperlink ref="BT521" r:id="rId_hyperlink_871" tooltip="View Full Record in Web of Science" display="View Full Record in Web of Science"/>
    <hyperlink ref="BF522" r:id="rId_hyperlink_872" tooltip="http://dx.doi.org/10.20542/0131-2227-2023-67-3-116-129" display="http://dx.doi.org/10.20542/0131-2227-2023-67-3-116-129"/>
    <hyperlink ref="BT522" r:id="rId_hyperlink_873" tooltip="View Full Record in Web of Science" display="View Full Record in Web of Science"/>
    <hyperlink ref="BF523" r:id="rId_hyperlink_874" tooltip="http://dx.doi.org/10.17223/19988613/76/11" display="http://dx.doi.org/10.17223/19988613/76/11"/>
    <hyperlink ref="BT523" r:id="rId_hyperlink_875" tooltip="View Full Record in Web of Science" display="View Full Record in Web of Science"/>
    <hyperlink ref="BF524" r:id="rId_hyperlink_876" tooltip="http://dx.doi.org/10.1007/s11041-022-00720-1" display="http://dx.doi.org/10.1007/s11041-022-00720-1"/>
    <hyperlink ref="BT524" r:id="rId_hyperlink_877" tooltip="View Full Record in Web of Science" display="View Full Record in Web of Science"/>
    <hyperlink ref="BF525" r:id="rId_hyperlink_878" tooltip="http://dx.doi.org/10.52254/1857-0070.2022.4-56.01" display="http://dx.doi.org/10.52254/1857-0070.2022.4-56.01"/>
    <hyperlink ref="BT525" r:id="rId_hyperlink_879" tooltip="View Full Record in Web of Science" display="View Full Record in Web of Science"/>
    <hyperlink ref="BF526" r:id="rId_hyperlink_880" tooltip="http://dx.doi.org/10.14529/hsm220415" display="http://dx.doi.org/10.14529/hsm220415"/>
    <hyperlink ref="BT526" r:id="rId_hyperlink_881" tooltip="View Full Record in Web of Science" display="View Full Record in Web of Science"/>
    <hyperlink ref="BF527" r:id="rId_hyperlink_882" tooltip="http://dx.doi.org/10.1007/978-3-030-93244-2_47" display="http://dx.doi.org/10.1007/978-3-030-93244-2_47"/>
    <hyperlink ref="BT527" r:id="rId_hyperlink_883" tooltip="View Full Record in Web of Science" display="View Full Record in Web of Science"/>
    <hyperlink ref="BF528" r:id="rId_hyperlink_884" tooltip="http://dx.doi.org/10.1080/08974454.2021.1980483" display="http://dx.doi.org/10.1080/08974454.2021.1980483"/>
    <hyperlink ref="BT528" r:id="rId_hyperlink_885" tooltip="View Full Record in Web of Science" display="View Full Record in Web of Science"/>
    <hyperlink ref="BF529" r:id="rId_hyperlink_886" tooltip="http://dx.doi.org/10.15405/epsbs.2021.07.02.45" display="http://dx.doi.org/10.15405/epsbs.2021.07.02.45"/>
    <hyperlink ref="BT529" r:id="rId_hyperlink_887" tooltip="View Full Record in Web of Science" display="View Full Record in Web of Science"/>
    <hyperlink ref="BF530" r:id="rId_hyperlink_888" tooltip="http://dx.doi.org/10.1109/SIBCON50419.2021.9438904" display="http://dx.doi.org/10.1109/SIBCON50419.2021.9438904"/>
    <hyperlink ref="BT530" r:id="rId_hyperlink_889" tooltip="View Full Record in Web of Science" display="View Full Record in Web of Science"/>
    <hyperlink ref="BF531" r:id="rId_hyperlink_890" tooltip="http://dx.doi.org/10.24224/2227-1295-2020-7-158-176" display="http://dx.doi.org/10.24224/2227-1295-2020-7-158-176"/>
    <hyperlink ref="BT531" r:id="rId_hyperlink_891" tooltip="View Full Record in Web of Science" display="View Full Record in Web of Science"/>
    <hyperlink ref="BF532" r:id="rId_hyperlink_892" tooltip="http://dx.doi.org/10.24224/2227-1295-2020-7-226-240" display="http://dx.doi.org/10.24224/2227-1295-2020-7-226-240"/>
    <hyperlink ref="BT532" r:id="rId_hyperlink_893" tooltip="View Full Record in Web of Science" display="View Full Record in Web of Science"/>
    <hyperlink ref="BT533" r:id="rId_hyperlink_894" tooltip="View Full Record in Web of Science" display="View Full Record in Web of Science"/>
    <hyperlink ref="BF534" r:id="rId_hyperlink_895" tooltip="http://dx.doi.org/10.18421/TEM82-31" display="http://dx.doi.org/10.18421/TEM82-31"/>
    <hyperlink ref="BT534" r:id="rId_hyperlink_896" tooltip="View Full Record in Web of Science" display="View Full Record in Web of Science"/>
    <hyperlink ref="BF535" r:id="rId_hyperlink_897" tooltip="http://dx.doi.org/10.3897/ap.1.e0254" display="http://dx.doi.org/10.3897/ap.1.e0254"/>
    <hyperlink ref="BT535" r:id="rId_hyperlink_898" tooltip="View Full Record in Web of Science" display="View Full Record in Web of Science"/>
    <hyperlink ref="BT536" r:id="rId_hyperlink_899" tooltip="View Full Record in Web of Science" display="View Full Record in Web of Science"/>
    <hyperlink ref="BF537" r:id="rId_hyperlink_900" tooltip="http://dx.doi.org/10.1088/1742-6596/1399/3/033050" display="http://dx.doi.org/10.1088/1742-6596/1399/3/033050"/>
    <hyperlink ref="BT537" r:id="rId_hyperlink_901" tooltip="View Full Record in Web of Science" display="View Full Record in Web of Science"/>
    <hyperlink ref="BT538" r:id="rId_hyperlink_902" tooltip="View Full Record in Web of Science" display="View Full Record in Web of Science"/>
    <hyperlink ref="BF539" r:id="rId_hyperlink_903" tooltip="http://dx.doi.org/10.26710/fk18-01-23" display="http://dx.doi.org/10.26710/fk18-01-23"/>
    <hyperlink ref="BT539" r:id="rId_hyperlink_904" tooltip="View Full Record in Web of Science" display="View Full Record in Web of Science"/>
    <hyperlink ref="BT540" r:id="rId_hyperlink_905" tooltip="View Full Record in Web of Science" display="View Full Record in Web of Science"/>
    <hyperlink ref="BF541" r:id="rId_hyperlink_906" tooltip="http://dx.doi.org/10.15405/epsbs.2017.08.02.17" display="http://dx.doi.org/10.15405/epsbs.2017.08.02.17"/>
    <hyperlink ref="BT541" r:id="rId_hyperlink_907" tooltip="View Full Record in Web of Science" display="View Full Record in Web of Science"/>
    <hyperlink ref="BT542" r:id="rId_hyperlink_908" tooltip="View Full Record in Web of Science" display="View Full Record in Web of Science"/>
    <hyperlink ref="BT543" r:id="rId_hyperlink_909" tooltip="View Full Record in Web of Science" display="View Full Record in Web of Science"/>
    <hyperlink ref="BF544" r:id="rId_hyperlink_910" tooltip="http://dx.doi.org/10.1134/S0040579512020121" display="http://dx.doi.org/10.1134/S0040579512020121"/>
    <hyperlink ref="BT544" r:id="rId_hyperlink_911" tooltip="View Full Record in Web of Science" display="View Full Record in Web of Science"/>
    <hyperlink ref="BT545" r:id="rId_hyperlink_912" tooltip="View Full Record in Web of Science" display="View Full Record in Web of Science"/>
    <hyperlink ref="BT546" r:id="rId_hyperlink_913" tooltip="View Full Record in Web of Science" display="View Full Record in Web of Science"/>
    <hyperlink ref="BT547" r:id="rId_hyperlink_914" tooltip="View Full Record in Web of Science" display="View Full Record in Web of Science"/>
    <hyperlink ref="BF548" r:id="rId_hyperlink_915" tooltip="http://dx.doi.org/10.1016/j.tate.2023.104064" display="http://dx.doi.org/10.1016/j.tate.2023.104064"/>
    <hyperlink ref="BT548" r:id="rId_hyperlink_916" tooltip="View Full Record in Web of Science" display="View Full Record in Web of Science"/>
    <hyperlink ref="BF549" r:id="rId_hyperlink_917" tooltip="http://dx.doi.org/10.1134/S0031918X22601251" display="http://dx.doi.org/10.1134/S0031918X22601251"/>
    <hyperlink ref="BT549" r:id="rId_hyperlink_918" tooltip="View Full Record in Web of Science" display="View Full Record in Web of Science"/>
    <hyperlink ref="BF550" r:id="rId_hyperlink_919" tooltip="http://dx.doi.org/10.51762/1FK-2021-26-04-24" display="http://dx.doi.org/10.51762/1FK-2021-26-04-24"/>
    <hyperlink ref="BT550" r:id="rId_hyperlink_920" tooltip="View Full Record in Web of Science" display="View Full Record in Web of Science"/>
    <hyperlink ref="BF551" r:id="rId_hyperlink_921" tooltip="http://dx.doi.org/10.13187/ejced.2020.2.417" display="http://dx.doi.org/10.13187/ejced.2020.2.417"/>
    <hyperlink ref="BT551" r:id="rId_hyperlink_922" tooltip="View Full Record in Web of Science" display="View Full Record in Web of Science"/>
    <hyperlink ref="BF552" r:id="rId_hyperlink_923" tooltip="http://dx.doi.org/10.1093/ehr/cez365" display="http://dx.doi.org/10.1093/ehr/cez365"/>
    <hyperlink ref="BT552" r:id="rId_hyperlink_924" tooltip="View Full Record in Web of Science" display="View Full Record in Web of Science"/>
    <hyperlink ref="BF553" r:id="rId_hyperlink_925" tooltip="http://dx.doi.org/10.24224/2227-1295-2020-10-268-279" display="http://dx.doi.org/10.24224/2227-1295-2020-10-268-279"/>
    <hyperlink ref="BT553" r:id="rId_hyperlink_926" tooltip="View Full Record in Web of Science" display="View Full Record in Web of Science"/>
    <hyperlink ref="BT554" r:id="rId_hyperlink_927" tooltip="View Full Record in Web of Science" display="View Full Record in Web of Science"/>
    <hyperlink ref="BF555" r:id="rId_hyperlink_928" tooltip="http://dx.doi.org/10.1108/OTH-07-2019-0040" display="http://dx.doi.org/10.1108/OTH-07-2019-0040"/>
    <hyperlink ref="BT555" r:id="rId_hyperlink_929" tooltip="View Full Record in Web of Science" display="View Full Record in Web of Science"/>
    <hyperlink ref="BF556" r:id="rId_hyperlink_930" tooltip="http://dx.doi.org/10.17853/1994-5639-2019-6-146-170" display="http://dx.doi.org/10.17853/1994-5639-2019-6-146-170"/>
    <hyperlink ref="BT556" r:id="rId_hyperlink_931" tooltip="View Full Record in Web of Science" display="View Full Record in Web of Science"/>
    <hyperlink ref="BT557" r:id="rId_hyperlink_932" tooltip="View Full Record in Web of Science" display="View Full Record in Web of Science"/>
    <hyperlink ref="BT558" r:id="rId_hyperlink_933" tooltip="View Full Record in Web of Science" display="View Full Record in Web of Science"/>
    <hyperlink ref="BF559" r:id="rId_hyperlink_934" tooltip="http://dx.doi.org/10.21638/spbu14.2019.304" display="http://dx.doi.org/10.21638/spbu14.2019.304"/>
    <hyperlink ref="BT559" r:id="rId_hyperlink_935" tooltip="View Full Record in Web of Science" display="View Full Record in Web of Science"/>
    <hyperlink ref="BF560" r:id="rId_hyperlink_936" tooltip="http://dx.doi.org/10.1051/e3sconf/201911002010" display="http://dx.doi.org/10.1051/e3sconf/201911002010"/>
    <hyperlink ref="BT560" r:id="rId_hyperlink_937" tooltip="View Full Record in Web of Science" display="View Full Record in Web of Science"/>
    <hyperlink ref="BT561" r:id="rId_hyperlink_938" tooltip="View Full Record in Web of Science" display="View Full Record in Web of Science"/>
    <hyperlink ref="BT562" r:id="rId_hyperlink_939" tooltip="View Full Record in Web of Science" display="View Full Record in Web of Science"/>
    <hyperlink ref="BT563" r:id="rId_hyperlink_940" tooltip="View Full Record in Web of Science" display="View Full Record in Web of Science"/>
    <hyperlink ref="BF564" r:id="rId_hyperlink_941" tooltip="http://dx.doi.org/10.1007/978-3-319-60696-5_10" display="http://dx.doi.org/10.1007/978-3-319-60696-5_10"/>
    <hyperlink ref="BT564" r:id="rId_hyperlink_942" tooltip="View Full Record in Web of Science" display="View Full Record in Web of Science"/>
    <hyperlink ref="BT565" r:id="rId_hyperlink_943" tooltip="View Full Record in Web of Science" display="View Full Record in Web of Science"/>
    <hyperlink ref="BT566" r:id="rId_hyperlink_944" tooltip="View Full Record in Web of Science" display="View Full Record in Web of Science"/>
    <hyperlink ref="BT567" r:id="rId_hyperlink_945" tooltip="View Full Record in Web of Science" display="View Full Record in Web of Science"/>
    <hyperlink ref="BF568" r:id="rId_hyperlink_946" tooltip="http://dx.doi.org/10.1134/S1087659609010118" display="http://dx.doi.org/10.1134/S1087659609010118"/>
    <hyperlink ref="BT568" r:id="rId_hyperlink_947" tooltip="View Full Record in Web of Science" display="View Full Record in Web of Science"/>
    <hyperlink ref="BT569" r:id="rId_hyperlink_948" tooltip="View Full Record in Web of Science" display="View Full Record in Web of Science"/>
    <hyperlink ref="BF570" r:id="rId_hyperlink_949" tooltip="http://dx.doi.org/10.1023/B:MSAT.0000043100.72622.0e" display="http://dx.doi.org/10.1023/B:MSAT.0000043100.72622.0e"/>
    <hyperlink ref="BT570" r:id="rId_hyperlink_950" tooltip="View Full Record in Web of Science" display="View Full Record in Web of Science"/>
    <hyperlink ref="BT571" r:id="rId_hyperlink_951" tooltip="View Full Record in Web of Science" display="View Full Record in Web of Science"/>
    <hyperlink ref="BT572" r:id="rId_hyperlink_952" tooltip="View Full Record in Web of Science" display="View Full Record in Web of Science"/>
    <hyperlink ref="BT573" r:id="rId_hyperlink_953" tooltip="View Full Record in Web of Science" display="View Full Record in Web of Science"/>
    <hyperlink ref="BF574" r:id="rId_hyperlink_954" tooltip="http://dx.doi.org/10.47836/pjst.31.3.17" display="http://dx.doi.org/10.47836/pjst.31.3.17"/>
    <hyperlink ref="BT574" r:id="rId_hyperlink_955" tooltip="View Full Record in Web of Science" display="View Full Record in Web of Science"/>
    <hyperlink ref="BF575" r:id="rId_hyperlink_956" tooltip="http://dx.doi.org/10.17223/19996195/60/15" display="http://dx.doi.org/10.17223/19996195/60/15"/>
    <hyperlink ref="BT575" r:id="rId_hyperlink_957" tooltip="View Full Record in Web of Science" display="View Full Record in Web of Science"/>
    <hyperlink ref="BF576" r:id="rId_hyperlink_958" tooltip="http://dx.doi.org/10.1134/S0869864322040096" display="http://dx.doi.org/10.1134/S0869864322040096"/>
    <hyperlink ref="BT576" r:id="rId_hyperlink_959" tooltip="View Full Record in Web of Science" display="View Full Record in Web of Science"/>
    <hyperlink ref="BF577" r:id="rId_hyperlink_960" tooltip="http://dx.doi.org/10.17223/22274200/23/2" display="http://dx.doi.org/10.17223/22274200/23/2"/>
    <hyperlink ref="BT577" r:id="rId_hyperlink_961" tooltip="View Full Record in Web of Science" display="View Full Record in Web of Science"/>
    <hyperlink ref="BF578" r:id="rId_hyperlink_962" tooltip="http://dx.doi.org/10.1007/s13762-022-03971-w" display="http://dx.doi.org/10.1007/s13762-022-03971-w"/>
    <hyperlink ref="BT578" r:id="rId_hyperlink_963" tooltip="View Full Record in Web of Science" display="View Full Record in Web of Science"/>
    <hyperlink ref="BF579" r:id="rId_hyperlink_964" tooltip="http://dx.doi.org/10.25750/1995-4301-2022-1-056-063" display="http://dx.doi.org/10.25750/1995-4301-2022-1-056-063"/>
    <hyperlink ref="BT579" r:id="rId_hyperlink_965" tooltip="View Full Record in Web of Science" display="View Full Record in Web of Science"/>
    <hyperlink ref="BF580" r:id="rId_hyperlink_966" tooltip="http://dx.doi.org/10.25750/1995-4301-2020-2-187-192" display="http://dx.doi.org/10.25750/1995-4301-2020-2-187-192"/>
    <hyperlink ref="BT580" r:id="rId_hyperlink_967" tooltip="View Full Record in Web of Science" display="View Full Record in Web of Science"/>
    <hyperlink ref="BT581" r:id="rId_hyperlink_968" tooltip="View Full Record in Web of Science" display="View Full Record in Web of Science"/>
    <hyperlink ref="BF582" r:id="rId_hyperlink_969" tooltip="http://dx.doi.org/10.28995/2073-0101-2020-1-169-179" display="http://dx.doi.org/10.28995/2073-0101-2020-1-169-179"/>
    <hyperlink ref="BT582" r:id="rId_hyperlink_970" tooltip="View Full Record in Web of Science" display="View Full Record in Web of Science"/>
    <hyperlink ref="BF583" r:id="rId_hyperlink_971" tooltip="http://dx.doi.org/10.24833/2071-8160-2020-4-73-52-79" display="http://dx.doi.org/10.24833/2071-8160-2020-4-73-52-79"/>
    <hyperlink ref="BT583" r:id="rId_hyperlink_972" tooltip="View Full Record in Web of Science" display="View Full Record in Web of Science"/>
    <hyperlink ref="BF584" r:id="rId_hyperlink_973" tooltip="http://dx.doi.org/10.25750/1995-4301-2019-1-041-046" display="http://dx.doi.org/10.25750/1995-4301-2019-1-041-046"/>
    <hyperlink ref="BT584" r:id="rId_hyperlink_974" tooltip="View Full Record in Web of Science" display="View Full Record in Web of Science"/>
    <hyperlink ref="BT585" r:id="rId_hyperlink_975" tooltip="View Full Record in Web of Science" display="View Full Record in Web of Science"/>
    <hyperlink ref="BT586" r:id="rId_hyperlink_976" tooltip="View Full Record in Web of Science" display="View Full Record in Web of Science"/>
    <hyperlink ref="BF587" r:id="rId_hyperlink_977" tooltip="http://dx.doi.org/10.15405/epsbs.2018.09.103" display="http://dx.doi.org/10.15405/epsbs.2018.09.103"/>
    <hyperlink ref="BT587" r:id="rId_hyperlink_978" tooltip="View Full Record in Web of Science" display="View Full Record in Web of Science"/>
    <hyperlink ref="BT588" r:id="rId_hyperlink_979" tooltip="View Full Record in Web of Science" display="View Full Record in Web of Science"/>
    <hyperlink ref="BT589" r:id="rId_hyperlink_980" tooltip="View Full Record in Web of Science" display="View Full Record in Web of Science"/>
    <hyperlink ref="BF590" r:id="rId_hyperlink_981" tooltip="http://dx.doi.org/10.14529/hsm180312" display="http://dx.doi.org/10.14529/hsm180312"/>
    <hyperlink ref="BT590" r:id="rId_hyperlink_982" tooltip="View Full Record in Web of Science" display="View Full Record in Web of Science"/>
    <hyperlink ref="BF591" r:id="rId_hyperlink_983" tooltip="http://dx.doi.org/10.22616/ERDev2018.17.N217" display="http://dx.doi.org/10.22616/ERDev2018.17.N217"/>
    <hyperlink ref="BT591" r:id="rId_hyperlink_984" tooltip="View Full Record in Web of Science" display="View Full Record in Web of Science"/>
    <hyperlink ref="BT592" r:id="rId_hyperlink_985" tooltip="View Full Record in Web of Science" display="View Full Record in Web of Science"/>
    <hyperlink ref="BF593" r:id="rId_hyperlink_986" tooltip="http://dx.doi.org/10.1007/978-3-319-55669-7_14" display="http://dx.doi.org/10.1007/978-3-319-55669-7_14"/>
    <hyperlink ref="BT593" r:id="rId_hyperlink_987" tooltip="View Full Record in Web of Science" display="View Full Record in Web of Science"/>
    <hyperlink ref="BF594" r:id="rId_hyperlink_988" tooltip="http://dx.doi.org/10.1016/j.proeng.2016.07.237" display="http://dx.doi.org/10.1016/j.proeng.2016.07.237"/>
    <hyperlink ref="BT594" r:id="rId_hyperlink_989" tooltip="View Full Record in Web of Science" display="View Full Record in Web of Science"/>
    <hyperlink ref="BT595" r:id="rId_hyperlink_990" tooltip="View Full Record in Web of Science" display="View Full Record in Web of Science"/>
    <hyperlink ref="BT596" r:id="rId_hyperlink_991" tooltip="View Full Record in Web of Science" display="View Full Record in Web of Science"/>
    <hyperlink ref="BF597" r:id="rId_hyperlink_992" tooltip="http://dx.doi.org/10.1007/s10517-014-2623-9" display="http://dx.doi.org/10.1007/s10517-014-2623-9"/>
    <hyperlink ref="BT597" r:id="rId_hyperlink_993" tooltip="View Full Record in Web of Science" display="View Full Record in Web of Science"/>
    <hyperlink ref="BF598" r:id="rId_hyperlink_994" tooltip="http://dx.doi.org/10.1134/S0965544113070165" display="http://dx.doi.org/10.1134/S0965544113070165"/>
    <hyperlink ref="BT598" r:id="rId_hyperlink_995" tooltip="View Full Record in Web of Science" display="View Full Record in Web of Science"/>
    <hyperlink ref="BF599" r:id="rId_hyperlink_996" tooltip="http://dx.doi.org/10.1134/S1064229312110075" display="http://dx.doi.org/10.1134/S1064229312110075"/>
    <hyperlink ref="BT599" r:id="rId_hyperlink_997" tooltip="View Full Record in Web of Science" display="View Full Record in Web of Science"/>
    <hyperlink ref="BF600" r:id="rId_hyperlink_998" tooltip="http://dx.doi.org/10.1007/s11041-012-9491-6" display="http://dx.doi.org/10.1007/s11041-012-9491-6"/>
    <hyperlink ref="BT600" r:id="rId_hyperlink_999" tooltip="View Full Record in Web of Science" display="View Full Record in Web of Science"/>
    <hyperlink ref="BF601" r:id="rId_hyperlink_1000" tooltip="http://dx.doi.org/10.1134/S1064230708020111" display="http://dx.doi.org/10.1134/S1064230708020111"/>
    <hyperlink ref="BT601" r:id="rId_hyperlink_1001" tooltip="View Full Record in Web of Science" display="View Full Record in Web of Science"/>
    <hyperlink ref="BF602" r:id="rId_hyperlink_1002" tooltip="http://dx.doi.org/10.1134/S1023193507060171" display="http://dx.doi.org/10.1134/S1023193507060171"/>
    <hyperlink ref="BT602" r:id="rId_hyperlink_1003" tooltip="View Full Record in Web of Science" display="View Full Record in Web of Science"/>
    <hyperlink ref="BF603" r:id="rId_hyperlink_1004" tooltip="http://dx.doi.org/10.1134/S1023193507060031" display="http://dx.doi.org/10.1134/S1023193507060031"/>
    <hyperlink ref="BT603" r:id="rId_hyperlink_1005" tooltip="View Full Record in Web of Science" display="View Full Record in Web of Science"/>
    <hyperlink ref="BT604" r:id="rId_hyperlink_1006" tooltip="View Full Record in Web of Science" display="View Full Record in Web of Science"/>
    <hyperlink ref="BF605" r:id="rId_hyperlink_1007" tooltip="http://dx.doi.org/10.1023/A:1016822030399" display="http://dx.doi.org/10.1023/A:1016822030399"/>
    <hyperlink ref="BT605" r:id="rId_hyperlink_1008" tooltip="View Full Record in Web of Science" display="View Full Record in Web of Science"/>
    <hyperlink ref="BT606" r:id="rId_hyperlink_1009" tooltip="View Full Record in Web of Science" display="View Full Record in Web of Science"/>
    <hyperlink ref="BF607" r:id="rId_hyperlink_1010" tooltip="http://dx.doi.org/10.1007/978-3-030-93244-2_46" display="http://dx.doi.org/10.1007/978-3-030-93244-2_46"/>
    <hyperlink ref="BT607" r:id="rId_hyperlink_1011" tooltip="View Full Record in Web of Science" display="View Full Record in Web of Science"/>
    <hyperlink ref="BF608" r:id="rId_hyperlink_1012" tooltip="http://dx.doi.org/10.17223/23062061/27/12" display="http://dx.doi.org/10.17223/23062061/27/12"/>
    <hyperlink ref="BT608" r:id="rId_hyperlink_1013" tooltip="View Full Record in Web of Science" display="View Full Record in Web of Science"/>
    <hyperlink ref="BF609" r:id="rId_hyperlink_1014" tooltip="http://dx.doi.org/10.3390/computation9020009" display="http://dx.doi.org/10.3390/computation9020009"/>
    <hyperlink ref="BT609" r:id="rId_hyperlink_1015" tooltip="View Full Record in Web of Science" display="View Full Record in Web of Science"/>
    <hyperlink ref="BF610" r:id="rId_hyperlink_1016" tooltip="http://dx.doi.org/10.24874/IJQR15.01-18" display="http://dx.doi.org/10.24874/IJQR15.01-18"/>
    <hyperlink ref="BT610" r:id="rId_hyperlink_1017" tooltip="View Full Record in Web of Science" display="View Full Record in Web of Science"/>
    <hyperlink ref="BF611" r:id="rId_hyperlink_1018" tooltip="http://dx.doi.org/10.52254/1857-0070.2021.4-52.08" display="http://dx.doi.org/10.52254/1857-0070.2021.4-52.08"/>
    <hyperlink ref="BT611" r:id="rId_hyperlink_1019" tooltip="View Full Record in Web of Science" display="View Full Record in Web of Science"/>
    <hyperlink ref="BF612" r:id="rId_hyperlink_1020" tooltip="http://dx.doi.org/10.17223/23062061/22/8" display="http://dx.doi.org/10.17223/23062061/22/8"/>
    <hyperlink ref="BT612" r:id="rId_hyperlink_1021" tooltip="View Full Record in Web of Science" display="View Full Record in Web of Science"/>
    <hyperlink ref="BF613" r:id="rId_hyperlink_1022" tooltip="http://dx.doi.org/10.15382/sturI202089.113-128" display="http://dx.doi.org/10.15382/sturI202089.113-128"/>
    <hyperlink ref="BT613" r:id="rId_hyperlink_1023" tooltip="View Full Record in Web of Science" display="View Full Record in Web of Science"/>
    <hyperlink ref="BF614" r:id="rId_hyperlink_1024" tooltip="http://dx.doi.org/10.1109/ACCESS.2020.2982365" display="http://dx.doi.org/10.1109/ACCESS.2020.2982365"/>
    <hyperlink ref="BT614" r:id="rId_hyperlink_1025" tooltip="View Full Record in Web of Science" display="View Full Record in Web of Science"/>
    <hyperlink ref="BT615" r:id="rId_hyperlink_1026" tooltip="View Full Record in Web of Science" display="View Full Record in Web of Science"/>
    <hyperlink ref="BF616" r:id="rId_hyperlink_1027" tooltip="http://dx.doi.org/10.28995/2073-0101-2020-4-1007-1019" display="http://dx.doi.org/10.28995/2073-0101-2020-4-1007-1019"/>
    <hyperlink ref="BT616" r:id="rId_hyperlink_1028" tooltip="View Full Record in Web of Science" display="View Full Record in Web of Science"/>
    <hyperlink ref="BF617" r:id="rId_hyperlink_1029" tooltip="http://dx.doi.org/10.1007/978-3-030-50097-9_16" display="http://dx.doi.org/10.1007/978-3-030-50097-9_16"/>
    <hyperlink ref="BT617" r:id="rId_hyperlink_1030" tooltip="View Full Record in Web of Science" display="View Full Record in Web of Science"/>
    <hyperlink ref="BF618" r:id="rId_hyperlink_1031" tooltip="http://dx.doi.org/10.5281/zenodo.3562179" display="http://dx.doi.org/10.5281/zenodo.3562179"/>
    <hyperlink ref="BT618" r:id="rId_hyperlink_1032" tooltip="View Full Record in Web of Science" display="View Full Record in Web of Science"/>
    <hyperlink ref="BF619" r:id="rId_hyperlink_1033" tooltip="http://dx.doi.org/10.24224/2227-1295-2019-11-418-432" display="http://dx.doi.org/10.24224/2227-1295-2019-11-418-432"/>
    <hyperlink ref="BT619" r:id="rId_hyperlink_1034" tooltip="View Full Record in Web of Science" display="View Full Record in Web of Science"/>
    <hyperlink ref="BF620" r:id="rId_hyperlink_1035" tooltip="http://dx.doi.org/10.15561/20755279.2019.0206" display="http://dx.doi.org/10.15561/20755279.2019.0206"/>
    <hyperlink ref="BT620" r:id="rId_hyperlink_1036" tooltip="View Full Record in Web of Science" display="View Full Record in Web of Science"/>
    <hyperlink ref="BF621" r:id="rId_hyperlink_1037" tooltip="http://dx.doi.org/10.17223/23062061/16/6" display="http://dx.doi.org/10.17223/23062061/16/6"/>
    <hyperlink ref="BT621" r:id="rId_hyperlink_1038" tooltip="View Full Record in Web of Science" display="View Full Record in Web of Science"/>
    <hyperlink ref="BF622" r:id="rId_hyperlink_1039" tooltip="http://dx.doi.org/10.18720/MCE.82.16" display="http://dx.doi.org/10.18720/MCE.82.16"/>
    <hyperlink ref="BT622" r:id="rId_hyperlink_1040" tooltip="View Full Record in Web of Science" display="View Full Record in Web of Science"/>
    <hyperlink ref="BF623" r:id="rId_hyperlink_1041" tooltip="http://dx.doi.org/10.1134/S1070427217040152" display="http://dx.doi.org/10.1134/S1070427217040152"/>
    <hyperlink ref="BT623" r:id="rId_hyperlink_1042" tooltip="View Full Record in Web of Science" display="View Full Record in Web of Science"/>
    <hyperlink ref="BT624" r:id="rId_hyperlink_1043" tooltip="View Full Record in Web of Science" display="View Full Record in Web of Science"/>
    <hyperlink ref="BF625" r:id="rId_hyperlink_1044" tooltip="http://dx.doi.org/10.1134/S0869864315030129" display="http://dx.doi.org/10.1134/S0869864315030129"/>
    <hyperlink ref="BT625" r:id="rId_hyperlink_1045" tooltip="View Full Record in Web of Science" display="View Full Record in Web of Science"/>
    <hyperlink ref="BT626" r:id="rId_hyperlink_1046" tooltip="View Full Record in Web of Science" display="View Full Record in Web of Science"/>
    <hyperlink ref="BF627" r:id="rId_hyperlink_1047" tooltip="http://dx.doi.org/10.1134/S0869593814070053" display="http://dx.doi.org/10.1134/S0869593814070053"/>
    <hyperlink ref="BT627" r:id="rId_hyperlink_1048" tooltip="View Full Record in Web of Science" display="View Full Record in Web of Science"/>
    <hyperlink ref="BT628" r:id="rId_hyperlink_1049" tooltip="View Full Record in Web of Science" display="View Full Record in Web of Science"/>
    <hyperlink ref="BT629" r:id="rId_hyperlink_1050" tooltip="View Full Record in Web of Science" display="View Full Record in Web of Science"/>
    <hyperlink ref="BF630" r:id="rId_hyperlink_1051" tooltip="http://dx.doi.org/10.1023/A:1010410711855" display="http://dx.doi.org/10.1023/A:1010410711855"/>
    <hyperlink ref="BT630" r:id="rId_hyperlink_1052" tooltip="View Full Record in Web of Science" display="View Full Record in Web of Science"/>
    <hyperlink ref="BT631" r:id="rId_hyperlink_1053" tooltip="View Full Record in Web of Science" display="View Full Record in Web of Science"/>
    <hyperlink ref="BF632" r:id="rId_hyperlink_1054" tooltip="http://dx.doi.org/10.3390/en16031237" display="http://dx.doi.org/10.3390/en16031237"/>
    <hyperlink ref="BT632" r:id="rId_hyperlink_1055" tooltip="View Full Record in Web of Science" display="View Full Record in Web of Science"/>
    <hyperlink ref="BF633" r:id="rId_hyperlink_1056" tooltip="http://dx.doi.org/10.1134/S0869864322030118" display="http://dx.doi.org/10.1134/S0869864322030118"/>
    <hyperlink ref="BT633" r:id="rId_hyperlink_1057" tooltip="View Full Record in Web of Science" display="View Full Record in Web of Science"/>
    <hyperlink ref="BF634" r:id="rId_hyperlink_1058" tooltip="http://dx.doi.org/10.52254/1857-0070.2022.3-55.06" display="http://dx.doi.org/10.52254/1857-0070.2022.3-55.06"/>
    <hyperlink ref="BT634" r:id="rId_hyperlink_1059" tooltip="View Full Record in Web of Science" display="View Full Record in Web of Science"/>
    <hyperlink ref="BF635" r:id="rId_hyperlink_1060" tooltip="http://dx.doi.org/10.13187/bg.2021.3.1203" display="http://dx.doi.org/10.13187/bg.2021.3.1203"/>
    <hyperlink ref="BT635" r:id="rId_hyperlink_1061" tooltip="View Full Record in Web of Science" display="View Full Record in Web of Science"/>
    <hyperlink ref="BF636" r:id="rId_hyperlink_1062" tooltip="http://dx.doi.org/10.24874/IJQR15.04-05" display="http://dx.doi.org/10.24874/IJQR15.04-05"/>
    <hyperlink ref="BT636" r:id="rId_hyperlink_1063" tooltip="View Full Record in Web of Science" display="View Full Record in Web of Science"/>
    <hyperlink ref="BF637" r:id="rId_hyperlink_1064" tooltip="http://dx.doi.org/10.17853/1994-5639-2020-1-113-145" display="http://dx.doi.org/10.17853/1994-5639-2020-1-113-145"/>
    <hyperlink ref="BT637" r:id="rId_hyperlink_1065" tooltip="View Full Record in Web of Science" display="View Full Record in Web of Science"/>
    <hyperlink ref="BF638" r:id="rId_hyperlink_1066" tooltip="http://dx.doi.org/10.24874/IJQR14.01-03" display="http://dx.doi.org/10.24874/IJQR14.01-03"/>
    <hyperlink ref="BT638" r:id="rId_hyperlink_1067" tooltip="View Full Record in Web of Science" display="View Full Record in Web of Science"/>
    <hyperlink ref="BF639" r:id="rId_hyperlink_1068" tooltip="http://dx.doi.org/10.17223/19996195/47/11" display="http://dx.doi.org/10.17223/19996195/47/11"/>
    <hyperlink ref="BT639" r:id="rId_hyperlink_1069" tooltip="View Full Record in Web of Science" display="View Full Record in Web of Science"/>
    <hyperlink ref="BF640" r:id="rId_hyperlink_1070" tooltip="http://dx.doi.org/10.1134/S0037446619030157" display="http://dx.doi.org/10.1134/S0037446619030157"/>
    <hyperlink ref="BT640" r:id="rId_hyperlink_1071" tooltip="View Full Record in Web of Science" display="View Full Record in Web of Science"/>
    <hyperlink ref="BF641" r:id="rId_hyperlink_1072" tooltip="http://dx.doi.org/10.5281/zenodo.2650407" display="http://dx.doi.org/10.5281/zenodo.2650407"/>
    <hyperlink ref="BT641" r:id="rId_hyperlink_1073" tooltip="View Full Record in Web of Science" display="View Full Record in Web of Science"/>
    <hyperlink ref="BF642" r:id="rId_hyperlink_1074" tooltip="http://dx.doi.org/10.24224/2227-1295-2019-11-144-154" display="http://dx.doi.org/10.24224/2227-1295-2019-11-144-154"/>
    <hyperlink ref="BT642" r:id="rId_hyperlink_1075" tooltip="View Full Record in Web of Science" display="View Full Record in Web of Science"/>
    <hyperlink ref="BF643" r:id="rId_hyperlink_1076" tooltip="http://dx.doi.org/10.1051/e3sconf/201911002090" display="http://dx.doi.org/10.1051/e3sconf/201911002090"/>
    <hyperlink ref="BT643" r:id="rId_hyperlink_1077" tooltip="View Full Record in Web of Science" display="View Full Record in Web of Science"/>
    <hyperlink ref="BT644" r:id="rId_hyperlink_1078" tooltip="View Full Record in Web of Science" display="View Full Record in Web of Science"/>
    <hyperlink ref="BF645" r:id="rId_hyperlink_1079" tooltip="http://dx.doi.org/10.18254/S207987840008095-3" display="http://dx.doi.org/10.18254/S207987840008095-3"/>
    <hyperlink ref="BT645" r:id="rId_hyperlink_1080" tooltip="View Full Record in Web of Science" display="View Full Record in Web of Science"/>
    <hyperlink ref="BF646" r:id="rId_hyperlink_1081" tooltip="http://dx.doi.org/10.1134/S1062359019010114" display="http://dx.doi.org/10.1134/S1062359019010114"/>
    <hyperlink ref="BT646" r:id="rId_hyperlink_1082" tooltip="View Full Record in Web of Science" display="View Full Record in Web of Science"/>
    <hyperlink ref="BF647" r:id="rId_hyperlink_1083" tooltip="http://dx.doi.org/10.17223/19986645/54/1" display="http://dx.doi.org/10.17223/19986645/54/1"/>
    <hyperlink ref="BT647" r:id="rId_hyperlink_1084" tooltip="View Full Record in Web of Science" display="View Full Record in Web of Science"/>
    <hyperlink ref="BF648" r:id="rId_hyperlink_1085" tooltip="http://dx.doi.org/10.1051/matecconf/201817001003" display="http://dx.doi.org/10.1051/matecconf/201817001003"/>
    <hyperlink ref="BT648" r:id="rId_hyperlink_1086" tooltip="View Full Record in Web of Science" display="View Full Record in Web of Science"/>
    <hyperlink ref="BF649" r:id="rId_hyperlink_1087" tooltip="http://dx.doi.org/10.1088/1757-899X/450/3/032034" display="http://dx.doi.org/10.1088/1757-899X/450/3/032034"/>
    <hyperlink ref="BT649" r:id="rId_hyperlink_1088" tooltip="View Full Record in Web of Science" display="View Full Record in Web of Science"/>
    <hyperlink ref="BT650" r:id="rId_hyperlink_1089" tooltip="View Full Record in Web of Science" display="View Full Record in Web of Science"/>
    <hyperlink ref="BT651" r:id="rId_hyperlink_1090" tooltip="View Full Record in Web of Science" display="View Full Record in Web of Science"/>
    <hyperlink ref="BF652" r:id="rId_hyperlink_1091" tooltip="http://dx.doi.org/10.1007/978-3-319-60696-5_40" display="http://dx.doi.org/10.1007/978-3-319-60696-5_40"/>
    <hyperlink ref="BT652" r:id="rId_hyperlink_1092" tooltip="View Full Record in Web of Science" display="View Full Record in Web of Science"/>
    <hyperlink ref="BF653" r:id="rId_hyperlink_1093" tooltip="http://dx.doi.org/10.1134/S1070427213060116" display="http://dx.doi.org/10.1134/S1070427213060116"/>
    <hyperlink ref="BT653" r:id="rId_hyperlink_1094" tooltip="View Full Record in Web of Science" display="View Full Record in Web of Science"/>
    <hyperlink ref="BF654" r:id="rId_hyperlink_1095" tooltip="http://dx.doi.org/10.1109/EURCON.2009.5167811" display="http://dx.doi.org/10.1109/EURCON.2009.5167811"/>
    <hyperlink ref="BT654" r:id="rId_hyperlink_1096" tooltip="View Full Record in Web of Science" display="View Full Record in Web of Science"/>
    <hyperlink ref="BT655" r:id="rId_hyperlink_1097" tooltip="View Full Record in Web of Science" display="View Full Record in Web of Science"/>
    <hyperlink ref="BF656" r:id="rId_hyperlink_1098" tooltip="http://dx.doi.org/10.1117/12.724894" display="http://dx.doi.org/10.1117/12.724894"/>
    <hyperlink ref="BT656" r:id="rId_hyperlink_1099" tooltip="View Full Record in Web of Science" display="View Full Record in Web of Science"/>
    <hyperlink ref="BT657" r:id="rId_hyperlink_1100" tooltip="View Full Record in Web of Science" display="View Full Record in Web of Science"/>
    <hyperlink ref="BT658" r:id="rId_hyperlink_1101" tooltip="View Full Record in Web of Science" display="View Full Record in Web of Science"/>
    <hyperlink ref="BF659" r:id="rId_hyperlink_1102" tooltip="http://dx.doi.org/10.1007/s00233-022-10327-w" display="http://dx.doi.org/10.1007/s00233-022-10327-w"/>
    <hyperlink ref="BT659" r:id="rId_hyperlink_1103" tooltip="View Full Record in Web of Science" display="View Full Record in Web of Science"/>
    <hyperlink ref="BF660" r:id="rId_hyperlink_1104" tooltip="http://dx.doi.org/10.25750/1995-4301-2022-4-214-223" display="http://dx.doi.org/10.25750/1995-4301-2022-4-214-223"/>
    <hyperlink ref="BT660" r:id="rId_hyperlink_1105" tooltip="View Full Record in Web of Science" display="View Full Record in Web of Science"/>
    <hyperlink ref="BT661" r:id="rId_hyperlink_1106" tooltip="View Full Record in Web of Science" display="View Full Record in Web of Science"/>
    <hyperlink ref="BF662" r:id="rId_hyperlink_1107" tooltip="http://dx.doi.org/10.24833/2071-8160-2022-4-85-7-42" display="http://dx.doi.org/10.24833/2071-8160-2022-4-85-7-42"/>
    <hyperlink ref="BT662" r:id="rId_hyperlink_1108" tooltip="View Full Record in Web of Science" display="View Full Record in Web of Science"/>
    <hyperlink ref="BF663" r:id="rId_hyperlink_1109" tooltip="http://dx.doi.org/10.14529/hsm210413" display="http://dx.doi.org/10.14529/hsm210413"/>
    <hyperlink ref="BT663" r:id="rId_hyperlink_1110" tooltip="View Full Record in Web of Science" display="View Full Record in Web of Science"/>
    <hyperlink ref="BF664" r:id="rId_hyperlink_1111" tooltip="http://dx.doi.org/10.37220/MIT.2021.52.2.023" display="http://dx.doi.org/10.37220/MIT.2021.52.2.023"/>
    <hyperlink ref="BT664" r:id="rId_hyperlink_1112" tooltip="View Full Record in Web of Science" display="View Full Record in Web of Science"/>
    <hyperlink ref="BF665" r:id="rId_hyperlink_1113" tooltip="http://dx.doi.org/10.28995/2073-0101-2021-2-482-495" display="http://dx.doi.org/10.28995/2073-0101-2021-2-482-495"/>
    <hyperlink ref="BT665" r:id="rId_hyperlink_1114" tooltip="View Full Record in Web of Science" display="View Full Record in Web of Science"/>
    <hyperlink ref="BF666" r:id="rId_hyperlink_1115" tooltip="http://dx.doi.org/10.1134/S1995082920020297" display="http://dx.doi.org/10.1134/S1995082920020297"/>
    <hyperlink ref="BT666" r:id="rId_hyperlink_1116" tooltip="View Full Record in Web of Science" display="View Full Record in Web of Science"/>
    <hyperlink ref="BF667" r:id="rId_hyperlink_1117" tooltip="http://dx.doi.org/10.1051/bioconf/20202400039" display="http://dx.doi.org/10.1051/bioconf/20202400039"/>
    <hyperlink ref="BT667" r:id="rId_hyperlink_1118" tooltip="View Full Record in Web of Science" display="View Full Record in Web of Science"/>
    <hyperlink ref="BT668" r:id="rId_hyperlink_1119" tooltip="View Full Record in Web of Science" display="View Full Record in Web of Science"/>
    <hyperlink ref="BT669" r:id="rId_hyperlink_1120" tooltip="View Full Record in Web of Science" display="View Full Record in Web of Science"/>
    <hyperlink ref="BF670" r:id="rId_hyperlink_1121" tooltip="http://dx.doi.org/10.15826/qr.2020.1.453" display="http://dx.doi.org/10.15826/qr.2020.1.453"/>
    <hyperlink ref="BT670" r:id="rId_hyperlink_1122" tooltip="View Full Record in Web of Science" display="View Full Record in Web of Science"/>
    <hyperlink ref="BF671" r:id="rId_hyperlink_1123" tooltip="http://dx.doi.org/10.5281/zenodo.3722888" display="http://dx.doi.org/10.5281/zenodo.3722888"/>
    <hyperlink ref="BT671" r:id="rId_hyperlink_1124" tooltip="View Full Record in Web of Science" display="View Full Record in Web of Science"/>
    <hyperlink ref="BF672" r:id="rId_hyperlink_1125" tooltip="http://dx.doi.org/10.1134/S1995082919050134" display="http://dx.doi.org/10.1134/S1995082919050134"/>
    <hyperlink ref="BT672" r:id="rId_hyperlink_1126" tooltip="View Full Record in Web of Science" display="View Full Record in Web of Science"/>
    <hyperlink ref="BF673" r:id="rId_hyperlink_1127" tooltip="http://dx.doi.org/10.14529/hsm190308" display="http://dx.doi.org/10.14529/hsm190308"/>
    <hyperlink ref="BT673" r:id="rId_hyperlink_1128" tooltip="View Full Record in Web of Science" display="View Full Record in Web of Science"/>
    <hyperlink ref="BF674" r:id="rId_hyperlink_1129" tooltip="http://dx.doi.org/10.13187/bg.2019.4.1811" display="http://dx.doi.org/10.13187/bg.2019.4.1811"/>
    <hyperlink ref="BT674" r:id="rId_hyperlink_1130" tooltip="View Full Record in Web of Science" display="View Full Record in Web of Science"/>
    <hyperlink ref="BF675" r:id="rId_hyperlink_1131" tooltip="http://dx.doi.org/10.31166/VoprosyIstorii201908Statyil6" display="http://dx.doi.org/10.31166/VoprosyIstorii201908Statyil6"/>
    <hyperlink ref="BT675" r:id="rId_hyperlink_1132" tooltip="View Full Record in Web of Science" display="View Full Record in Web of Science"/>
    <hyperlink ref="BT676" r:id="rId_hyperlink_1133" tooltip="View Full Record in Web of Science" display="View Full Record in Web of Science"/>
    <hyperlink ref="BF677" r:id="rId_hyperlink_1134" tooltip="http://dx.doi.org/10.14529/hsm19s215" display="http://dx.doi.org/10.14529/hsm19s215"/>
    <hyperlink ref="BT677" r:id="rId_hyperlink_1135" tooltip="View Full Record in Web of Science" display="View Full Record in Web of Science"/>
    <hyperlink ref="BF678" r:id="rId_hyperlink_1136" tooltip="http://dx.doi.org/10.1134/S1995080219010128" display="http://dx.doi.org/10.1134/S1995080219010128"/>
    <hyperlink ref="BT678" r:id="rId_hyperlink_1137" tooltip="View Full Record in Web of Science" display="View Full Record in Web of Science"/>
    <hyperlink ref="BF679" r:id="rId_hyperlink_1138" tooltip="http://dx.doi.org/10.24833/2071-8160-2019-1-64-59-82" display="http://dx.doi.org/10.24833/2071-8160-2019-1-64-59-82"/>
    <hyperlink ref="BT679" r:id="rId_hyperlink_1139" tooltip="View Full Record in Web of Science" display="View Full Record in Web of Science"/>
    <hyperlink ref="BT680" r:id="rId_hyperlink_1140" tooltip="View Full Record in Web of Science" display="View Full Record in Web of Science"/>
    <hyperlink ref="BF681" r:id="rId_hyperlink_1141" tooltip="http://dx.doi.org/10.15561/18189172.2018.0106" display="http://dx.doi.org/10.15561/18189172.2018.0106"/>
    <hyperlink ref="BT681" r:id="rId_hyperlink_1142" tooltip="View Full Record in Web of Science" display="View Full Record in Web of Science"/>
    <hyperlink ref="BT682" r:id="rId_hyperlink_1143" tooltip="View Full Record in Web of Science" display="View Full Record in Web of Science"/>
    <hyperlink ref="BF683" r:id="rId_hyperlink_1144" tooltip="http://dx.doi.org/10.1088/1742-6596/669/1/012040" display="http://dx.doi.org/10.1088/1742-6596/669/1/012040"/>
    <hyperlink ref="BT683" r:id="rId_hyperlink_1145" tooltip="View Full Record in Web of Science" display="View Full Record in Web of Science"/>
    <hyperlink ref="BT684" r:id="rId_hyperlink_1146" tooltip="View Full Record in Web of Science" display="View Full Record in Web of Science"/>
    <hyperlink ref="BF685" r:id="rId_hyperlink_1147" tooltip="http://dx.doi.org/10.1070/SM8609" display="http://dx.doi.org/10.1070/SM8609"/>
    <hyperlink ref="BT685" r:id="rId_hyperlink_1148" tooltip="View Full Record in Web of Science" display="View Full Record in Web of Science"/>
    <hyperlink ref="BF686" r:id="rId_hyperlink_1149" tooltip="http://dx.doi.org/10.1134/S10704272150110105" display="http://dx.doi.org/10.1134/S10704272150110105"/>
    <hyperlink ref="BT686" r:id="rId_hyperlink_1150" tooltip="View Full Record in Web of Science" display="View Full Record in Web of Science"/>
    <hyperlink ref="BF687" r:id="rId_hyperlink_1151" tooltip="http://dx.doi.org/10.1134/S1064230713050122" display="http://dx.doi.org/10.1134/S1064230713050122"/>
    <hyperlink ref="BT687" r:id="rId_hyperlink_1152" tooltip="View Full Record in Web of Science" display="View Full Record in Web of Science"/>
    <hyperlink ref="BF688" r:id="rId_hyperlink_1153" tooltip="http://dx.doi.org/10.1134/S0040579513020103" display="http://dx.doi.org/10.1134/S0040579513020103"/>
    <hyperlink ref="BT688" r:id="rId_hyperlink_1154" tooltip="View Full Record in Web of Science" display="View Full Record in Web of Science"/>
    <hyperlink ref="BF689" r:id="rId_hyperlink_1155" tooltip="http://dx.doi.org/10.1134/S1070427207010120" display="http://dx.doi.org/10.1134/S1070427207010120"/>
    <hyperlink ref="BT689" r:id="rId_hyperlink_1156" tooltip="View Full Record in Web of Science" display="View Full Record in Web of Science"/>
    <hyperlink ref="BT690" r:id="rId_hyperlink_1157" tooltip="View Full Record in Web of Science" display="View Full Record in Web of Science"/>
    <hyperlink ref="BF691" r:id="rId_hyperlink_1158" tooltip="http://dx.doi.org/10.1007/BF02537553" display="http://dx.doi.org/10.1007/BF02537553"/>
    <hyperlink ref="BT691" r:id="rId_hyperlink_1159" tooltip="View Full Record in Web of Science" display="View Full Record in Web of Science"/>
    <hyperlink ref="BF692" r:id="rId_hyperlink_1160" tooltip="http://dx.doi.org/10.37358/MP.22.1.5555" display="http://dx.doi.org/10.37358/MP.22.1.5555"/>
    <hyperlink ref="BT692" r:id="rId_hyperlink_1161" tooltip="View Full Record in Web of Science" display="View Full Record in Web of Science"/>
    <hyperlink ref="BF693" r:id="rId_hyperlink_1162" tooltip="http://dx.doi.org/10.25750/1995-4301-2022-1-191-197" display="http://dx.doi.org/10.25750/1995-4301-2022-1-191-197"/>
    <hyperlink ref="BT693" r:id="rId_hyperlink_1163" tooltip="View Full Record in Web of Science" display="View Full Record in Web of Science"/>
    <hyperlink ref="BF694" r:id="rId_hyperlink_1164" tooltip="http://dx.doi.org/10.25750/1995-4301-2021-4-064-070" display="http://dx.doi.org/10.25750/1995-4301-2021-4-064-070"/>
    <hyperlink ref="BT694" r:id="rId_hyperlink_1165" tooltip="View Full Record in Web of Science" display="View Full Record in Web of Science"/>
    <hyperlink ref="BT695" r:id="rId_hyperlink_1166" tooltip="View Full Record in Web of Science" display="View Full Record in Web of Science"/>
    <hyperlink ref="BT696" r:id="rId_hyperlink_1167" tooltip="View Full Record in Web of Science" display="View Full Record in Web of Science"/>
    <hyperlink ref="BT697" r:id="rId_hyperlink_1168" tooltip="View Full Record in Web of Science" display="View Full Record in Web of Science"/>
    <hyperlink ref="BF698" r:id="rId_hyperlink_1169" tooltip="http://dx.doi.org/10.15826/izv2.2020.22.4.072" display="http://dx.doi.org/10.15826/izv2.2020.22.4.072"/>
    <hyperlink ref="BT698" r:id="rId_hyperlink_1170" tooltip="View Full Record in Web of Science" display="View Full Record in Web of Science"/>
    <hyperlink ref="BF699" r:id="rId_hyperlink_1171" tooltip="http://dx.doi.org/10.20339/PhS.4-19.003" display="http://dx.doi.org/10.20339/PhS.4-19.003"/>
    <hyperlink ref="BT699" r:id="rId_hyperlink_1172" tooltip="View Full Record in Web of Science" display="View Full Record in Web of Science"/>
    <hyperlink ref="BT700" r:id="rId_hyperlink_1173" tooltip="View Full Record in Web of Science" display="View Full Record in Web of Science"/>
    <hyperlink ref="BT701" r:id="rId_hyperlink_1174" tooltip="View Full Record in Web of Science" display="View Full Record in Web of Science"/>
    <hyperlink ref="BF702" r:id="rId_hyperlink_1175" tooltip="http://dx.doi.org/10.3897/ap.1.e0422" display="http://dx.doi.org/10.3897/ap.1.e0422"/>
    <hyperlink ref="BT702" r:id="rId_hyperlink_1176" tooltip="View Full Record in Web of Science" display="View Full Record in Web of Science"/>
    <hyperlink ref="BF703" r:id="rId_hyperlink_1177" tooltip="http://dx.doi.org/10.24224/2227-1295-2019-10-434-451" display="http://dx.doi.org/10.24224/2227-1295-2019-10-434-451"/>
    <hyperlink ref="BT703" r:id="rId_hyperlink_1178" tooltip="View Full Record in Web of Science" display="View Full Record in Web of Science"/>
    <hyperlink ref="BF704" r:id="rId_hyperlink_1179" tooltip="http://dx.doi.org/10.12841/wood.1644-3985.268.06" display="http://dx.doi.org/10.12841/wood.1644-3985.268.06"/>
    <hyperlink ref="BT704" r:id="rId_hyperlink_1180" tooltip="View Full Record in Web of Science" display="View Full Record in Web of Science"/>
    <hyperlink ref="BF705" r:id="rId_hyperlink_1181" tooltip="http://dx.doi.org/10.1007/978-3-319-94310-7_13" display="http://dx.doi.org/10.1007/978-3-319-94310-7_13"/>
    <hyperlink ref="BT705" r:id="rId_hyperlink_1182" tooltip="View Full Record in Web of Science" display="View Full Record in Web of Science"/>
    <hyperlink ref="BF706" r:id="rId_hyperlink_1183" tooltip="http://dx.doi.org/10.25750/1995-4301-2019-1-088-093" display="http://dx.doi.org/10.25750/1995-4301-2019-1-088-093"/>
    <hyperlink ref="BT706" r:id="rId_hyperlink_1184" tooltip="View Full Record in Web of Science" display="View Full Record in Web of Science"/>
    <hyperlink ref="BF707" r:id="rId_hyperlink_1185" tooltip="http://dx.doi.org/10.13187/ejced.2018.4.845" display="http://dx.doi.org/10.13187/ejced.2018.4.845"/>
    <hyperlink ref="BT707" r:id="rId_hyperlink_1186" tooltip="View Full Record in Web of Science" display="View Full Record in Web of Science"/>
    <hyperlink ref="BF708" r:id="rId_hyperlink_1187" tooltip="http://dx.doi.org/10.1134/S1064229318070074" display="http://dx.doi.org/10.1134/S1064229318070074"/>
    <hyperlink ref="BT708" r:id="rId_hyperlink_1188" tooltip="View Full Record in Web of Science" display="View Full Record in Web of Science"/>
    <hyperlink ref="BF709" r:id="rId_hyperlink_1189" tooltip="http://dx.doi.org/10.14529/hsm180415" display="http://dx.doi.org/10.14529/hsm180415"/>
    <hyperlink ref="BT709" r:id="rId_hyperlink_1190" tooltip="View Full Record in Web of Science" display="View Full Record in Web of Science"/>
    <hyperlink ref="BF710" r:id="rId_hyperlink_1191" tooltip="http://dx.doi.org/10.28995/2073-0101-2018-2-455-462" display="http://dx.doi.org/10.28995/2073-0101-2018-2-455-462"/>
    <hyperlink ref="BT710" r:id="rId_hyperlink_1192" tooltip="View Full Record in Web of Science" display="View Full Record in Web of Science"/>
    <hyperlink ref="BT711" r:id="rId_hyperlink_1193" tooltip="View Full Record in Web of Science" display="View Full Record in Web of Science"/>
    <hyperlink ref="BF712" r:id="rId_hyperlink_1194" tooltip="http://dx.doi.org/10.1088/1757-899X/262/1/012052" display="http://dx.doi.org/10.1088/1757-899X/262/1/012052"/>
    <hyperlink ref="BT712" r:id="rId_hyperlink_1195" tooltip="View Full Record in Web of Science" display="View Full Record in Web of Science"/>
    <hyperlink ref="BT713" r:id="rId_hyperlink_1196" tooltip="View Full Record in Web of Science" display="View Full Record in Web of Science"/>
    <hyperlink ref="BT714" r:id="rId_hyperlink_1197" tooltip="View Full Record in Web of Science" display="View Full Record in Web of Science"/>
    <hyperlink ref="BF715" r:id="rId_hyperlink_1198" tooltip="http://dx.doi.org/10.1134/S1070427212040143" display="http://dx.doi.org/10.1134/S1070427212040143"/>
    <hyperlink ref="BT715" r:id="rId_hyperlink_1199" tooltip="View Full Record in Web of Science" display="View Full Record in Web of Science"/>
    <hyperlink ref="BF716" r:id="rId_hyperlink_1200" tooltip="http://dx.doi.org/10.1134/S108765960903016X" display="http://dx.doi.org/10.1134/S108765960903016X"/>
    <hyperlink ref="BT716" r:id="rId_hyperlink_1201" tooltip="View Full Record in Web of Science" display="View Full Record in Web of Science"/>
    <hyperlink ref="BF717" r:id="rId_hyperlink_1202" tooltip="http://dx.doi.org/10.1134/S1995082908030139" display="http://dx.doi.org/10.1134/S1995082908030139"/>
    <hyperlink ref="BT717" r:id="rId_hyperlink_1203" tooltip="View Full Record in Web of Science" display="View Full Record in Web of Science"/>
    <hyperlink ref="BT718" r:id="rId_hyperlink_1204" tooltip="View Full Record in Web of Science" display="View Full Record in Web of Science"/>
    <hyperlink ref="BF719" r:id="rId_hyperlink_1205" tooltip="http://dx.doi.org/10.1134/S0965544114080040" display="http://dx.doi.org/10.1134/S0965544114080040"/>
    <hyperlink ref="BT719" r:id="rId_hyperlink_1206" tooltip="View Full Record in Web of Science" display="View Full Record in Web of Science"/>
    <hyperlink ref="BF720" r:id="rId_hyperlink_1207" tooltip="http://dx.doi.org/10.17223/15617793/484/18" display="http://dx.doi.org/10.17223/15617793/484/18"/>
    <hyperlink ref="BT720" r:id="rId_hyperlink_1208" tooltip="View Full Record in Web of Science" display="View Full Record in Web of Science"/>
    <hyperlink ref="BF721" r:id="rId_hyperlink_1209" tooltip="http://dx.doi.org/10.1007/s10527-020-09947-9" display="http://dx.doi.org/10.1007/s10527-020-09947-9"/>
    <hyperlink ref="BT721" r:id="rId_hyperlink_1210" tooltip="View Full Record in Web of Science" display="View Full Record in Web of Science"/>
    <hyperlink ref="BF722" r:id="rId_hyperlink_1211" tooltip="http://dx.doi.org/10.14529/hsm180314" display="http://dx.doi.org/10.14529/hsm180314"/>
    <hyperlink ref="BT722" r:id="rId_hyperlink_1212" tooltip="View Full Record in Web of Science" display="View Full Record in Web of Science"/>
    <hyperlink ref="BF723" r:id="rId_hyperlink_1213" tooltip="http://dx.doi.org/10.31166/VoprosyIstorii202108Statyi20" display="http://dx.doi.org/10.31166/VoprosyIstorii202108Statyi20"/>
    <hyperlink ref="BT723" r:id="rId_hyperlink_1214" tooltip="View Full Record in Web of Science" display="View Full Record in Web of Science"/>
    <hyperlink ref="BF724" r:id="rId_hyperlink_1215" tooltip="http://dx.doi.org/10.1023/B:ABIM.0000025950.07659.92" display="http://dx.doi.org/10.1023/B:ABIM.0000025950.07659.92"/>
    <hyperlink ref="BT724" r:id="rId_hyperlink_1216" tooltip="View Full Record in Web of Science" display="View Full Record in Web of Science"/>
    <hyperlink ref="BF725" r:id="rId_hyperlink_1217" tooltip="http://dx.doi.org/10.1134/S106422932105015X" display="http://dx.doi.org/10.1134/S106422932105015X"/>
    <hyperlink ref="BT725" r:id="rId_hyperlink_1218" tooltip="View Full Record in Web of Science" display="View Full Record in Web of Science"/>
    <hyperlink ref="BF726" r:id="rId_hyperlink_1219" tooltip="http://dx.doi.org/10.17150/2500-4255.2021.15(2).229-237" display="http://dx.doi.org/10.17150/2500-4255.2021.15(2).229-237"/>
    <hyperlink ref="BT726" r:id="rId_hyperlink_1220" tooltip="View Full Record in Web of Science" display="View Full Record in Web of Science"/>
    <hyperlink ref="BF727" r:id="rId_hyperlink_1221" tooltip="http://dx.doi.org/10.1007/s11041-019-00410-5" display="http://dx.doi.org/10.1007/s11041-019-00410-5"/>
    <hyperlink ref="BT727" r:id="rId_hyperlink_1222" tooltip="View Full Record in Web of Science" display="View Full Record in Web of Science"/>
    <hyperlink ref="BF728" r:id="rId_hyperlink_1223" tooltip="http://dx.doi.org/10.3897/ap.2.e0323" display="http://dx.doi.org/10.3897/ap.2.e0323"/>
    <hyperlink ref="BT728" r:id="rId_hyperlink_1224" tooltip="View Full Record in Web of Science" display="View Full Record in Web of Science"/>
    <hyperlink ref="BF729" r:id="rId_hyperlink_1225" tooltip="http://dx.doi.org/10.5281/zenodo.4018949" display="http://dx.doi.org/10.5281/zenodo.4018949"/>
    <hyperlink ref="BT729" r:id="rId_hyperlink_1226" tooltip="View Full Record in Web of Science" display="View Full Record in Web of Science"/>
    <hyperlink ref="BF730" r:id="rId_hyperlink_1227" tooltip="http://dx.doi.org/10.3897/ap.1.e0526" display="http://dx.doi.org/10.3897/ap.1.e0526"/>
    <hyperlink ref="BT730" r:id="rId_hyperlink_1228" tooltip="View Full Record in Web of Science" display="View Full Record in Web of Science"/>
    <hyperlink ref="BF731" r:id="rId_hyperlink_1229" tooltip="http://dx.doi.org/10.1134/S1087659608060096" display="http://dx.doi.org/10.1134/S1087659608060096"/>
    <hyperlink ref="BT731" r:id="rId_hyperlink_1230" tooltip="View Full Record in Web of Science" display="View Full Record in Web of Science"/>
    <hyperlink ref="BF732" r:id="rId_hyperlink_1231" tooltip="http://dx.doi.org/10.1134/S0869864321020116" display="http://dx.doi.org/10.1134/S0869864321020116"/>
    <hyperlink ref="BT732" r:id="rId_hyperlink_1232" tooltip="View Full Record in Web of Science" display="View Full Record in Web of Science"/>
    <hyperlink ref="BF733" r:id="rId_hyperlink_1233" tooltip="http://dx.doi.org/10.25750/1995-4301-2021-1-172-180" display="http://dx.doi.org/10.25750/1995-4301-2021-1-172-180"/>
    <hyperlink ref="BT733" r:id="rId_hyperlink_1234" tooltip="View Full Record in Web of Science" display="View Full Record in Web of Science"/>
    <hyperlink ref="BF734" r:id="rId_hyperlink_1235" tooltip="http://dx.doi.org/10.1007/s11041-017-0179-9" display="http://dx.doi.org/10.1007/s11041-017-0179-9"/>
    <hyperlink ref="BT734" r:id="rId_hyperlink_1236" tooltip="View Full Record in Web of Science" display="View Full Record in Web of Science"/>
    <hyperlink ref="BT735" r:id="rId_hyperlink_1237" tooltip="View Full Record in Web of Science" display="View Full Record in Web of Science"/>
    <hyperlink ref="BF736" r:id="rId_hyperlink_1238" tooltip="http://dx.doi.org/10.17223/23062061/30/6" display="http://dx.doi.org/10.17223/23062061/30/6"/>
    <hyperlink ref="BT736" r:id="rId_hyperlink_1239" tooltip="View Full Record in Web of Science" display="View Full Record in Web of Science"/>
    <hyperlink ref="BF737" r:id="rId_hyperlink_1240" tooltip="http://dx.doi.org/10.5281/zenodo.3898322" display="http://dx.doi.org/10.5281/zenodo.3898322"/>
    <hyperlink ref="BT737" r:id="rId_hyperlink_1241" tooltip="View Full Record in Web of Science" display="View Full Record in Web of Science"/>
    <hyperlink ref="BF738" r:id="rId_hyperlink_1242" tooltip="http://dx.doi.org/10.22616/ERDev2019.18.N053" display="http://dx.doi.org/10.22616/ERDev2019.18.N053"/>
    <hyperlink ref="BT738" r:id="rId_hyperlink_1243" tooltip="View Full Record in Web of Science" display="View Full Record in Web of Science"/>
    <hyperlink ref="BF739" r:id="rId_hyperlink_1244" tooltip="http://dx.doi.org/10.1134/S199508291304010X" display="http://dx.doi.org/10.1134/S199508291304010X"/>
    <hyperlink ref="BT739" r:id="rId_hyperlink_1245" tooltip="View Full Record in Web of Science" display="View Full Record in Web of Science"/>
    <hyperlink ref="BF740" r:id="rId_hyperlink_1246" tooltip="http://dx.doi.org/10.3390/risks11020037" display="http://dx.doi.org/10.3390/risks11020037"/>
    <hyperlink ref="BT740" r:id="rId_hyperlink_1247" tooltip="View Full Record in Web of Science" display="View Full Record in Web of Science"/>
    <hyperlink ref="BF741" r:id="rId_hyperlink_1248" tooltip="http://dx.doi.org/10.1134/S1070427221120053" display="http://dx.doi.org/10.1134/S1070427221120053"/>
    <hyperlink ref="BT741" r:id="rId_hyperlink_1249" tooltip="View Full Record in Web of Science" display="View Full Record in Web of Science"/>
    <hyperlink ref="BF742" r:id="rId_hyperlink_1250" tooltip="http://dx.doi.org/10.14529/hsm200102" display="http://dx.doi.org/10.14529/hsm200102"/>
    <hyperlink ref="BT742" r:id="rId_hyperlink_1251" tooltip="View Full Record in Web of Science" display="View Full Record in Web of Science"/>
    <hyperlink ref="BT743" r:id="rId_hyperlink_1252" tooltip="View Full Record in Web of Science" display="View Full Record in Web of Science"/>
    <hyperlink ref="BF744" r:id="rId_hyperlink_1253" tooltip="http://dx.doi.org/10.24224/2227-1295-2021-11-28-49" display="http://dx.doi.org/10.24224/2227-1295-2021-11-28-49"/>
    <hyperlink ref="BT744" r:id="rId_hyperlink_1254" tooltip="View Full Record in Web of Science" display="View Full Record in Web of Science"/>
    <hyperlink ref="BF745" r:id="rId_hyperlink_1255" tooltip="http://dx.doi.org/10.37043/JURA.2021.13.1.7" display="http://dx.doi.org/10.37043/JURA.2021.13.1.7"/>
    <hyperlink ref="BT745" r:id="rId_hyperlink_1256" tooltip="View Full Record in Web of Science" display="View Full Record in Web of Science"/>
    <hyperlink ref="BF746" r:id="rId_hyperlink_1257" tooltip="http://dx.doi.org/10.15507/0236-2910.028.201803.445-459" display="http://dx.doi.org/10.15507/0236-2910.028.201803.445-459"/>
    <hyperlink ref="BT746" r:id="rId_hyperlink_1258" tooltip="View Full Record in Web of Science" display="View Full Record in Web of Science"/>
    <hyperlink ref="BF747" r:id="rId_hyperlink_1259" tooltip="http://dx.doi.org/10.18083/LCAppl.2018.1.73" display="http://dx.doi.org/10.18083/LCAppl.2018.1.73"/>
    <hyperlink ref="BT747" r:id="rId_hyperlink_1260" tooltip="View Full Record in Web of Science" display="View Full Record in Web of Science"/>
    <hyperlink ref="BF748" r:id="rId_hyperlink_1261" tooltip="http://dx.doi.org/10.1134/S1070363212050313" display="http://dx.doi.org/10.1134/S1070363212050313"/>
    <hyperlink ref="BT748" r:id="rId_hyperlink_1262" tooltip="View Full Record in Web of Science" display="View Full Record in Web of Science"/>
    <hyperlink ref="BF749" r:id="rId_hyperlink_1263" tooltip="http://dx.doi.org/10.15688/jvolsu2.2023.1.13" display="http://dx.doi.org/10.15688/jvolsu2.2023.1.13"/>
    <hyperlink ref="BT749" r:id="rId_hyperlink_1264" tooltip="View Full Record in Web of Science" display="View Full Record in Web of Science"/>
    <hyperlink ref="BF750" r:id="rId_hyperlink_1265" tooltip="http://dx.doi.org/10.1111/tan.14644" display="http://dx.doi.org/10.1111/tan.14644"/>
    <hyperlink ref="BT750" r:id="rId_hyperlink_1266" tooltip="View Full Record in Web of Science" display="View Full Record in Web of Science"/>
    <hyperlink ref="BF751" r:id="rId_hyperlink_1267" tooltip="http://dx.doi.org/10.30547/vestnik.journ.3.2021.102120" display="http://dx.doi.org/10.30547/vestnik.journ.3.2021.102120"/>
    <hyperlink ref="BT751" r:id="rId_hyperlink_1268" tooltip="View Full Record in Web of Science" display="View Full Record in Web of Science"/>
    <hyperlink ref="BF752" r:id="rId_hyperlink_1269" tooltip="http://dx.doi.org/10.1134/S0040601521040066" display="http://dx.doi.org/10.1134/S0040601521040066"/>
    <hyperlink ref="BT752" r:id="rId_hyperlink_1270" tooltip="View Full Record in Web of Science" display="View Full Record in Web of Science"/>
    <hyperlink ref="BT753" r:id="rId_hyperlink_1271" tooltip="View Full Record in Web of Science" display="View Full Record in Web of Science"/>
    <hyperlink ref="BF754" r:id="rId_hyperlink_1272" tooltip="http://dx.doi.org/10.1111/tan.14799" display="http://dx.doi.org/10.1111/tan.14799"/>
    <hyperlink ref="BT754" r:id="rId_hyperlink_1273" tooltip="View Full Record in Web of Science" display="View Full Record in Web of Science"/>
    <hyperlink ref="BF755" r:id="rId_hyperlink_1274" tooltip="http://dx.doi.org/10.20542/0131-2227-2021-65-2-37-44" display="http://dx.doi.org/10.20542/0131-2227-2021-65-2-37-44"/>
    <hyperlink ref="BT755" r:id="rId_hyperlink_1275" tooltip="View Full Record in Web of Science" display="View Full Record in Web of Science"/>
    <hyperlink ref="BF756" r:id="rId_hyperlink_1276" tooltip="http://dx.doi.org/10.1007/s10527-021-10028-8" display="http://dx.doi.org/10.1007/s10527-021-10028-8"/>
    <hyperlink ref="BT756" r:id="rId_hyperlink_1277" tooltip="View Full Record in Web of Science" display="View Full Record in Web of Science"/>
    <hyperlink ref="BF757" r:id="rId_hyperlink_1278" tooltip="http://dx.doi.org/10.25750/1995-4301-2020-4-055-060" display="http://dx.doi.org/10.25750/1995-4301-2020-4-055-060"/>
    <hyperlink ref="BT757" r:id="rId_hyperlink_1279" tooltip="View Full Record in Web of Science" display="View Full Record in Web of Science"/>
    <hyperlink ref="BF758" r:id="rId_hyperlink_1280" tooltip="http://dx.doi.org/10.14529/hsm20s106" display="http://dx.doi.org/10.14529/hsm20s106"/>
    <hyperlink ref="BT758" r:id="rId_hyperlink_1281" tooltip="View Full Record in Web of Science" display="View Full Record in Web of Science"/>
    <hyperlink ref="BF759" r:id="rId_hyperlink_1282" tooltip="http://dx.doi.org/10.25750/1995-4301-2018-4-024-030" display="http://dx.doi.org/10.25750/1995-4301-2018-4-024-030"/>
    <hyperlink ref="BT759" r:id="rId_hyperlink_1283" tooltip="View Full Record in Web of Science" display="View Full Record in Web of Science"/>
    <hyperlink ref="BF760" r:id="rId_hyperlink_1284" tooltip="http://dx.doi.org/10.25750/1995-4301-2022-1-167-174" display="http://dx.doi.org/10.25750/1995-4301-2022-1-167-174"/>
    <hyperlink ref="BT760" r:id="rId_hyperlink_1285" tooltip="View Full Record in Web of Science" display="View Full Record in Web of Science"/>
    <hyperlink ref="BT761" r:id="rId_hyperlink_1286" tooltip="View Full Record in Web of Science" display="View Full Record in Web of Science"/>
    <hyperlink ref="BT762" r:id="rId_hyperlink_1287" tooltip="View Full Record in Web of Science" display="View Full Record in Web of Science"/>
    <hyperlink ref="BF763" r:id="rId_hyperlink_1288" tooltip="http://dx.doi.org/10.24874/IJQR16.03-15" display="http://dx.doi.org/10.24874/IJQR16.03-15"/>
    <hyperlink ref="BT763" r:id="rId_hyperlink_1289" tooltip="View Full Record in Web of Science" display="View Full Record in Web of Science"/>
    <hyperlink ref="BF764" r:id="rId_hyperlink_1290" tooltip="http://dx.doi.org/10.25750/1995-4301-2021-4-050-057" display="http://dx.doi.org/10.25750/1995-4301-2021-4-050-057"/>
    <hyperlink ref="BT764" r:id="rId_hyperlink_1291" tooltip="View Full Record in Web of Science" display="View Full Record in Web of Science"/>
    <hyperlink ref="BT765" r:id="rId_hyperlink_1292" tooltip="View Full Record in Web of Science" display="View Full Record in Web of Science"/>
    <hyperlink ref="BF766" r:id="rId_hyperlink_1293" tooltip="http://dx.doi.org/10.25750/1995-4301-2022-2-173-182" display="http://dx.doi.org/10.25750/1995-4301-2022-2-173-182"/>
    <hyperlink ref="BT766" r:id="rId_hyperlink_1294" tooltip="View Full Record in Web of Science" display="View Full Record in Web of Science"/>
    <hyperlink ref="BF767" r:id="rId_hyperlink_1295" tooltip="http://dx.doi.org/10.51762/1FK-2022-27-03-12" display="http://dx.doi.org/10.51762/1FK-2022-27-03-12"/>
    <hyperlink ref="BT767" r:id="rId_hyperlink_1296" tooltip="View Full Record in Web of Science" display="View Full Record in Web of Science"/>
    <hyperlink ref="BF768" r:id="rId_hyperlink_1297" tooltip="http://dx.doi.org/10.25750/1995-4301-2021-1-040-052" display="http://dx.doi.org/10.25750/1995-4301-2021-1-040-052"/>
    <hyperlink ref="BT768" r:id="rId_hyperlink_1298" tooltip="View Full Record in Web of Science" display="View Full Record in Web of Science"/>
    <hyperlink ref="BF769" r:id="rId_hyperlink_1299" tooltip="http://dx.doi.org/10.3897/ap.2.e0661" display="http://dx.doi.org/10.3897/ap.2.e0661"/>
    <hyperlink ref="BT769" r:id="rId_hyperlink_1300" tooltip="View Full Record in Web of Science" display="View Full Record in Web of Science"/>
    <hyperlink ref="BF770" r:id="rId_hyperlink_1301" tooltip="http://dx.doi.org/10.5281/zenodo.3713430" display="http://dx.doi.org/10.5281/zenodo.3713430"/>
    <hyperlink ref="BT770" r:id="rId_hyperlink_1302" tooltip="View Full Record in Web of Science" display="View Full Record in Web of Science"/>
    <hyperlink ref="BF771" r:id="rId_hyperlink_1303" tooltip="http://dx.doi.org/10.3897/ap.1.e0040" display="http://dx.doi.org/10.3897/ap.1.e0040"/>
    <hyperlink ref="BT771" r:id="rId_hyperlink_1304" tooltip="View Full Record in Web of Science" display="View Full Record in Web of Science"/>
    <hyperlink ref="BF772" r:id="rId_hyperlink_1305" tooltip="http://dx.doi.org/10.1007/s11041-011-9384-0" display="http://dx.doi.org/10.1007/s11041-011-9384-0"/>
    <hyperlink ref="BT772" r:id="rId_hyperlink_1306" tooltip="View Full Record in Web of Science" display="View Full Record in Web of Science"/>
    <hyperlink ref="BT773" r:id="rId_hyperlink_1307" tooltip="View Full Record in Web of Science" display="View Full Record in Web of Science"/>
    <hyperlink ref="BF774" r:id="rId_hyperlink_1308" tooltip="http://dx.doi.org/10.34069/AI/2020.27.03.29" display="http://dx.doi.org/10.34069/AI/2020.27.03.29"/>
    <hyperlink ref="BT774" r:id="rId_hyperlink_1309" tooltip="View Full Record in Web of Science" display="View Full Record in Web of Science"/>
    <hyperlink ref="BF775" r:id="rId_hyperlink_1310" tooltip="http://dx.doi.org/10.1023/A:1019513029761" display="http://dx.doi.org/10.1023/A:1019513029761"/>
    <hyperlink ref="BT775" r:id="rId_hyperlink_1311" tooltip="View Full Record in Web of Science" display="View Full Record in Web of Science"/>
    <hyperlink ref="BF776" r:id="rId_hyperlink_1312" tooltip="http://dx.doi.org/10.18149/MPM.5022022_14" display="http://dx.doi.org/10.18149/MPM.5022022_14"/>
    <hyperlink ref="BT776" r:id="rId_hyperlink_1313" tooltip="View Full Record in Web of Science" display="View Full Record in Web of Science"/>
    <hyperlink ref="BF777" r:id="rId_hyperlink_1314" tooltip="http://dx.doi.org/10.15244/pjoes/139375" display="http://dx.doi.org/10.15244/pjoes/139375"/>
    <hyperlink ref="BT777" r:id="rId_hyperlink_1315" tooltip="View Full Record in Web of Science" display="View Full Record in Web of Science"/>
    <hyperlink ref="BF778" r:id="rId_hyperlink_1316" tooltip="http://dx.doi.org/10.25750/1995-4301-2020-2-111-116" display="http://dx.doi.org/10.25750/1995-4301-2020-2-111-116"/>
    <hyperlink ref="BT778" r:id="rId_hyperlink_1317" tooltip="View Full Record in Web of Science" display="View Full Record in Web of Science"/>
    <hyperlink ref="BF779" r:id="rId_hyperlink_1318" tooltip="http://dx.doi.org/10.1134/S1070427211010265" display="http://dx.doi.org/10.1134/S1070427211010265"/>
    <hyperlink ref="BT779" r:id="rId_hyperlink_1319" tooltip="View Full Record in Web of Science" display="View Full Record in Web of Science"/>
    <hyperlink ref="BF780" r:id="rId_hyperlink_1320" tooltip="http://dx.doi.org/10.22616/ERDev.2020.19.TF157" display="http://dx.doi.org/10.22616/ERDev.2020.19.TF157"/>
    <hyperlink ref="BT780" r:id="rId_hyperlink_1321" tooltip="View Full Record in Web of Science" display="View Full Record in Web of Science"/>
    <hyperlink ref="BF781" r:id="rId_hyperlink_1322" tooltip="http://dx.doi.org/10.1134/S0040601519020071" display="http://dx.doi.org/10.1134/S0040601519020071"/>
    <hyperlink ref="BT781" r:id="rId_hyperlink_1323" tooltip="View Full Record in Web of Science" display="View Full Record in Web of Science"/>
    <hyperlink ref="BF782" r:id="rId_hyperlink_1324" tooltip="http://dx.doi.org/10.25750/1995-4301-2021-4-133-139" display="http://dx.doi.org/10.25750/1995-4301-2021-4-133-139"/>
    <hyperlink ref="BT782" r:id="rId_hyperlink_1325" tooltip="View Full Record in Web of Science" display="View Full Record in Web of Science"/>
    <hyperlink ref="BF783" r:id="rId_hyperlink_1326" tooltip="http://dx.doi.org/10.1007/s11041-012-9478-3" display="http://dx.doi.org/10.1007/s11041-012-9478-3"/>
    <hyperlink ref="BT783" r:id="rId_hyperlink_1327" tooltip="View Full Record in Web of Science" display="View Full Record in Web of Science"/>
    <hyperlink ref="BF784" r:id="rId_hyperlink_1328" tooltip="http://dx.doi.org/10.24874/IJQR15.03-16" display="http://dx.doi.org/10.24874/IJQR15.03-16"/>
    <hyperlink ref="BT784" r:id="rId_hyperlink_1329" tooltip="View Full Record in Web of Science" display="View Full Record in Web of Science"/>
    <hyperlink ref="BF785" r:id="rId_hyperlink_1330" tooltip="http://dx.doi.org/10.25750/1995-4301-2020-3-046-051" display="http://dx.doi.org/10.25750/1995-4301-2020-3-046-051"/>
    <hyperlink ref="BT785" r:id="rId_hyperlink_1331" tooltip="View Full Record in Web of Science" display="View Full Record in Web of Science"/>
    <hyperlink ref="BF786" r:id="rId_hyperlink_1332" tooltip="http://dx.doi.org/10.1111/tan.14848" display="http://dx.doi.org/10.1111/tan.14848"/>
    <hyperlink ref="BT786" r:id="rId_hyperlink_1333" tooltip="View Full Record in Web of Science" display="View Full Record in Web of Science"/>
    <hyperlink ref="BF787" r:id="rId_hyperlink_1334" tooltip="http://dx.doi.org/10.1023/A:1026068208764" display="http://dx.doi.org/10.1023/A:1026068208764"/>
    <hyperlink ref="BT787" r:id="rId_hyperlink_1335" tooltip="View Full Record in Web of Science" display="View Full Record in Web of Science"/>
    <hyperlink ref="BF788" r:id="rId_hyperlink_1336" tooltip="http://dx.doi.org/10.1007/s10517-012-1905-3" display="http://dx.doi.org/10.1007/s10517-012-1905-3"/>
    <hyperlink ref="BT788" r:id="rId_hyperlink_1337" tooltip="View Full Record in Web of Science" display="View Full Record in Web of Science"/>
    <hyperlink ref="BF789" r:id="rId_hyperlink_1338" tooltip="http://dx.doi.org/10.1007/s11041-007-0041-6" display="http://dx.doi.org/10.1007/s11041-007-0041-6"/>
    <hyperlink ref="BT789" r:id="rId_hyperlink_1339" tooltip="View Full Record in Web of Science" display="View Full Record in Web of Science"/>
    <hyperlink ref="BF790" r:id="rId_hyperlink_1340" tooltip="http://dx.doi.org/10.1007/s10527-019-09848-6" display="http://dx.doi.org/10.1007/s10527-019-09848-6"/>
    <hyperlink ref="BT790" r:id="rId_hyperlink_1341" tooltip="View Full Record in Web of Science" display="View Full Record in Web of Science"/>
    <hyperlink ref="BF791" r:id="rId_hyperlink_1342" tooltip="http://dx.doi.org/10.22038/ijp.2021.57107.4477" display="http://dx.doi.org/10.22038/ijp.2021.57107.4477"/>
    <hyperlink ref="BT791" r:id="rId_hyperlink_1343" tooltip="View Full Record in Web of Science" display="View Full Record in Web of Science"/>
    <hyperlink ref="BF792" r:id="rId_hyperlink_1344" tooltip="http://dx.doi.org/10.25750/1995-4301-2021-3-126-132" display="http://dx.doi.org/10.25750/1995-4301-2021-3-126-132"/>
    <hyperlink ref="BT792" r:id="rId_hyperlink_1345" tooltip="View Full Record in Web of Science" display="View Full Record in Web of Science"/>
    <hyperlink ref="BF793" r:id="rId_hyperlink_1346" tooltip="http://dx.doi.org/10.1007/s11041-020-00598-x" display="http://dx.doi.org/10.1007/s11041-020-00598-x"/>
    <hyperlink ref="BT793" r:id="rId_hyperlink_1347" tooltip="View Full Record in Web of Science" display="View Full Record in Web of Science"/>
    <hyperlink ref="BF794" r:id="rId_hyperlink_1348" tooltip="http://dx.doi.org/10.15507/2658-4123.033.202301.100-113" display="http://dx.doi.org/10.15507/2658-4123.033.202301.100-113"/>
    <hyperlink ref="BT794" r:id="rId_hyperlink_1349" tooltip="View Full Record in Web of Science" display="View Full Record in Web of Science"/>
    <hyperlink ref="BF795" r:id="rId_hyperlink_1350" tooltip="http://dx.doi.org/10.1002/eqe.3785" display="http://dx.doi.org/10.1002/eqe.3785"/>
    <hyperlink ref="BT795" r:id="rId_hyperlink_1351" tooltip="View Full Record in Web of Science" display="View Full Record in Web of Science"/>
    <hyperlink ref="BT796" r:id="rId_hyperlink_1352" tooltip="View Full Record in Web of Science" display="View Full Record in Web of Science"/>
    <hyperlink ref="BF797" r:id="rId_hyperlink_1353" tooltip="http://dx.doi.org/10.14529/hsm190207" display="http://dx.doi.org/10.14529/hsm190207"/>
    <hyperlink ref="BT797" r:id="rId_hyperlink_1354" tooltip="View Full Record in Web of Science" display="View Full Record in Web of Science"/>
    <hyperlink ref="BT798" r:id="rId_hyperlink_1355" tooltip="View Full Record in Web of Science" display="View Full Record in Web of Science"/>
    <hyperlink ref="BF799" r:id="rId_hyperlink_1356" tooltip="http://dx.doi.org/10.12973/eurasia.2017.00960a" display="http://dx.doi.org/10.12973/eurasia.2017.00960a"/>
    <hyperlink ref="BT799" r:id="rId_hyperlink_1357" tooltip="View Full Record in Web of Science" display="View Full Record in Web of Science"/>
    <hyperlink ref="BF800" r:id="rId_hyperlink_1358" tooltip="http://dx.doi.org/10.54905/disssi/v27i134/e200ms3017" display="http://dx.doi.org/10.54905/disssi/v27i134/e200ms3017"/>
    <hyperlink ref="BT800" r:id="rId_hyperlink_1359" tooltip="View Full Record in Web of Science" display="View Full Record in Web of Science"/>
    <hyperlink ref="BF801" r:id="rId_hyperlink_1360" tooltip="http://dx.doi.org/10.1051/matecconf/201817001044" display="http://dx.doi.org/10.1051/matecconf/201817001044"/>
    <hyperlink ref="BT801" r:id="rId_hyperlink_1361" tooltip="View Full Record in Web of Science" display="View Full Record in Web of Science"/>
    <hyperlink ref="BF802" r:id="rId_hyperlink_1362" tooltip="http://dx.doi.org/10.1051/matecconf/201710608084" display="http://dx.doi.org/10.1051/matecconf/201710608084"/>
    <hyperlink ref="BT802" r:id="rId_hyperlink_1363" tooltip="View Full Record in Web of Science" display="View Full Record in Web of Science"/>
    <hyperlink ref="BF803" r:id="rId_hyperlink_1364" tooltip="http://dx.doi.org/10.31166/VoprosyIstorii202012Statyi70" display="http://dx.doi.org/10.31166/VoprosyIstorii202012Statyi70"/>
    <hyperlink ref="BT803" r:id="rId_hyperlink_1365" tooltip="View Full Record in Web of Science" display="View Full Record in Web of Science"/>
    <hyperlink ref="BF804" r:id="rId_hyperlink_1366" tooltip="http://dx.doi.org/10.18083/LCAppl.2019.2.85" display="http://dx.doi.org/10.18083/LCAppl.2019.2.85"/>
    <hyperlink ref="BT804" r:id="rId_hyperlink_1367" tooltip="View Full Record in Web of Science" display="View Full Record in Web of Science"/>
    <hyperlink ref="BF805" r:id="rId_hyperlink_1368" tooltip="http://dx.doi.org/10.25750/1995-4301-2019-1-122-128" display="http://dx.doi.org/10.25750/1995-4301-2019-1-122-128"/>
    <hyperlink ref="BT805" r:id="rId_hyperlink_1369" tooltip="View Full Record in Web of Science" display="View Full Record in Web of Science"/>
    <hyperlink ref="BF806" r:id="rId_hyperlink_1370" tooltip="http://dx.doi.org/10.15507/2658-4123.029.201902.187-204" display="http://dx.doi.org/10.15507/2658-4123.029.201902.187-204"/>
    <hyperlink ref="BT806" r:id="rId_hyperlink_1371" tooltip="View Full Record in Web of Science" display="View Full Record in Web of Science"/>
    <hyperlink ref="BF807" r:id="rId_hyperlink_1372" tooltip="http://dx.doi.org/10.1051/e3sconf/201911002151" display="http://dx.doi.org/10.1051/e3sconf/201911002151"/>
    <hyperlink ref="BT807" r:id="rId_hyperlink_1373" tooltip="View Full Record in Web of Science" display="View Full Record in Web of Science"/>
    <hyperlink ref="BF808" r:id="rId_hyperlink_1374" tooltip="http://dx.doi.org/10.1016/j.matpr.2019.07.068" display="http://dx.doi.org/10.1016/j.matpr.2019.07.068"/>
    <hyperlink ref="BT808" r:id="rId_hyperlink_1375" tooltip="View Full Record in Web of Science" display="View Full Record in Web of Science"/>
    <hyperlink ref="BF809" r:id="rId_hyperlink_1376" tooltip="http://dx.doi.org/10.1007/s11175-005-0118-8" display="http://dx.doi.org/10.1007/s11175-005-0118-8"/>
    <hyperlink ref="BT809" r:id="rId_hyperlink_1377" tooltip="View Full Record in Web of Science" display="View Full Record in Web of Science"/>
    <hyperlink ref="BF810" r:id="rId_hyperlink_1378" tooltip="http://dx.doi.org/10.1111/tan.14615" display="http://dx.doi.org/10.1111/tan.14615"/>
    <hyperlink ref="BT810" r:id="rId_hyperlink_1379" tooltip="View Full Record in Web of Science" display="View Full Record in Web of Science"/>
    <hyperlink ref="BF811" r:id="rId_hyperlink_1380" tooltip="http://dx.doi.org/10.1111/tan.14610" display="http://dx.doi.org/10.1111/tan.14610"/>
    <hyperlink ref="BT811" r:id="rId_hyperlink_1381" tooltip="View Full Record in Web of Science" display="View Full Record in Web of Science"/>
    <hyperlink ref="BF812" r:id="rId_hyperlink_1382" tooltip="http://dx.doi.org/10.1016/j.jallcom.2021.159692" display="http://dx.doi.org/10.1016/j.jallcom.2021.159692"/>
    <hyperlink ref="BT812" r:id="rId_hyperlink_1383" tooltip="View Full Record in Web of Science" display="View Full Record in Web of Science"/>
    <hyperlink ref="BF813" r:id="rId_hyperlink_1384" tooltip="http://dx.doi.org/10.1051/e3sconf/201911002155" display="http://dx.doi.org/10.1051/e3sconf/201911002155"/>
    <hyperlink ref="BT813" r:id="rId_hyperlink_1385" tooltip="View Full Record in Web of Science" display="View Full Record in Web of Science"/>
    <hyperlink ref="BF814" r:id="rId_hyperlink_1386" tooltip="http://dx.doi.org/10.26170/FK19-02-15" display="http://dx.doi.org/10.26170/FK19-02-15"/>
    <hyperlink ref="BT814" r:id="rId_hyperlink_1387" tooltip="View Full Record in Web of Science" display="View Full Record in Web of Science"/>
    <hyperlink ref="BF815" r:id="rId_hyperlink_1388" tooltip="http://dx.doi.org/10.1134/S0036024406110288" display="http://dx.doi.org/10.1134/S0036024406110288"/>
    <hyperlink ref="BT815" r:id="rId_hyperlink_1389" tooltip="View Full Record in Web of Science" display="View Full Record in Web of Science"/>
    <hyperlink ref="BF816" r:id="rId_hyperlink_1390" tooltip="http://dx.doi.org/10.1016/j.matpr.2018.12.154" display="http://dx.doi.org/10.1016/j.matpr.2018.12.154"/>
    <hyperlink ref="BT816" r:id="rId_hyperlink_1391" tooltip="View Full Record in Web of Science" display="View Full Record in Web of Science"/>
    <hyperlink ref="BF817" r:id="rId_hyperlink_1392" tooltip="http://dx.doi.org/10.1051/e3sconf/201911002150" display="http://dx.doi.org/10.1051/e3sconf/201911002150"/>
    <hyperlink ref="BT817" r:id="rId_hyperlink_1393" tooltip="View Full Record in Web of Science" display="View Full Record in Web of Science"/>
    <hyperlink ref="BF818" r:id="rId_hyperlink_1394" tooltip="http://dx.doi.org/10.1007/s11175-005-0105-0" display="http://dx.doi.org/10.1007/s11175-005-0105-0"/>
    <hyperlink ref="BT818" r:id="rId_hyperlink_1395" tooltip="View Full Record in Web of Science" display="View Full Record in Web of Science"/>
    <hyperlink ref="BF819" r:id="rId_hyperlink_1396" tooltip="http://dx.doi.org/10.1111/tan.14952" display="http://dx.doi.org/10.1111/tan.14952"/>
    <hyperlink ref="BT819" r:id="rId_hyperlink_1397" tooltip="View Full Record in Web of Science" display="View Full Record in Web of Science"/>
    <hyperlink ref="BT820" r:id="rId_hyperlink_1398" tooltip="View Full Record in Web of Science" display="View Full Record in Web of Science"/>
    <hyperlink ref="BF821" r:id="rId_hyperlink_1399" tooltip="http://dx.doi.org/10.1051/shsconf/20196900017" display="http://dx.doi.org/10.1051/shsconf/20196900017"/>
    <hyperlink ref="BT821" r:id="rId_hyperlink_1400" tooltip="View Full Record in Web of Science" display="View Full Record in Web of Science"/>
    <hyperlink ref="BF822" r:id="rId_hyperlink_1401" tooltip="http://dx.doi.org/10.1007/978-3-030-37334-4_22" display="http://dx.doi.org/10.1007/978-3-030-37334-4_22"/>
    <hyperlink ref="BT822" r:id="rId_hyperlink_1402" tooltip="View Full Record in Web of Science" display="View Full Record in Web of Science"/>
    <hyperlink ref="BF823" r:id="rId_hyperlink_1403" tooltip="http://dx.doi.org/10.1051/matecconf/201822401040" display="http://dx.doi.org/10.1051/matecconf/201822401040"/>
    <hyperlink ref="BT823" r:id="rId_hyperlink_1404" tooltip="View Full Record in Web of Science" display="View Full Record in Web of Science"/>
    <hyperlink ref="BT824" r:id="rId_hyperlink_1405" tooltip="View Full Record in Web of Science" display="View Full Record in Web of Science"/>
    <hyperlink ref="BF825" r:id="rId_hyperlink_1406" tooltip="http://dx.doi.org/10.1023/B:MSAT.0000019201.56753.34" display="http://dx.doi.org/10.1023/B:MSAT.0000019201.56753.34"/>
    <hyperlink ref="BT825" r:id="rId_hyperlink_1407" tooltip="View Full Record in Web of Science" display="View Full Record in Web of Science"/>
    <hyperlink ref="BF826" r:id="rId_hyperlink_1408" tooltip="http://dx.doi.org/10.51847/2GXBEcgNwL" display="http://dx.doi.org/10.51847/2GXBEcgNwL"/>
    <hyperlink ref="BT826" r:id="rId_hyperlink_1409" tooltip="View Full Record in Web of Science" display="View Full Record in Web of Science"/>
    <hyperlink ref="BF827" r:id="rId_hyperlink_1410" tooltip="http://dx.doi.org/10.1111/tan.14748" display="http://dx.doi.org/10.1111/tan.14748"/>
    <hyperlink ref="BT827" r:id="rId_hyperlink_1411" tooltip="View Full Record in Web of Science" display="View Full Record in Web of Science"/>
    <hyperlink ref="BT828" r:id="rId_hyperlink_1412" tooltip="View Full Record in Web of Science" display="View Full Record in Web of Science"/>
    <hyperlink ref="BT829" r:id="rId_hyperlink_1413" tooltip="View Full Record in Web of Science" display="View Full Record in Web of Science"/>
    <hyperlink ref="BF830" r:id="rId_hyperlink_1414" tooltip="http://dx.doi.org/10.1134/S1087659607040116" display="http://dx.doi.org/10.1134/S1087659607040116"/>
    <hyperlink ref="BT830" r:id="rId_hyperlink_1415" tooltip="View Full Record in Web of Science" display="View Full Record in Web of Science"/>
    <hyperlink ref="BF831" r:id="rId_hyperlink_1416" tooltip="http://dx.doi.org/10.21538/0134-4889-2022-28-2-56-65" display="http://dx.doi.org/10.21538/0134-4889-2022-28-2-56-65"/>
    <hyperlink ref="BT831" r:id="rId_hyperlink_1417" tooltip="View Full Record in Web of Science" display="View Full Record in Web of Science"/>
    <hyperlink ref="BF832" r:id="rId_hyperlink_1418" tooltip="http://dx.doi.org/10.53350/pjmhs211562072" display="http://dx.doi.org/10.53350/pjmhs211562072"/>
    <hyperlink ref="BT832" r:id="rId_hyperlink_1419" tooltip="View Full Record in Web of Science" display="View Full Record in Web of Science"/>
    <hyperlink ref="BF833" r:id="rId_hyperlink_1420" tooltip="http://dx.doi.org/10.1007/s11175-005-0115-y" display="http://dx.doi.org/10.1007/s11175-005-0115-y"/>
    <hyperlink ref="BT833" r:id="rId_hyperlink_1421" tooltip="View Full Record in Web of Science" display="View Full Record in Web of Science"/>
    <hyperlink ref="BT834" r:id="rId_hyperlink_1422" tooltip="View Full Record in Web of Science" display="View Full Record in Web of Science"/>
    <hyperlink ref="BF835" r:id="rId_hyperlink_1423" tooltip="http://dx.doi.org/10.15507/2658-4123.033.202301.037-051" display="http://dx.doi.org/10.15507/2658-4123.033.202301.037-051"/>
    <hyperlink ref="BT835" r:id="rId_hyperlink_1424" tooltip="View Full Record in Web of Science" display="View Full Record in Web of Science"/>
    <hyperlink ref="BF836" r:id="rId_hyperlink_1425" tooltip="http://dx.doi.org/10.1134/S1023193521070107" display="http://dx.doi.org/10.1134/S1023193521070107"/>
    <hyperlink ref="BT836" r:id="rId_hyperlink_1426" tooltip="View Full Record in Web of Science" display="View Full Record in Web of Science"/>
    <hyperlink ref="BF837" r:id="rId_hyperlink_1427" tooltip="http://dx.doi.org/10.21538/0134-4889-2021-27-4-48-60" display="http://dx.doi.org/10.21538/0134-4889-2021-27-4-48-60"/>
    <hyperlink ref="BT837" r:id="rId_hyperlink_1428" tooltip="View Full Record in Web of Science" display="View Full Record in Web of Science"/>
    <hyperlink ref="BF838" r:id="rId_hyperlink_1429" tooltip="http://dx.doi.org/10.1109/ACCESS.2021.3116657" display="http://dx.doi.org/10.1109/ACCESS.2021.3116657"/>
    <hyperlink ref="BT838" r:id="rId_hyperlink_1430" tooltip="View Full Record in Web of Science" display="View Full Record in Web of Science"/>
    <hyperlink ref="BF839" r:id="rId_hyperlink_1431" tooltip="http://dx.doi.org/10.22616/ERDev.2020.19.TF249" display="http://dx.doi.org/10.22616/ERDev.2020.19.TF249"/>
    <hyperlink ref="BT839" r:id="rId_hyperlink_1432" tooltip="View Full Record in Web of Science" display="View Full Record in Web of Science"/>
    <hyperlink ref="BF840" r:id="rId_hyperlink_1433" tooltip="http://dx.doi.org/10.12973/eurasia.2017.00764a" display="http://dx.doi.org/10.12973/eurasia.2017.00764a"/>
    <hyperlink ref="BT840" r:id="rId_hyperlink_1434" tooltip="View Full Record in Web of Science" display="View Full Record in Web of Science"/>
    <hyperlink ref="BF841" r:id="rId_hyperlink_1435" tooltip="http://dx.doi.org/10.1111/tan.14552" display="http://dx.doi.org/10.1111/tan.14552"/>
    <hyperlink ref="BT841" r:id="rId_hyperlink_1436" tooltip="View Full Record in Web of Science" display="View Full Record in Web of Science"/>
    <hyperlink ref="BF842" r:id="rId_hyperlink_1437" tooltip="http://dx.doi.org/10.25750/1995-4301-2022-2-070-076" display="http://dx.doi.org/10.25750/1995-4301-2022-2-070-076"/>
    <hyperlink ref="BT842" r:id="rId_hyperlink_1438" tooltip="View Full Record in Web of Science" display="View Full Record in Web of Science"/>
    <hyperlink ref="BF843" r:id="rId_hyperlink_1439" tooltip="http://dx.doi.org/10.51847/zTI27OVMot" display="http://dx.doi.org/10.51847/zTI27OVMot"/>
    <hyperlink ref="BT843" r:id="rId_hyperlink_1440" tooltip="View Full Record in Web of Science" display="View Full Record in Web of Science"/>
    <hyperlink ref="BF844" r:id="rId_hyperlink_1441" tooltip="http://dx.doi.org/10.1109/ElConRus51938.2021.9396681" display="http://dx.doi.org/10.1109/ElConRus51938.2021.9396681"/>
    <hyperlink ref="BT844" r:id="rId_hyperlink_1442" tooltip="View Full Record in Web of Science" display="View Full Record in Web of Science"/>
    <hyperlink ref="BT845" r:id="rId_hyperlink_1443" tooltip="View Full Record in Web of Science" display="View Full Record in Web of Science"/>
    <hyperlink ref="BF846" r:id="rId_hyperlink_1444" tooltip="http://dx.doi.org/10.1007/s11029-016-9608-x" display="http://dx.doi.org/10.1007/s11029-016-9608-x"/>
    <hyperlink ref="BT846" r:id="rId_hyperlink_1445" tooltip="View Full Record in Web of Science" display="View Full Record in Web of Science"/>
    <hyperlink ref="BF847" r:id="rId_hyperlink_1446" tooltip="http://dx.doi.org/10.1134/S0020168510030118" display="http://dx.doi.org/10.1134/S0020168510030118"/>
    <hyperlink ref="BT847" r:id="rId_hyperlink_1447" tooltip="View Full Record in Web of Science" display="View Full Record in Web of Science"/>
    <hyperlink ref="BF848" r:id="rId_hyperlink_1448" tooltip="http://dx.doi.org/10.52468/2542-1514.2021.5(4).55-77" display="http://dx.doi.org/10.52468/2542-1514.2021.5(4).55-77"/>
    <hyperlink ref="BT848" r:id="rId_hyperlink_1449" tooltip="View Full Record in Web of Science" display="View Full Record in Web of Science"/>
    <hyperlink ref="BT849" r:id="rId_hyperlink_1450" tooltip="View Full Record in Web of Science" display="View Full Record in Web of Science"/>
    <hyperlink ref="BT850" r:id="rId_hyperlink_1451" tooltip="View Full Record in Web of Science" display="View Full Record in Web of Science"/>
    <hyperlink ref="BF851" r:id="rId_hyperlink_1452" tooltip="http://dx.doi.org/10.1134/S0031918X2007011X" display="http://dx.doi.org/10.1134/S0031918X2007011X"/>
    <hyperlink ref="BT851" r:id="rId_hyperlink_1453" tooltip="View Full Record in Web of Science" display="View Full Record in Web of Science"/>
    <hyperlink ref="BF852" r:id="rId_hyperlink_1454" tooltip="http://dx.doi.org/10.25750/1995-4301-2019-4-037-044" display="http://dx.doi.org/10.25750/1995-4301-2019-4-037-044"/>
    <hyperlink ref="BT852" r:id="rId_hyperlink_1455" tooltip="View Full Record in Web of Science" display="View Full Record in Web of Science"/>
    <hyperlink ref="BF853" r:id="rId_hyperlink_1456" tooltip="http://dx.doi.org/10.1007/s11029-016-9548-5" display="http://dx.doi.org/10.1007/s11029-016-9548-5"/>
    <hyperlink ref="BT853" r:id="rId_hyperlink_1457" tooltip="View Full Record in Web of Science" display="View Full Record in Web of Science"/>
    <hyperlink ref="BF854" r:id="rId_hyperlink_1458" tooltip="http://dx.doi.org/10.3103/S1067821210040103" display="http://dx.doi.org/10.3103/S1067821210040103"/>
    <hyperlink ref="BT854" r:id="rId_hyperlink_1459" tooltip="View Full Record in Web of Science" display="View Full Record in Web of Science"/>
    <hyperlink ref="BF855" r:id="rId_hyperlink_1460" tooltip="http://dx.doi.org/10.22376/ijlpr.2023.13.1.L104-108" display="http://dx.doi.org/10.22376/ijlpr.2023.13.1.L104-108"/>
    <hyperlink ref="BT855" r:id="rId_hyperlink_1461" tooltip="View Full Record in Web of Science" display="View Full Record in Web of Science"/>
    <hyperlink ref="BF856" r:id="rId_hyperlink_1462" tooltip="http://dx.doi.org/10.51847/bvPSNlJliW" display="http://dx.doi.org/10.51847/bvPSNlJliW"/>
    <hyperlink ref="BT856" r:id="rId_hyperlink_1463" tooltip="View Full Record in Web of Science" display="View Full Record in Web of Science"/>
    <hyperlink ref="BF857" r:id="rId_hyperlink_1464" tooltip="http://dx.doi.org/10.17212/1994-6309-2019-21.3-59-71" display="http://dx.doi.org/10.17212/1994-6309-2019-21.3-59-71"/>
    <hyperlink ref="BT857" r:id="rId_hyperlink_1465" tooltip="View Full Record in Web of Science" display="View Full Record in Web of Science"/>
    <hyperlink ref="BF858" r:id="rId_hyperlink_1466" tooltip="http://dx.doi.org/10.1007/978-3-319-60696-5_2" display="http://dx.doi.org/10.1007/978-3-319-60696-5_2"/>
    <hyperlink ref="BT858" r:id="rId_hyperlink_1467" tooltip="View Full Record in Web of Science" display="View Full Record in Web of Science"/>
    <hyperlink ref="BT859" r:id="rId_hyperlink_1468" tooltip="View Full Record in Web of Science" display="View Full Record in Web of Science"/>
    <hyperlink ref="BF860" r:id="rId_hyperlink_1469" tooltip="http://dx.doi.org/10.1134/S1064229306130151" display="http://dx.doi.org/10.1134/S1064229306130151"/>
    <hyperlink ref="BT860" r:id="rId_hyperlink_1470" tooltip="View Full Record in Web of Science" display="View Full Record in Web of Science"/>
    <hyperlink ref="BF861" r:id="rId_hyperlink_1471" tooltip="http://dx.doi.org/10.1111/tan.15037" display="http://dx.doi.org/10.1111/tan.15037"/>
    <hyperlink ref="BT861" r:id="rId_hyperlink_1472" tooltip="View Full Record in Web of Science" display="View Full Record in Web of Science"/>
    <hyperlink ref="BF862" r:id="rId_hyperlink_1473" tooltip="http://dx.doi.org/10.51847/yDF12GeLiV" display="http://dx.doi.org/10.51847/yDF12GeLiV"/>
    <hyperlink ref="BT862" r:id="rId_hyperlink_1474" tooltip="View Full Record in Web of Science" display="View Full Record in Web of Science"/>
    <hyperlink ref="BF863" r:id="rId_hyperlink_1475" tooltip="http://dx.doi.org/10.25750/1995-4301-2022-1-115-123" display="http://dx.doi.org/10.25750/1995-4301-2022-1-115-123"/>
    <hyperlink ref="BT863" r:id="rId_hyperlink_1476" tooltip="View Full Record in Web of Science" display="View Full Record in Web of Science"/>
    <hyperlink ref="BF864" r:id="rId_hyperlink_1477" tooltip="http://dx.doi.org/10.24874/IJQR15.04-08" display="http://dx.doi.org/10.24874/IJQR15.04-08"/>
    <hyperlink ref="BT864" r:id="rId_hyperlink_1478" tooltip="View Full Record in Web of Science" display="View Full Record in Web of Science"/>
    <hyperlink ref="BF865" r:id="rId_hyperlink_1479" tooltip="http://dx.doi.org/10.1051/e3sconf/202021013037" display="http://dx.doi.org/10.1051/e3sconf/202021013037"/>
    <hyperlink ref="BT865" r:id="rId_hyperlink_1480" tooltip="View Full Record in Web of Science" display="View Full Record in Web of Science"/>
    <hyperlink ref="BF866" r:id="rId_hyperlink_1481" tooltip="http://dx.doi.org/10.1051/matecconf/201710608088" display="http://dx.doi.org/10.1051/matecconf/201710608088"/>
    <hyperlink ref="BT866" r:id="rId_hyperlink_1482" tooltip="View Full Record in Web of Science" display="View Full Record in Web of Science"/>
    <hyperlink ref="BF867" r:id="rId_hyperlink_1483" tooltip="http://dx.doi.org/10.1007/s11029-016-9566-3" display="http://dx.doi.org/10.1007/s11029-016-9566-3"/>
    <hyperlink ref="BT867" r:id="rId_hyperlink_1484" tooltip="View Full Record in Web of Science" display="View Full Record in Web of Science"/>
    <hyperlink ref="BF868" r:id="rId_hyperlink_1485" tooltip="http://dx.doi.org/10.1111/tan.14944" display="http://dx.doi.org/10.1111/tan.14944"/>
    <hyperlink ref="BT868" r:id="rId_hyperlink_1486" tooltip="View Full Record in Web of Science" display="View Full Record in Web of Science"/>
    <hyperlink ref="BF869" r:id="rId_hyperlink_1487" tooltip="http://dx.doi.org/10.17223/15617793/476/13" display="http://dx.doi.org/10.17223/15617793/476/13"/>
    <hyperlink ref="BT869" r:id="rId_hyperlink_1488" tooltip="View Full Record in Web of Science" display="View Full Record in Web of Science"/>
    <hyperlink ref="BF870" r:id="rId_hyperlink_1489" tooltip="http://dx.doi.org/10.18083/LCAppl.2020.4.93" display="http://dx.doi.org/10.18083/LCAppl.2020.4.93"/>
    <hyperlink ref="BT870" r:id="rId_hyperlink_1490" tooltip="View Full Record in Web of Science" display="View Full Record in Web of Science"/>
    <hyperlink ref="BF871" r:id="rId_hyperlink_1491" tooltip="http://dx.doi.org/10.25750/1995-4301-2020-2-130-135" display="http://dx.doi.org/10.25750/1995-4301-2020-2-130-135"/>
    <hyperlink ref="BT871" r:id="rId_hyperlink_1492" tooltip="View Full Record in Web of Science" display="View Full Record in Web of Science"/>
    <hyperlink ref="BF872" r:id="rId_hyperlink_1493" tooltip="http://dx.doi.org/10.24224/2227-1295-2020-7-266-283" display="http://dx.doi.org/10.24224/2227-1295-2020-7-266-283"/>
    <hyperlink ref="BT872" r:id="rId_hyperlink_1494" tooltip="View Full Record in Web of Science" display="View Full Record in Web of Science"/>
    <hyperlink ref="BF873" r:id="rId_hyperlink_1495" tooltip="http://dx.doi.org/10.1007/978-3-030-22063-1_37" display="http://dx.doi.org/10.1007/978-3-030-22063-1_37"/>
    <hyperlink ref="BT873" r:id="rId_hyperlink_1496" tooltip="View Full Record in Web of Science" display="View Full Record in Web of Science"/>
    <hyperlink ref="BF874" r:id="rId_hyperlink_1497" tooltip="http://dx.doi.org/10.1088/1757-899X/489/1/012030" display="http://dx.doi.org/10.1088/1757-899X/489/1/012030"/>
    <hyperlink ref="BT874" r:id="rId_hyperlink_1498" tooltip="View Full Record in Web of Science" display="View Full Record in Web of Science"/>
    <hyperlink ref="BF875" r:id="rId_hyperlink_1499" tooltip="http://dx.doi.org/10.15405/epsbs.2018.09.2" display="http://dx.doi.org/10.15405/epsbs.2018.09.2"/>
    <hyperlink ref="BT875" r:id="rId_hyperlink_1500" tooltip="View Full Record in Web of Science" display="View Full Record in Web of Science"/>
    <hyperlink ref="BT876" r:id="rId_hyperlink_1501" tooltip="View Full Record in Web of Science" display="View Full Record in Web of Science"/>
    <hyperlink ref="BF877" r:id="rId_hyperlink_1502" tooltip="http://dx.doi.org/10.1007/s11029-015-9500-0" display="http://dx.doi.org/10.1007/s11029-015-9500-0"/>
    <hyperlink ref="BT877" r:id="rId_hyperlink_1503" tooltip="View Full Record in Web of Science" display="View Full Record in Web of Science"/>
    <hyperlink ref="BF878" r:id="rId_hyperlink_1504" tooltip="http://dx.doi.org/10.1134/S1023193509060093" display="http://dx.doi.org/10.1134/S1023193509060093"/>
    <hyperlink ref="BT878" r:id="rId_hyperlink_1505" tooltip="View Full Record in Web of Science" display="View Full Record in Web of Science"/>
    <hyperlink ref="BT879" r:id="rId_hyperlink_1506" tooltip="View Full Record in Web of Science" display="View Full Record in Web of Science"/>
    <hyperlink ref="BF880" r:id="rId_hyperlink_1507" tooltip="http://dx.doi.org/10.1016/j.jpdc.2020.02.006" display="http://dx.doi.org/10.1016/j.jpdc.2020.02.006"/>
    <hyperlink ref="BT880" r:id="rId_hyperlink_1508" tooltip="View Full Record in Web of Science" display="View Full Record in Web of Science"/>
    <hyperlink ref="BF881" r:id="rId_hyperlink_1509" tooltip="http://dx.doi.org/10.18720/MPM.4262019_14" display="http://dx.doi.org/10.18720/MPM.4262019_14"/>
    <hyperlink ref="BT881" r:id="rId_hyperlink_1510" tooltip="View Full Record in Web of Science" display="View Full Record in Web of Science"/>
    <hyperlink ref="BF882" r:id="rId_hyperlink_1511" tooltip="http://dx.doi.org/10.1016/j.matpr.2019.07.680" display="http://dx.doi.org/10.1016/j.matpr.2019.07.680"/>
    <hyperlink ref="BT882" r:id="rId_hyperlink_1512" tooltip="View Full Record in Web of Science" display="View Full Record in Web of Science"/>
    <hyperlink ref="BF883" r:id="rId_hyperlink_1513" tooltip="http://dx.doi.org/10.1109/IIAI-AAI.2016.92" display="http://dx.doi.org/10.1109/IIAI-AAI.2016.92"/>
    <hyperlink ref="BT883" r:id="rId_hyperlink_1514" tooltip="View Full Record in Web of Science" display="View Full Record in Web of Science"/>
    <hyperlink ref="BF884" r:id="rId_hyperlink_1515" tooltip="http://dx.doi.org/10.1007/s11175-005-0116-x" display="http://dx.doi.org/10.1007/s11175-005-0116-x"/>
    <hyperlink ref="BT884" r:id="rId_hyperlink_1516" tooltip="View Full Record in Web of Science" display="View Full Record in Web of Science"/>
    <hyperlink ref="BF885" r:id="rId_hyperlink_1517" tooltip="http://dx.doi.org/10.1023/B:JANC.0000040698.44884.ad" display="http://dx.doi.org/10.1023/B:JANC.0000040698.44884.ad"/>
    <hyperlink ref="BT885" r:id="rId_hyperlink_1518" tooltip="View Full Record in Web of Science" display="View Full Record in Web of Science"/>
    <hyperlink ref="BF886" r:id="rId_hyperlink_1519" tooltip="http://dx.doi.org/10.1111/tan.14558" display="http://dx.doi.org/10.1111/tan.14558"/>
    <hyperlink ref="BT886" r:id="rId_hyperlink_1520" tooltip="View Full Record in Web of Science" display="View Full Record in Web of Science"/>
    <hyperlink ref="BF887" r:id="rId_hyperlink_1521" tooltip="http://dx.doi.org/10.17223/23062061/23/7" display="http://dx.doi.org/10.17223/23062061/23/7"/>
    <hyperlink ref="BT887" r:id="rId_hyperlink_1522" tooltip="View Full Record in Web of Science" display="View Full Record in Web of Science"/>
    <hyperlink ref="BF888" r:id="rId_hyperlink_1523" tooltip="http://dx.doi.org/10.1051/matecconf/201710608076" display="http://dx.doi.org/10.1051/matecconf/201710608076"/>
    <hyperlink ref="BT888" r:id="rId_hyperlink_1524" tooltip="View Full Record in Web of Science" display="View Full Record in Web of Science"/>
    <hyperlink ref="BF889" r:id="rId_hyperlink_1525" tooltip="http://dx.doi.org/10.1134/S0020168506050049" display="http://dx.doi.org/10.1134/S0020168506050049"/>
    <hyperlink ref="BT889" r:id="rId_hyperlink_1526" tooltip="View Full Record in Web of Science" display="View Full Record in Web of Science"/>
    <hyperlink ref="BF890" r:id="rId_hyperlink_1527" tooltip="http://dx.doi.org/10.51847/h2jlKTkM26" display="http://dx.doi.org/10.51847/h2jlKTkM26"/>
    <hyperlink ref="BT890" r:id="rId_hyperlink_1528" tooltip="View Full Record in Web of Science" display="View Full Record in Web of Science"/>
    <hyperlink ref="BF891" r:id="rId_hyperlink_1529" tooltip="http://dx.doi.org/10.37482/0536-1036-2020-3-128-142" display="http://dx.doi.org/10.37482/0536-1036-2020-3-128-142"/>
    <hyperlink ref="BT891" r:id="rId_hyperlink_1530" tooltip="View Full Record in Web of Science" display="View Full Record in Web of Science"/>
    <hyperlink ref="BF892" r:id="rId_hyperlink_1531" tooltip="http://dx.doi.org/10.25750/1995-4301-2019-1-023-029" display="http://dx.doi.org/10.25750/1995-4301-2019-1-023-029"/>
    <hyperlink ref="BT892" r:id="rId_hyperlink_1532" tooltip="View Full Record in Web of Science" display="View Full Record in Web of Science"/>
    <hyperlink ref="BF893" r:id="rId_hyperlink_1533" tooltip="http://dx.doi.org/10.1088/1757-899X/451/1/012205" display="http://dx.doi.org/10.1088/1757-899X/451/1/012205"/>
    <hyperlink ref="BT893" r:id="rId_hyperlink_1534" tooltip="View Full Record in Web of Science" display="View Full Record in Web of Science"/>
    <hyperlink ref="BF894" r:id="rId_hyperlink_1535" tooltip="http://dx.doi.org/10.1051/matecconf/201710608083" display="http://dx.doi.org/10.1051/matecconf/201710608083"/>
    <hyperlink ref="BT894" r:id="rId_hyperlink_1536" tooltip="View Full Record in Web of Science" display="View Full Record in Web of Science"/>
    <hyperlink ref="BF895" r:id="rId_hyperlink_1537" tooltip="http://dx.doi.org/10.1051/matecconf/201710608086" display="http://dx.doi.org/10.1051/matecconf/201710608086"/>
    <hyperlink ref="BT895" r:id="rId_hyperlink_1538" tooltip="View Full Record in Web of Science" display="View Full Record in Web of Science"/>
    <hyperlink ref="BT896" r:id="rId_hyperlink_1539" tooltip="View Full Record in Web of Science" display="View Full Record in Web of Science"/>
    <hyperlink ref="BF897" r:id="rId_hyperlink_1540" tooltip="http://dx.doi.org/10.1134/S1560090412030050" display="http://dx.doi.org/10.1134/S1560090412030050"/>
    <hyperlink ref="BT897" r:id="rId_hyperlink_1541" tooltip="View Full Record in Web of Science" display="View Full Record in Web of Science"/>
    <hyperlink ref="BF898" r:id="rId_hyperlink_1542" tooltip="http://dx.doi.org/10.1111/tan.14802" display="http://dx.doi.org/10.1111/tan.14802"/>
    <hyperlink ref="BT898" r:id="rId_hyperlink_1543" tooltip="View Full Record in Web of Science" display="View Full Record in Web of Science"/>
    <hyperlink ref="BF899" r:id="rId_hyperlink_1544" tooltip="http://dx.doi.org/10.1111/tan.14683" display="http://dx.doi.org/10.1111/tan.14683"/>
    <hyperlink ref="BT899" r:id="rId_hyperlink_1545" tooltip="View Full Record in Web of Science" display="View Full Record in Web of Science"/>
    <hyperlink ref="BF900" r:id="rId_hyperlink_1546" tooltip="http://dx.doi.org/10.22038/IJP.2021.56526.4442" display="http://dx.doi.org/10.22038/IJP.2021.56526.4442"/>
    <hyperlink ref="BT900" r:id="rId_hyperlink_1547" tooltip="View Full Record in Web of Science" display="View Full Record in Web of Science"/>
    <hyperlink ref="BF901" r:id="rId_hyperlink_1548" tooltip="http://dx.doi.org/10.17059/ekon.reg.2021-4-22" display="http://dx.doi.org/10.17059/ekon.reg.2021-4-22"/>
    <hyperlink ref="BT901" r:id="rId_hyperlink_1549" tooltip="View Full Record in Web of Science" display="View Full Record in Web of Science"/>
    <hyperlink ref="BF902" r:id="rId_hyperlink_1550" tooltip="http://dx.doi.org/10.1088/1757-899X/940/1/012053" display="http://dx.doi.org/10.1088/1757-899X/940/1/012053"/>
    <hyperlink ref="BT902" r:id="rId_hyperlink_1551" tooltip="View Full Record in Web of Science" display="View Full Record in Web of Science"/>
    <hyperlink ref="BF903" r:id="rId_hyperlink_1552" tooltip="http://dx.doi.org/10.1007/978-3-319-13186-3_21" display="http://dx.doi.org/10.1007/978-3-319-13186-3_21"/>
    <hyperlink ref="BT903" r:id="rId_hyperlink_1553" tooltip="View Full Record in Web of Science" display="View Full Record in Web of Science"/>
    <hyperlink ref="BF904" r:id="rId_hyperlink_1554" tooltip="http://dx.doi.org/10.3103/S1066369X2302007X" display="http://dx.doi.org/10.3103/S1066369X2302007X"/>
    <hyperlink ref="BT904" r:id="rId_hyperlink_1555" tooltip="View Full Record in Web of Science" display="View Full Record in Web of Science"/>
    <hyperlink ref="BF905" r:id="rId_hyperlink_1556" tooltip="http://dx.doi.org/10.1111/tan.14838" display="http://dx.doi.org/10.1111/tan.14838"/>
    <hyperlink ref="BT905" r:id="rId_hyperlink_1557" tooltip="View Full Record in Web of Science" display="View Full Record in Web of Science"/>
    <hyperlink ref="BF906" r:id="rId_hyperlink_1558" tooltip="http://dx.doi.org/10.1134/S1023193521090056" display="http://dx.doi.org/10.1134/S1023193521090056"/>
    <hyperlink ref="BT906" r:id="rId_hyperlink_1559" tooltip="View Full Record in Web of Science" display="View Full Record in Web of Science"/>
    <hyperlink ref="BF907" r:id="rId_hyperlink_1560" tooltip="http://dx.doi.org/10.25750/1995-4301-2021-2-115-121" display="http://dx.doi.org/10.25750/1995-4301-2021-2-115-121"/>
    <hyperlink ref="BT907" r:id="rId_hyperlink_1561" tooltip="View Full Record in Web of Science" display="View Full Record in Web of Science"/>
    <hyperlink ref="BF908" r:id="rId_hyperlink_1562" tooltip="http://dx.doi.org/10.25750/1995-4301-2019-2-131-136" display="http://dx.doi.org/10.25750/1995-4301-2019-2-131-136"/>
    <hyperlink ref="BT908" r:id="rId_hyperlink_1563" tooltip="View Full Record in Web of Science" display="View Full Record in Web of Science"/>
    <hyperlink ref="BT909" r:id="rId_hyperlink_1564" tooltip="View Full Record in Web of Science" display="View Full Record in Web of Science"/>
    <hyperlink ref="BF910" r:id="rId_hyperlink_1565" tooltip="http://dx.doi.org/10.12973/eurasia.2017.00931a" display="http://dx.doi.org/10.12973/eurasia.2017.00931a"/>
    <hyperlink ref="BT910" r:id="rId_hyperlink_1566" tooltip="View Full Record in Web of Science" display="View Full Record in Web of Science"/>
    <hyperlink ref="BF911" r:id="rId_hyperlink_1567" tooltip="http://dx.doi.org/10.1007/s11029-015-9531-6" display="http://dx.doi.org/10.1007/s11029-015-9531-6"/>
    <hyperlink ref="BT911" r:id="rId_hyperlink_1568" tooltip="View Full Record in Web of Science" display="View Full Record in Web of Science"/>
    <hyperlink ref="BF912" r:id="rId_hyperlink_1569" tooltip="http://dx.doi.org/10.1109/ISKE.2015.28" display="http://dx.doi.org/10.1109/ISKE.2015.28"/>
    <hyperlink ref="BT912" r:id="rId_hyperlink_1570" tooltip="View Full Record in Web of Science" display="View Full Record in Web of Science"/>
    <hyperlink ref="BF913" r:id="rId_hyperlink_1571" tooltip="http://dx.doi.org/10.1007/s10720-005-0067-z" display="http://dx.doi.org/10.1007/s10720-005-0067-z"/>
    <hyperlink ref="BT913" r:id="rId_hyperlink_1572" tooltip="View Full Record in Web of Science" display="View Full Record in Web of Science"/>
    <hyperlink ref="BF914" r:id="rId_hyperlink_1573" tooltip="http://dx.doi.org/10.1007/s11175-005-0102-3" display="http://dx.doi.org/10.1007/s11175-005-0102-3"/>
    <hyperlink ref="BT914" r:id="rId_hyperlink_1574" tooltip="View Full Record in Web of Science" display="View Full Record in Web of Science"/>
    <hyperlink ref="BF915" r:id="rId_hyperlink_1575" tooltip="http://dx.doi.org/10.13187/ejced.2023.1.173" display="http://dx.doi.org/10.13187/ejced.2023.1.173"/>
    <hyperlink ref="BT915" r:id="rId_hyperlink_1576" tooltip="View Full Record in Web of Science" display="View Full Record in Web of Science"/>
    <hyperlink ref="BF916" r:id="rId_hyperlink_1577" tooltip="http://dx.doi.org/10.25750/1995-4301-2020-4-035-042" display="http://dx.doi.org/10.25750/1995-4301-2020-4-035-042"/>
    <hyperlink ref="BT916" r:id="rId_hyperlink_1578" tooltip="View Full Record in Web of Science" display="View Full Record in Web of Science"/>
    <hyperlink ref="BT917" r:id="rId_hyperlink_1579" tooltip="View Full Record in Web of Science" display="View Full Record in Web of Science"/>
    <hyperlink ref="BF918" r:id="rId_hyperlink_1580" tooltip="http://dx.doi.org/10.1016/j.proeng.2017.10.488" display="http://dx.doi.org/10.1016/j.proeng.2017.10.488"/>
    <hyperlink ref="BT918" r:id="rId_hyperlink_1581" tooltip="View Full Record in Web of Science" display="View Full Record in Web of Science"/>
    <hyperlink ref="BT919" r:id="rId_hyperlink_1582" tooltip="View Full Record in Web of Science" display="View Full Record in Web of Science"/>
    <hyperlink ref="BF920" r:id="rId_hyperlink_1583" tooltip="http://dx.doi.org/10.17223/19996195/53/14" display="http://dx.doi.org/10.17223/19996195/53/14"/>
    <hyperlink ref="BT920" r:id="rId_hyperlink_1584" tooltip="View Full Record in Web of Science" display="View Full Record in Web of Science"/>
    <hyperlink ref="BF921" r:id="rId_hyperlink_1585" tooltip="http://dx.doi.org/10.1134/S102319351708002X" display="http://dx.doi.org/10.1134/S102319351708002X"/>
    <hyperlink ref="BT921" r:id="rId_hyperlink_1586" tooltip="View Full Record in Web of Science" display="View Full Record in Web of Science"/>
    <hyperlink ref="BF922" r:id="rId_hyperlink_1587" tooltip="http://dx.doi.org/10.1051/matecconf/201710608079" display="http://dx.doi.org/10.1051/matecconf/201710608079"/>
    <hyperlink ref="BT922" r:id="rId_hyperlink_1588" tooltip="View Full Record in Web of Science" display="View Full Record in Web of Science"/>
    <hyperlink ref="BF923" r:id="rId_hyperlink_1589" tooltip="http://dx.doi.org/10.1007/s11045-016-0394-3" display="http://dx.doi.org/10.1007/s11045-016-0394-3"/>
    <hyperlink ref="BT923" r:id="rId_hyperlink_1590" tooltip="View Full Record in Web of Science" display="View Full Record in Web of Science"/>
    <hyperlink ref="BT924" r:id="rId_hyperlink_1591" tooltip="View Full Record in Web of Science" display="View Full Record in Web of Science"/>
    <hyperlink ref="BF925" r:id="rId_hyperlink_1592" tooltip="http://dx.doi.org/10.1134/S1023193513080132" display="http://dx.doi.org/10.1134/S1023193513080132"/>
    <hyperlink ref="BT925" r:id="rId_hyperlink_1593" tooltip="View Full Record in Web of Science" display="View Full Record in Web of Science"/>
    <hyperlink ref="BF926" r:id="rId_hyperlink_1594" tooltip="http://dx.doi.org/10.1111/tan.15042" display="http://dx.doi.org/10.1111/tan.15042"/>
    <hyperlink ref="BT926" r:id="rId_hyperlink_1595" tooltip="View Full Record in Web of Science" display="View Full Record in Web of Science"/>
    <hyperlink ref="BF927" r:id="rId_hyperlink_1596" tooltip="http://dx.doi.org/10.1134/S0001434622030014" display="http://dx.doi.org/10.1134/S0001434622030014"/>
    <hyperlink ref="BT927" r:id="rId_hyperlink_1597" tooltip="View Full Record in Web of Science" display="View Full Record in Web of Science"/>
    <hyperlink ref="BF928" r:id="rId_hyperlink_1598" tooltip="http://dx.doi.org/10.14529/mmp210206" display="http://dx.doi.org/10.14529/mmp210206"/>
    <hyperlink ref="BT928" r:id="rId_hyperlink_1599" tooltip="View Full Record in Web of Science" display="View Full Record in Web of Science"/>
    <hyperlink ref="BT929" r:id="rId_hyperlink_1600" tooltip="View Full Record in Web of Science" display="View Full Record in Web of Science"/>
    <hyperlink ref="BF930" r:id="rId_hyperlink_1601" tooltip="http://dx.doi.org/10.1016/j.matpr.2018.12.138" display="http://dx.doi.org/10.1016/j.matpr.2018.12.138"/>
    <hyperlink ref="BT930" r:id="rId_hyperlink_1602" tooltip="View Full Record in Web of Science" display="View Full Record in Web of Science"/>
    <hyperlink ref="BF931" r:id="rId_hyperlink_1603" tooltip="http://dx.doi.org/10.3897/ap.1.e0448" display="http://dx.doi.org/10.3897/ap.1.e0448"/>
    <hyperlink ref="BT931" r:id="rId_hyperlink_1604" tooltip="View Full Record in Web of Science" display="View Full Record in Web of Science"/>
    <hyperlink ref="BF932" r:id="rId_hyperlink_1605" tooltip="http://dx.doi.org/10.17223/19986645/54/4" display="http://dx.doi.org/10.17223/19986645/54/4"/>
    <hyperlink ref="BT932" r:id="rId_hyperlink_1606" tooltip="View Full Record in Web of Science" display="View Full Record in Web of Science"/>
    <hyperlink ref="BF933" r:id="rId_hyperlink_1607" tooltip="http://dx.doi.org/10.1088/1742-6596/1015/3/032068" display="http://dx.doi.org/10.1088/1742-6596/1015/3/032068"/>
    <hyperlink ref="BT933" r:id="rId_hyperlink_1608" tooltip="View Full Record in Web of Science" display="View Full Record in Web of Science"/>
    <hyperlink ref="BF934" r:id="rId_hyperlink_1609" tooltip="http://dx.doi.org/10.1051/matecconf/201710608082" display="http://dx.doi.org/10.1051/matecconf/201710608082"/>
    <hyperlink ref="BT934" r:id="rId_hyperlink_1610" tooltip="View Full Record in Web of Science" display="View Full Record in Web of Science"/>
    <hyperlink ref="BT935" r:id="rId_hyperlink_1611" tooltip="View Full Record in Web of Science" display="View Full Record in Web of Science"/>
    <hyperlink ref="BF936" r:id="rId_hyperlink_1612" tooltip="http://dx.doi.org/10.20542/0131-2227-2020-64-8-91-100" display="http://dx.doi.org/10.20542/0131-2227-2020-64-8-91-100"/>
    <hyperlink ref="BT936" r:id="rId_hyperlink_1613" tooltip="View Full Record in Web of Science" display="View Full Record in Web of Science"/>
    <hyperlink ref="BF937" r:id="rId_hyperlink_1614" tooltip="http://dx.doi.org/10.22055/RALS.2020.16291" display="http://dx.doi.org/10.22055/RALS.2020.16291"/>
    <hyperlink ref="BT937" r:id="rId_hyperlink_1615" tooltip="View Full Record in Web of Science" display="View Full Record in Web of Science"/>
    <hyperlink ref="BF938" r:id="rId_hyperlink_1616" tooltip="http://dx.doi.org/10.17150/2500-4255.2019.13(3).489-497" display="http://dx.doi.org/10.17150/2500-4255.2019.13(3).489-497"/>
    <hyperlink ref="BT938" r:id="rId_hyperlink_1617" tooltip="View Full Record in Web of Science" display="View Full Record in Web of Science"/>
    <hyperlink ref="BF939" r:id="rId_hyperlink_1618" tooltip="http://dx.doi.org/10.1088/1757-899X/537/2/022064" display="http://dx.doi.org/10.1088/1757-899X/537/2/022064"/>
    <hyperlink ref="BT939" r:id="rId_hyperlink_1619" tooltip="View Full Record in Web of Science" display="View Full Record in Web of Science"/>
    <hyperlink ref="BF940" r:id="rId_hyperlink_1620" tooltip="http://dx.doi.org/10.1051/matecconf/201822402008" display="http://dx.doi.org/10.1051/matecconf/201822402008"/>
    <hyperlink ref="BT940" r:id="rId_hyperlink_1621" tooltip="View Full Record in Web of Science" display="View Full Record in Web of Science"/>
    <hyperlink ref="BF941" r:id="rId_hyperlink_1622" tooltip="http://dx.doi.org/10.12973/eurasia.2017.00934a" display="http://dx.doi.org/10.12973/eurasia.2017.00934a"/>
    <hyperlink ref="BT941" r:id="rId_hyperlink_1623" tooltip="View Full Record in Web of Science" display="View Full Record in Web of Science"/>
    <hyperlink ref="BT942" r:id="rId_hyperlink_1624" tooltip="View Full Record in Web of Science" display="View Full Record in Web of Science"/>
    <hyperlink ref="BF943" r:id="rId_hyperlink_1625" tooltip="http://dx.doi.org/10.1007/s11029-016-9596-x" display="http://dx.doi.org/10.1007/s11029-016-9596-x"/>
    <hyperlink ref="BT943" r:id="rId_hyperlink_1626" tooltip="View Full Record in Web of Science" display="View Full Record in Web of Science"/>
    <hyperlink ref="BF944" r:id="rId_hyperlink_1627" tooltip="http://dx.doi.org/10.1016/j.cap.2007.04.013" display="http://dx.doi.org/10.1016/j.cap.2007.04.013"/>
    <hyperlink ref="BT944" r:id="rId_hyperlink_1628" tooltip="View Full Record in Web of Science" display="View Full Record in Web of Science"/>
    <hyperlink ref="BF945" r:id="rId_hyperlink_1629" tooltip="http://dx.doi.org/10.21538/0134-4889-2020-26-3-235-248" display="http://dx.doi.org/10.21538/0134-4889-2020-26-3-235-248"/>
    <hyperlink ref="BT945" r:id="rId_hyperlink_1630" tooltip="View Full Record in Web of Science" display="View Full Record in Web of Science"/>
    <hyperlink ref="BF946" r:id="rId_hyperlink_1631" tooltip="http://dx.doi.org/10.1051/matecconf/201710608089" display="http://dx.doi.org/10.1051/matecconf/201710608089"/>
    <hyperlink ref="BT946" r:id="rId_hyperlink_1632" tooltip="View Full Record in Web of Science" display="View Full Record in Web of Science"/>
    <hyperlink ref="BF947" r:id="rId_hyperlink_1633" tooltip="http://dx.doi.org/10.1134/S1995425513050028" display="http://dx.doi.org/10.1134/S1995425513050028"/>
    <hyperlink ref="BT947" r:id="rId_hyperlink_1634" tooltip="View Full Record in Web of Science" display="View Full Record in Web of Science"/>
    <hyperlink ref="BF948" r:id="rId_hyperlink_1635" tooltip="http://dx.doi.org/10.1007/s11175-005-0117-9" display="http://dx.doi.org/10.1007/s11175-005-0117-9"/>
    <hyperlink ref="BT948" r:id="rId_hyperlink_1636" tooltip="View Full Record in Web of Science" display="View Full Record in Web of Science"/>
    <hyperlink ref="BT949" r:id="rId_hyperlink_1637" tooltip="View Full Record in Web of Science" display="View Full Record in Web of Science"/>
    <hyperlink ref="BF950" r:id="rId_hyperlink_1638" tooltip="http://dx.doi.org/10.1111/tan.14969" display="http://dx.doi.org/10.1111/tan.14969"/>
    <hyperlink ref="BT950" r:id="rId_hyperlink_1639" tooltip="View Full Record in Web of Science" display="View Full Record in Web of Science"/>
    <hyperlink ref="BF951" r:id="rId_hyperlink_1640" tooltip="http://dx.doi.org/10.17770/sie2020vol1.5079" display="http://dx.doi.org/10.17770/sie2020vol1.5079"/>
    <hyperlink ref="BT951" r:id="rId_hyperlink_1641" tooltip="View Full Record in Web of Science" display="View Full Record in Web of Science"/>
    <hyperlink ref="BF952" r:id="rId_hyperlink_1642" tooltip="http://dx.doi.org/10.17223/19996195/51/8" display="http://dx.doi.org/10.17223/19996195/51/8"/>
    <hyperlink ref="BT952" r:id="rId_hyperlink_1643" tooltip="View Full Record in Web of Science" display="View Full Record in Web of Science"/>
    <hyperlink ref="BF953" r:id="rId_hyperlink_1644" tooltip="http://dx.doi.org/10.1007/978-3-030-36592-9_2" display="http://dx.doi.org/10.1007/978-3-030-36592-9_2"/>
    <hyperlink ref="BT953" r:id="rId_hyperlink_1645" tooltip="View Full Record in Web of Science" display="View Full Record in Web of Science"/>
    <hyperlink ref="BF954" r:id="rId_hyperlink_1646" tooltip="http://dx.doi.org/10.1134/S1023193507040179" display="http://dx.doi.org/10.1134/S1023193507040179"/>
    <hyperlink ref="BT954" r:id="rId_hyperlink_1647" tooltip="View Full Record in Web of Science" display="View Full Record in Web of Science"/>
    <hyperlink ref="BF955" r:id="rId_hyperlink_1648" tooltip="http://dx.doi.org/10.1007/s10720-005-0066-0" display="http://dx.doi.org/10.1007/s10720-005-0066-0"/>
    <hyperlink ref="BT955" r:id="rId_hyperlink_1649" tooltip="View Full Record in Web of Science" display="View Full Record in Web of Science"/>
    <hyperlink ref="BF956" r:id="rId_hyperlink_1650" tooltip="http://dx.doi.org/10.1111/tan.15034" display="http://dx.doi.org/10.1111/tan.15034"/>
    <hyperlink ref="BT956" r:id="rId_hyperlink_1651" tooltip="View Full Record in Web of Science" display="View Full Record in Web of Science"/>
    <hyperlink ref="BT957" r:id="rId_hyperlink_1652" tooltip="View Full Record in Web of Science" display="View Full Record in Web of Science"/>
    <hyperlink ref="BF958" r:id="rId_hyperlink_1653" tooltip="http://dx.doi.org/10.37358/mp.20.1.5309" display="http://dx.doi.org/10.37358/mp.20.1.5309"/>
    <hyperlink ref="BT958" r:id="rId_hyperlink_1654" tooltip="View Full Record in Web of Science" display="View Full Record in Web of Science"/>
    <hyperlink ref="BF959" r:id="rId_hyperlink_1655" tooltip="http://dx.doi.org/10.15507/2658-4123.030.202001.043-059" display="http://dx.doi.org/10.15507/2658-4123.030.202001.043-059"/>
    <hyperlink ref="BT959" r:id="rId_hyperlink_1656" tooltip="View Full Record in Web of Science" display="View Full Record in Web of Science"/>
    <hyperlink ref="BF960" r:id="rId_hyperlink_1657" tooltip="http://dx.doi.org/10.1088/1742-6596/1210/1/012150" display="http://dx.doi.org/10.1088/1742-6596/1210/1/012150"/>
    <hyperlink ref="BT960" r:id="rId_hyperlink_1658" tooltip="View Full Record in Web of Science" display="View Full Record in Web of Science"/>
    <hyperlink ref="BF961" r:id="rId_hyperlink_1659" tooltip="http://dx.doi.org/10.31166/VoprosyIstorii201911Statyi01" display="http://dx.doi.org/10.31166/VoprosyIstorii201911Statyi01"/>
    <hyperlink ref="BT961" r:id="rId_hyperlink_1660" tooltip="View Full Record in Web of Science" display="View Full Record in Web of Science"/>
    <hyperlink ref="BT962" r:id="rId_hyperlink_1661" tooltip="View Full Record in Web of Science" display="View Full Record in Web of Science"/>
    <hyperlink ref="BF963" r:id="rId_hyperlink_1662" tooltip="http://dx.doi.org/10.54905/disssi/v27i134/e191ms2989" display="http://dx.doi.org/10.54905/disssi/v27i134/e191ms2989"/>
    <hyperlink ref="BT963" r:id="rId_hyperlink_1663" tooltip="View Full Record in Web of Science" display="View Full Record in Web of Science"/>
    <hyperlink ref="BF964" r:id="rId_hyperlink_1664" tooltip="http://dx.doi.org/10.1111/tan.14946" display="http://dx.doi.org/10.1111/tan.14946"/>
    <hyperlink ref="BT964" r:id="rId_hyperlink_1665" tooltip="View Full Record in Web of Science" display="View Full Record in Web of Science"/>
    <hyperlink ref="BF965" r:id="rId_hyperlink_1666" tooltip="http://dx.doi.org/10.22055/RALS.2019.15172" display="http://dx.doi.org/10.22055/RALS.2019.15172"/>
    <hyperlink ref="BT965" r:id="rId_hyperlink_1667" tooltip="View Full Record in Web of Science" display="View Full Record in Web of Science"/>
    <hyperlink ref="BF966" r:id="rId_hyperlink_1668" tooltip="http://dx.doi.org/10.12973/eurasia.2017.00933a" display="http://dx.doi.org/10.12973/eurasia.2017.00933a"/>
    <hyperlink ref="BT966" r:id="rId_hyperlink_1669" tooltip="View Full Record in Web of Science" display="View Full Record in Web of Science"/>
    <hyperlink ref="BF967" r:id="rId_hyperlink_1670" tooltip="http://dx.doi.org/10.12973/eurasia.2017.01248a" display="http://dx.doi.org/10.12973/eurasia.2017.01248a"/>
    <hyperlink ref="BT967" r:id="rId_hyperlink_1671" tooltip="View Full Record in Web of Science" display="View Full Record in Web of Science"/>
    <hyperlink ref="BF968" r:id="rId_hyperlink_1672" tooltip="http://dx.doi.org/10.15405/epsbs.2017.08.02.4" display="http://dx.doi.org/10.15405/epsbs.2017.08.02.4"/>
    <hyperlink ref="BT968" r:id="rId_hyperlink_1673" tooltip="View Full Record in Web of Science" display="View Full Record in Web of Science"/>
    <hyperlink ref="BF969" r:id="rId_hyperlink_1674" tooltip="http://dx.doi.org/10.1088/1757-899X/262/1/012024" display="http://dx.doi.org/10.1088/1757-899X/262/1/012024"/>
    <hyperlink ref="BT969" r:id="rId_hyperlink_1675" tooltip="View Full Record in Web of Science" display="View Full Record in Web of Science"/>
    <hyperlink ref="BF970" r:id="rId_hyperlink_1676" tooltip="http://dx.doi.org/10.1051/matecconf/201710608078" display="http://dx.doi.org/10.1051/matecconf/201710608078"/>
    <hyperlink ref="BT970" r:id="rId_hyperlink_1677" tooltip="View Full Record in Web of Science" display="View Full Record in Web of Science"/>
    <hyperlink ref="BT971" r:id="rId_hyperlink_1678" tooltip="View Full Record in Web of Science" display="View Full Record in Web of Science"/>
    <hyperlink ref="BF972" r:id="rId_hyperlink_1679" tooltip="http://dx.doi.org/10.1134/S1023193519080111" display="http://dx.doi.org/10.1134/S1023193519080111"/>
    <hyperlink ref="BT972" r:id="rId_hyperlink_1680" tooltip="View Full Record in Web of Science" display="View Full Record in Web of Science"/>
    <hyperlink ref="BF973" r:id="rId_hyperlink_1681" tooltip="http://dx.doi.org/10.12973/eurasia.2017.00989a" display="http://dx.doi.org/10.12973/eurasia.2017.00989a"/>
    <hyperlink ref="BT973" r:id="rId_hyperlink_1682" tooltip="View Full Record in Web of Science" display="View Full Record in Web of Science"/>
    <hyperlink ref="BF974" r:id="rId_hyperlink_1683" tooltip="http://dx.doi.org/10.3103/S0025654417020108" display="http://dx.doi.org/10.3103/S0025654417020108"/>
    <hyperlink ref="BT974" r:id="rId_hyperlink_1684" tooltip="View Full Record in Web of Science" display="View Full Record in Web of Science"/>
    <hyperlink ref="BF975" r:id="rId_hyperlink_1685" tooltip="http://dx.doi.org/10.1051/matecconf/201712901023" display="http://dx.doi.org/10.1051/matecconf/201712901023"/>
    <hyperlink ref="BT975" r:id="rId_hyperlink_1686" tooltip="View Full Record in Web of Science" display="View Full Record in Web of Science"/>
    <hyperlink ref="BF976" r:id="rId_hyperlink_1687" tooltip="http://dx.doi.org/10.1016/j.proeng.2015.06.029" display="http://dx.doi.org/10.1016/j.proeng.2015.06.029"/>
    <hyperlink ref="BT976" r:id="rId_hyperlink_1688" tooltip="View Full Record in Web of Science" display="View Full Record in Web of Science"/>
    <hyperlink ref="BF977" r:id="rId_hyperlink_1689" tooltip="http://dx.doi.org/10.1134/S1023193513080107" display="http://dx.doi.org/10.1134/S1023193513080107"/>
    <hyperlink ref="BT977" r:id="rId_hyperlink_1690" tooltip="View Full Record in Web of Science" display="View Full Record in Web of Science"/>
    <hyperlink ref="BF978" r:id="rId_hyperlink_1691" tooltip="http://dx.doi.org/10.1007/s10517-012-1640-9" display="http://dx.doi.org/10.1007/s10517-012-1640-9"/>
    <hyperlink ref="BT978" r:id="rId_hyperlink_1692" tooltip="View Full Record in Web of Science" display="View Full Record in Web of Science"/>
    <hyperlink ref="BF979" r:id="rId_hyperlink_1693" tooltip="http://dx.doi.org/10.1111/tan.15032" display="http://dx.doi.org/10.1111/tan.15032"/>
    <hyperlink ref="BT979" r:id="rId_hyperlink_1694" tooltip="View Full Record in Web of Science" display="View Full Record in Web of Science"/>
    <hyperlink ref="BF980" r:id="rId_hyperlink_1695" tooltip="http://dx.doi.org/10.14529/hsm220106" display="http://dx.doi.org/10.14529/hsm220106"/>
    <hyperlink ref="BT980" r:id="rId_hyperlink_1696" tooltip="View Full Record in Web of Science" display="View Full Record in Web of Science"/>
    <hyperlink ref="BT981" r:id="rId_hyperlink_1697" tooltip="View Full Record in Web of Science" display="View Full Record in Web of Science"/>
    <hyperlink ref="BF982" r:id="rId_hyperlink_1698" tooltip="http://dx.doi.org/10.3390/v11070624" display="http://dx.doi.org/10.3390/v11070624"/>
    <hyperlink ref="BT982" r:id="rId_hyperlink_1699" tooltip="View Full Record in Web of Science" display="View Full Record in Web of Science"/>
    <hyperlink ref="BF983" r:id="rId_hyperlink_1700" tooltip="http://dx.doi.org/10.6060/ivkkt.20196211.5979" display="http://dx.doi.org/10.6060/ivkkt.20196211.5979"/>
    <hyperlink ref="BT983" r:id="rId_hyperlink_1701" tooltip="View Full Record in Web of Science" display="View Full Record in Web of Science"/>
    <hyperlink ref="BT984" r:id="rId_hyperlink_1702" tooltip="View Full Record in Web of Science" display="View Full Record in Web of Science"/>
    <hyperlink ref="BF985" r:id="rId_hyperlink_1703" tooltip="http://dx.doi.org/10.1088/1757-899X/971/2/022047" display="http://dx.doi.org/10.1088/1757-899X/971/2/022047"/>
    <hyperlink ref="BT985" r:id="rId_hyperlink_1704" tooltip="View Full Record in Web of Science" display="View Full Record in Web of Science"/>
    <hyperlink ref="BF986" r:id="rId_hyperlink_1705" tooltip="http://dx.doi.org/10.3390/polym13071101" display="http://dx.doi.org/10.3390/polym13071101"/>
    <hyperlink ref="BT986" r:id="rId_hyperlink_1706" tooltip="View Full Record in Web of Science" display="View Full Record in Web of Science"/>
    <hyperlink ref="BF987" r:id="rId_hyperlink_1707" tooltip="http://dx.doi.org/10.3897/ap.1.e1014" display="http://dx.doi.org/10.3897/ap.1.e1014"/>
    <hyperlink ref="BT987" r:id="rId_hyperlink_1708" tooltip="View Full Record in Web of Science" display="View Full Record in Web of Science"/>
    <hyperlink ref="BT988" r:id="rId_hyperlink_1709" tooltip="View Full Record in Web of Science" display="View Full Record in Web of Science"/>
    <hyperlink ref="BF989" r:id="rId_hyperlink_1710" tooltip="http://dx.doi.org/10.15405/epsbs.2020.12.03.36" display="http://dx.doi.org/10.15405/epsbs.2020.12.03.36"/>
    <hyperlink ref="BT989" r:id="rId_hyperlink_1711" tooltip="View Full Record in Web of Science" display="View Full Record in Web of Science"/>
    <hyperlink ref="BF990" r:id="rId_hyperlink_1712" tooltip="http://dx.doi.org/10.1111/tan.14967" display="http://dx.doi.org/10.1111/tan.14967"/>
    <hyperlink ref="BT990" r:id="rId_hyperlink_1713" tooltip="View Full Record in Web of Science" display="View Full Record in Web of Science"/>
    <hyperlink ref="BT991" r:id="rId_hyperlink_1714" tooltip="View Full Record in Web of Science" display="View Full Record in Web of Science"/>
    <hyperlink ref="BF992" r:id="rId_hyperlink_1715" tooltip="http://dx.doi.org/10.15826/izv2.2020.22.2.038" display="http://dx.doi.org/10.15826/izv2.2020.22.2.038"/>
    <hyperlink ref="BT992" r:id="rId_hyperlink_1716" tooltip="View Full Record in Web of Science" display="View Full Record in Web of Science"/>
    <hyperlink ref="BF993" r:id="rId_hyperlink_1717" tooltip="http://dx.doi.org/10.3389/fenrg.2022.943447" display="http://dx.doi.org/10.3389/fenrg.2022.943447"/>
    <hyperlink ref="BT993" r:id="rId_hyperlink_1718" tooltip="View Full Record in Web of Science" display="View Full Record in Web of Science"/>
    <hyperlink ref="BF994" r:id="rId_hyperlink_1719" tooltip="http://dx.doi.org/10.4103/jehp.jehp_413_21" display="http://dx.doi.org/10.4103/jehp.jehp_413_21"/>
    <hyperlink ref="BT994" r:id="rId_hyperlink_1720" tooltip="View Full Record in Web of Science" display="View Full Record in Web of Science"/>
    <hyperlink ref="BT995" r:id="rId_hyperlink_1721" tooltip="View Full Record in Web of Science" display="View Full Record in Web of Science"/>
    <hyperlink ref="BF996" r:id="rId_hyperlink_1722" tooltip="http://dx.doi.org/10.1134/S1070427215020044" display="http://dx.doi.org/10.1134/S1070427215020044"/>
    <hyperlink ref="BT996" r:id="rId_hyperlink_1723" tooltip="View Full Record in Web of Science" display="View Full Record in Web of Science"/>
    <hyperlink ref="BF997" r:id="rId_hyperlink_1724" tooltip="http://dx.doi.org/10.1111/ijag.16578" display="http://dx.doi.org/10.1111/ijag.16578"/>
    <hyperlink ref="BT997" r:id="rId_hyperlink_1725" tooltip="View Full Record in Web of Science" display="View Full Record in Web of Science"/>
    <hyperlink ref="BF998" r:id="rId_hyperlink_1726" tooltip="http://dx.doi.org/10.15405/epsbs.2021.07.02.43" display="http://dx.doi.org/10.15405/epsbs.2021.07.02.43"/>
    <hyperlink ref="BT998" r:id="rId_hyperlink_1727" tooltip="View Full Record in Web of Science" display="View Full Record in Web of Science"/>
    <hyperlink ref="BF999" r:id="rId_hyperlink_1728" tooltip="http://dx.doi.org/10.1134/S1068162012070230" display="http://dx.doi.org/10.1134/S1068162012070230"/>
    <hyperlink ref="BT999" r:id="rId_hyperlink_1729" tooltip="View Full Record in Web of Science" display="View Full Record in Web of Science"/>
    <hyperlink ref="BF1000" r:id="rId_hyperlink_1730" tooltip="http://dx.doi.org/10.1111/tan.14639" display="http://dx.doi.org/10.1111/tan.14639"/>
    <hyperlink ref="BT1000" r:id="rId_hyperlink_1731" tooltip="View Full Record in Web of Science" display="View Full Record in Web of Science"/>
    <hyperlink ref="BF1001" r:id="rId_hyperlink_1732" tooltip="http://dx.doi.org/10.13187/ejced.2021.2.358" display="http://dx.doi.org/10.13187/ejced.2021.2.358"/>
    <hyperlink ref="BT1001" r:id="rId_hyperlink_1733" tooltip="View Full Record in Web of Science" display="View Full Record in Web of Science"/>
    <hyperlink ref="BF1002" r:id="rId_hyperlink_1734" tooltip="http://dx.doi.org/10.1134/S1070427221030083" display="http://dx.doi.org/10.1134/S1070427221030083"/>
    <hyperlink ref="BT1002" r:id="rId_hyperlink_1735" tooltip="View Full Record in Web of Science" display="View Full Record in Web of Science"/>
    <hyperlink ref="BF1003" r:id="rId_hyperlink_1736" tooltip="http://dx.doi.org/10.1088/1757-899X/971/3/032059" display="http://dx.doi.org/10.1088/1757-899X/971/3/032059"/>
    <hyperlink ref="BT1003" r:id="rId_hyperlink_1737" tooltip="View Full Record in Web of Science" display="View Full Record in Web of Science"/>
    <hyperlink ref="BF1004" r:id="rId_hyperlink_1738" tooltip="http://dx.doi.org/10.1111/tan.14968" display="http://dx.doi.org/10.1111/tan.14968"/>
    <hyperlink ref="BT1004" r:id="rId_hyperlink_1739" tooltip="View Full Record in Web of Science" display="View Full Record in Web of Science"/>
    <hyperlink ref="BF1005" r:id="rId_hyperlink_1740" tooltip="http://dx.doi.org/10.25750/1995-4301-2020-1-136-143" display="http://dx.doi.org/10.25750/1995-4301-2020-1-136-143"/>
    <hyperlink ref="BT1005" r:id="rId_hyperlink_1741" tooltip="View Full Record in Web of Science" display="View Full Record in Web of Science"/>
    <hyperlink ref="BF1006" r:id="rId_hyperlink_1742" tooltip="http://dx.doi.org/10.37816/2073-9567-2023-67-277-292" display="http://dx.doi.org/10.37816/2073-9567-2023-67-277-292"/>
    <hyperlink ref="BT1006" r:id="rId_hyperlink_1743" tooltip="View Full Record in Web of Science" display="View Full Record in Web of Science"/>
    <hyperlink ref="BF1007" r:id="rId_hyperlink_1744" tooltip="http://dx.doi.org/10.25750/1995-4301-2022-3-166-174" display="http://dx.doi.org/10.25750/1995-4301-2022-3-166-174"/>
    <hyperlink ref="BT1007" r:id="rId_hyperlink_1745" tooltip="View Full Record in Web of Science" display="View Full Record in Web of Science"/>
    <hyperlink ref="BF1008" r:id="rId_hyperlink_1746" tooltip="http://dx.doi.org/10.22038/IJP.2021.58495.4571" display="http://dx.doi.org/10.22038/IJP.2021.58495.4571"/>
    <hyperlink ref="BT1008" r:id="rId_hyperlink_1747" tooltip="View Full Record in Web of Science" display="View Full Record in Web of Science"/>
    <hyperlink ref="BF1009" r:id="rId_hyperlink_1748" tooltip="http://dx.doi.org/10.13187/ejced.2019.1.187" display="http://dx.doi.org/10.13187/ejced.2019.1.187"/>
    <hyperlink ref="BT1009" r:id="rId_hyperlink_1749" tooltip="View Full Record in Web of Science" display="View Full Record in Web of Science"/>
    <hyperlink ref="BF1010" r:id="rId_hyperlink_1750" tooltip="http://dx.doi.org/10.31166/VoprosyIstorii202206Statyi23" display="http://dx.doi.org/10.31166/VoprosyIstorii202206Statyi23"/>
    <hyperlink ref="BT1010" r:id="rId_hyperlink_1751" tooltip="View Full Record in Web of Science" display="View Full Record in Web of Science"/>
    <hyperlink ref="BF1011" r:id="rId_hyperlink_1752" tooltip="http://dx.doi.org/10.15211/soveurope62019161171" display="http://dx.doi.org/10.15211/soveurope62019161171"/>
    <hyperlink ref="BT1011" r:id="rId_hyperlink_1753" tooltip="View Full Record in Web of Science" display="View Full Record in Web of Science"/>
    <hyperlink ref="BF1012" r:id="rId_hyperlink_1754" tooltip="http://dx.doi.org/10.3390/gels9010045" display="http://dx.doi.org/10.3390/gels9010045"/>
    <hyperlink ref="BT1012" r:id="rId_hyperlink_1755" tooltip="View Full Record in Web of Science" display="View Full Record in Web of Science"/>
    <hyperlink ref="BF1013" r:id="rId_hyperlink_1756" tooltip="http://dx.doi.org/10.25750/1995-4301-2020-4-022-029" display="http://dx.doi.org/10.25750/1995-4301-2020-4-022-029"/>
    <hyperlink ref="BT1013" r:id="rId_hyperlink_1757" tooltip="View Full Record in Web of Science" display="View Full Record in Web of Science"/>
    <hyperlink ref="BF1014" r:id="rId_hyperlink_1758" tooltip="http://dx.doi.org/10.24874/IJQR14.02-08" display="http://dx.doi.org/10.24874/IJQR14.02-08"/>
    <hyperlink ref="BT1014" r:id="rId_hyperlink_1759" tooltip="View Full Record in Web of Science" display="View Full Record in Web of Science"/>
    <hyperlink ref="BF1015" r:id="rId_hyperlink_1760" tooltip="http://dx.doi.org/10.13187/ejced.2023.1.188" display="http://dx.doi.org/10.13187/ejced.2023.1.188"/>
    <hyperlink ref="BT1015" r:id="rId_hyperlink_1761" tooltip="View Full Record in Web of Science" display="View Full Record in Web of Science"/>
    <hyperlink ref="BF1016" r:id="rId_hyperlink_1762" tooltip="http://dx.doi.org/10.13187/ejced.2022.4.1147" display="http://dx.doi.org/10.13187/ejced.2022.4.1147"/>
    <hyperlink ref="BT1016" r:id="rId_hyperlink_1763" tooltip="View Full Record in Web of Science" display="View Full Record in Web of Science"/>
    <hyperlink ref="BF1017" r:id="rId_hyperlink_1764" tooltip="http://dx.doi.org/10.13187/ejced.2021.4.987" display="http://dx.doi.org/10.13187/ejced.2021.4.987"/>
    <hyperlink ref="BT1017" r:id="rId_hyperlink_1765" tooltip="View Full Record in Web of Science" display="View Full Record in Web of Science"/>
    <hyperlink ref="BF1018" r:id="rId_hyperlink_1766" tooltip="http://dx.doi.org/10.1134/S1070427210100290" display="http://dx.doi.org/10.1134/S1070427210100290"/>
    <hyperlink ref="BT1018" r:id="rId_hyperlink_1767" tooltip="View Full Record in Web of Science" display="View Full Record in Web of Science"/>
    <hyperlink ref="BF1019" r:id="rId_hyperlink_1768" tooltip="http://dx.doi.org/10.29051/el.v7iesp.2.15150" display="http://dx.doi.org/10.29051/el.v7iesp.2.15150"/>
    <hyperlink ref="BT1019" r:id="rId_hyperlink_1769" tooltip="View Full Record in Web of Science" display="View Full Record in Web of Science"/>
    <hyperlink ref="BT1020" r:id="rId_hyperlink_1770" tooltip="View Full Record in Web of Science" display="View Full Record in Web of Science"/>
    <hyperlink ref="BF1021" r:id="rId_hyperlink_1771" tooltip="http://dx.doi.org/10.1111/tan.15007" display="http://dx.doi.org/10.1111/tan.15007"/>
    <hyperlink ref="BT1021" r:id="rId_hyperlink_1772" tooltip="View Full Record in Web of Science" display="View Full Record in Web of Science"/>
    <hyperlink ref="BF1022" r:id="rId_hyperlink_1773" tooltip="http://dx.doi.org/10.25750/1995-4301-2022-4-232-239" display="http://dx.doi.org/10.25750/1995-4301-2022-4-232-239"/>
    <hyperlink ref="BT1022" r:id="rId_hyperlink_1774" tooltip="View Full Record in Web of Science" display="View Full Record in Web of Science"/>
    <hyperlink ref="BF1023" r:id="rId_hyperlink_1775" tooltip="http://dx.doi.org/10.31166/VoprosyIstorii201911Statyi11" display="http://dx.doi.org/10.31166/VoprosyIstorii201911Statyi11"/>
    <hyperlink ref="BT1023" r:id="rId_hyperlink_1776" tooltip="View Full Record in Web of Science" display="View Full Record in Web of Science"/>
    <hyperlink ref="BF1024" r:id="rId_hyperlink_1777" tooltip="http://dx.doi.org/10.17223/15617793/430/29" display="http://dx.doi.org/10.17223/15617793/430/29"/>
    <hyperlink ref="BT1024" r:id="rId_hyperlink_1778" tooltip="View Full Record in Web of Science" display="View Full Record in Web of Science"/>
    <hyperlink ref="BF1025" r:id="rId_hyperlink_1779" tooltip="http://dx.doi.org/10.1111/tan.14559" display="http://dx.doi.org/10.1111/tan.14559"/>
    <hyperlink ref="BT1025" r:id="rId_hyperlink_1780" tooltip="View Full Record in Web of Science" display="View Full Record in Web of Science"/>
    <hyperlink ref="BF1026" r:id="rId_hyperlink_1781" tooltip="http://dx.doi.org/10.25750/1995-4301-2022-4-088-095" display="http://dx.doi.org/10.25750/1995-4301-2022-4-088-095"/>
    <hyperlink ref="BT1026" r:id="rId_hyperlink_1782" tooltip="View Full Record in Web of Science" display="View Full Record in Web of Science"/>
    <hyperlink ref="BF1027" r:id="rId_hyperlink_1783" tooltip="http://dx.doi.org/10.13187/ejced.2021.2.462" display="http://dx.doi.org/10.13187/ejced.2021.2.462"/>
    <hyperlink ref="BT1027" r:id="rId_hyperlink_1784" tooltip="View Full Record in Web of Science" display="View Full Record in Web of Science"/>
    <hyperlink ref="BF1028" r:id="rId_hyperlink_1785" tooltip="http://dx.doi.org/10.15789/2220-7619-2019-3-4-437-448" display="http://dx.doi.org/10.15789/2220-7619-2019-3-4-437-448"/>
    <hyperlink ref="BT1028" r:id="rId_hyperlink_1786" tooltip="View Full Record in Web of Science" display="View Full Record in Web of Science"/>
    <hyperlink ref="BF1029" r:id="rId_hyperlink_1787" tooltip="http://dx.doi.org/10.25178/nit.2019.1.6" display="http://dx.doi.org/10.25178/nit.2019.1.6"/>
    <hyperlink ref="BT1029" r:id="rId_hyperlink_1788" tooltip="View Full Record in Web of Science" display="View Full Record in Web of Science"/>
    <hyperlink ref="BF1030" r:id="rId_hyperlink_1789" tooltip="http://dx.doi.org/10.17150/2308-6203.2019.8(2).438-446" display="http://dx.doi.org/10.17150/2308-6203.2019.8(2).438-446"/>
    <hyperlink ref="BT1030" r:id="rId_hyperlink_1790" tooltip="View Full Record in Web of Science" display="View Full Record in Web of Science"/>
    <hyperlink ref="BF1031" r:id="rId_hyperlink_1791" tooltip="http://dx.doi.org/10.1111/tan.14965" display="http://dx.doi.org/10.1111/tan.14965"/>
    <hyperlink ref="BT1031" r:id="rId_hyperlink_1792" tooltip="View Full Record in Web of Science" display="View Full Record in Web of Science"/>
    <hyperlink ref="BF1032" r:id="rId_hyperlink_1793" tooltip="http://dx.doi.org/10.1111/tan.14962" display="http://dx.doi.org/10.1111/tan.14962"/>
    <hyperlink ref="BT1032" r:id="rId_hyperlink_1794" tooltip="View Full Record in Web of Science" display="View Full Record in Web of Science"/>
    <hyperlink ref="BT1033" r:id="rId_hyperlink_1795" tooltip="View Full Record in Web of Science" display="View Full Record in Web of Science"/>
    <hyperlink ref="BF1034" r:id="rId_hyperlink_1796" tooltip="http://dx.doi.org/10.1134/S1995425515050121" display="http://dx.doi.org/10.1134/S1995425515050121"/>
    <hyperlink ref="BT1034" r:id="rId_hyperlink_1797" tooltip="View Full Record in Web of Science" display="View Full Record in Web of Science"/>
    <hyperlink ref="BF1035" r:id="rId_hyperlink_1798" tooltip="http://dx.doi.org/10.22038/ijp.2021.57347.4500" display="http://dx.doi.org/10.22038/ijp.2021.57347.4500"/>
    <hyperlink ref="BT1035" r:id="rId_hyperlink_1799" tooltip="View Full Record in Web of Science" display="View Full Record in Web of Science"/>
    <hyperlink ref="BT1036" r:id="rId_hyperlink_1800" tooltip="View Full Record in Web of Science" display="View Full Record in Web of Science"/>
    <hyperlink ref="BF1037" r:id="rId_hyperlink_1801" tooltip="http://dx.doi.org/10.24874/IJQR16.03-19" display="http://dx.doi.org/10.24874/IJQR16.03-19"/>
    <hyperlink ref="BT1037" r:id="rId_hyperlink_1802" tooltip="View Full Record in Web of Science" display="View Full Record in Web of Science"/>
    <hyperlink ref="BF1038" r:id="rId_hyperlink_1803" tooltip="http://dx.doi.org/10.3390/sym13101869" display="http://dx.doi.org/10.3390/sym13101869"/>
    <hyperlink ref="BT1038" r:id="rId_hyperlink_1804" tooltip="View Full Record in Web of Science" display="View Full Record in Web of Science"/>
    <hyperlink ref="BF1039" r:id="rId_hyperlink_1805" tooltip="http://dx.doi.org/10.13187/ejced.2020.3.603" display="http://dx.doi.org/10.13187/ejced.2020.3.603"/>
    <hyperlink ref="BT1039" r:id="rId_hyperlink_1806" tooltip="View Full Record in Web of Science" display="View Full Record in Web of Science"/>
    <hyperlink ref="BF1040" r:id="rId_hyperlink_1807" tooltip="http://dx.doi.org/10.33048/semi.2019.16.105" display="http://dx.doi.org/10.33048/semi.2019.16.105"/>
    <hyperlink ref="BT1040" r:id="rId_hyperlink_1808" tooltip="View Full Record in Web of Science" display="View Full Record in Web of Science"/>
    <hyperlink ref="BF1041" r:id="rId_hyperlink_1809" tooltip="http://dx.doi.org/10.1111/tan.14960" display="http://dx.doi.org/10.1111/tan.14960"/>
    <hyperlink ref="BT1041" r:id="rId_hyperlink_1810" tooltip="View Full Record in Web of Science" display="View Full Record in Web of Science"/>
    <hyperlink ref="BF1042" r:id="rId_hyperlink_1811" tooltip="http://dx.doi.org/10.51847/1A2QGmzKEo" display="http://dx.doi.org/10.51847/1A2QGmzKEo"/>
    <hyperlink ref="BT1042" r:id="rId_hyperlink_1812" tooltip="View Full Record in Web of Science" display="View Full Record in Web of Science"/>
    <hyperlink ref="BF1043" r:id="rId_hyperlink_1813" tooltip="http://dx.doi.org/10.1088/1757-899X/971/3/032060" display="http://dx.doi.org/10.1088/1757-899X/971/3/032060"/>
    <hyperlink ref="BT1043" r:id="rId_hyperlink_1814" tooltip="View Full Record in Web of Science" display="View Full Record in Web of Science"/>
    <hyperlink ref="BF1044" r:id="rId_hyperlink_1815" tooltip="http://dx.doi.org/10.1111/tan.14617" display="http://dx.doi.org/10.1111/tan.14617"/>
    <hyperlink ref="BT1044" r:id="rId_hyperlink_1816" tooltip="View Full Record in Web of Science" display="View Full Record in Web of Science"/>
    <hyperlink ref="BF1045" r:id="rId_hyperlink_1817" tooltip="http://dx.doi.org/10.1007/s10800-022-01667-0" display="http://dx.doi.org/10.1007/s10800-022-01667-0"/>
    <hyperlink ref="BT1045" r:id="rId_hyperlink_1818" tooltip="View Full Record in Web of Science" display="View Full Record in Web of Science"/>
    <hyperlink ref="BF1046" r:id="rId_hyperlink_1819" tooltip="http://dx.doi.org/10.31166/VoprosyIstorii202111Statyi33" display="http://dx.doi.org/10.31166/VoprosyIstorii202111Statyi33"/>
    <hyperlink ref="BT1046" r:id="rId_hyperlink_1820" tooltip="View Full Record in Web of Science" display="View Full Record in Web of Science"/>
    <hyperlink ref="BF1047" r:id="rId_hyperlink_1821" tooltip="http://dx.doi.org/10.24874/IJQR15.02-06" display="http://dx.doi.org/10.24874/IJQR15.02-06"/>
    <hyperlink ref="BT1047" r:id="rId_hyperlink_1822" tooltip="View Full Record in Web of Science" display="View Full Record in Web of Science"/>
    <hyperlink ref="BF1048" r:id="rId_hyperlink_1823" tooltip="http://dx.doi.org/10.1007/978-3-030-34983-7_19" display="http://dx.doi.org/10.1007/978-3-030-34983-7_19"/>
    <hyperlink ref="BT1048" r:id="rId_hyperlink_1824" tooltip="View Full Record in Web of Science" display="View Full Record in Web of Science"/>
    <hyperlink ref="BF1049" r:id="rId_hyperlink_1825" tooltip="http://dx.doi.org/10.1051/e3sconf/202021016021" display="http://dx.doi.org/10.1051/e3sconf/202021016021"/>
    <hyperlink ref="BT1049" r:id="rId_hyperlink_1826" tooltip="View Full Record in Web of Science" display="View Full Record in Web of Science"/>
    <hyperlink ref="BF1050" r:id="rId_hyperlink_1827" tooltip="http://dx.doi.org/10.1149/2.0561910jes" display="http://dx.doi.org/10.1149/2.0561910jes"/>
    <hyperlink ref="BT1050" r:id="rId_hyperlink_1828" tooltip="View Full Record in Web of Science" display="View Full Record in Web of Science"/>
    <hyperlink ref="BF1051" r:id="rId_hyperlink_1829" tooltip="http://dx.doi.org/10.3103/S106782121105004X" display="http://dx.doi.org/10.3103/S106782121105004X"/>
    <hyperlink ref="BT1051" r:id="rId_hyperlink_1830" tooltip="View Full Record in Web of Science" display="View Full Record in Web of Science"/>
    <hyperlink ref="BF1052" r:id="rId_hyperlink_1831" tooltip="http://dx.doi.org/10.1051/e3sconf/202021010007" display="http://dx.doi.org/10.1051/e3sconf/202021010007"/>
    <hyperlink ref="BT1052" r:id="rId_hyperlink_1832" tooltip="View Full Record in Web of Science" display="View Full Record in Web of Science"/>
    <hyperlink ref="BF1053" r:id="rId_hyperlink_1833" tooltip="http://dx.doi.org/10.1088/1755-1315/90/1/012125" display="http://dx.doi.org/10.1088/1755-1315/90/1/012125"/>
    <hyperlink ref="BT1053" r:id="rId_hyperlink_1834" tooltip="View Full Record in Web of Science" display="View Full Record in Web of Science"/>
    <hyperlink ref="BF1054" r:id="rId_hyperlink_1835" tooltip="http://dx.doi.org/10.25750/1995-4301-2022-3-110-117" display="http://dx.doi.org/10.25750/1995-4301-2022-3-110-117"/>
    <hyperlink ref="BT1054" r:id="rId_hyperlink_1836" tooltip="View Full Record in Web of Science" display="View Full Record in Web of Science"/>
    <hyperlink ref="BF1055" r:id="rId_hyperlink_1837" tooltip="http://dx.doi.org/10.53350/pjmhs211592651" display="http://dx.doi.org/10.53350/pjmhs211592651"/>
    <hyperlink ref="BT1055" r:id="rId_hyperlink_1838" tooltip="View Full Record in Web of Science" display="View Full Record in Web of Science"/>
    <hyperlink ref="BF1056" r:id="rId_hyperlink_1839" tooltip="http://dx.doi.org/10.13187/ejced.2021.3.726" display="http://dx.doi.org/10.13187/ejced.2021.3.726"/>
    <hyperlink ref="BT1056" r:id="rId_hyperlink_1840" tooltip="View Full Record in Web of Science" display="View Full Record in Web of Science"/>
    <hyperlink ref="BF1057" r:id="rId_hyperlink_1841" tooltip="http://dx.doi.org/10.1051/e3sconf/202021017027" display="http://dx.doi.org/10.1051/e3sconf/202021017027"/>
    <hyperlink ref="BT1057" r:id="rId_hyperlink_1842" tooltip="View Full Record in Web of Science" display="View Full Record in Web of Science"/>
    <hyperlink ref="BF1058" r:id="rId_hyperlink_1843" tooltip="http://dx.doi.org/10.1007/s11029-019-09824-x" display="http://dx.doi.org/10.1007/s11029-019-09824-x"/>
    <hyperlink ref="BT1058" r:id="rId_hyperlink_1844" tooltip="View Full Record in Web of Science" display="View Full Record in Web of Science"/>
    <hyperlink ref="BF1059" r:id="rId_hyperlink_1845" tooltip="http://dx.doi.org/10.1007/s11356-018-3375-2" display="http://dx.doi.org/10.1007/s11356-018-3375-2"/>
    <hyperlink ref="BT1059" r:id="rId_hyperlink_1846" tooltip="View Full Record in Web of Science" display="View Full Record in Web of Science"/>
    <hyperlink ref="BF1060" r:id="rId_hyperlink_1847" tooltip="http://dx.doi.org/10.1016/j.ijbiomac.2018.02.053" display="http://dx.doi.org/10.1016/j.ijbiomac.2018.02.053"/>
    <hyperlink ref="BT1060" r:id="rId_hyperlink_1848" tooltip="View Full Record in Web of Science" display="View Full Record in Web of Science"/>
    <hyperlink ref="BT1061" r:id="rId_hyperlink_1849" tooltip="View Full Record in Web of Science" display="View Full Record in Web of Science"/>
    <hyperlink ref="BF1062" r:id="rId_hyperlink_1850" tooltip="http://dx.doi.org/10.18721/JPM.11110" display="http://dx.doi.org/10.18721/JPM.11110"/>
    <hyperlink ref="BT1062" r:id="rId_hyperlink_1851" tooltip="View Full Record in Web of Science" display="View Full Record in Web of Science"/>
    <hyperlink ref="BF1063" r:id="rId_hyperlink_1852" tooltip="http://dx.doi.org/10.1007/s10517-016-3246-0" display="http://dx.doi.org/10.1007/s10517-016-3246-0"/>
    <hyperlink ref="BT1063" r:id="rId_hyperlink_1853" tooltip="View Full Record in Web of Science" display="View Full Record in Web of Science"/>
    <hyperlink ref="BF1064" r:id="rId_hyperlink_1854" tooltip="http://dx.doi.org/10.25750/1995-4301-2022-4-014-021" display="http://dx.doi.org/10.25750/1995-4301-2022-4-014-021"/>
    <hyperlink ref="BT1064" r:id="rId_hyperlink_1855" tooltip="View Full Record in Web of Science" display="View Full Record in Web of Science"/>
    <hyperlink ref="BF1065" r:id="rId_hyperlink_1856" tooltip="http://dx.doi.org/10.25750/1995-4301-2022-1-182-190" display="http://dx.doi.org/10.25750/1995-4301-2022-1-182-190"/>
    <hyperlink ref="BT1065" r:id="rId_hyperlink_1857" tooltip="View Full Record in Web of Science" display="View Full Record in Web of Science"/>
    <hyperlink ref="BF1066" r:id="rId_hyperlink_1858" tooltip="http://dx.doi.org/10.1007/s11029-020-09869-3" display="http://dx.doi.org/10.1007/s11029-020-09869-3"/>
    <hyperlink ref="BT1066" r:id="rId_hyperlink_1859" tooltip="View Full Record in Web of Science" display="View Full Record in Web of Science"/>
    <hyperlink ref="BF1067" r:id="rId_hyperlink_1860" tooltip="http://dx.doi.org/10.1134/S1070428022080139" display="http://dx.doi.org/10.1134/S1070428022080139"/>
    <hyperlink ref="BT1067" r:id="rId_hyperlink_1861" tooltip="View Full Record in Web of Science" display="View Full Record in Web of Science"/>
    <hyperlink ref="BF1068" r:id="rId_hyperlink_1862" tooltip="http://dx.doi.org/10.1007/s00249-022-01592-2" display="http://dx.doi.org/10.1007/s00249-022-01592-2"/>
    <hyperlink ref="BT1068" r:id="rId_hyperlink_1863" tooltip="View Full Record in Web of Science" display="View Full Record in Web of Science"/>
    <hyperlink ref="BF1069" r:id="rId_hyperlink_1864" tooltip="http://dx.doi.org/10.1007/s13632-020-00702-w" display="http://dx.doi.org/10.1007/s13632-020-00702-w"/>
    <hyperlink ref="BT1069" r:id="rId_hyperlink_1865" tooltip="View Full Record in Web of Science" display="View Full Record in Web of Science"/>
    <hyperlink ref="BF1070" r:id="rId_hyperlink_1866" tooltip="http://dx.doi.org/10.1051/e3sconf/202021010008" display="http://dx.doi.org/10.1051/e3sconf/202021010008"/>
    <hyperlink ref="BT1070" r:id="rId_hyperlink_1867" tooltip="View Full Record in Web of Science" display="View Full Record in Web of Science"/>
    <hyperlink ref="BF1071" r:id="rId_hyperlink_1868" tooltip="http://dx.doi.org/10.18083/LCAppl.2020.1.85" display="http://dx.doi.org/10.18083/LCAppl.2020.1.85"/>
    <hyperlink ref="BT1071" r:id="rId_hyperlink_1869" tooltip="View Full Record in Web of Science" display="View Full Record in Web of Science"/>
    <hyperlink ref="BF1072" r:id="rId_hyperlink_1870" tooltip="http://dx.doi.org/10.1088/1742-6596/1158/3/032044" display="http://dx.doi.org/10.1088/1742-6596/1158/3/032044"/>
    <hyperlink ref="BT1072" r:id="rId_hyperlink_1871" tooltip="View Full Record in Web of Science" display="View Full Record in Web of Science"/>
    <hyperlink ref="BF1073" r:id="rId_hyperlink_1872" tooltip="http://dx.doi.org/10.1088/1755-1315/90/1/012218" display="http://dx.doi.org/10.1088/1755-1315/90/1/012218"/>
    <hyperlink ref="BT1073" r:id="rId_hyperlink_1873" tooltip="View Full Record in Web of Science" display="View Full Record in Web of Science"/>
    <hyperlink ref="BF1074" r:id="rId_hyperlink_1874" tooltip="http://dx.doi.org/10.1088/1755-1315/90/1/012208" display="http://dx.doi.org/10.1088/1755-1315/90/1/012208"/>
    <hyperlink ref="BT1074" r:id="rId_hyperlink_1875" tooltip="View Full Record in Web of Science" display="View Full Record in Web of Science"/>
    <hyperlink ref="BF1075" r:id="rId_hyperlink_1876" tooltip="http://dx.doi.org/10.1515/POLYENG.2011.058" display="http://dx.doi.org/10.1515/POLYENG.2011.058"/>
    <hyperlink ref="BT1075" r:id="rId_hyperlink_1877" tooltip="View Full Record in Web of Science" display="View Full Record in Web of Science"/>
    <hyperlink ref="BF1076" r:id="rId_hyperlink_1878" tooltip="http://dx.doi.org/10.25750/1995-4301-2021-3-111-117" display="http://dx.doi.org/10.25750/1995-4301-2021-3-111-117"/>
    <hyperlink ref="BT1076" r:id="rId_hyperlink_1879" tooltip="View Full Record in Web of Science" display="View Full Record in Web of Science"/>
    <hyperlink ref="BT1077" r:id="rId_hyperlink_1880" tooltip="View Full Record in Web of Science" display="View Full Record in Web of Science"/>
    <hyperlink ref="BF1078" r:id="rId_hyperlink_1881" tooltip="http://dx.doi.org/10.25750/1995-4301-2020-1-042-046" display="http://dx.doi.org/10.25750/1995-4301-2020-1-042-046"/>
    <hyperlink ref="BT1078" r:id="rId_hyperlink_1882" tooltip="View Full Record in Web of Science" display="View Full Record in Web of Science"/>
    <hyperlink ref="BF1079" r:id="rId_hyperlink_1883" tooltip="http://dx.doi.org/10.1051/matecconf/201710608077" display="http://dx.doi.org/10.1051/matecconf/201710608077"/>
    <hyperlink ref="BT1079" r:id="rId_hyperlink_1884" tooltip="View Full Record in Web of Science" display="View Full Record in Web of Science"/>
    <hyperlink ref="BF1080" r:id="rId_hyperlink_1885" tooltip="http://dx.doi.org/10.1051/e3sconf/202021013036" display="http://dx.doi.org/10.1051/e3sconf/202021013036"/>
    <hyperlink ref="BT1080" r:id="rId_hyperlink_1886" tooltip="View Full Record in Web of Science" display="View Full Record in Web of Science"/>
    <hyperlink ref="BF1081" r:id="rId_hyperlink_1887" tooltip="http://dx.doi.org/10.12973/eurasia.2017.00727a" display="http://dx.doi.org/10.12973/eurasia.2017.00727a"/>
    <hyperlink ref="BT1081" r:id="rId_hyperlink_1888" tooltip="View Full Record in Web of Science" display="View Full Record in Web of Science"/>
    <hyperlink ref="BF1082" r:id="rId_hyperlink_1889" tooltip="http://dx.doi.org/10.1134/S0021894416040179" display="http://dx.doi.org/10.1134/S0021894416040179"/>
    <hyperlink ref="BT1082" r:id="rId_hyperlink_1890" tooltip="View Full Record in Web of Science" display="View Full Record in Web of Science"/>
    <hyperlink ref="BF1083" r:id="rId_hyperlink_1891" tooltip="http://dx.doi.org/10.1134/S1064229319100132" display="http://dx.doi.org/10.1134/S1064229319100132"/>
    <hyperlink ref="BT1083" r:id="rId_hyperlink_1892" tooltip="View Full Record in Web of Science" display="View Full Record in Web of Science"/>
    <hyperlink ref="BT1084" r:id="rId_hyperlink_1893" tooltip="View Full Record in Web of Science" display="View Full Record in Web of Science"/>
    <hyperlink ref="BF1085" r:id="rId_hyperlink_1894" tooltip="http://dx.doi.org/10.15298/rusjtheriol.16.2.05" display="http://dx.doi.org/10.15298/rusjtheriol.16.2.05"/>
    <hyperlink ref="BT1085" r:id="rId_hyperlink_1895" tooltip="View Full Record in Web of Science" display="View Full Record in Web of Science"/>
    <hyperlink ref="BF1086" r:id="rId_hyperlink_1896" tooltip="http://dx.doi.org/10.1088/1755-1315/90/1/012122" display="http://dx.doi.org/10.1088/1755-1315/90/1/012122"/>
    <hyperlink ref="BT1086" r:id="rId_hyperlink_1897" tooltip="View Full Record in Web of Science" display="View Full Record in Web of Science"/>
    <hyperlink ref="BF1087" r:id="rId_hyperlink_1898" tooltip="http://dx.doi.org/10.1134/S1062359020100179" display="http://dx.doi.org/10.1134/S1062359020100179"/>
    <hyperlink ref="BT1087" r:id="rId_hyperlink_1899" tooltip="View Full Record in Web of Science" display="View Full Record in Web of Science"/>
    <hyperlink ref="BF1088" r:id="rId_hyperlink_1900" tooltip="http://dx.doi.org/10.1080/13640461.2020.1822632" display="http://dx.doi.org/10.1080/13640461.2020.1822632"/>
    <hyperlink ref="BT1088" r:id="rId_hyperlink_1901" tooltip="View Full Record in Web of Science" display="View Full Record in Web of Science"/>
    <hyperlink ref="BF1089" r:id="rId_hyperlink_1902" tooltip="http://dx.doi.org/10.25750/1995-4301-2020-1-089-096" display="http://dx.doi.org/10.25750/1995-4301-2020-1-089-096"/>
    <hyperlink ref="BT1089" r:id="rId_hyperlink_1903" tooltip="View Full Record in Web of Science" display="View Full Record in Web of Science"/>
    <hyperlink ref="BF1090" r:id="rId_hyperlink_1904" tooltip="http://dx.doi.org/10.25750/1995-4301-2019-3-034-040" display="http://dx.doi.org/10.25750/1995-4301-2019-3-034-040"/>
    <hyperlink ref="BT1090" r:id="rId_hyperlink_1905" tooltip="View Full Record in Web of Science" display="View Full Record in Web of Science"/>
    <hyperlink ref="BF1091" r:id="rId_hyperlink_1906" tooltip="http://dx.doi.org/10.1134/S0005117913020069" display="http://dx.doi.org/10.1134/S0005117913020069"/>
    <hyperlink ref="BT1091" r:id="rId_hyperlink_1907" tooltip="View Full Record in Web of Science" display="View Full Record in Web of Science"/>
    <hyperlink ref="BT1092" r:id="rId_hyperlink_1908" tooltip="View Full Record in Web of Science" display="View Full Record in Web of Science"/>
    <hyperlink ref="BF1093" r:id="rId_hyperlink_1909" tooltip="http://dx.doi.org/10.1134/S0021894418030173" display="http://dx.doi.org/10.1134/S0021894418030173"/>
    <hyperlink ref="BT1093" r:id="rId_hyperlink_1910" tooltip="View Full Record in Web of Science" display="View Full Record in Web of Science"/>
    <hyperlink ref="BF1094" r:id="rId_hyperlink_1911" tooltip="http://dx.doi.org/10.1051/matecconf/201710608075" display="http://dx.doi.org/10.1051/matecconf/201710608075"/>
    <hyperlink ref="BT1094" r:id="rId_hyperlink_1912" tooltip="View Full Record in Web of Science" display="View Full Record in Web of Science"/>
    <hyperlink ref="BF1095" r:id="rId_hyperlink_1913" tooltip="http://dx.doi.org/10.15789/2220-7619-IAO-2007" display="http://dx.doi.org/10.15789/2220-7619-IAO-2007"/>
    <hyperlink ref="BT1095" r:id="rId_hyperlink_1914" tooltip="View Full Record in Web of Science" display="View Full Record in Web of Science"/>
    <hyperlink ref="BF1096" r:id="rId_hyperlink_1915" tooltip="http://dx.doi.org/10.1007/s11029-017-9673-9" display="http://dx.doi.org/10.1007/s11029-017-9673-9"/>
    <hyperlink ref="BT1096" r:id="rId_hyperlink_1916" tooltip="View Full Record in Web of Science" display="View Full Record in Web of Science"/>
    <hyperlink ref="BF1097" r:id="rId_hyperlink_1917" tooltip="http://dx.doi.org/10.1007/s11696-022-02234-9" display="http://dx.doi.org/10.1007/s11696-022-02234-9"/>
    <hyperlink ref="BT1097" r:id="rId_hyperlink_1918" tooltip="View Full Record in Web of Science" display="View Full Record in Web of Science"/>
    <hyperlink ref="BF1098" r:id="rId_hyperlink_1919" tooltip="http://dx.doi.org/10.25750/1995-4301-2020-2-117-122" display="http://dx.doi.org/10.25750/1995-4301-2020-2-117-122"/>
    <hyperlink ref="BT1098" r:id="rId_hyperlink_1920" tooltip="View Full Record in Web of Science" display="View Full Record in Web of Science"/>
    <hyperlink ref="BF1099" r:id="rId_hyperlink_1921" tooltip="http://dx.doi.org/10.1002/jbm.a.36721" display="http://dx.doi.org/10.1002/jbm.a.36721"/>
    <hyperlink ref="BT1099" r:id="rId_hyperlink_1922" tooltip="View Full Record in Web of Science" display="View Full Record in Web of Science"/>
    <hyperlink ref="BF1100" r:id="rId_hyperlink_1923" tooltip="http://dx.doi.org/10.1007/978-3-319-72613-7_11" display="http://dx.doi.org/10.1007/978-3-319-72613-7_11"/>
    <hyperlink ref="BT1100" r:id="rId_hyperlink_1924" tooltip="View Full Record in Web of Science" display="View Full Record in Web of Science"/>
    <hyperlink ref="BF1101" r:id="rId_hyperlink_1925" tooltip="http://dx.doi.org/10.1016/j.carbpol.2013.12.071" display="http://dx.doi.org/10.1016/j.carbpol.2013.12.071"/>
    <hyperlink ref="BT1101" r:id="rId_hyperlink_1926" tooltip="View Full Record in Web of Science" display="View Full Record in Web of Science"/>
    <hyperlink ref="BF1102" r:id="rId_hyperlink_1927" tooltip="http://dx.doi.org/10.25750/1995-4301-2022-1-084-090" display="http://dx.doi.org/10.25750/1995-4301-2022-1-084-090"/>
    <hyperlink ref="BT1102" r:id="rId_hyperlink_1928" tooltip="View Full Record in Web of Science" display="View Full Record in Web of Science"/>
    <hyperlink ref="BF1103" r:id="rId_hyperlink_1929" tooltip="http://dx.doi.org/10.17223/15617793/462/31" display="http://dx.doi.org/10.17223/15617793/462/31"/>
    <hyperlink ref="BT1103" r:id="rId_hyperlink_1930" tooltip="View Full Record in Web of Science" display="View Full Record in Web of Science"/>
    <hyperlink ref="BF1104" r:id="rId_hyperlink_1931" tooltip="http://dx.doi.org/10.25750/1995-4301-2018-2-101/2-107/1" display="http://dx.doi.org/10.25750/1995-4301-2018-2-101/2-107/1"/>
    <hyperlink ref="BT1104" r:id="rId_hyperlink_1932" tooltip="View Full Record in Web of Science" display="View Full Record in Web of Science"/>
    <hyperlink ref="BF1105" r:id="rId_hyperlink_1933" tooltip="http://dx.doi.org/10.1007/s10965-022-03042-1" display="http://dx.doi.org/10.1007/s10965-022-03042-1"/>
    <hyperlink ref="BT1105" r:id="rId_hyperlink_1934" tooltip="View Full Record in Web of Science" display="View Full Record in Web of Science"/>
    <hyperlink ref="BT1106" r:id="rId_hyperlink_1935" tooltip="View Full Record in Web of Science" display="View Full Record in Web of Science"/>
    <hyperlink ref="BF1107" r:id="rId_hyperlink_1936" tooltip="http://dx.doi.org/10.1134/S0021894417030178" display="http://dx.doi.org/10.1134/S0021894417030178"/>
    <hyperlink ref="BT1107" r:id="rId_hyperlink_1937" tooltip="View Full Record in Web of Science" display="View Full Record in Web of Science"/>
    <hyperlink ref="BF1108" r:id="rId_hyperlink_1938" tooltip="http://dx.doi.org/10.13187/ejced.2021.3.638" display="http://dx.doi.org/10.13187/ejced.2021.3.638"/>
    <hyperlink ref="BT1108" r:id="rId_hyperlink_1939" tooltip="View Full Record in Web of Science" display="View Full Record in Web of Science"/>
    <hyperlink ref="BF1109" r:id="rId_hyperlink_1940" tooltip="http://dx.doi.org/10.1063/5.0003363" display="http://dx.doi.org/10.1063/5.0003363"/>
    <hyperlink ref="BT1109" r:id="rId_hyperlink_1941" tooltip="View Full Record in Web of Science" display="View Full Record in Web of Science"/>
    <hyperlink ref="BF1110" r:id="rId_hyperlink_1942" tooltip="http://dx.doi.org/10.1016/j.ijbiomac.2018.11.081" display="http://dx.doi.org/10.1016/j.ijbiomac.2018.11.081"/>
    <hyperlink ref="BT1110" r:id="rId_hyperlink_1943" tooltip="View Full Record in Web of Science" display="View Full Record in Web of Science"/>
    <hyperlink ref="BT1111" r:id="rId_hyperlink_1944" tooltip="View Full Record in Web of Science" display="View Full Record in Web of Science"/>
    <hyperlink ref="BF1112" r:id="rId_hyperlink_1945" tooltip="http://dx.doi.org/10.25750/1995-4301-2022-3-082-089" display="http://dx.doi.org/10.25750/1995-4301-2022-3-082-089"/>
    <hyperlink ref="BT1112" r:id="rId_hyperlink_1946" tooltip="View Full Record in Web of Science" display="View Full Record in Web of Science"/>
    <hyperlink ref="BF1113" r:id="rId_hyperlink_1947" tooltip="http://dx.doi.org/10.25750/1995-4301-2021-2-081-088" display="http://dx.doi.org/10.25750/1995-4301-2021-2-081-088"/>
    <hyperlink ref="BT1113" r:id="rId_hyperlink_1948" tooltip="View Full Record in Web of Science" display="View Full Record in Web of Science"/>
    <hyperlink ref="BF1114" r:id="rId_hyperlink_1949" tooltip="http://dx.doi.org/10.25750/1995-4301-2021-3-060-065" display="http://dx.doi.org/10.25750/1995-4301-2021-3-060-065"/>
    <hyperlink ref="BT1114" r:id="rId_hyperlink_1950" tooltip="View Full Record in Web of Science" display="View Full Record in Web of Science"/>
    <hyperlink ref="BF1115" r:id="rId_hyperlink_1951" tooltip="http://dx.doi.org/10.25750/1995-4301-2020-3-176-181" display="http://dx.doi.org/10.25750/1995-4301-2020-3-176-181"/>
    <hyperlink ref="BT1115" r:id="rId_hyperlink_1952" tooltip="View Full Record in Web of Science" display="View Full Record in Web of Science"/>
    <hyperlink ref="BF1116" r:id="rId_hyperlink_1953" tooltip="http://dx.doi.org/10.25750/1995-4301-2019-4-015-023" display="http://dx.doi.org/10.25750/1995-4301-2019-4-015-023"/>
    <hyperlink ref="BT1116" r:id="rId_hyperlink_1954" tooltip="View Full Record in Web of Science" display="View Full Record in Web of Science"/>
    <hyperlink ref="BF1117" r:id="rId_hyperlink_1955" tooltip="http://dx.doi.org/10.1007/978-3-319-60696-5_62" display="http://dx.doi.org/10.1007/978-3-319-60696-5_62"/>
    <hyperlink ref="BT1117" r:id="rId_hyperlink_1956" tooltip="View Full Record in Web of Science" display="View Full Record in Web of Science"/>
    <hyperlink ref="BF1118" r:id="rId_hyperlink_1957" tooltip="http://dx.doi.org/10.1088/1755-1315/90/1/012126" display="http://dx.doi.org/10.1088/1755-1315/90/1/012126"/>
    <hyperlink ref="BT1118" r:id="rId_hyperlink_1958" tooltip="View Full Record in Web of Science" display="View Full Record in Web of Science"/>
    <hyperlink ref="BF1119" r:id="rId_hyperlink_1959" tooltip="http://dx.doi.org/10.13187/ejced.2022.2.432" display="http://dx.doi.org/10.13187/ejced.2022.2.432"/>
    <hyperlink ref="BT1119" r:id="rId_hyperlink_1960" tooltip="View Full Record in Web of Science" display="View Full Record in Web of Science"/>
    <hyperlink ref="BF1120" r:id="rId_hyperlink_1961" tooltip="http://dx.doi.org/10.51847/iCBtjlcQyD" display="http://dx.doi.org/10.51847/iCBtjlcQyD"/>
    <hyperlink ref="BT1120" r:id="rId_hyperlink_1962" tooltip="View Full Record in Web of Science" display="View Full Record in Web of Science"/>
    <hyperlink ref="BF1121" r:id="rId_hyperlink_1963" tooltip="http://dx.doi.org/10.25750/1995-4301-2021-1-079-084" display="http://dx.doi.org/10.25750/1995-4301-2021-1-079-084"/>
    <hyperlink ref="BT1121" r:id="rId_hyperlink_1964" tooltip="View Full Record in Web of Science" display="View Full Record in Web of Science"/>
    <hyperlink ref="BF1122" r:id="rId_hyperlink_1965" tooltip="http://dx.doi.org/10.25750/1995-4301-2021-1-022-029" display="http://dx.doi.org/10.25750/1995-4301-2021-1-022-029"/>
    <hyperlink ref="BT1122" r:id="rId_hyperlink_1966" tooltip="View Full Record in Web of Science" display="View Full Record in Web of Science"/>
    <hyperlink ref="BF1123" r:id="rId_hyperlink_1967" tooltip="http://dx.doi.org/10.1016/j.ijbiomac.2020.07.189" display="http://dx.doi.org/10.1016/j.ijbiomac.2020.07.189"/>
    <hyperlink ref="BT1123" r:id="rId_hyperlink_1968" tooltip="View Full Record in Web of Science" display="View Full Record in Web of Science"/>
    <hyperlink ref="BF1124" r:id="rId_hyperlink_1969" tooltip="http://dx.doi.org/10.25750/1995-4301-2020-1-151-159" display="http://dx.doi.org/10.25750/1995-4301-2020-1-151-159"/>
    <hyperlink ref="BT1124" r:id="rId_hyperlink_1970" tooltip="View Full Record in Web of Science" display="View Full Record in Web of Science"/>
    <hyperlink ref="BF1125" r:id="rId_hyperlink_1971" tooltip="http://dx.doi.org/10.1016/j.heliyon.2019.e01202" display="http://dx.doi.org/10.1016/j.heliyon.2019.e01202"/>
    <hyperlink ref="BT1125" r:id="rId_hyperlink_1972" tooltip="View Full Record in Web of Science" display="View Full Record in Web of Science"/>
    <hyperlink ref="BF1126" r:id="rId_hyperlink_1973" tooltip="http://dx.doi.org/10.25750/1995-4301-2021-3-038-043" display="http://dx.doi.org/10.25750/1995-4301-2021-3-038-043"/>
    <hyperlink ref="BT1126" r:id="rId_hyperlink_1974" tooltip="View Full Record in Web of Science" display="View Full Record in Web of Science"/>
    <hyperlink ref="BF1127" r:id="rId_hyperlink_1975" tooltip="http://dx.doi.org/10.1007/s12033-019-00202-5" display="http://dx.doi.org/10.1007/s12033-019-00202-5"/>
    <hyperlink ref="BT1127" r:id="rId_hyperlink_1976" tooltip="View Full Record in Web of Science" display="View Full Record in Web of Science"/>
    <hyperlink ref="BT1128" r:id="rId_hyperlink_1977" tooltip="View Full Record in Web of Science" display="View Full Record in Web of Science"/>
    <hyperlink ref="BF1129" r:id="rId_hyperlink_1978" tooltip="http://dx.doi.org/10.3390/cryst12030419" display="http://dx.doi.org/10.3390/cryst12030419"/>
    <hyperlink ref="BT1129" r:id="rId_hyperlink_1979" tooltip="View Full Record in Web of Science" display="View Full Record in Web of Science"/>
    <hyperlink ref="BF1130" r:id="rId_hyperlink_1980" tooltip="http://dx.doi.org/10.53350/pjmhs2115123458" display="http://dx.doi.org/10.53350/pjmhs2115123458"/>
    <hyperlink ref="BT1130" r:id="rId_hyperlink_1981" tooltip="View Full Record in Web of Science" display="View Full Record in Web of Science"/>
    <hyperlink ref="BF1131" r:id="rId_hyperlink_1982" tooltip="http://dx.doi.org/10.1016/j.ijbiomac.2020.08.024" display="http://dx.doi.org/10.1016/j.ijbiomac.2020.08.024"/>
    <hyperlink ref="BT1131" r:id="rId_hyperlink_1983" tooltip="View Full Record in Web of Science" display="View Full Record in Web of Science"/>
    <hyperlink ref="BF1132" r:id="rId_hyperlink_1984" tooltip="http://dx.doi.org/10.3103/S1066369X20060079" display="http://dx.doi.org/10.3103/S1066369X20060079"/>
    <hyperlink ref="BT1132" r:id="rId_hyperlink_1985" tooltip="View Full Record in Web of Science" display="View Full Record in Web of Science"/>
    <hyperlink ref="BF1133" r:id="rId_hyperlink_1986" tooltip="http://dx.doi.org/10.3390/plants8060172" display="http://dx.doi.org/10.3390/plants8060172"/>
    <hyperlink ref="BT1133" r:id="rId_hyperlink_1987" tooltip="View Full Record in Web of Science" display="View Full Record in Web of Science"/>
    <hyperlink ref="BF1134" r:id="rId_hyperlink_1988" tooltip="http://dx.doi.org/10.1016/j.carbpol.2018.10.053" display="http://dx.doi.org/10.1016/j.carbpol.2018.10.053"/>
    <hyperlink ref="BT1134" r:id="rId_hyperlink_1989" tooltip="View Full Record in Web of Science" display="View Full Record in Web of Science"/>
    <hyperlink ref="BF1135" r:id="rId_hyperlink_1990" tooltip="http://dx.doi.org/10.3390/risks9120212" display="http://dx.doi.org/10.3390/risks9120212"/>
    <hyperlink ref="BT1135" r:id="rId_hyperlink_1991" tooltip="View Full Record in Web of Science" display="View Full Record in Web of Science"/>
    <hyperlink ref="BF1136" r:id="rId_hyperlink_1992" tooltip="http://dx.doi.org/10.25750/1995-4301-2021-4-174-180" display="http://dx.doi.org/10.25750/1995-4301-2021-4-174-180"/>
    <hyperlink ref="BT1136" r:id="rId_hyperlink_1993" tooltip="View Full Record in Web of Science" display="View Full Record in Web of Science"/>
    <hyperlink ref="BF1137" r:id="rId_hyperlink_1994" tooltip="http://dx.doi.org/10.1134/S0021894420040148" display="http://dx.doi.org/10.1134/S0021894420040148"/>
    <hyperlink ref="BT1137" r:id="rId_hyperlink_1995" tooltip="View Full Record in Web of Science" display="View Full Record in Web of Science"/>
    <hyperlink ref="BF1138" r:id="rId_hyperlink_1996" tooltip="http://dx.doi.org/10.25750/1995-4301-2020-1-160-166" display="http://dx.doi.org/10.25750/1995-4301-2020-1-160-166"/>
    <hyperlink ref="BT1138" r:id="rId_hyperlink_1997" tooltip="View Full Record in Web of Science" display="View Full Record in Web of Science"/>
    <hyperlink ref="BF1139" r:id="rId_hyperlink_1998" tooltip="http://dx.doi.org/10.15405/epsbs.2019.12.15" display="http://dx.doi.org/10.15405/epsbs.2019.12.15"/>
    <hyperlink ref="BT1139" r:id="rId_hyperlink_1999" tooltip="View Full Record in Web of Science" display="View Full Record in Web of Science"/>
    <hyperlink ref="BF1140" r:id="rId_hyperlink_2000" tooltip="http://dx.doi.org/10.1134/S0021894423020153" display="http://dx.doi.org/10.1134/S0021894423020153"/>
    <hyperlink ref="BT1140" r:id="rId_hyperlink_2001" tooltip="View Full Record in Web of Science" display="View Full Record in Web of Science"/>
    <hyperlink ref="BF1141" r:id="rId_hyperlink_2002" tooltip="http://dx.doi.org/10.17223/15617793/442/30" display="http://dx.doi.org/10.17223/15617793/442/30"/>
    <hyperlink ref="BT1141" r:id="rId_hyperlink_2003" tooltip="View Full Record in Web of Science" display="View Full Record in Web of Science"/>
    <hyperlink ref="BF1142" r:id="rId_hyperlink_2004" tooltip="http://dx.doi.org/10.1051/e3sconf/201911002152" display="http://dx.doi.org/10.1051/e3sconf/201911002152"/>
    <hyperlink ref="BT1142" r:id="rId_hyperlink_2005" tooltip="View Full Record in Web of Science" display="View Full Record in Web of Science"/>
    <hyperlink ref="BF1143" r:id="rId_hyperlink_2006" tooltip="http://dx.doi.org/10.1007/s10517-018-4180-0" display="http://dx.doi.org/10.1007/s10517-018-4180-0"/>
    <hyperlink ref="BT1143" r:id="rId_hyperlink_2007" tooltip="View Full Record in Web of Science" display="View Full Record in Web of Science"/>
    <hyperlink ref="BF1144" r:id="rId_hyperlink_2008" tooltip="http://dx.doi.org/10.1051/matecconf/201817001046" display="http://dx.doi.org/10.1051/matecconf/201817001046"/>
    <hyperlink ref="BT1144" r:id="rId_hyperlink_2009" tooltip="View Full Record in Web of Science" display="View Full Record in Web of Science"/>
    <hyperlink ref="BF1145" r:id="rId_hyperlink_2010" tooltip="http://dx.doi.org/10.22616/ERDev.2020.19.TF334" display="http://dx.doi.org/10.22616/ERDev.2020.19.TF334"/>
    <hyperlink ref="BT1145" r:id="rId_hyperlink_2011" tooltip="View Full Record in Web of Science" display="View Full Record in Web of Science"/>
    <hyperlink ref="BF1146" r:id="rId_hyperlink_2012" tooltip="http://dx.doi.org/10.1016/j.ijbiomac.2018.07.078" display="http://dx.doi.org/10.1016/j.ijbiomac.2018.07.078"/>
    <hyperlink ref="BT1146" r:id="rId_hyperlink_2013" tooltip="View Full Record in Web of Science" display="View Full Record in Web of Science"/>
    <hyperlink ref="BF1147" r:id="rId_hyperlink_2014" tooltip="http://dx.doi.org/10.15405/epsbs.2017.08.2" display="http://dx.doi.org/10.15405/epsbs.2017.08.2"/>
    <hyperlink ref="BT1147" r:id="rId_hyperlink_2015" tooltip="View Full Record in Web of Science" display="View Full Record in Web of Science"/>
    <hyperlink ref="BF1148" r:id="rId_hyperlink_2016" tooltip="http://dx.doi.org/10.1007/978-981-16-8806-5_2" display="http://dx.doi.org/10.1007/978-981-16-8806-5_2"/>
    <hyperlink ref="BT1148" r:id="rId_hyperlink_2017" tooltip="View Full Record in Web of Science" display="View Full Record in Web of Science"/>
    <hyperlink ref="BF1149" r:id="rId_hyperlink_2018" tooltip="http://dx.doi.org/10.1051/bioconf/20201700118" display="http://dx.doi.org/10.1051/bioconf/20201700118"/>
    <hyperlink ref="BT1149" r:id="rId_hyperlink_2019" tooltip="View Full Record in Web of Science" display="View Full Record in Web of Science"/>
    <hyperlink ref="BF1150" r:id="rId_hyperlink_2020" tooltip="http://dx.doi.org/10.22616/ERDev2017.16.N269" display="http://dx.doi.org/10.22616/ERDev2017.16.N269"/>
    <hyperlink ref="BT1150" r:id="rId_hyperlink_2021" tooltip="View Full Record in Web of Science" display="View Full Record in Web of Science"/>
    <hyperlink ref="BF1151" r:id="rId_hyperlink_2022" tooltip="http://dx.doi.org/10.1134/S1068162012070242" display="http://dx.doi.org/10.1134/S1068162012070242"/>
    <hyperlink ref="BT1151" r:id="rId_hyperlink_2023" tooltip="View Full Record in Web of Science" display="View Full Record in Web of Science"/>
    <hyperlink ref="BF1152" r:id="rId_hyperlink_2024" tooltip="http://dx.doi.org/10.13187/ejced.2021.4.943" display="http://dx.doi.org/10.13187/ejced.2021.4.943"/>
    <hyperlink ref="BT1152" r:id="rId_hyperlink_2025" tooltip="View Full Record in Web of Science" display="View Full Record in Web of Science"/>
    <hyperlink ref="BF1153" r:id="rId_hyperlink_2026" tooltip="http://dx.doi.org/10.25750/1995-4301-2021-2-107-114" display="http://dx.doi.org/10.25750/1995-4301-2021-2-107-114"/>
    <hyperlink ref="BT1153" r:id="rId_hyperlink_2027" tooltip="View Full Record in Web of Science" display="View Full Record in Web of Science"/>
    <hyperlink ref="BF1154" r:id="rId_hyperlink_2028" tooltip="http://dx.doi.org/10.25750/1995-4301-2020-3-036-040" display="http://dx.doi.org/10.25750/1995-4301-2020-3-036-040"/>
    <hyperlink ref="BT1154" r:id="rId_hyperlink_2029" tooltip="View Full Record in Web of Science" display="View Full Record in Web of Science"/>
    <hyperlink ref="BF1155" r:id="rId_hyperlink_2030" tooltip="http://dx.doi.org/10.1016/j.ijbiomac.2019.07.122" display="http://dx.doi.org/10.1016/j.ijbiomac.2019.07.122"/>
    <hyperlink ref="BT1155" r:id="rId_hyperlink_2031" tooltip="View Full Record in Web of Science" display="View Full Record in Web of Science"/>
    <hyperlink ref="BF1156" r:id="rId_hyperlink_2032" tooltip="http://dx.doi.org/10.1016/j.carbpol.2019.03.087" display="http://dx.doi.org/10.1016/j.carbpol.2019.03.087"/>
    <hyperlink ref="BT1156" r:id="rId_hyperlink_2033" tooltip="View Full Record in Web of Science" display="View Full Record in Web of Science"/>
    <hyperlink ref="BF1157" r:id="rId_hyperlink_2034" tooltip="http://dx.doi.org/10.25750/1995-4301-2019-2-039-043" display="http://dx.doi.org/10.25750/1995-4301-2019-2-039-043"/>
    <hyperlink ref="BT1157" r:id="rId_hyperlink_2035" tooltip="View Full Record in Web of Science" display="View Full Record in Web of Science"/>
    <hyperlink ref="BF1158" r:id="rId_hyperlink_2036" tooltip="http://dx.doi.org/10.25750/1995-4301-2018-2-035-037" display="http://dx.doi.org/10.25750/1995-4301-2018-2-035-037"/>
    <hyperlink ref="BT1158" r:id="rId_hyperlink_2037" tooltip="View Full Record in Web of Science" display="View Full Record in Web of Science"/>
    <hyperlink ref="BF1159" r:id="rId_hyperlink_2038" tooltip="http://dx.doi.org/10.1002/jbm.a.36116" display="http://dx.doi.org/10.1002/jbm.a.36116"/>
    <hyperlink ref="BT1159" r:id="rId_hyperlink_2039" tooltip="View Full Record in Web of Science" display="View Full Record in Web of Science"/>
    <hyperlink ref="BF1160" r:id="rId_hyperlink_2040" tooltip="http://dx.doi.org/10.12973/eurasia.2017.00719a" display="http://dx.doi.org/10.12973/eurasia.2017.00719a"/>
    <hyperlink ref="BT1160" r:id="rId_hyperlink_2041" tooltip="View Full Record in Web of Science" display="View Full Record in Web of Science"/>
    <hyperlink ref="BF1161" r:id="rId_hyperlink_2042" tooltip="http://dx.doi.org/10.1134/S1068162014020162" display="http://dx.doi.org/10.1134/S1068162014020162"/>
    <hyperlink ref="BT1161" r:id="rId_hyperlink_2043" tooltip="View Full Record in Web of Science" display="View Full Record in Web of Science"/>
    <hyperlink ref="BF1162" r:id="rId_hyperlink_2044" tooltip="http://dx.doi.org/10.1134/S0026261710060263" display="http://dx.doi.org/10.1134/S0026261710060263"/>
    <hyperlink ref="BT1162" r:id="rId_hyperlink_2045" tooltip="View Full Record in Web of Science" display="View Full Record in Web of Science"/>
    <hyperlink ref="BF1163" r:id="rId_hyperlink_2046" tooltip="http://dx.doi.org/10.1016/j.mtcomm.2022.104986" display="http://dx.doi.org/10.1016/j.mtcomm.2022.104986"/>
    <hyperlink ref="BT1163" r:id="rId_hyperlink_2047" tooltip="View Full Record in Web of Science" display="View Full Record in Web of Science"/>
    <hyperlink ref="BF1164" r:id="rId_hyperlink_2048" tooltip="http://dx.doi.org/10.1134/S1068162021040099" display="http://dx.doi.org/10.1134/S1068162021040099"/>
    <hyperlink ref="BT1164" r:id="rId_hyperlink_2049" tooltip="View Full Record in Web of Science" display="View Full Record in Web of Science"/>
    <hyperlink ref="BF1165" r:id="rId_hyperlink_2050" tooltip="http://dx.doi.org/10.25750/1995-4301-2021-4-218-223" display="http://dx.doi.org/10.25750/1995-4301-2021-4-218-223"/>
    <hyperlink ref="BT1165" r:id="rId_hyperlink_2051" tooltip="View Full Record in Web of Science" display="View Full Record in Web of Science"/>
    <hyperlink ref="BF1166" r:id="rId_hyperlink_2052" tooltip="http://dx.doi.org/10.1016/j.ijbiomac.2020.04.055" display="http://dx.doi.org/10.1016/j.ijbiomac.2020.04.055"/>
    <hyperlink ref="BT1166" r:id="rId_hyperlink_2053" tooltip="View Full Record in Web of Science" display="View Full Record in Web of Science"/>
    <hyperlink ref="BF1167" r:id="rId_hyperlink_2054" tooltip="http://dx.doi.org/10.1016/j.scitotenv.2020.137920" display="http://dx.doi.org/10.1016/j.scitotenv.2020.137920"/>
    <hyperlink ref="BT1167" r:id="rId_hyperlink_2055" tooltip="View Full Record in Web of Science" display="View Full Record in Web of Science"/>
    <hyperlink ref="BF1168" r:id="rId_hyperlink_2056" tooltip="http://dx.doi.org/10.25750/1995-4301-2019-2-044-052" display="http://dx.doi.org/10.25750/1995-4301-2019-2-044-052"/>
    <hyperlink ref="BT1168" r:id="rId_hyperlink_2057" tooltip="View Full Record in Web of Science" display="View Full Record in Web of Science"/>
    <hyperlink ref="BF1169" r:id="rId_hyperlink_2058" tooltip="http://dx.doi.org/10.24874/IJQR13.04-12" display="http://dx.doi.org/10.24874/IJQR13.04-12"/>
    <hyperlink ref="BT1169" r:id="rId_hyperlink_2059" tooltip="View Full Record in Web of Science" display="View Full Record in Web of Science"/>
    <hyperlink ref="BF1170" r:id="rId_hyperlink_2060" tooltip="http://dx.doi.org/10.25750/1995-4301-2019-1-102-110" display="http://dx.doi.org/10.25750/1995-4301-2019-1-102-110"/>
    <hyperlink ref="BT1170" r:id="rId_hyperlink_2061" tooltip="View Full Record in Web of Science" display="View Full Record in Web of Science"/>
    <hyperlink ref="BF1171" r:id="rId_hyperlink_2062" tooltip="http://dx.doi.org/10.12973/eurasia.2017.00743a" display="http://dx.doi.org/10.12973/eurasia.2017.00743a"/>
    <hyperlink ref="BT1171" r:id="rId_hyperlink_2063" tooltip="View Full Record in Web of Science" display="View Full Record in Web of Science"/>
    <hyperlink ref="BF1172" r:id="rId_hyperlink_2064" tooltip="http://dx.doi.org/10.5750/1995-4301-2022-2-209-215" display="http://dx.doi.org/10.5750/1995-4301-2022-2-209-215"/>
    <hyperlink ref="BT1172" r:id="rId_hyperlink_2065" tooltip="View Full Record in Web of Science" display="View Full Record in Web of Science"/>
    <hyperlink ref="BF1173" r:id="rId_hyperlink_2066" tooltip="http://dx.doi.org/10.1016/j.indcrop.2021.114382" display="http://dx.doi.org/10.1016/j.indcrop.2021.114382"/>
    <hyperlink ref="BT1173" r:id="rId_hyperlink_2067" tooltip="View Full Record in Web of Science" display="View Full Record in Web of Science"/>
    <hyperlink ref="BF1174" r:id="rId_hyperlink_2068" tooltip="http://dx.doi.org/10.1109/ElConRus51938.2021.9396276" display="http://dx.doi.org/10.1109/ElConRus51938.2021.9396276"/>
    <hyperlink ref="BT1174" r:id="rId_hyperlink_2069" tooltip="View Full Record in Web of Science" display="View Full Record in Web of Science"/>
    <hyperlink ref="BF1175" r:id="rId_hyperlink_2070" tooltip="http://dx.doi.org/10.51847/oCGvk8tmjd" display="http://dx.doi.org/10.51847/oCGvk8tmjd"/>
    <hyperlink ref="BT1175" r:id="rId_hyperlink_2071" tooltip="View Full Record in Web of Science" display="View Full Record in Web of Science"/>
    <hyperlink ref="BF1176" r:id="rId_hyperlink_2072" tooltip="http://dx.doi.org/10.1016/j.matchar.2020.110537" display="http://dx.doi.org/10.1016/j.matchar.2020.110537"/>
    <hyperlink ref="BT1176" r:id="rId_hyperlink_2073" tooltip="View Full Record in Web of Science" display="View Full Record in Web of Science"/>
    <hyperlink ref="BT1177" r:id="rId_hyperlink_2074" tooltip="View Full Record in Web of Science" display="View Full Record in Web of Science"/>
    <hyperlink ref="BF1178" r:id="rId_hyperlink_2075" tooltip="http://dx.doi.org/10.25750/1995-4301-2020-3-041-045" display="http://dx.doi.org/10.25750/1995-4301-2020-3-041-045"/>
    <hyperlink ref="BT1178" r:id="rId_hyperlink_2076" tooltip="View Full Record in Web of Science" display="View Full Record in Web of Science"/>
    <hyperlink ref="BF1179" r:id="rId_hyperlink_2077" tooltip="http://dx.doi.org/10.21638/spbu14.2018.404" display="http://dx.doi.org/10.21638/spbu14.2018.404"/>
    <hyperlink ref="BT1179" r:id="rId_hyperlink_2078" tooltip="View Full Record in Web of Science" display="View Full Record in Web of Science"/>
    <hyperlink ref="BF1180" r:id="rId_hyperlink_2079" tooltip="http://dx.doi.org/10.13187/ejced.2022.3.817" display="http://dx.doi.org/10.13187/ejced.2022.3.817"/>
    <hyperlink ref="BT1180" r:id="rId_hyperlink_2080" tooltip="View Full Record in Web of Science" display="View Full Record in Web of Science"/>
    <hyperlink ref="BF1181" r:id="rId_hyperlink_2081" tooltip="http://dx.doi.org/10.25750/1995-4301-2021-1-104-111" display="http://dx.doi.org/10.25750/1995-4301-2021-1-104-111"/>
    <hyperlink ref="BT1181" r:id="rId_hyperlink_2082" tooltip="View Full Record in Web of Science" display="View Full Record in Web of Science"/>
    <hyperlink ref="BT1182" r:id="rId_hyperlink_2083" tooltip="View Full Record in Web of Science" display="View Full Record in Web of Science"/>
    <hyperlink ref="BF1183" r:id="rId_hyperlink_2084" tooltip="http://dx.doi.org/10.15211/soveurope5201898109" display="http://dx.doi.org/10.15211/soveurope5201898109"/>
    <hyperlink ref="BT1183" r:id="rId_hyperlink_2085" tooltip="View Full Record in Web of Science" display="View Full Record in Web of Science"/>
    <hyperlink ref="BF1184" r:id="rId_hyperlink_2086" tooltip="http://dx.doi.org/10.12973/eurasia.2017.01217a" display="http://dx.doi.org/10.12973/eurasia.2017.01217a"/>
    <hyperlink ref="BT1184" r:id="rId_hyperlink_2087" tooltip="View Full Record in Web of Science" display="View Full Record in Web of Science"/>
    <hyperlink ref="BF1185" r:id="rId_hyperlink_2088" tooltip="http://dx.doi.org/10.1051/matecconf/201710608074" display="http://dx.doi.org/10.1051/matecconf/201710608074"/>
    <hyperlink ref="BT1185" r:id="rId_hyperlink_2089" tooltip="View Full Record in Web of Science" display="View Full Record in Web of Science"/>
    <hyperlink ref="BF1186" r:id="rId_hyperlink_2090" tooltip="http://dx.doi.org/10.3103/S0891416815020032" display="http://dx.doi.org/10.3103/S0891416815020032"/>
    <hyperlink ref="BT1186" r:id="rId_hyperlink_2091" tooltip="View Full Record in Web of Science" display="View Full Record in Web of Science"/>
    <hyperlink ref="BF1187" r:id="rId_hyperlink_2092" tooltip="http://dx.doi.org/10.1134/S1070428023010074" display="http://dx.doi.org/10.1134/S1070428023010074"/>
    <hyperlink ref="BT1187" r:id="rId_hyperlink_2093" tooltip="View Full Record in Web of Science" display="View Full Record in Web of Science"/>
    <hyperlink ref="BF1188" r:id="rId_hyperlink_2094" tooltip="http://dx.doi.org/10.1016/j.ssi.2021.115850" display="http://dx.doi.org/10.1016/j.ssi.2021.115850"/>
    <hyperlink ref="BT1188" r:id="rId_hyperlink_2095" tooltip="View Full Record in Web of Science" display="View Full Record in Web of Science"/>
    <hyperlink ref="BF1189" r:id="rId_hyperlink_2096" tooltip="http://dx.doi.org/10.25750/1995-4301-2022-2-035-041" display="http://dx.doi.org/10.25750/1995-4301-2022-2-035-041"/>
    <hyperlink ref="BT1189" r:id="rId_hyperlink_2097" tooltip="View Full Record in Web of Science" display="View Full Record in Web of Science"/>
    <hyperlink ref="BF1190" r:id="rId_hyperlink_2098" tooltip="http://dx.doi.org/10.1016/j.mtla.2020.100981" display="http://dx.doi.org/10.1016/j.mtla.2020.100981"/>
    <hyperlink ref="BT1190" r:id="rId_hyperlink_2099" tooltip="View Full Record in Web of Science" display="View Full Record in Web of Science"/>
    <hyperlink ref="BT1191" r:id="rId_hyperlink_2100" tooltip="View Full Record in Web of Science" display="View Full Record in Web of Science"/>
    <hyperlink ref="BF1192" r:id="rId_hyperlink_2101" tooltip="http://dx.doi.org/10.1134/S1067413613030144" display="http://dx.doi.org/10.1134/S1067413613030144"/>
    <hyperlink ref="BT1192" r:id="rId_hyperlink_2102" tooltip="View Full Record in Web of Science" display="View Full Record in Web of Science"/>
    <hyperlink ref="BF1193" r:id="rId_hyperlink_2103" tooltip="http://dx.doi.org/10.25750/1995-4301-2022-1-198-204" display="http://dx.doi.org/10.25750/1995-4301-2022-1-198-204"/>
    <hyperlink ref="BT1193" r:id="rId_hyperlink_2104" tooltip="View Full Record in Web of Science" display="View Full Record in Web of Science"/>
    <hyperlink ref="BF1194" r:id="rId_hyperlink_2105" tooltip="http://dx.doi.org/10.25750/1995-4301-2021-2-013-021" display="http://dx.doi.org/10.25750/1995-4301-2021-2-013-021"/>
    <hyperlink ref="BT1194" r:id="rId_hyperlink_2106" tooltip="View Full Record in Web of Science" display="View Full Record in Web of Science"/>
    <hyperlink ref="BF1195" r:id="rId_hyperlink_2107" tooltip="http://dx.doi.org/10.1109/ElConRus51938.2021.9396694" display="http://dx.doi.org/10.1109/ElConRus51938.2021.9396694"/>
    <hyperlink ref="BT1195" r:id="rId_hyperlink_2108" tooltip="View Full Record in Web of Science" display="View Full Record in Web of Science"/>
    <hyperlink ref="BF1196" r:id="rId_hyperlink_2109" tooltip="http://dx.doi.org/10.25750/1995-4301-2021-2-022-030" display="http://dx.doi.org/10.25750/1995-4301-2021-2-022-030"/>
    <hyperlink ref="BT1196" r:id="rId_hyperlink_2110" tooltip="View Full Record in Web of Science" display="View Full Record in Web of Science"/>
    <hyperlink ref="BF1197" r:id="rId_hyperlink_2111" tooltip="http://dx.doi.org/10.51847/bzkZmBKa9f" display="http://dx.doi.org/10.51847/bzkZmBKa9f"/>
    <hyperlink ref="BT1197" r:id="rId_hyperlink_2112" tooltip="View Full Record in Web of Science" display="View Full Record in Web of Science"/>
    <hyperlink ref="BF1198" r:id="rId_hyperlink_2113" tooltip="http://dx.doi.org/10.25750/1995-4301-2020-2-044-050" display="http://dx.doi.org/10.25750/1995-4301-2020-2-044-050"/>
    <hyperlink ref="BT1198" r:id="rId_hyperlink_2114" tooltip="View Full Record in Web of Science" display="View Full Record in Web of Science"/>
    <hyperlink ref="BF1199" r:id="rId_hyperlink_2115" tooltip="http://dx.doi.org/10.3103/S1052618819020110" display="http://dx.doi.org/10.3103/S1052618819020110"/>
    <hyperlink ref="BT1199" r:id="rId_hyperlink_2116" tooltip="View Full Record in Web of Science" display="View Full Record in Web of Science"/>
    <hyperlink ref="BF1200" r:id="rId_hyperlink_2117" tooltip="http://dx.doi.org/10.1002/etc.3956" display="http://dx.doi.org/10.1002/etc.3956"/>
    <hyperlink ref="BT1200" r:id="rId_hyperlink_2118" tooltip="View Full Record in Web of Science" display="View Full Record in Web of Science"/>
    <hyperlink ref="BF1201" r:id="rId_hyperlink_2119" tooltip="http://dx.doi.org/10.25750/1995-4301-2022-2-006-014" display="http://dx.doi.org/10.25750/1995-4301-2022-2-006-014"/>
    <hyperlink ref="BT1201" r:id="rId_hyperlink_2120" tooltip="View Full Record in Web of Science" display="View Full Record in Web of Science"/>
    <hyperlink ref="BF1202" r:id="rId_hyperlink_2121" tooltip="http://dx.doi.org/10.3390/polym14235283" display="http://dx.doi.org/10.3390/polym14235283"/>
    <hyperlink ref="BT1202" r:id="rId_hyperlink_2122" tooltip="View Full Record in Web of Science" display="View Full Record in Web of Science"/>
    <hyperlink ref="BF1203" r:id="rId_hyperlink_2123" tooltip="http://dx.doi.org/10.22616/ERDev.2021.20.TF043" display="http://dx.doi.org/10.22616/ERDev.2021.20.TF043"/>
    <hyperlink ref="BT1203" r:id="rId_hyperlink_2124" tooltip="View Full Record in Web of Science" display="View Full Record in Web of Science"/>
    <hyperlink ref="BF1204" r:id="rId_hyperlink_2125" tooltip="http://dx.doi.org/10.1007/978-3-030-28163-2_15" display="http://dx.doi.org/10.1007/978-3-030-28163-2_15"/>
    <hyperlink ref="BT1204" r:id="rId_hyperlink_2126" tooltip="View Full Record in Web of Science" display="View Full Record in Web of Science"/>
    <hyperlink ref="BF1205" r:id="rId_hyperlink_2127" tooltip="http://dx.doi.org/10.25750/1995-4301-2018-2-087-093" display="http://dx.doi.org/10.25750/1995-4301-2018-2-087-093"/>
    <hyperlink ref="BT1205" r:id="rId_hyperlink_2128" tooltip="View Full Record in Web of Science" display="View Full Record in Web of Science"/>
    <hyperlink ref="BT1206" r:id="rId_hyperlink_2129" tooltip="View Full Record in Web of Science" display="View Full Record in Web of Science"/>
    <hyperlink ref="BF1207" r:id="rId_hyperlink_2130" tooltip="http://dx.doi.org/10.1134/S0003683822040081" display="http://dx.doi.org/10.1134/S0003683822040081"/>
    <hyperlink ref="BT1207" r:id="rId_hyperlink_2131" tooltip="View Full Record in Web of Science" display="View Full Record in Web of Science"/>
    <hyperlink ref="BT1208" r:id="rId_hyperlink_2132" tooltip="View Full Record in Web of Science" display="View Full Record in Web of Science"/>
    <hyperlink ref="BF1209" r:id="rId_hyperlink_2133" tooltip="http://dx.doi.org/10.25750/1995-4301-2022-4-006-013" display="http://dx.doi.org/10.25750/1995-4301-2022-4-006-013"/>
    <hyperlink ref="BT1209" r:id="rId_hyperlink_2134" tooltip="View Full Record in Web of Science" display="View Full Record in Web of Science"/>
    <hyperlink ref="BF1210" r:id="rId_hyperlink_2135" tooltip="http://dx.doi.org/10.29333/iji.2019.12346a" display="http://dx.doi.org/10.29333/iji.2019.12346a"/>
    <hyperlink ref="BT1210" r:id="rId_hyperlink_2136" tooltip="View Full Record in Web of Science" display="View Full Record in Web of Science"/>
    <hyperlink ref="BF1211" r:id="rId_hyperlink_2137" tooltip="http://dx.doi.org/10.25750/1995-4301-2019-2-053-060" display="http://dx.doi.org/10.25750/1995-4301-2019-2-053-060"/>
    <hyperlink ref="BT1211" r:id="rId_hyperlink_2138" tooltip="View Full Record in Web of Science" display="View Full Record in Web of Science"/>
    <hyperlink ref="BF1212" r:id="rId_hyperlink_2139" tooltip="http://dx.doi.org/10.1080/09205063.2016.1268461" display="http://dx.doi.org/10.1080/09205063.2016.1268461"/>
    <hyperlink ref="BT1212" r:id="rId_hyperlink_2140" tooltip="View Full Record in Web of Science" display="View Full Record in Web of Science"/>
    <hyperlink ref="BF1213" r:id="rId_hyperlink_2141" tooltip="http://dx.doi.org/10.1134/S1064229318050113" display="http://dx.doi.org/10.1134/S1064229318050113"/>
    <hyperlink ref="BT1213" r:id="rId_hyperlink_2142" tooltip="View Full Record in Web of Science" display="View Full Record in Web of Science"/>
    <hyperlink ref="BF1214" r:id="rId_hyperlink_2143" tooltip="http://dx.doi.org/10.25750/1995-4301-2022-2-084-092" display="http://dx.doi.org/10.25750/1995-4301-2022-2-084-092"/>
    <hyperlink ref="BT1214" r:id="rId_hyperlink_2144" tooltip="View Full Record in Web of Science" display="View Full Record in Web of Science"/>
    <hyperlink ref="BF1215" r:id="rId_hyperlink_2145" tooltip="http://dx.doi.org/10.25750/1995-4301-2019-3-028-033" display="http://dx.doi.org/10.25750/1995-4301-2019-3-028-033"/>
    <hyperlink ref="BT1215" r:id="rId_hyperlink_2146" tooltip="View Full Record in Web of Science" display="View Full Record in Web of Science"/>
    <hyperlink ref="BF1216" r:id="rId_hyperlink_2147" tooltip="http://dx.doi.org/10.1134/S106422931611003X" display="http://dx.doi.org/10.1134/S106422931611003X"/>
    <hyperlink ref="BT1216" r:id="rId_hyperlink_2148" tooltip="View Full Record in Web of Science" display="View Full Record in Web of Science"/>
    <hyperlink ref="BF1217" r:id="rId_hyperlink_2149" tooltip="http://dx.doi.org/10.1088/1755-1315/90/1/012138" display="http://dx.doi.org/10.1088/1755-1315/90/1/012138"/>
    <hyperlink ref="BT1217" r:id="rId_hyperlink_2150" tooltip="View Full Record in Web of Science" display="View Full Record in Web of Science"/>
    <hyperlink ref="BF1218" r:id="rId_hyperlink_2151" tooltip="http://dx.doi.org/10.25750/1995-4301-2021-3-044-051" display="http://dx.doi.org/10.25750/1995-4301-2021-3-044-051"/>
    <hyperlink ref="BT1218" r:id="rId_hyperlink_2152" tooltip="View Full Record in Web of Science" display="View Full Record in Web of Science"/>
    <hyperlink ref="BF1219" r:id="rId_hyperlink_2153" tooltip="http://dx.doi.org/10.1051/matecconf/201710608087" display="http://dx.doi.org/10.1051/matecconf/201710608087"/>
    <hyperlink ref="BT1219" r:id="rId_hyperlink_2154" tooltip="View Full Record in Web of Science" display="View Full Record in Web of Science"/>
    <hyperlink ref="BF1220" r:id="rId_hyperlink_2155" tooltip="http://dx.doi.org/10.25750/1995-4301-2021-4-230-236" display="http://dx.doi.org/10.25750/1995-4301-2021-4-230-236"/>
    <hyperlink ref="BT1220" r:id="rId_hyperlink_2156" tooltip="View Full Record in Web of Science" display="View Full Record in Web of Science"/>
    <hyperlink ref="BF1221" r:id="rId_hyperlink_2157" tooltip="http://dx.doi.org/10.25750/1995-4301-2019-4-142-149" display="http://dx.doi.org/10.25750/1995-4301-2019-4-142-149"/>
    <hyperlink ref="BT1221" r:id="rId_hyperlink_2158" tooltip="View Full Record in Web of Science" display="View Full Record in Web of Science"/>
    <hyperlink ref="BF1222" r:id="rId_hyperlink_2159" tooltip="http://dx.doi.org/10.25750/1995-4301-2019-4-103-109" display="http://dx.doi.org/10.25750/1995-4301-2019-4-103-109"/>
    <hyperlink ref="BT1222" r:id="rId_hyperlink_2160" tooltip="View Full Record in Web of Science" display="View Full Record in Web of Science"/>
    <hyperlink ref="BF1223" r:id="rId_hyperlink_2161" tooltip="http://dx.doi.org/10.1088/1757-899X/98/1/012038" display="http://dx.doi.org/10.1088/1757-899X/98/1/012038"/>
    <hyperlink ref="BT1223" r:id="rId_hyperlink_2162" tooltip="View Full Record in Web of Science" display="View Full Record in Web of Science"/>
    <hyperlink ref="BF1224" r:id="rId_hyperlink_2163" tooltip="http://dx.doi.org/10.1016/j.jasrep.2017.01.005" display="http://dx.doi.org/10.1016/j.jasrep.2017.01.005"/>
    <hyperlink ref="BT1224" r:id="rId_hyperlink_2164" tooltip="View Full Record in Web of Science" display="View Full Record in Web of Science"/>
    <hyperlink ref="BF1225" r:id="rId_hyperlink_2165" tooltip="http://dx.doi.org/10.25750/1995-4301-2020-4-237-241" display="http://dx.doi.org/10.25750/1995-4301-2020-4-237-241"/>
    <hyperlink ref="BT1225" r:id="rId_hyperlink_2166" tooltip="View Full Record in Web of Science" display="View Full Record in Web of Science"/>
    <hyperlink ref="BF1226" r:id="rId_hyperlink_2167" tooltip="http://dx.doi.org/10.25750/1995-4301-2020-2-014-025" display="http://dx.doi.org/10.25750/1995-4301-2020-2-014-025"/>
    <hyperlink ref="BT1226" r:id="rId_hyperlink_2168" tooltip="View Full Record in Web of Science" display="View Full Record in Web of Science"/>
    <hyperlink ref="BF1227" r:id="rId_hyperlink_2169" tooltip="http://dx.doi.org/10.25750/1995-4301-2021-2-122-127" display="http://dx.doi.org/10.25750/1995-4301-2021-2-122-127"/>
    <hyperlink ref="BT1227" r:id="rId_hyperlink_2170" tooltip="View Full Record in Web of Science" display="View Full Record in Web of Science"/>
    <hyperlink ref="BF1228" r:id="rId_hyperlink_2171" tooltip="http://dx.doi.org/10.25750/1995-4301-2021-4-193-202" display="http://dx.doi.org/10.25750/1995-4301-2021-4-193-202"/>
    <hyperlink ref="BT1228" r:id="rId_hyperlink_2172" tooltip="View Full Record in Web of Science" display="View Full Record in Web of Science"/>
    <hyperlink ref="BF1229" r:id="rId_hyperlink_2173" tooltip="http://dx.doi.org/10.18720/MPM.4432020_14" display="http://dx.doi.org/10.18720/MPM.4432020_14"/>
    <hyperlink ref="BT1229" r:id="rId_hyperlink_2174" tooltip="View Full Record in Web of Science" display="View Full Record in Web of Science"/>
    <hyperlink ref="BF1230" r:id="rId_hyperlink_2175" tooltip="http://dx.doi.org/10.25750/1995-4301-2020-3-217-223" display="http://dx.doi.org/10.25750/1995-4301-2020-3-217-223"/>
    <hyperlink ref="BT1230" r:id="rId_hyperlink_2176" tooltip="View Full Record in Web of Science" display="View Full Record in Web of Science"/>
    <hyperlink ref="BF1231" r:id="rId_hyperlink_2177" tooltip="http://dx.doi.org/10.25750/1995-4301-2021-3-021-030" display="http://dx.doi.org/10.25750/1995-4301-2021-3-021-030"/>
    <hyperlink ref="BT1231" r:id="rId_hyperlink_2178" tooltip="View Full Record in Web of Science" display="View Full Record in Web of Science"/>
    <hyperlink ref="BT1232" r:id="rId_hyperlink_2179" tooltip="View Full Record in Web of Science" display="View Full Record in Web of Science"/>
    <hyperlink ref="BF1233" r:id="rId_hyperlink_2180" tooltip="http://dx.doi.org/10.25750/1995-4301-2018-4-046-052" display="http://dx.doi.org/10.25750/1995-4301-2018-4-046-052"/>
    <hyperlink ref="BT1233" r:id="rId_hyperlink_2181" tooltip="View Full Record in Web of Science" display="View Full Record in Web of Science"/>
    <hyperlink ref="BT1234" r:id="rId_hyperlink_2182" tooltip="View Full Record in Web of Science" display="View Full Record in Web of Science"/>
    <hyperlink ref="BF1235" r:id="rId_hyperlink_2183" tooltip="http://dx.doi.org/10.25750/1995-4301-2022-2-026-034" display="http://dx.doi.org/10.25750/1995-4301-2022-2-026-034"/>
    <hyperlink ref="BT1235" r:id="rId_hyperlink_2184" tooltip="View Full Record in Web of Science" display="View Full Record in Web of Science"/>
    <hyperlink ref="BF1236" r:id="rId_hyperlink_2185" tooltip="http://dx.doi.org/10.1051/e3sconf/202021012005" display="http://dx.doi.org/10.1051/e3sconf/202021012005"/>
    <hyperlink ref="BT1236" r:id="rId_hyperlink_2186" tooltip="View Full Record in Web of Science" display="View Full Record in Web of Science"/>
    <hyperlink ref="BF1237" r:id="rId_hyperlink_2187" tooltip="http://dx.doi.org/10.25750/1995-4301-2022-3-014-025" display="http://dx.doi.org/10.25750/1995-4301-2022-3-014-025"/>
    <hyperlink ref="BT1237" r:id="rId_hyperlink_2188" tooltip="View Full Record in Web of Science" display="View Full Record in Web of Science"/>
    <hyperlink ref="BF1238" r:id="rId_hyperlink_2189" tooltip="http://dx.doi.org/10.25750/1995-4301-2021-1-139-146" display="http://dx.doi.org/10.25750/1995-4301-2021-1-139-146"/>
    <hyperlink ref="BT1238" r:id="rId_hyperlink_2190" tooltip="View Full Record in Web of Science" display="View Full Record in Web of Science"/>
    <hyperlink ref="BF1239" r:id="rId_hyperlink_2191" tooltip="http://dx.doi.org/10.1051/e3sconf/201911001077" display="http://dx.doi.org/10.1051/e3sconf/201911001077"/>
    <hyperlink ref="BT1239" r:id="rId_hyperlink_2192" tooltip="View Full Record in Web of Science" display="View Full Record in Web of Science"/>
    <hyperlink ref="BF1240" r:id="rId_hyperlink_2193" tooltip="http://dx.doi.org/10.1134/S1064229313100062" display="http://dx.doi.org/10.1134/S1064229313100062"/>
    <hyperlink ref="BT1240" r:id="rId_hyperlink_2194" tooltip="View Full Record in Web of Science" display="View Full Record in Web of Science"/>
    <hyperlink ref="BF1241" r:id="rId_hyperlink_2195" tooltip="http://dx.doi.org/10.31166/VoprosyIstorii202112Statyi117" display="http://dx.doi.org/10.31166/VoprosyIstorii202112Statyi117"/>
    <hyperlink ref="BT1241" r:id="rId_hyperlink_2196" tooltip="View Full Record in Web of Science" display="View Full Record in Web of Science"/>
    <hyperlink ref="BF1242" r:id="rId_hyperlink_2197" tooltip="http://dx.doi.org/10.25750/1995-4301-2020-4-162-168" display="http://dx.doi.org/10.25750/1995-4301-2020-4-162-168"/>
    <hyperlink ref="BT1242" r:id="rId_hyperlink_2198" tooltip="View Full Record in Web of Science" display="View Full Record in Web of Science"/>
    <hyperlink ref="BF1243" r:id="rId_hyperlink_2199" tooltip="http://dx.doi.org/10.1134/S1068162019060165" display="http://dx.doi.org/10.1134/S1068162019060165"/>
    <hyperlink ref="BT1243" r:id="rId_hyperlink_2200" tooltip="View Full Record in Web of Science" display="View Full Record in Web of Science"/>
    <hyperlink ref="BF1244" r:id="rId_hyperlink_2201" tooltip="http://dx.doi.org/10.25750/1995-4301-2018-4-061-067" display="http://dx.doi.org/10.25750/1995-4301-2018-4-061-067"/>
    <hyperlink ref="BT1244" r:id="rId_hyperlink_2202" tooltip="View Full Record in Web of Science" display="View Full Record in Web of Science"/>
    <hyperlink ref="BF1245" r:id="rId_hyperlink_2203" tooltip="http://dx.doi.org/10.1134/S0003683821040049" display="http://dx.doi.org/10.1134/S0003683821040049"/>
    <hyperlink ref="BT1245" r:id="rId_hyperlink_2204" tooltip="View Full Record in Web of Science" display="View Full Record in Web of Science"/>
    <hyperlink ref="BF1246" r:id="rId_hyperlink_2205" tooltip="http://dx.doi.org/10.25750/1995-4301-2021-3-219-227" display="http://dx.doi.org/10.25750/1995-4301-2021-3-219-227"/>
    <hyperlink ref="BT1246" r:id="rId_hyperlink_2206" tooltip="View Full Record in Web of Science" display="View Full Record in Web of Science"/>
    <hyperlink ref="BF1247" r:id="rId_hyperlink_2207" tooltip="http://dx.doi.org/10.1134/S1064229317110114" display="http://dx.doi.org/10.1134/S1064229317110114"/>
    <hyperlink ref="BT1247" r:id="rId_hyperlink_2208" tooltip="View Full Record in Web of Science" display="View Full Record in Web of Science"/>
    <hyperlink ref="BF1248" r:id="rId_hyperlink_2209" tooltip="http://dx.doi.org/10.25750/1995-4301-2022-2-077-083" display="http://dx.doi.org/10.25750/1995-4301-2022-2-077-083"/>
    <hyperlink ref="BT1248" r:id="rId_hyperlink_2210" tooltip="View Full Record in Web of Science" display="View Full Record in Web of Science"/>
    <hyperlink ref="BF1249" r:id="rId_hyperlink_2211" tooltip="http://dx.doi.org/10.25750/1995-4301-2019-4-061-068" display="http://dx.doi.org/10.25750/1995-4301-2019-4-061-068"/>
    <hyperlink ref="BT1249" r:id="rId_hyperlink_2212" tooltip="View Full Record in Web of Science" display="View Full Record in Web of Science"/>
    <hyperlink ref="BF1250" r:id="rId_hyperlink_2213" tooltip="http://dx.doi.org/10.1134/S0003683814020070" display="http://dx.doi.org/10.1134/S0003683814020070"/>
    <hyperlink ref="BT1250" r:id="rId_hyperlink_2214" tooltip="View Full Record in Web of Science" display="View Full Record in Web of Science"/>
    <hyperlink ref="BF1251" r:id="rId_hyperlink_2215" tooltip="http://dx.doi.org/10.31407/ijees12.240" display="http://dx.doi.org/10.31407/ijees12.240"/>
    <hyperlink ref="BT1251" r:id="rId_hyperlink_2216" tooltip="View Full Record in Web of Science" display="View Full Record in Web of Science"/>
    <hyperlink ref="BF1252" r:id="rId_hyperlink_2217" tooltip="http://dx.doi.org/10.12973/eurasia.2017.00698a" display="http://dx.doi.org/10.12973/eurasia.2017.00698a"/>
    <hyperlink ref="BT1252" r:id="rId_hyperlink_2218" tooltip="View Full Record in Web of Science" display="View Full Record in Web of Science"/>
    <hyperlink ref="BF1253" r:id="rId_hyperlink_2219" tooltip="http://dx.doi.org/10.25750/1995-4301-2021-2-183-188" display="http://dx.doi.org/10.25750/1995-4301-2021-2-183-188"/>
    <hyperlink ref="BT1253" r:id="rId_hyperlink_2220" tooltip="View Full Record in Web of Science" display="View Full Record in Web of Science"/>
    <hyperlink ref="BF1254" r:id="rId_hyperlink_2221" tooltip="http://dx.doi.org/10.25750/1995-4301-2021-3-052-059" display="http://dx.doi.org/10.25750/1995-4301-2021-3-052-059"/>
    <hyperlink ref="BT1254" r:id="rId_hyperlink_2222" tooltip="View Full Record in Web of Science" display="View Full Record in Web of Science"/>
    <hyperlink ref="BF1255" r:id="rId_hyperlink_2223" tooltip="http://dx.doi.org/10.1051/matecconf/201710608085" display="http://dx.doi.org/10.1051/matecconf/201710608085"/>
    <hyperlink ref="BT1255" r:id="rId_hyperlink_2224" tooltip="View Full Record in Web of Science" display="View Full Record in Web of Science"/>
    <hyperlink ref="BF1256" r:id="rId_hyperlink_2225" tooltip="http://dx.doi.org/10.1134/S106422931305013X" display="http://dx.doi.org/10.1134/S106422931305013X"/>
    <hyperlink ref="BT1256" r:id="rId_hyperlink_2226" tooltip="View Full Record in Web of Science" display="View Full Record in Web of Science"/>
    <hyperlink ref="BF1257" r:id="rId_hyperlink_2227" tooltip="http://dx.doi.org/10.3389/fenrg.2022.908489" display="http://dx.doi.org/10.3389/fenrg.2022.908489"/>
    <hyperlink ref="BT1257" r:id="rId_hyperlink_2228" tooltip="View Full Record in Web of Science" display="View Full Record in Web of Science"/>
    <hyperlink ref="BF1258" r:id="rId_hyperlink_2229" tooltip="http://dx.doi.org/10.1134/S1995082918020086" display="http://dx.doi.org/10.1134/S1995082918020086"/>
    <hyperlink ref="BT1258" r:id="rId_hyperlink_2230" tooltip="View Full Record in Web of Science" display="View Full Record in Web of Science"/>
    <hyperlink ref="BF1259" r:id="rId_hyperlink_2231" tooltip="http://dx.doi.org/10.1007/s10600-017-2133-x" display="http://dx.doi.org/10.1007/s10600-017-2133-x"/>
    <hyperlink ref="BT1259" r:id="rId_hyperlink_2232" tooltip="View Full Record in Web of Science" display="View Full Record in Web of Science"/>
    <hyperlink ref="BF1260" r:id="rId_hyperlink_2233" tooltip="http://dx.doi.org/10.1016/j.foodhyd.2016.10.042" display="http://dx.doi.org/10.1016/j.foodhyd.2016.10.042"/>
    <hyperlink ref="BT1260" r:id="rId_hyperlink_2234" tooltip="View Full Record in Web of Science" display="View Full Record in Web of Science"/>
    <hyperlink ref="BF1261" r:id="rId_hyperlink_2235" tooltip="http://dx.doi.org/10.22616/ERDev2017.16.N061" display="http://dx.doi.org/10.22616/ERDev2017.16.N061"/>
    <hyperlink ref="BT1261" r:id="rId_hyperlink_2236" tooltip="View Full Record in Web of Science" display="View Full Record in Web of Science"/>
    <hyperlink ref="BF1262" r:id="rId_hyperlink_2237" tooltip="http://dx.doi.org/10.12911/22998993/146330" display="http://dx.doi.org/10.12911/22998993/146330"/>
    <hyperlink ref="BT1262" r:id="rId_hyperlink_2238" tooltip="View Full Record in Web of Science" display="View Full Record in Web of Science"/>
    <hyperlink ref="BF1263" r:id="rId_hyperlink_2239" tooltip="http://dx.doi.org/10.5281/zenodo.3262155" display="http://dx.doi.org/10.5281/zenodo.3262155"/>
    <hyperlink ref="BT1263" r:id="rId_hyperlink_2240" tooltip="View Full Record in Web of Science" display="View Full Record in Web of Science"/>
    <hyperlink ref="BF1264" r:id="rId_hyperlink_2241" tooltip="http://dx.doi.org/10.1007/978-3-319-45462-7_9" display="http://dx.doi.org/10.1007/978-3-319-45462-7_9"/>
    <hyperlink ref="BT1264" r:id="rId_hyperlink_2242" tooltip="View Full Record in Web of Science" display="View Full Record in Web of Science"/>
    <hyperlink ref="BF1265" r:id="rId_hyperlink_2243" tooltip="http://dx.doi.org/10.1007/s10517-023-05681-w" display="http://dx.doi.org/10.1007/s10517-023-05681-w"/>
    <hyperlink ref="BT1265" r:id="rId_hyperlink_2244" tooltip="View Full Record in Web of Science" display="View Full Record in Web of Science"/>
    <hyperlink ref="BF1266" r:id="rId_hyperlink_2245" tooltip="http://dx.doi.org/10.3390/ma14040962" display="http://dx.doi.org/10.3390/ma14040962"/>
    <hyperlink ref="BT1266" r:id="rId_hyperlink_2246" tooltip="View Full Record in Web of Science" display="View Full Record in Web of Science"/>
    <hyperlink ref="BF1267" r:id="rId_hyperlink_2247" tooltip="http://dx.doi.org/10.1016/j.carbpol.2016.09.048" display="http://dx.doi.org/10.1016/j.carbpol.2016.09.048"/>
    <hyperlink ref="BT1267" r:id="rId_hyperlink_2248" tooltip="View Full Record in Web of Science" display="View Full Record in Web of Science"/>
    <hyperlink ref="BF1268" r:id="rId_hyperlink_2249" tooltip="http://dx.doi.org/10.1134/S1064229311020116" display="http://dx.doi.org/10.1134/S1064229311020116"/>
    <hyperlink ref="BT1268" r:id="rId_hyperlink_2250" tooltip="View Full Record in Web of Science" display="View Full Record in Web of Science"/>
    <hyperlink ref="BT1269" r:id="rId_hyperlink_2251" tooltip="View Full Record in Web of Science" display="View Full Record in Web of Science"/>
    <hyperlink ref="BF1270" r:id="rId_hyperlink_2252" tooltip="http://dx.doi.org/10.25750/1995-4301-2022-3-219-225" display="http://dx.doi.org/10.25750/1995-4301-2022-3-219-225"/>
    <hyperlink ref="BT1270" r:id="rId_hyperlink_2253" tooltip="View Full Record in Web of Science" display="View Full Record in Web of Science"/>
    <hyperlink ref="BF1271" r:id="rId_hyperlink_2254" tooltip="http://dx.doi.org/10.31166/VoprosyIstorii202008Statyi17" display="http://dx.doi.org/10.31166/VoprosyIstorii202008Statyi17"/>
    <hyperlink ref="BT1271" r:id="rId_hyperlink_2255" tooltip="View Full Record in Web of Science" display="View Full Record in Web of Science"/>
    <hyperlink ref="BF1272" r:id="rId_hyperlink_2256" tooltip="http://dx.doi.org/10.1002/jbm.a.35936" display="http://dx.doi.org/10.1002/jbm.a.35936"/>
    <hyperlink ref="BT1272" r:id="rId_hyperlink_2257" tooltip="View Full Record in Web of Science" display="View Full Record in Web of Science"/>
    <hyperlink ref="BF1273" r:id="rId_hyperlink_2258" tooltip="http://dx.doi.org/10.1134/S1995425515010138" display="http://dx.doi.org/10.1134/S1995425515010138"/>
    <hyperlink ref="BT1273" r:id="rId_hyperlink_2259" tooltip="View Full Record in Web of Science" display="View Full Record in Web of Science"/>
    <hyperlink ref="BF1274" r:id="rId_hyperlink_2260" tooltip="http://dx.doi.org/10.1134/S1062359022100387" display="http://dx.doi.org/10.1134/S1062359022100387"/>
    <hyperlink ref="BT1274" r:id="rId_hyperlink_2261" tooltip="View Full Record in Web of Science" display="View Full Record in Web of Science"/>
    <hyperlink ref="BF1275" r:id="rId_hyperlink_2262" tooltip="http://dx.doi.org/10.17223/15617793/467/18" display="http://dx.doi.org/10.17223/15617793/467/18"/>
    <hyperlink ref="BT1275" r:id="rId_hyperlink_2263" tooltip="View Full Record in Web of Science" display="View Full Record in Web of Science"/>
    <hyperlink ref="BF1276" r:id="rId_hyperlink_2264" tooltip="http://dx.doi.org/10.1007/s10008-021-04942-w" display="http://dx.doi.org/10.1007/s10008-021-04942-w"/>
    <hyperlink ref="BT1276" r:id="rId_hyperlink_2265" tooltip="View Full Record in Web of Science" display="View Full Record in Web of Science"/>
    <hyperlink ref="BF1277" r:id="rId_hyperlink_2266" tooltip="http://dx.doi.org/10.25750/1995-4301-2019-3-134-141" display="http://dx.doi.org/10.25750/1995-4301-2019-3-134-141"/>
    <hyperlink ref="BT1277" r:id="rId_hyperlink_2267" tooltip="View Full Record in Web of Science" display="View Full Record in Web of Science"/>
    <hyperlink ref="BF1278" r:id="rId_hyperlink_2268" tooltip="http://dx.doi.org/10.25750/1995-4301-2018-3-086-092" display="http://dx.doi.org/10.25750/1995-4301-2018-3-086-092"/>
    <hyperlink ref="BT1278" r:id="rId_hyperlink_2269" tooltip="View Full Record in Web of Science" display="View Full Record in Web of Science"/>
    <hyperlink ref="BF1279" r:id="rId_hyperlink_2270" tooltip="http://dx.doi.org/10.1134/S0026261706020184" display="http://dx.doi.org/10.1134/S0026261706020184"/>
    <hyperlink ref="BT1279" r:id="rId_hyperlink_2271" tooltip="View Full Record in Web of Science" display="View Full Record in Web of Science"/>
    <hyperlink ref="BF1280" r:id="rId_hyperlink_2272" tooltip="http://dx.doi.org/10.3390/risks10110206" display="http://dx.doi.org/10.3390/risks10110206"/>
    <hyperlink ref="BT1280" r:id="rId_hyperlink_2273" tooltip="View Full Record in Web of Science" display="View Full Record in Web of Science"/>
    <hyperlink ref="BF1281" r:id="rId_hyperlink_2274" tooltip="http://dx.doi.org/10.1007/s10853-021-06645-z" display="http://dx.doi.org/10.1007/s10853-021-06645-z"/>
    <hyperlink ref="BT1281" r:id="rId_hyperlink_2275" tooltip="View Full Record in Web of Science" display="View Full Record in Web of Science"/>
    <hyperlink ref="BF1282" r:id="rId_hyperlink_2276" tooltip="http://dx.doi.org/10.18149/MPM.4712021_11" display="http://dx.doi.org/10.18149/MPM.4712021_11"/>
    <hyperlink ref="BT1282" r:id="rId_hyperlink_2277" tooltip="View Full Record in Web of Science" display="View Full Record in Web of Science"/>
    <hyperlink ref="BF1283" r:id="rId_hyperlink_2278" tooltip="http://dx.doi.org/10.25750/1995-4301-2020-4-129-135" display="http://dx.doi.org/10.25750/1995-4301-2020-4-129-135"/>
    <hyperlink ref="BT1283" r:id="rId_hyperlink_2279" tooltip="View Full Record in Web of Science" display="View Full Record in Web of Science"/>
    <hyperlink ref="BF1284" r:id="rId_hyperlink_2280" tooltip="http://dx.doi.org/10.25750/1995-4301-2020-3-119-125" display="http://dx.doi.org/10.25750/1995-4301-2020-3-119-125"/>
    <hyperlink ref="BT1284" r:id="rId_hyperlink_2281" tooltip="View Full Record in Web of Science" display="View Full Record in Web of Science"/>
    <hyperlink ref="BF1285" r:id="rId_hyperlink_2282" tooltip="http://dx.doi.org/10.1088/1755-1315/90/012139" display="http://dx.doi.org/10.1088/1755-1315/90/012139"/>
    <hyperlink ref="BT1285" r:id="rId_hyperlink_2283" tooltip="View Full Record in Web of Science" display="View Full Record in Web of Science"/>
    <hyperlink ref="BF1286" r:id="rId_hyperlink_2284" tooltip="http://dx.doi.org/10.3389/fenvs.2022.1091149" display="http://dx.doi.org/10.3389/fenvs.2022.1091149"/>
    <hyperlink ref="BT1286" r:id="rId_hyperlink_2285" tooltip="View Full Record in Web of Science" display="View Full Record in Web of Science"/>
    <hyperlink ref="BF1287" r:id="rId_hyperlink_2286" tooltip="http://dx.doi.org/10.18470/1992-1098-2021-1-53-60" display="http://dx.doi.org/10.18470/1992-1098-2021-1-53-60"/>
    <hyperlink ref="BT1287" r:id="rId_hyperlink_2287" tooltip="View Full Record in Web of Science" display="View Full Record in Web of Science"/>
    <hyperlink ref="BF1288" r:id="rId_hyperlink_2288" tooltip="http://dx.doi.org/10.25750/1995-4301-2019-2-108-112" display="http://dx.doi.org/10.25750/1995-4301-2019-2-108-112"/>
    <hyperlink ref="BT1288" r:id="rId_hyperlink_2289" tooltip="View Full Record in Web of Science" display="View Full Record in Web of Science"/>
    <hyperlink ref="BF1289" r:id="rId_hyperlink_2290" tooltip="http://dx.doi.org/10.1134/S0036029518130153" display="http://dx.doi.org/10.1134/S0036029518130153"/>
    <hyperlink ref="BT1289" r:id="rId_hyperlink_2291" tooltip="View Full Record in Web of Science" display="View Full Record in Web of Science"/>
    <hyperlink ref="BF1290" r:id="rId_hyperlink_2292" tooltip="http://dx.doi.org/10.17223/15617793/476/31" display="http://dx.doi.org/10.17223/15617793/476/31"/>
    <hyperlink ref="BT1290" r:id="rId_hyperlink_2293" tooltip="View Full Record in Web of Science" display="View Full Record in Web of Science"/>
    <hyperlink ref="BF1291" r:id="rId_hyperlink_2294" tooltip="http://dx.doi.org/10.25750/1995-4301-2022-3-199-205" display="http://dx.doi.org/10.25750/1995-4301-2022-3-199-205"/>
    <hyperlink ref="BT1291" r:id="rId_hyperlink_2295" tooltip="View Full Record in Web of Science" display="View Full Record in Web of Science"/>
    <hyperlink ref="BF1292" r:id="rId_hyperlink_2296" tooltip="http://dx.doi.org/10.13187/ejced.2022.1.241" display="http://dx.doi.org/10.13187/ejced.2022.1.241"/>
    <hyperlink ref="BT1292" r:id="rId_hyperlink_2297" tooltip="View Full Record in Web of Science" display="View Full Record in Web of Science"/>
    <hyperlink ref="BF1293" r:id="rId_hyperlink_2298" tooltip="http://dx.doi.org/10.1099/ijsem.0.000994" display="http://dx.doi.org/10.1099/ijsem.0.000994"/>
    <hyperlink ref="BT1293" r:id="rId_hyperlink_2299" tooltip="View Full Record in Web of Science" display="View Full Record in Web of Science"/>
    <hyperlink ref="BF1294" r:id="rId_hyperlink_2300" tooltip="http://dx.doi.org/10.25750/1995-4301-2018-4-093-098" display="http://dx.doi.org/10.25750/1995-4301-2018-4-093-098"/>
    <hyperlink ref="BT1294" r:id="rId_hyperlink_2301" tooltip="View Full Record in Web of Science" display="View Full Record in Web of Science"/>
    <hyperlink ref="BF1295" r:id="rId_hyperlink_2302" tooltip="http://dx.doi.org/10.25750/1995-4301-2022-4-159-165" display="http://dx.doi.org/10.25750/1995-4301-2022-4-159-165"/>
    <hyperlink ref="BT1295" r:id="rId_hyperlink_2303" tooltip="View Full Record in Web of Science" display="View Full Record in Web of Science"/>
    <hyperlink ref="BF1296" r:id="rId_hyperlink_2304" tooltip="http://dx.doi.org/10.25750/1995-4301-2019-3-057-065" display="http://dx.doi.org/10.25750/1995-4301-2019-3-057-065"/>
    <hyperlink ref="BT1296" r:id="rId_hyperlink_2305" tooltip="View Full Record in Web of Science" display="View Full Record in Web of Science"/>
    <hyperlink ref="BF1297" r:id="rId_hyperlink_2306" tooltip="http://dx.doi.org/10.1134/S1064229313020026" display="http://dx.doi.org/10.1134/S1064229313020026"/>
    <hyperlink ref="BT1297" r:id="rId_hyperlink_2307" tooltip="View Full Record in Web of Science" display="View Full Record in Web of Science"/>
    <hyperlink ref="BF1298" r:id="rId_hyperlink_2308" tooltip="http://dx.doi.org/10.1007/s11029-014-9408-0" display="http://dx.doi.org/10.1007/s11029-014-9408-0"/>
    <hyperlink ref="BT1298" r:id="rId_hyperlink_2309" tooltip="View Full Record in Web of Science" display="View Full Record in Web of Science"/>
    <hyperlink ref="BF1299" r:id="rId_hyperlink_2310" tooltip="http://dx.doi.org/10.3389/feduc.2022.1016919" display="http://dx.doi.org/10.3389/feduc.2022.1016919"/>
    <hyperlink ref="BT1299" r:id="rId_hyperlink_2311" tooltip="View Full Record in Web of Science" display="View Full Record in Web of Science"/>
    <hyperlink ref="BF1300" r:id="rId_hyperlink_2312" tooltip="http://dx.doi.org/10.25750/1995-4301-2021-1-006-015" display="http://dx.doi.org/10.25750/1995-4301-2021-1-006-015"/>
    <hyperlink ref="BT1300" r:id="rId_hyperlink_2313" tooltip="View Full Record in Web of Science" display="View Full Record in Web of Science"/>
    <hyperlink ref="BF1301" r:id="rId_hyperlink_2314" tooltip="http://dx.doi.org/10.25750/1995-4301-2018-3-078-085" display="http://dx.doi.org/10.25750/1995-4301-2018-3-078-085"/>
    <hyperlink ref="BT1301" r:id="rId_hyperlink_2315" tooltip="View Full Record in Web of Science" display="View Full Record in Web of Science"/>
    <hyperlink ref="BF1302" r:id="rId_hyperlink_2316" tooltip="http://dx.doi.org/10.13187/ejced.2022.2.526" display="http://dx.doi.org/10.13187/ejced.2022.2.526"/>
    <hyperlink ref="BT1302" r:id="rId_hyperlink_2317" tooltip="View Full Record in Web of Science" display="View Full Record in Web of Science"/>
    <hyperlink ref="BF1303" r:id="rId_hyperlink_2318" tooltip="http://dx.doi.org/10.1007/s10008-016-3405-2" display="http://dx.doi.org/10.1007/s10008-016-3405-2"/>
    <hyperlink ref="BT1303" r:id="rId_hyperlink_2319" tooltip="View Full Record in Web of Science" display="View Full Record in Web of Science"/>
    <hyperlink ref="BF1304" r:id="rId_hyperlink_2320" tooltip="http://dx.doi.org/10.1016/j.jbiomech.2019.109504" display="http://dx.doi.org/10.1016/j.jbiomech.2019.109504"/>
    <hyperlink ref="BT1304" r:id="rId_hyperlink_2321" tooltip="View Full Record in Web of Science" display="View Full Record in Web of Science"/>
    <hyperlink ref="BF1305" r:id="rId_hyperlink_2322" tooltip="http://dx.doi.org/10.14529/hsm20s114" display="http://dx.doi.org/10.14529/hsm20s114"/>
    <hyperlink ref="BT1305" r:id="rId_hyperlink_2323" tooltip="View Full Record in Web of Science" display="View Full Record in Web of Science"/>
    <hyperlink ref="BF1306" r:id="rId_hyperlink_2324" tooltip="http://dx.doi.org/10.1149/2.0071712jss" display="http://dx.doi.org/10.1149/2.0071712jss"/>
    <hyperlink ref="BT1306" r:id="rId_hyperlink_2325" tooltip="View Full Record in Web of Science" display="View Full Record in Web of Science"/>
    <hyperlink ref="BF1307" r:id="rId_hyperlink_2326" tooltip="http://dx.doi.org/10.1134/S1995425515060189" display="http://dx.doi.org/10.1134/S1995425515060189"/>
    <hyperlink ref="BT1307" r:id="rId_hyperlink_2327" tooltip="View Full Record in Web of Science" display="View Full Record in Web of Science"/>
    <hyperlink ref="BT1308" r:id="rId_hyperlink_2328" tooltip="View Full Record in Web of Science" display="View Full Record in Web of Science"/>
    <hyperlink ref="BF1309" r:id="rId_hyperlink_2329" tooltip="http://dx.doi.org/10.13187/ejced.2022.3.898" display="http://dx.doi.org/10.13187/ejced.2022.3.898"/>
    <hyperlink ref="BT1309" r:id="rId_hyperlink_2330" tooltip="View Full Record in Web of Science" display="View Full Record in Web of Science"/>
    <hyperlink ref="BF1310" r:id="rId_hyperlink_2331" tooltip="http://dx.doi.org/10.25750/1995-4301-2022-4-196-203" display="http://dx.doi.org/10.25750/1995-4301-2022-4-196-203"/>
    <hyperlink ref="BT1310" r:id="rId_hyperlink_2332" tooltip="View Full Record in Web of Science" display="View Full Record in Web of Science"/>
    <hyperlink ref="BF1311" r:id="rId_hyperlink_2333" tooltip="http://dx.doi.org/10.1134/S1062359022010137" display="http://dx.doi.org/10.1134/S1062359022010137"/>
    <hyperlink ref="BT1311" r:id="rId_hyperlink_2334" tooltip="View Full Record in Web of Science" display="View Full Record in Web of Science"/>
    <hyperlink ref="BF1312" r:id="rId_hyperlink_2335" tooltip="http://dx.doi.org/10.22633/rpge.v25iesp.2.15282" display="http://dx.doi.org/10.22633/rpge.v25iesp.2.15282"/>
    <hyperlink ref="BT1312" r:id="rId_hyperlink_2336" tooltip="View Full Record in Web of Science" display="View Full Record in Web of Science"/>
    <hyperlink ref="BF1313" r:id="rId_hyperlink_2337" tooltip="http://dx.doi.org/10.25750/1995-4301-2020-2-166-171" display="http://dx.doi.org/10.25750/1995-4301-2020-2-166-171"/>
    <hyperlink ref="BT1313" r:id="rId_hyperlink_2338" tooltip="View Full Record in Web of Science" display="View Full Record in Web of Science"/>
    <hyperlink ref="BF1314" r:id="rId_hyperlink_2339" tooltip="http://dx.doi.org/10.3390/biomedicines6010005" display="http://dx.doi.org/10.3390/biomedicines6010005"/>
    <hyperlink ref="BT1314" r:id="rId_hyperlink_2340" tooltip="View Full Record in Web of Science" display="View Full Record in Web of Science"/>
    <hyperlink ref="BF1315" r:id="rId_hyperlink_2341" tooltip="http://dx.doi.org/10.17150/2500-4255.2018.12(4).515-524" display="http://dx.doi.org/10.17150/2500-4255.2018.12(4).515-524"/>
    <hyperlink ref="BT1315" r:id="rId_hyperlink_2342" tooltip="View Full Record in Web of Science" display="View Full Record in Web of Science"/>
    <hyperlink ref="BF1316" r:id="rId_hyperlink_2343" tooltip="http://dx.doi.org/10.13187/ejced.2022.4" display="http://dx.doi.org/10.13187/ejced.2022.4"/>
    <hyperlink ref="BT1316" r:id="rId_hyperlink_2344" tooltip="View Full Record in Web of Science" display="View Full Record in Web of Science"/>
    <hyperlink ref="BF1317" r:id="rId_hyperlink_2345" tooltip="http://dx.doi.org/10.25750/1995-4301-2020-1-130-135" display="http://dx.doi.org/10.25750/1995-4301-2020-1-130-135"/>
    <hyperlink ref="BT1317" r:id="rId_hyperlink_2346" tooltip="View Full Record in Web of Science" display="View Full Record in Web of Science"/>
    <hyperlink ref="BF1318" r:id="rId_hyperlink_2347" tooltip="http://dx.doi.org/10.1163/15685403-00003976" display="http://dx.doi.org/10.1163/15685403-00003976"/>
    <hyperlink ref="BT1318" r:id="rId_hyperlink_2348" tooltip="View Full Record in Web of Science" display="View Full Record in Web of Science"/>
    <hyperlink ref="BF1319" r:id="rId_hyperlink_2349" tooltip="http://dx.doi.org/10.25750/1995-4301-2020-4-143-148" display="http://dx.doi.org/10.25750/1995-4301-2020-4-143-148"/>
    <hyperlink ref="BT1319" r:id="rId_hyperlink_2350" tooltip="View Full Record in Web of Science" display="View Full Record in Web of Science"/>
    <hyperlink ref="BF1320" r:id="rId_hyperlink_2351" tooltip="http://dx.doi.org/10.25750/1995-4301-2022-1-102-108" display="http://dx.doi.org/10.25750/1995-4301-2022-1-102-108"/>
    <hyperlink ref="BT1320" r:id="rId_hyperlink_2352" tooltip="View Full Record in Web of Science" display="View Full Record in Web of Science"/>
    <hyperlink ref="BF1321" r:id="rId_hyperlink_2353" tooltip="http://dx.doi.org/10.5750/1995-4301-2022-2-228-233" display="http://dx.doi.org/10.5750/1995-4301-2022-2-228-233"/>
    <hyperlink ref="BT1321" r:id="rId_hyperlink_2354" tooltip="View Full Record in Web of Science" display="View Full Record in Web of Science"/>
    <hyperlink ref="BF1322" r:id="rId_hyperlink_2355" tooltip="http://dx.doi.org/10.25750/1995-4301-2019-2-014-031" display="http://dx.doi.org/10.25750/1995-4301-2019-2-014-031"/>
    <hyperlink ref="BT1322" r:id="rId_hyperlink_2356" tooltip="View Full Record in Web of Science" display="View Full Record in Web of Science"/>
    <hyperlink ref="BF1323" r:id="rId_hyperlink_2357" tooltip="http://dx.doi.org/10.1109/WAINA.2017.116" display="http://dx.doi.org/10.1109/WAINA.2017.116"/>
    <hyperlink ref="BT1323" r:id="rId_hyperlink_2358" tooltip="View Full Record in Web of Science" display="View Full Record in Web of Science"/>
    <hyperlink ref="BF1324" r:id="rId_hyperlink_2359" tooltip="http://dx.doi.org/10.25750/1995-4301-2020-4-176-184" display="http://dx.doi.org/10.25750/1995-4301-2020-4-176-184"/>
    <hyperlink ref="BT1324" r:id="rId_hyperlink_2360" tooltip="View Full Record in Web of Science" display="View Full Record in Web of Science"/>
    <hyperlink ref="BF1325" r:id="rId_hyperlink_2361" tooltip="http://dx.doi.org/10.1134/S1064229318030031" display="http://dx.doi.org/10.1134/S1064229318030031"/>
    <hyperlink ref="BT1325" r:id="rId_hyperlink_2362" tooltip="View Full Record in Web of Science" display="View Full Record in Web of Science"/>
    <hyperlink ref="BF1326" r:id="rId_hyperlink_2363" tooltip="http://dx.doi.org/10.1134/S1995425515060050" display="http://dx.doi.org/10.1134/S1995425515060050"/>
    <hyperlink ref="BT1326" r:id="rId_hyperlink_2364" tooltip="View Full Record in Web of Science" display="View Full Record in Web of Science"/>
    <hyperlink ref="BF1327" r:id="rId_hyperlink_2365" tooltip="http://dx.doi.org/10.1021/acs.chemmater.2c01159" display="http://dx.doi.org/10.1021/acs.chemmater.2c01159"/>
    <hyperlink ref="BT1327" r:id="rId_hyperlink_2366" tooltip="View Full Record in Web of Science" display="View Full Record in Web of Science"/>
    <hyperlink ref="BF1328" r:id="rId_hyperlink_2367" tooltip="http://dx.doi.org/10.25750/1995-4301-2018-3-012-018" display="http://dx.doi.org/10.25750/1995-4301-2018-3-012-018"/>
    <hyperlink ref="BT1328" r:id="rId_hyperlink_2368" tooltip="View Full Record in Web of Science" display="View Full Record in Web of Science"/>
    <hyperlink ref="BF1329" r:id="rId_hyperlink_2369" tooltip="http://dx.doi.org/10.3103/S1066369X18060087" display="http://dx.doi.org/10.3103/S1066369X18060087"/>
    <hyperlink ref="BT1329" r:id="rId_hyperlink_2370" tooltip="View Full Record in Web of Science" display="View Full Record in Web of Science"/>
    <hyperlink ref="BF1330" r:id="rId_hyperlink_2371" tooltip="http://dx.doi.org/10.25750/1995-4301-2018-4-114-118" display="http://dx.doi.org/10.25750/1995-4301-2018-4-114-118"/>
    <hyperlink ref="BT1330" r:id="rId_hyperlink_2372" tooltip="View Full Record in Web of Science" display="View Full Record in Web of Science"/>
    <hyperlink ref="BF1331" r:id="rId_hyperlink_2373" tooltip="http://dx.doi.org/10.1134/S0003683817020077" display="http://dx.doi.org/10.1134/S0003683817020077"/>
    <hyperlink ref="BT1331" r:id="rId_hyperlink_2374" tooltip="View Full Record in Web of Science" display="View Full Record in Web of Science"/>
    <hyperlink ref="BF1332" r:id="rId_hyperlink_2375" tooltip="http://dx.doi.org/10.3389/fenrg.2022.1025441" display="http://dx.doi.org/10.3389/fenrg.2022.1025441"/>
    <hyperlink ref="BT1332" r:id="rId_hyperlink_2376" tooltip="View Full Record in Web of Science" display="View Full Record in Web of Science"/>
    <hyperlink ref="BF1333" r:id="rId_hyperlink_2377" tooltip="http://dx.doi.org/10.20511/pyr2021.v9nSPE1.1223" display="http://dx.doi.org/10.20511/pyr2021.v9nSPE1.1223"/>
    <hyperlink ref="BT1333" r:id="rId_hyperlink_2378" tooltip="View Full Record in Web of Science" display="View Full Record in Web of Science"/>
    <hyperlink ref="BF1334" r:id="rId_hyperlink_2379" tooltip="http://dx.doi.org/10.25750/1995-4301-2019-1-111-115" display="http://dx.doi.org/10.25750/1995-4301-2019-1-111-115"/>
    <hyperlink ref="BT1334" r:id="rId_hyperlink_2380" tooltip="View Full Record in Web of Science" display="View Full Record in Web of Science"/>
    <hyperlink ref="BF1335" r:id="rId_hyperlink_2381" tooltip="http://dx.doi.org/10.25750/1995-4301-2020-3-161-167" display="http://dx.doi.org/10.25750/1995-4301-2020-3-161-167"/>
    <hyperlink ref="BT1335" r:id="rId_hyperlink_2382" tooltip="View Full Record in Web of Science" display="View Full Record in Web of Science"/>
    <hyperlink ref="BT1336" r:id="rId_hyperlink_2383" tooltip="View Full Record in Web of Science" display="View Full Record in Web of Science"/>
    <hyperlink ref="BF1337" r:id="rId_hyperlink_2384" tooltip="http://dx.doi.org/10.1080/09553002.2018.1492167" display="http://dx.doi.org/10.1080/09553002.2018.1492167"/>
    <hyperlink ref="BT1337" r:id="rId_hyperlink_2385" tooltip="View Full Record in Web of Science" display="View Full Record in Web of Science"/>
    <hyperlink ref="BF1338" r:id="rId_hyperlink_2386" tooltip="http://dx.doi.org/10.1016/j.carbpol.2020.116166" display="http://dx.doi.org/10.1016/j.carbpol.2020.116166"/>
    <hyperlink ref="BT1338" r:id="rId_hyperlink_2387" tooltip="View Full Record in Web of Science" display="View Full Record in Web of Science"/>
    <hyperlink ref="BF1339" r:id="rId_hyperlink_2388" tooltip="http://dx.doi.org/10.15561/18189172.2019.0404" display="http://dx.doi.org/10.15561/18189172.2019.0404"/>
    <hyperlink ref="BT1339" r:id="rId_hyperlink_2389" tooltip="View Full Record in Web of Science" display="View Full Record in Web of Science"/>
    <hyperlink ref="BF1340" r:id="rId_hyperlink_2390" tooltip="http://dx.doi.org/10.3390/polym10080817" display="http://dx.doi.org/10.3390/polym10080817"/>
    <hyperlink ref="BT1340" r:id="rId_hyperlink_2391" tooltip="View Full Record in Web of Science" display="View Full Record in Web of Science"/>
    <hyperlink ref="BF1341" r:id="rId_hyperlink_2392" tooltip="http://dx.doi.org/10.1177/0883911516637374" display="http://dx.doi.org/10.1177/0883911516637374"/>
    <hyperlink ref="BT1341" r:id="rId_hyperlink_2393" tooltip="View Full Record in Web of Science" display="View Full Record in Web of Science"/>
    <hyperlink ref="BF1342" r:id="rId_hyperlink_2394" tooltip="http://dx.doi.org/10.1080/00914037.2015.1129955" display="http://dx.doi.org/10.1080/00914037.2015.1129955"/>
    <hyperlink ref="BT1342" r:id="rId_hyperlink_2395" tooltip="View Full Record in Web of Science" display="View Full Record in Web of Science"/>
    <hyperlink ref="BF1343" r:id="rId_hyperlink_2396" tooltip="http://dx.doi.org/10.1134/S1990747818020058" display="http://dx.doi.org/10.1134/S1990747818020058"/>
    <hyperlink ref="BT1343" r:id="rId_hyperlink_2397" tooltip="View Full Record in Web of Science" display="View Full Record in Web of Science"/>
    <hyperlink ref="BF1344" r:id="rId_hyperlink_2398" tooltip="http://dx.doi.org/10.1007/978-3-030-24289-3_20" display="http://dx.doi.org/10.1007/978-3-030-24289-3_20"/>
    <hyperlink ref="BT1344" r:id="rId_hyperlink_2399" tooltip="View Full Record in Web of Science" display="View Full Record in Web of Science"/>
    <hyperlink ref="BF1345" r:id="rId_hyperlink_2400" tooltip="http://dx.doi.org/10.5220/0007839606480655" display="http://dx.doi.org/10.5220/0007839606480655"/>
    <hyperlink ref="BT1345" r:id="rId_hyperlink_2401" tooltip="View Full Record in Web of Science" display="View Full Record in Web of Science"/>
    <hyperlink ref="BF1346" r:id="rId_hyperlink_2402" tooltip="http://dx.doi.org/10.25750/1995-4301-2018-2-005-015" display="http://dx.doi.org/10.25750/1995-4301-2018-2-005-015"/>
    <hyperlink ref="BT1346" r:id="rId_hyperlink_2403" tooltip="View Full Record in Web of Science" display="View Full Record in Web of Science"/>
    <hyperlink ref="BF1347" r:id="rId_hyperlink_2404" tooltip="http://dx.doi.org/10.3390/membranes12111084" display="http://dx.doi.org/10.3390/membranes12111084"/>
    <hyperlink ref="BT1347" r:id="rId_hyperlink_2405" tooltip="View Full Record in Web of Science" display="View Full Record in Web of Science"/>
    <hyperlink ref="BF1348" r:id="rId_hyperlink_2406" tooltip="http://dx.doi.org/10.25750/1995-4301-2020-4-216-222" display="http://dx.doi.org/10.25750/1995-4301-2020-4-216-222"/>
    <hyperlink ref="BT1348" r:id="rId_hyperlink_2407" tooltip="View Full Record in Web of Science" display="View Full Record in Web of Science"/>
    <hyperlink ref="BF1349" r:id="rId_hyperlink_2408" tooltip="http://dx.doi.org/10.1016/j.ceramint.2021.11.151" display="http://dx.doi.org/10.1016/j.ceramint.2021.11.151"/>
    <hyperlink ref="BT1349" r:id="rId_hyperlink_2409" tooltip="View Full Record in Web of Science" display="View Full Record in Web of Science"/>
    <hyperlink ref="BT1350" r:id="rId_hyperlink_2410" tooltip="View Full Record in Web of Science" display="View Full Record in Web of Science"/>
    <hyperlink ref="BF1351" r:id="rId_hyperlink_2411" tooltip="http://dx.doi.org/10.25750/1995-4301-2019-2-113-120" display="http://dx.doi.org/10.25750/1995-4301-2019-2-113-120"/>
    <hyperlink ref="BT1351" r:id="rId_hyperlink_2412" tooltip="View Full Record in Web of Science" display="View Full Record in Web of Science"/>
    <hyperlink ref="BF1352" r:id="rId_hyperlink_2413" tooltip="http://dx.doi.org/10.25750/1995-4301-2019-3-101-108" display="http://dx.doi.org/10.25750/1995-4301-2019-3-101-108"/>
    <hyperlink ref="BT1352" r:id="rId_hyperlink_2414" tooltip="View Full Record in Web of Science" display="View Full Record in Web of Science"/>
    <hyperlink ref="BF1353" r:id="rId_hyperlink_2415" tooltip="http://dx.doi.org/10.25750/1995-4301-2019-3-072-079" display="http://dx.doi.org/10.25750/1995-4301-2019-3-072-079"/>
    <hyperlink ref="BT1353" r:id="rId_hyperlink_2416" tooltip="View Full Record in Web of Science" display="View Full Record in Web of Science"/>
    <hyperlink ref="BF1354" r:id="rId_hyperlink_2417" tooltip="http://dx.doi.org/10.25750/1995-4301-2018-2-117-124" display="http://dx.doi.org/10.25750/1995-4301-2018-2-117-124"/>
    <hyperlink ref="BT1354" r:id="rId_hyperlink_2418" tooltip="View Full Record in Web of Science" display="View Full Record in Web of Science"/>
    <hyperlink ref="BF1355" r:id="rId_hyperlink_2419" tooltip="http://dx.doi.org/10.7868/S0233475518020032" display="http://dx.doi.org/10.7868/S0233475518020032"/>
    <hyperlink ref="BT1355" r:id="rId_hyperlink_2420" tooltip="View Full Record in Web of Science" display="View Full Record in Web of Science"/>
    <hyperlink ref="BF1356" r:id="rId_hyperlink_2421" tooltip="http://dx.doi.org/10.31407/ijees12.345" display="http://dx.doi.org/10.31407/ijees12.345"/>
    <hyperlink ref="BT1356" r:id="rId_hyperlink_2422" tooltip="View Full Record in Web of Science" display="View Full Record in Web of Science"/>
    <hyperlink ref="BF1357" r:id="rId_hyperlink_2423" tooltip="http://dx.doi.org/10.17223/15617793/441/31" display="http://dx.doi.org/10.17223/15617793/441/31"/>
    <hyperlink ref="BT1357" r:id="rId_hyperlink_2424" tooltip="View Full Record in Web of Science" display="View Full Record in Web of Science"/>
    <hyperlink ref="BF1358" r:id="rId_hyperlink_2425" tooltip="http://dx.doi.org/10.25750/1995-4301-2021-2-215-221" display="http://dx.doi.org/10.25750/1995-4301-2021-2-215-221"/>
    <hyperlink ref="BT1358" r:id="rId_hyperlink_2426" tooltip="View Full Record in Web of Science" display="View Full Record in Web of Science"/>
    <hyperlink ref="BF1359" r:id="rId_hyperlink_2427" tooltip="http://dx.doi.org/10.1371/journal.pone.0137517" display="http://dx.doi.org/10.1371/journal.pone.0137517"/>
    <hyperlink ref="BT1359" r:id="rId_hyperlink_2428" tooltip="View Full Record in Web of Science" display="View Full Record in Web of Science"/>
    <hyperlink ref="BF1360" r:id="rId_hyperlink_2429" tooltip="http://dx.doi.org/10.29333/ejmste/83561" display="http://dx.doi.org/10.29333/ejmste/83561"/>
    <hyperlink ref="BT1360" r:id="rId_hyperlink_2430" tooltip="View Full Record in Web of Science" display="View Full Record in Web of Science"/>
    <hyperlink ref="BF1361" r:id="rId_hyperlink_2431" tooltip="http://dx.doi.org/10.1007/978-3-030-01514-5_10" display="http://dx.doi.org/10.1007/978-3-030-01514-5_10"/>
    <hyperlink ref="BT1361" r:id="rId_hyperlink_2432" tooltip="View Full Record in Web of Science" display="View Full Record in Web of Science"/>
    <hyperlink ref="BF1362" r:id="rId_hyperlink_2433" tooltip="http://dx.doi.org/10.3991/ijet.v15i13.14663" display="http://dx.doi.org/10.3991/ijet.v15i13.14663"/>
    <hyperlink ref="BT1362" r:id="rId_hyperlink_2434" tooltip="View Full Record in Web of Science" display="View Full Record in Web of Science"/>
    <hyperlink ref="BF1363" r:id="rId_hyperlink_2435" tooltip="http://dx.doi.org/10.1080/07420528.2019.1683858" display="http://dx.doi.org/10.1080/07420528.2019.1683858"/>
    <hyperlink ref="BT1363" r:id="rId_hyperlink_2436" tooltip="View Full Record in Web of Science" display="View Full Record in Web of Science"/>
    <hyperlink ref="BF1364" r:id="rId_hyperlink_2437" tooltip="http://dx.doi.org/10.30935/ojcmt/12877" display="http://dx.doi.org/10.30935/ojcmt/12877"/>
    <hyperlink ref="BT1364" r:id="rId_hyperlink_2438" tooltip="View Full Record in Web of Science" display="View Full Record in Web of Science"/>
    <hyperlink ref="BF1365" r:id="rId_hyperlink_2439" tooltip="http://dx.doi.org/10.7868/S0233475515030032" display="http://dx.doi.org/10.7868/S0233475515030032"/>
    <hyperlink ref="BT1365" r:id="rId_hyperlink_2440" tooltip="View Full Record in Web of Science" display="View Full Record in Web of Science"/>
    <hyperlink ref="BF1366" r:id="rId_hyperlink_2441" tooltip="http://dx.doi.org/10.15407/jnpae2018.01.043" display="http://dx.doi.org/10.15407/jnpae2018.01.043"/>
    <hyperlink ref="BT1366" r:id="rId_hyperlink_2442" tooltip="View Full Record in Web of Science" display="View Full Record in Web of Science"/>
    <hyperlink ref="BF1367" r:id="rId_hyperlink_2443" tooltip="http://dx.doi.org/10.17223/15617793/431/30" display="http://dx.doi.org/10.17223/15617793/431/30"/>
    <hyperlink ref="BT1367" r:id="rId_hyperlink_2444" tooltip="View Full Record in Web of Science" display="View Full Record in Web of Science"/>
    <hyperlink ref="BF1368" r:id="rId_hyperlink_2445" tooltip="http://dx.doi.org/10.1016/j.mrfmmm.2015.09.004" display="http://dx.doi.org/10.1016/j.mrfmmm.2015.09.004"/>
    <hyperlink ref="BT1368" r:id="rId_hyperlink_2446" tooltip="View Full Record in Web of Science" display="View Full Record in Web of Science"/>
    <hyperlink ref="BF1369" r:id="rId_hyperlink_2447" tooltip="http://dx.doi.org/10.1108/IJEM-10-2017-0296" display="http://dx.doi.org/10.1108/IJEM-10-2017-0296"/>
    <hyperlink ref="BT1369" r:id="rId_hyperlink_2448" tooltip="View Full Record in Web of Science" display="View Full Record in Web of Science"/>
    <hyperlink ref="BT1370" r:id="rId_hyperlink_2449" tooltip="View Full Record in Web of Science" display="View Full Record in Web of Science"/>
    <hyperlink ref="BF1371" r:id="rId_hyperlink_2450" tooltip="http://dx.doi.org/10.1057/s41599-022-01151-2" display="http://dx.doi.org/10.1057/s41599-022-01151-2"/>
    <hyperlink ref="BT1371" r:id="rId_hyperlink_2451" tooltip="View Full Record in Web of Science" display="View Full Record in Web of Science"/>
    <hyperlink ref="BF1372" r:id="rId_hyperlink_2452" tooltip="http://dx.doi.org/10.1007/s40519-021-01259-5" display="http://dx.doi.org/10.1007/s40519-021-01259-5"/>
    <hyperlink ref="BT1372" r:id="rId_hyperlink_2453" tooltip="View Full Record in Web of Science" display="View Full Record in Web of Science"/>
    <hyperlink ref="BT1373" r:id="rId_hyperlink_2454" tooltip="View Full Record in Web of Science" display="View Full Record in Web of Science"/>
    <hyperlink ref="BF1374" r:id="rId_hyperlink_2455" tooltip="http://dx.doi.org/10.12973/ejmste/80613" display="http://dx.doi.org/10.12973/ejmste/80613"/>
    <hyperlink ref="BT1374" r:id="rId_hyperlink_2456" tooltip="View Full Record in Web of Science" display="View Full Record in Web of Science"/>
    <hyperlink ref="BF1375" r:id="rId_hyperlink_2457" tooltip="http://dx.doi.org/10.1002/masy.201800130" display="http://dx.doi.org/10.1002/masy.201800130"/>
    <hyperlink ref="BT1375" r:id="rId_hyperlink_2458" tooltip="View Full Record in Web of Science" display="View Full Record in Web of Science"/>
    <hyperlink ref="BF1376" r:id="rId_hyperlink_2459" tooltip="http://dx.doi.org/10.20511/pyr2020.v8nSPE2.643" display="http://dx.doi.org/10.20511/pyr2020.v8nSPE2.643"/>
    <hyperlink ref="BT1376" r:id="rId_hyperlink_2460" tooltip="View Full Record in Web of Science" display="View Full Record in Web of Science"/>
    <hyperlink ref="BF1377" r:id="rId_hyperlink_2461" tooltip="http://dx.doi.org/10.1080/09291016.2022.2041289" display="http://dx.doi.org/10.1080/09291016.2022.2041289"/>
    <hyperlink ref="BT1377" r:id="rId_hyperlink_2462" tooltip="View Full Record in Web of Science" display="View Full Record in Web of Science"/>
    <hyperlink ref="BF1378" r:id="rId_hyperlink_2463" tooltip="http://dx.doi.org/10.1080/1536383X.2021.1960315" display="http://dx.doi.org/10.1080/1536383X.2021.1960315"/>
    <hyperlink ref="BT1378" r:id="rId_hyperlink_2464" tooltip="View Full Record in Web of Science" display="View Full Record in Web of Science"/>
    <hyperlink ref="BF1379" r:id="rId_hyperlink_2465" tooltip="http://dx.doi.org/10.3390/app122412681" display="http://dx.doi.org/10.3390/app122412681"/>
    <hyperlink ref="BT1379" r:id="rId_hyperlink_2466" tooltip="View Full Record in Web of Science" display="View Full Record in Web of Science"/>
    <hyperlink ref="BF1380" r:id="rId_hyperlink_2467" tooltip="http://dx.doi.org/10.1007/978-3-319-45462-7_7" display="http://dx.doi.org/10.1007/978-3-319-45462-7_7"/>
    <hyperlink ref="BT1380" r:id="rId_hyperlink_2468" tooltip="View Full Record in Web of Science" display="View Full Record in Web of Science"/>
    <hyperlink ref="BF1381" r:id="rId_hyperlink_2469" tooltip="http://dx.doi.org/10.30935/ojcmt/13018" display="http://dx.doi.org/10.30935/ojcmt/13018"/>
    <hyperlink ref="BT1381" r:id="rId_hyperlink_2470" tooltip="View Full Record in Web of Science" display="View Full Record in Web of Science"/>
    <hyperlink ref="BF1382" r:id="rId_hyperlink_2471" tooltip="http://dx.doi.org/10.3390/jrfm14010038" display="http://dx.doi.org/10.3390/jrfm14010038"/>
    <hyperlink ref="BT1382" r:id="rId_hyperlink_2472" tooltip="View Full Record in Web of Science" display="View Full Record in Web of Science"/>
    <hyperlink ref="BF1383" r:id="rId_hyperlink_2473" tooltip="http://dx.doi.org/10.3390/biom10121694" display="http://dx.doi.org/10.3390/biom10121694"/>
    <hyperlink ref="BT1383" r:id="rId_hyperlink_2474" tooltip="View Full Record in Web of Science" display="View Full Record in Web of Science"/>
    <hyperlink ref="BF1384" r:id="rId_hyperlink_2475" tooltip="http://dx.doi.org/10.15376/biores.18.3.4492-4509" display="http://dx.doi.org/10.15376/biores.18.3.4492-4509"/>
    <hyperlink ref="BT1384" r:id="rId_hyperlink_2476" tooltip="View Full Record in Web of Science" display="View Full Record in Web of Science"/>
    <hyperlink ref="BT1385" r:id="rId_hyperlink_2477" tooltip="View Full Record in Web of Science" display="View Full Record in Web of Science"/>
    <hyperlink ref="BF1386" r:id="rId_hyperlink_2478" tooltip="http://dx.doi.org/10.20511/pyr2021.v9nSPE3.1133" display="http://dx.doi.org/10.20511/pyr2021.v9nSPE3.1133"/>
    <hyperlink ref="BT1386" r:id="rId_hyperlink_2479" tooltip="View Full Record in Web of Science" display="View Full Record in Web of Science"/>
    <hyperlink ref="BF1387" r:id="rId_hyperlink_2480" tooltip="http://dx.doi.org/10.31857/S020595920000838-7" display="http://dx.doi.org/10.31857/S020595920000838-7"/>
    <hyperlink ref="BT1387" r:id="rId_hyperlink_2481" tooltip="View Full Record in Web of Science" display="View Full Record in Web of Science"/>
    <hyperlink ref="BF1388" r:id="rId_hyperlink_2482" tooltip="http://dx.doi.org/10.1002/erv.2731" display="http://dx.doi.org/10.1002/erv.2731"/>
    <hyperlink ref="BT1388" r:id="rId_hyperlink_2483" tooltip="View Full Record in Web of Science" display="View Full Record in Web of Science"/>
    <hyperlink ref="BF1389" r:id="rId_hyperlink_2484" tooltip="http://dx.doi.org/10.1002/erv.2728" display="http://dx.doi.org/10.1002/erv.2728"/>
    <hyperlink ref="BT1389" r:id="rId_hyperlink_2485" tooltip="View Full Record in Web of Science" display="View Full Record in Web of Science"/>
    <hyperlink ref="BF1390" r:id="rId_hyperlink_2486" tooltip="http://dx.doi.org/10.1108/978-1-78973-881-020191012" display="http://dx.doi.org/10.1108/978-1-78973-881-020191012"/>
    <hyperlink ref="BT1390" r:id="rId_hyperlink_2487" tooltip="View Full Record in Web of Science" display="View Full Record in Web of Science"/>
    <hyperlink ref="BF1391" r:id="rId_hyperlink_2488" tooltip="http://dx.doi.org/10.1007/s40519-020-01064-6" display="http://dx.doi.org/10.1007/s40519-020-01064-6"/>
    <hyperlink ref="BT1391" r:id="rId_hyperlink_2489" tooltip="View Full Record in Web of Science" display="View Full Record in Web of Science"/>
    <hyperlink ref="BF1392" r:id="rId_hyperlink_2490" tooltip="http://dx.doi.org/10.3103/S1068366621030132" display="http://dx.doi.org/10.3103/S1068366621030132"/>
    <hyperlink ref="BT1392" r:id="rId_hyperlink_2491" tooltip="View Full Record in Web of Science" display="View Full Record in Web of Science"/>
    <hyperlink ref="BT1393" r:id="rId_hyperlink_2492" tooltip="View Full Record in Web of Science" display="View Full Record in Web of Science"/>
    <hyperlink ref="BF1394" r:id="rId_hyperlink_2493" tooltip="http://dx.doi.org/10.3390/molecules27154812" display="http://dx.doi.org/10.3390/molecules27154812"/>
    <hyperlink ref="BT1394" r:id="rId_hyperlink_2494" tooltip="View Full Record in Web of Science" display="View Full Record in Web of Science"/>
    <hyperlink ref="BF1395" r:id="rId_hyperlink_2495" tooltip="http://dx.doi.org/10.1134/S1995078018020040" display="http://dx.doi.org/10.1134/S1995078018020040"/>
    <hyperlink ref="BT1395" r:id="rId_hyperlink_2496" tooltip="View Full Record in Web of Science" display="View Full Record in Web of Science"/>
    <hyperlink ref="BF1396" r:id="rId_hyperlink_2497" tooltip="http://dx.doi.org/10.1016/j.ceramint.2022.08.115" display="http://dx.doi.org/10.1016/j.ceramint.2022.08.115"/>
    <hyperlink ref="BT1396" r:id="rId_hyperlink_2498" tooltip="View Full Record in Web of Science" display="View Full Record in Web of Science"/>
    <hyperlink ref="BF1397" r:id="rId_hyperlink_2499" tooltip="http://dx.doi.org/10.15376/biores.17.2.3025-3041" display="http://dx.doi.org/10.15376/biores.17.2.3025-3041"/>
    <hyperlink ref="BT1397" r:id="rId_hyperlink_2500" tooltip="View Full Record in Web of Science" display="View Full Record in Web of Science"/>
    <hyperlink ref="BT1398" r:id="rId_hyperlink_2501" tooltip="View Full Record in Web of Science" display="View Full Record in Web of Science"/>
    <hyperlink ref="BF1399" r:id="rId_hyperlink_2502" tooltip="http://dx.doi.org/10.12973/eurasia.2017.01003a" display="http://dx.doi.org/10.12973/eurasia.2017.01003a"/>
    <hyperlink ref="BT1399" r:id="rId_hyperlink_2503" tooltip="View Full Record in Web of Science" display="View Full Record in Web of Science"/>
    <hyperlink ref="BF1400" r:id="rId_hyperlink_2504" tooltip="http://dx.doi.org/10.1017/S1368980021002160" display="http://dx.doi.org/10.1017/S1368980021002160"/>
    <hyperlink ref="BT1400" r:id="rId_hyperlink_2505" tooltip="View Full Record in Web of Science" display="View Full Record in Web of Science"/>
    <hyperlink ref="BT1401" r:id="rId_hyperlink_2506" tooltip="View Full Record in Web of Science" display="View Full Record in Web of Science"/>
    <hyperlink ref="BF1402" r:id="rId_hyperlink_2507" tooltip="http://dx.doi.org/10.3103/S1068366619060217" display="http://dx.doi.org/10.3103/S1068366619060217"/>
    <hyperlink ref="BT1402" r:id="rId_hyperlink_2508" tooltip="View Full Record in Web of Science" display="View Full Record in Web of Science"/>
    <hyperlink ref="BT1403" r:id="rId_hyperlink_2509" tooltip="View Full Record in Web of Science" display="View Full Record in Web of Science"/>
    <hyperlink ref="BT1404" r:id="rId_hyperlink_2510" tooltip="View Full Record in Web of Science" display="View Full Record in Web of Science"/>
    <hyperlink ref="BT1405" r:id="rId_hyperlink_2511" tooltip="View Full Record in Web of Science" display="View Full Record in Web of Science"/>
    <hyperlink ref="BF1406" r:id="rId_hyperlink_2512" tooltip="http://dx.doi.org/10.1149/1945-7111/ab9a2a" display="http://dx.doi.org/10.1149/1945-7111/ab9a2a"/>
    <hyperlink ref="BT1406" r:id="rId_hyperlink_2513" tooltip="View Full Record in Web of Science" display="View Full Record in Web of Science"/>
    <hyperlink ref="BF1407" r:id="rId_hyperlink_2514" tooltip="http://dx.doi.org/10.3897/BDJ.9.e77615" display="http://dx.doi.org/10.3897/BDJ.9.e77615"/>
    <hyperlink ref="BT1407" r:id="rId_hyperlink_2515" tooltip="View Full Record in Web of Science" display="View Full Record in Web of Science"/>
    <hyperlink ref="BF1408" r:id="rId_hyperlink_2516" tooltip="http://dx.doi.org/10.1371/journal.pone.0282345" display="http://dx.doi.org/10.1371/journal.pone.0282345"/>
    <hyperlink ref="BT1408" r:id="rId_hyperlink_2517" tooltip="View Full Record in Web of Science" display="View Full Record in Web of Science"/>
    <hyperlink ref="BF1409" r:id="rId_hyperlink_2518" tooltip="http://dx.doi.org/10.1038/s42003-023-04727-z" display="http://dx.doi.org/10.1038/s42003-023-04727-z"/>
    <hyperlink ref="BT1409" r:id="rId_hyperlink_2519" tooltip="View Full Record in Web of Science" display="View Full Record in Web of Science"/>
    <hyperlink ref="BF1410" r:id="rId_hyperlink_2520" tooltip="http://dx.doi.org/10.1038/s41467-022-32447-1" display="http://dx.doi.org/10.1038/s41467-022-32447-1"/>
    <hyperlink ref="BT1410" r:id="rId_hyperlink_2521" tooltip="View Full Record in Web of Science" display="View Full Record in Web of Science"/>
  </hyperlinks>
  <printOptions gridLines="false" gridLinesSet="true"/>
  <pageMargins left="0.75" right="0.75" top="1" bottom="1" header="0.5" footer="0.5"/>
  <pageSetup paperSize="1" orientation="portrai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savedrecs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Тарасова Надежда Геннадьевна</dc:creator>
  <cp:lastModifiedBy>Тарасова Надежда Геннадьевна</cp:lastModifiedBy>
  <dcterms:created xsi:type="dcterms:W3CDTF">2023-07-03T08:47:52+03:00</dcterms:created>
  <dcterms:modified xsi:type="dcterms:W3CDTF">2023-07-03T09:20:16+03:00</dcterms:modified>
  <dc:title>Untitled Spreadsheet</dc:title>
  <dc:description/>
  <dc:subject/>
  <cp:keywords/>
  <cp:category/>
</cp:coreProperties>
</file>