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Project\Project\Source\WOS\"/>
    </mc:Choice>
  </mc:AlternateContent>
  <bookViews>
    <workbookView xWindow="0" yWindow="0" windowWidth="28800" windowHeight="12480"/>
  </bookViews>
  <sheets>
    <sheet name="savedrecs" sheetId="1" r:id="rId1"/>
  </sheets>
  <calcPr calcId="162913"/>
</workbook>
</file>

<file path=xl/calcChain.xml><?xml version="1.0" encoding="utf-8"?>
<calcChain xmlns="http://schemas.openxmlformats.org/spreadsheetml/2006/main">
  <c r="BT1407" i="1" l="1"/>
  <c r="BF1407" i="1"/>
  <c r="BT1406" i="1"/>
  <c r="BF1406" i="1"/>
  <c r="BT1405" i="1"/>
  <c r="BF1405" i="1"/>
  <c r="BT1404" i="1"/>
  <c r="BF1404" i="1"/>
  <c r="BT1403" i="1"/>
  <c r="BF1403" i="1"/>
  <c r="BT1402" i="1"/>
  <c r="BT1401" i="1"/>
  <c r="BT1400" i="1"/>
  <c r="BT1399" i="1"/>
  <c r="BF1399" i="1"/>
  <c r="BT1398" i="1"/>
  <c r="BT1397" i="1"/>
  <c r="BF1397" i="1"/>
  <c r="BT1396" i="1"/>
  <c r="BF1396" i="1"/>
  <c r="BT1395" i="1"/>
  <c r="BT1394" i="1"/>
  <c r="BF1394" i="1"/>
  <c r="BT1393" i="1"/>
  <c r="BF1393" i="1"/>
  <c r="BT1392" i="1"/>
  <c r="BF1392" i="1"/>
  <c r="BT1391" i="1"/>
  <c r="BF1391" i="1"/>
  <c r="BT1390" i="1"/>
  <c r="BT1389" i="1"/>
  <c r="BF1389" i="1"/>
  <c r="BT1388" i="1"/>
  <c r="BF1388" i="1"/>
  <c r="BT1387" i="1"/>
  <c r="BF1387" i="1"/>
  <c r="BT1386" i="1"/>
  <c r="BF1386" i="1"/>
  <c r="BT1385" i="1"/>
  <c r="BF1385" i="1"/>
  <c r="BT1384" i="1"/>
  <c r="BF1384" i="1"/>
  <c r="BT1383" i="1"/>
  <c r="BF1383" i="1"/>
  <c r="BT1382" i="1"/>
  <c r="BT1381" i="1"/>
  <c r="BF1381" i="1"/>
  <c r="BT1380" i="1"/>
  <c r="BF1380" i="1"/>
  <c r="BT1379" i="1"/>
  <c r="BF1379" i="1"/>
  <c r="BT1378" i="1"/>
  <c r="BF1378" i="1"/>
  <c r="BT1377" i="1"/>
  <c r="BF1377" i="1"/>
  <c r="BT1376" i="1"/>
  <c r="BF1376" i="1"/>
  <c r="BT1375" i="1"/>
  <c r="BF1375" i="1"/>
  <c r="BT1374" i="1"/>
  <c r="BF1374" i="1"/>
  <c r="BT1373" i="1"/>
  <c r="BF1373" i="1"/>
  <c r="BT1372" i="1"/>
  <c r="BF1372" i="1"/>
  <c r="BT1371" i="1"/>
  <c r="BF1371" i="1"/>
  <c r="BT1370" i="1"/>
  <c r="BT1369" i="1"/>
  <c r="BF1369" i="1"/>
  <c r="BT1368" i="1"/>
  <c r="BF1368" i="1"/>
  <c r="BT1367" i="1"/>
  <c r="BT1366" i="1"/>
  <c r="BF1366" i="1"/>
  <c r="BT1365" i="1"/>
  <c r="BF1365" i="1"/>
  <c r="BT1364" i="1"/>
  <c r="BF1364" i="1"/>
  <c r="BT1363" i="1"/>
  <c r="BF1363" i="1"/>
  <c r="BT1362" i="1"/>
  <c r="BF1362" i="1"/>
  <c r="BT1361" i="1"/>
  <c r="BF1361" i="1"/>
  <c r="BT1360" i="1"/>
  <c r="BF1360" i="1"/>
  <c r="BT1359" i="1"/>
  <c r="BF1359" i="1"/>
  <c r="BT1358" i="1"/>
  <c r="BF1358" i="1"/>
  <c r="BT1357" i="1"/>
  <c r="BF1357" i="1"/>
  <c r="BT1356" i="1"/>
  <c r="BF1356" i="1"/>
  <c r="BT1355" i="1"/>
  <c r="BF1355" i="1"/>
  <c r="BT1354" i="1"/>
  <c r="BF1354" i="1"/>
  <c r="BT1353" i="1"/>
  <c r="BF1353" i="1"/>
  <c r="BT1352" i="1"/>
  <c r="BF1352" i="1"/>
  <c r="BT1351" i="1"/>
  <c r="BF1351" i="1"/>
  <c r="BT1350" i="1"/>
  <c r="BF1350" i="1"/>
  <c r="BT1349" i="1"/>
  <c r="BF1349" i="1"/>
  <c r="BT1348" i="1"/>
  <c r="BF1348" i="1"/>
  <c r="BT1347" i="1"/>
  <c r="BT1346" i="1"/>
  <c r="BF1346" i="1"/>
  <c r="BT1345" i="1"/>
  <c r="BF1345" i="1"/>
  <c r="BT1344" i="1"/>
  <c r="BF1344" i="1"/>
  <c r="BT1343" i="1"/>
  <c r="BF1343" i="1"/>
  <c r="BT1342" i="1"/>
  <c r="BF1342" i="1"/>
  <c r="BT1341" i="1"/>
  <c r="BF1341" i="1"/>
  <c r="BT1340" i="1"/>
  <c r="BF1340" i="1"/>
  <c r="BT1339" i="1"/>
  <c r="BF1339" i="1"/>
  <c r="BT1338" i="1"/>
  <c r="BF1338" i="1"/>
  <c r="BT1337" i="1"/>
  <c r="BF1337" i="1"/>
  <c r="BT1336" i="1"/>
  <c r="BF1336" i="1"/>
  <c r="BT1335" i="1"/>
  <c r="BF1335" i="1"/>
  <c r="BT1334" i="1"/>
  <c r="BF1334" i="1"/>
  <c r="BT1333" i="1"/>
  <c r="BT1332" i="1"/>
  <c r="BF1332" i="1"/>
  <c r="BT1331" i="1"/>
  <c r="BF1331" i="1"/>
  <c r="BT1330" i="1"/>
  <c r="BF1330" i="1"/>
  <c r="BT1329" i="1"/>
  <c r="BF1329" i="1"/>
  <c r="BT1328" i="1"/>
  <c r="BF1328" i="1"/>
  <c r="BT1327" i="1"/>
  <c r="BF1327" i="1"/>
  <c r="BT1326" i="1"/>
  <c r="BF1326" i="1"/>
  <c r="BT1325" i="1"/>
  <c r="BF1325" i="1"/>
  <c r="BT1324" i="1"/>
  <c r="BF1324" i="1"/>
  <c r="BT1323" i="1"/>
  <c r="BF1323" i="1"/>
  <c r="BT1322" i="1"/>
  <c r="BF1322" i="1"/>
  <c r="BT1321" i="1"/>
  <c r="BF1321" i="1"/>
  <c r="BT1320" i="1"/>
  <c r="BF1320" i="1"/>
  <c r="BT1319" i="1"/>
  <c r="BF1319" i="1"/>
  <c r="BT1318" i="1"/>
  <c r="BF1318" i="1"/>
  <c r="BT1317" i="1"/>
  <c r="BF1317" i="1"/>
  <c r="BT1316" i="1"/>
  <c r="BF1316" i="1"/>
  <c r="BT1315" i="1"/>
  <c r="BF1315" i="1"/>
  <c r="BT1314" i="1"/>
  <c r="BF1314" i="1"/>
  <c r="BT1313" i="1"/>
  <c r="BF1313" i="1"/>
  <c r="BT1312" i="1"/>
  <c r="BF1312" i="1"/>
  <c r="BT1311" i="1"/>
  <c r="BF1311" i="1"/>
  <c r="BT1310" i="1"/>
  <c r="BF1310" i="1"/>
  <c r="BT1309" i="1"/>
  <c r="BF1309" i="1"/>
  <c r="BT1308" i="1"/>
  <c r="BF1308" i="1"/>
  <c r="BT1307" i="1"/>
  <c r="BF1307" i="1"/>
  <c r="BT1306" i="1"/>
  <c r="BF1306" i="1"/>
  <c r="BT1305" i="1"/>
  <c r="BT1304" i="1"/>
  <c r="BF1304" i="1"/>
  <c r="BT1303" i="1"/>
  <c r="BF1303" i="1"/>
  <c r="BT1302" i="1"/>
  <c r="BF1302" i="1"/>
  <c r="BT1301" i="1"/>
  <c r="BF1301" i="1"/>
  <c r="BT1300" i="1"/>
  <c r="BF1300" i="1"/>
  <c r="BT1299" i="1"/>
  <c r="BF1299" i="1"/>
  <c r="BT1298" i="1"/>
  <c r="BF1298" i="1"/>
  <c r="BT1297" i="1"/>
  <c r="BF1297" i="1"/>
  <c r="BT1296" i="1"/>
  <c r="BF1296" i="1"/>
  <c r="BT1295" i="1"/>
  <c r="BF1295" i="1"/>
  <c r="BT1294" i="1"/>
  <c r="BF1294" i="1"/>
  <c r="BT1293" i="1"/>
  <c r="BF1293" i="1"/>
  <c r="BT1292" i="1"/>
  <c r="BF1292" i="1"/>
  <c r="BT1291" i="1"/>
  <c r="BF1291" i="1"/>
  <c r="BT1290" i="1"/>
  <c r="BF1290" i="1"/>
  <c r="BT1289" i="1"/>
  <c r="BF1289" i="1"/>
  <c r="BT1288" i="1"/>
  <c r="BF1288" i="1"/>
  <c r="BT1287" i="1"/>
  <c r="BF1287" i="1"/>
  <c r="BT1286" i="1"/>
  <c r="BF1286" i="1"/>
  <c r="BT1285" i="1"/>
  <c r="BF1285" i="1"/>
  <c r="BT1284" i="1"/>
  <c r="BF1284" i="1"/>
  <c r="BT1283" i="1"/>
  <c r="BF1283" i="1"/>
  <c r="BT1282" i="1"/>
  <c r="BF1282" i="1"/>
  <c r="BT1281" i="1"/>
  <c r="BF1281" i="1"/>
  <c r="BT1280" i="1"/>
  <c r="BF1280" i="1"/>
  <c r="BT1279" i="1"/>
  <c r="BF1279" i="1"/>
  <c r="BT1278" i="1"/>
  <c r="BF1278" i="1"/>
  <c r="BT1277" i="1"/>
  <c r="BF1277" i="1"/>
  <c r="BT1276" i="1"/>
  <c r="BF1276" i="1"/>
  <c r="BT1275" i="1"/>
  <c r="BF1275" i="1"/>
  <c r="BT1274" i="1"/>
  <c r="BF1274" i="1"/>
  <c r="BT1273" i="1"/>
  <c r="BF1273" i="1"/>
  <c r="BT1272" i="1"/>
  <c r="BF1272" i="1"/>
  <c r="BT1271" i="1"/>
  <c r="BF1271" i="1"/>
  <c r="BT1270" i="1"/>
  <c r="BF1270" i="1"/>
  <c r="BT1269" i="1"/>
  <c r="BF1269" i="1"/>
  <c r="BT1268" i="1"/>
  <c r="BF1268" i="1"/>
  <c r="BT1267" i="1"/>
  <c r="BF1267" i="1"/>
  <c r="BT1266" i="1"/>
  <c r="BT1265" i="1"/>
  <c r="BF1265" i="1"/>
  <c r="BT1264" i="1"/>
  <c r="BF1264" i="1"/>
  <c r="BT1263" i="1"/>
  <c r="BF1263" i="1"/>
  <c r="BT1262" i="1"/>
  <c r="BF1262" i="1"/>
  <c r="BT1261" i="1"/>
  <c r="BF1261" i="1"/>
  <c r="BT1260" i="1"/>
  <c r="BF1260" i="1"/>
  <c r="BT1259" i="1"/>
  <c r="BF1259" i="1"/>
  <c r="BT1258" i="1"/>
  <c r="BF1258" i="1"/>
  <c r="BT1257" i="1"/>
  <c r="BF1257" i="1"/>
  <c r="BT1256" i="1"/>
  <c r="BF1256" i="1"/>
  <c r="BT1255" i="1"/>
  <c r="BF1255" i="1"/>
  <c r="BT1254" i="1"/>
  <c r="BF1254" i="1"/>
  <c r="BT1253" i="1"/>
  <c r="BF1253" i="1"/>
  <c r="BT1252" i="1"/>
  <c r="BF1252" i="1"/>
  <c r="BT1251" i="1"/>
  <c r="BF1251" i="1"/>
  <c r="BT1250" i="1"/>
  <c r="BF1250" i="1"/>
  <c r="BT1249" i="1"/>
  <c r="BF1249" i="1"/>
  <c r="BT1248" i="1"/>
  <c r="BF1248" i="1"/>
  <c r="BT1247" i="1"/>
  <c r="BF1247" i="1"/>
  <c r="BT1246" i="1"/>
  <c r="BF1246" i="1"/>
  <c r="BT1245" i="1"/>
  <c r="BF1245" i="1"/>
  <c r="BT1244" i="1"/>
  <c r="BF1244" i="1"/>
  <c r="BT1243" i="1"/>
  <c r="BF1243" i="1"/>
  <c r="BT1242" i="1"/>
  <c r="BF1242" i="1"/>
  <c r="BT1241" i="1"/>
  <c r="BF1241" i="1"/>
  <c r="BT1240" i="1"/>
  <c r="BF1240" i="1"/>
  <c r="BT1239" i="1"/>
  <c r="BF1239" i="1"/>
  <c r="BT1238" i="1"/>
  <c r="BF1238" i="1"/>
  <c r="BT1237" i="1"/>
  <c r="BF1237" i="1"/>
  <c r="BT1236" i="1"/>
  <c r="BF1236" i="1"/>
  <c r="BT1235" i="1"/>
  <c r="BF1235" i="1"/>
  <c r="BT1234" i="1"/>
  <c r="BF1234" i="1"/>
  <c r="BT1233" i="1"/>
  <c r="BF1233" i="1"/>
  <c r="BT1232" i="1"/>
  <c r="BF1232" i="1"/>
  <c r="BT1231" i="1"/>
  <c r="BT1230" i="1"/>
  <c r="BF1230" i="1"/>
  <c r="BT1229" i="1"/>
  <c r="BT1228" i="1"/>
  <c r="BF1228" i="1"/>
  <c r="BT1227" i="1"/>
  <c r="BF1227" i="1"/>
  <c r="BT1226" i="1"/>
  <c r="BF1226" i="1"/>
  <c r="BT1225" i="1"/>
  <c r="BF1225" i="1"/>
  <c r="BT1224" i="1"/>
  <c r="BF1224" i="1"/>
  <c r="BT1223" i="1"/>
  <c r="BF1223" i="1"/>
  <c r="BT1222" i="1"/>
  <c r="BF1222" i="1"/>
  <c r="BT1221" i="1"/>
  <c r="BF1221" i="1"/>
  <c r="BT1220" i="1"/>
  <c r="BF1220" i="1"/>
  <c r="BT1219" i="1"/>
  <c r="BF1219" i="1"/>
  <c r="BT1218" i="1"/>
  <c r="BF1218" i="1"/>
  <c r="BT1217" i="1"/>
  <c r="BF1217" i="1"/>
  <c r="BT1216" i="1"/>
  <c r="BF1216" i="1"/>
  <c r="BT1215" i="1"/>
  <c r="BF1215" i="1"/>
  <c r="BT1214" i="1"/>
  <c r="BF1214" i="1"/>
  <c r="BT1213" i="1"/>
  <c r="BF1213" i="1"/>
  <c r="BT1212" i="1"/>
  <c r="BF1212" i="1"/>
  <c r="BT1211" i="1"/>
  <c r="BF1211" i="1"/>
  <c r="BT1210" i="1"/>
  <c r="BF1210" i="1"/>
  <c r="BT1209" i="1"/>
  <c r="BF1209" i="1"/>
  <c r="BT1208" i="1"/>
  <c r="BF1208" i="1"/>
  <c r="BT1207" i="1"/>
  <c r="BF1207" i="1"/>
  <c r="BT1206" i="1"/>
  <c r="BF1206" i="1"/>
  <c r="BT1205" i="1"/>
  <c r="BT1204" i="1"/>
  <c r="BF1204" i="1"/>
  <c r="BT1203" i="1"/>
  <c r="BT1202" i="1"/>
  <c r="BF1202" i="1"/>
  <c r="BT1201" i="1"/>
  <c r="BF1201" i="1"/>
  <c r="BT1200" i="1"/>
  <c r="BF1200" i="1"/>
  <c r="BT1199" i="1"/>
  <c r="BF1199" i="1"/>
  <c r="BT1198" i="1"/>
  <c r="BF1198" i="1"/>
  <c r="BT1197" i="1"/>
  <c r="BF1197" i="1"/>
  <c r="BT1196" i="1"/>
  <c r="BF1196" i="1"/>
  <c r="BT1195" i="1"/>
  <c r="BF1195" i="1"/>
  <c r="BT1194" i="1"/>
  <c r="BF1194" i="1"/>
  <c r="BT1193" i="1"/>
  <c r="BF1193" i="1"/>
  <c r="BT1192" i="1"/>
  <c r="BF1192" i="1"/>
  <c r="BT1191" i="1"/>
  <c r="BF1191" i="1"/>
  <c r="BT1190" i="1"/>
  <c r="BF1190" i="1"/>
  <c r="BT1189" i="1"/>
  <c r="BF1189" i="1"/>
  <c r="BT1188" i="1"/>
  <c r="BT1187" i="1"/>
  <c r="BF1187" i="1"/>
  <c r="BT1186" i="1"/>
  <c r="BF1186" i="1"/>
  <c r="BT1185" i="1"/>
  <c r="BF1185" i="1"/>
  <c r="BT1184" i="1"/>
  <c r="BF1184" i="1"/>
  <c r="BT1183" i="1"/>
  <c r="BF1183" i="1"/>
  <c r="BT1182" i="1"/>
  <c r="BF1182" i="1"/>
  <c r="BT1181" i="1"/>
  <c r="BF1181" i="1"/>
  <c r="BT1180" i="1"/>
  <c r="BF1180" i="1"/>
  <c r="BT1179" i="1"/>
  <c r="BT1178" i="1"/>
  <c r="BF1178" i="1"/>
  <c r="BT1177" i="1"/>
  <c r="BF1177" i="1"/>
  <c r="BT1176" i="1"/>
  <c r="BF1176" i="1"/>
  <c r="BT1175" i="1"/>
  <c r="BF1175" i="1"/>
  <c r="BT1174" i="1"/>
  <c r="BT1173" i="1"/>
  <c r="BF1173" i="1"/>
  <c r="BT1172" i="1"/>
  <c r="BF1172" i="1"/>
  <c r="BT1171" i="1"/>
  <c r="BF1171" i="1"/>
  <c r="BT1170" i="1"/>
  <c r="BF1170" i="1"/>
  <c r="BT1169" i="1"/>
  <c r="BF1169" i="1"/>
  <c r="BT1168" i="1"/>
  <c r="BF1168" i="1"/>
  <c r="BT1167" i="1"/>
  <c r="BF1167" i="1"/>
  <c r="BT1166" i="1"/>
  <c r="BF1166" i="1"/>
  <c r="BT1165" i="1"/>
  <c r="BF1165" i="1"/>
  <c r="BT1164" i="1"/>
  <c r="BF1164" i="1"/>
  <c r="BT1163" i="1"/>
  <c r="BF1163" i="1"/>
  <c r="BT1162" i="1"/>
  <c r="BF1162" i="1"/>
  <c r="BT1161" i="1"/>
  <c r="BF1161" i="1"/>
  <c r="BT1160" i="1"/>
  <c r="BF1160" i="1"/>
  <c r="BT1159" i="1"/>
  <c r="BF1159" i="1"/>
  <c r="BT1158" i="1"/>
  <c r="BF1158" i="1"/>
  <c r="BT1157" i="1"/>
  <c r="BF1157" i="1"/>
  <c r="BT1156" i="1"/>
  <c r="BF1156" i="1"/>
  <c r="BT1155" i="1"/>
  <c r="BF1155" i="1"/>
  <c r="BT1154" i="1"/>
  <c r="BF1154" i="1"/>
  <c r="BT1153" i="1"/>
  <c r="BF1153" i="1"/>
  <c r="BT1152" i="1"/>
  <c r="BF1152" i="1"/>
  <c r="BT1151" i="1"/>
  <c r="BF1151" i="1"/>
  <c r="BT1150" i="1"/>
  <c r="BF1150" i="1"/>
  <c r="BT1149" i="1"/>
  <c r="BF1149" i="1"/>
  <c r="BT1148" i="1"/>
  <c r="BF1148" i="1"/>
  <c r="BT1147" i="1"/>
  <c r="BF1147" i="1"/>
  <c r="BT1146" i="1"/>
  <c r="BF1146" i="1"/>
  <c r="BT1145" i="1"/>
  <c r="BF1145" i="1"/>
  <c r="BT1144" i="1"/>
  <c r="BF1144" i="1"/>
  <c r="BT1143" i="1"/>
  <c r="BF1143" i="1"/>
  <c r="BT1142" i="1"/>
  <c r="BF1142" i="1"/>
  <c r="BT1141" i="1"/>
  <c r="BF1141" i="1"/>
  <c r="BT1140" i="1"/>
  <c r="BF1140" i="1"/>
  <c r="BT1139" i="1"/>
  <c r="BF1139" i="1"/>
  <c r="BT1138" i="1"/>
  <c r="BF1138" i="1"/>
  <c r="BT1137" i="1"/>
  <c r="BF1137" i="1"/>
  <c r="BT1136" i="1"/>
  <c r="BF1136" i="1"/>
  <c r="BT1135" i="1"/>
  <c r="BF1135" i="1"/>
  <c r="BT1134" i="1"/>
  <c r="BF1134" i="1"/>
  <c r="BT1133" i="1"/>
  <c r="BF1133" i="1"/>
  <c r="BT1132" i="1"/>
  <c r="BF1132" i="1"/>
  <c r="BT1131" i="1"/>
  <c r="BF1131" i="1"/>
  <c r="BT1130" i="1"/>
  <c r="BF1130" i="1"/>
  <c r="BT1129" i="1"/>
  <c r="BF1129" i="1"/>
  <c r="BT1128" i="1"/>
  <c r="BF1128" i="1"/>
  <c r="BT1127" i="1"/>
  <c r="BF1127" i="1"/>
  <c r="BT1126" i="1"/>
  <c r="BT1125" i="1"/>
  <c r="BF1125" i="1"/>
  <c r="BT1124" i="1"/>
  <c r="BF1124" i="1"/>
  <c r="BT1123" i="1"/>
  <c r="BF1123" i="1"/>
  <c r="BT1122" i="1"/>
  <c r="BF1122" i="1"/>
  <c r="BT1121" i="1"/>
  <c r="BF1121" i="1"/>
  <c r="BT1120" i="1"/>
  <c r="BF1120" i="1"/>
  <c r="BT1119" i="1"/>
  <c r="BF1119" i="1"/>
  <c r="BT1118" i="1"/>
  <c r="BF1118" i="1"/>
  <c r="BT1117" i="1"/>
  <c r="BF1117" i="1"/>
  <c r="BT1116" i="1"/>
  <c r="BF1116" i="1"/>
  <c r="BT1115" i="1"/>
  <c r="BF1115" i="1"/>
  <c r="BT1114" i="1"/>
  <c r="BF1114" i="1"/>
  <c r="BT1113" i="1"/>
  <c r="BF1113" i="1"/>
  <c r="BT1112" i="1"/>
  <c r="BF1112" i="1"/>
  <c r="BT1111" i="1"/>
  <c r="BT1110" i="1"/>
  <c r="BF1110" i="1"/>
  <c r="BT1109" i="1"/>
  <c r="BF1109" i="1"/>
  <c r="BT1108" i="1"/>
  <c r="BF1108" i="1"/>
  <c r="BT1107" i="1"/>
  <c r="BF1107" i="1"/>
  <c r="BT1106" i="1"/>
  <c r="BT1105" i="1"/>
  <c r="BF1105" i="1"/>
  <c r="BT1104" i="1"/>
  <c r="BF1104" i="1"/>
  <c r="BT1103" i="1"/>
  <c r="BF1103" i="1"/>
  <c r="BT1102" i="1"/>
  <c r="BF1102" i="1"/>
  <c r="BT1101" i="1"/>
  <c r="BF1101" i="1"/>
  <c r="BT1100" i="1"/>
  <c r="BF1100" i="1"/>
  <c r="BT1099" i="1"/>
  <c r="BF1099" i="1"/>
  <c r="BT1098" i="1"/>
  <c r="BF1098" i="1"/>
  <c r="BT1097" i="1"/>
  <c r="BF1097" i="1"/>
  <c r="BT1096" i="1"/>
  <c r="BF1096" i="1"/>
  <c r="BT1095" i="1"/>
  <c r="BF1095" i="1"/>
  <c r="BT1094" i="1"/>
  <c r="BF1094" i="1"/>
  <c r="BT1093" i="1"/>
  <c r="BF1093" i="1"/>
  <c r="BT1092" i="1"/>
  <c r="BT1091" i="1"/>
  <c r="BF1091" i="1"/>
  <c r="BT1090" i="1"/>
  <c r="BF1090" i="1"/>
  <c r="BT1089" i="1"/>
  <c r="BF1089" i="1"/>
  <c r="BT1088" i="1"/>
  <c r="BF1088" i="1"/>
  <c r="BT1087" i="1"/>
  <c r="BF1087" i="1"/>
  <c r="BT1086" i="1"/>
  <c r="BF1086" i="1"/>
  <c r="BT1085" i="1"/>
  <c r="BF1085" i="1"/>
  <c r="BT1084" i="1"/>
  <c r="BT1083" i="1"/>
  <c r="BF1083" i="1"/>
  <c r="BT1082" i="1"/>
  <c r="BF1082" i="1"/>
  <c r="BT1081" i="1"/>
  <c r="BF1081" i="1"/>
  <c r="BT1080" i="1"/>
  <c r="BF1080" i="1"/>
  <c r="BT1079" i="1"/>
  <c r="BF1079" i="1"/>
  <c r="BT1078" i="1"/>
  <c r="BF1078" i="1"/>
  <c r="BT1077" i="1"/>
  <c r="BT1076" i="1"/>
  <c r="BF1076" i="1"/>
  <c r="BT1075" i="1"/>
  <c r="BF1075" i="1"/>
  <c r="BT1074" i="1"/>
  <c r="BF1074" i="1"/>
  <c r="BT1073" i="1"/>
  <c r="BF1073" i="1"/>
  <c r="BT1072" i="1"/>
  <c r="BF1072" i="1"/>
  <c r="BT1071" i="1"/>
  <c r="BF1071" i="1"/>
  <c r="BT1070" i="1"/>
  <c r="BF1070" i="1"/>
  <c r="BT1069" i="1"/>
  <c r="BF1069" i="1"/>
  <c r="BT1068" i="1"/>
  <c r="BF1068" i="1"/>
  <c r="BT1067" i="1"/>
  <c r="BF1067" i="1"/>
  <c r="BT1066" i="1"/>
  <c r="BF1066" i="1"/>
  <c r="BT1065" i="1"/>
  <c r="BF1065" i="1"/>
  <c r="BT1064" i="1"/>
  <c r="BF1064" i="1"/>
  <c r="BT1063" i="1"/>
  <c r="BF1063" i="1"/>
  <c r="BT1062" i="1"/>
  <c r="BF1062" i="1"/>
  <c r="BT1061" i="1"/>
  <c r="BT1060" i="1"/>
  <c r="BF1060" i="1"/>
  <c r="BT1059" i="1"/>
  <c r="BF1059" i="1"/>
  <c r="BT1058" i="1"/>
  <c r="BF1058" i="1"/>
  <c r="BT1057" i="1"/>
  <c r="BF1057" i="1"/>
  <c r="BT1056" i="1"/>
  <c r="BF1056" i="1"/>
  <c r="BT1055" i="1"/>
  <c r="BF1055" i="1"/>
  <c r="BT1054" i="1"/>
  <c r="BF1054" i="1"/>
  <c r="BT1053" i="1"/>
  <c r="BF1053" i="1"/>
  <c r="BT1052" i="1"/>
  <c r="BF1052" i="1"/>
  <c r="BT1051" i="1"/>
  <c r="BF1051" i="1"/>
  <c r="BT1050" i="1"/>
  <c r="BF1050" i="1"/>
  <c r="BT1049" i="1"/>
  <c r="BF1049" i="1"/>
  <c r="BT1048" i="1"/>
  <c r="BF1048" i="1"/>
  <c r="BT1047" i="1"/>
  <c r="BF1047" i="1"/>
  <c r="BT1046" i="1"/>
  <c r="BF1046" i="1"/>
  <c r="BT1045" i="1"/>
  <c r="BF1045" i="1"/>
  <c r="BT1044" i="1"/>
  <c r="BF1044" i="1"/>
  <c r="BT1043" i="1"/>
  <c r="BF1043" i="1"/>
  <c r="BT1042" i="1"/>
  <c r="BF1042" i="1"/>
  <c r="BT1041" i="1"/>
  <c r="BF1041" i="1"/>
  <c r="BT1040" i="1"/>
  <c r="BF1040" i="1"/>
  <c r="BT1039" i="1"/>
  <c r="BF1039" i="1"/>
  <c r="BT1038" i="1"/>
  <c r="BF1038" i="1"/>
  <c r="BT1037" i="1"/>
  <c r="BF1037" i="1"/>
  <c r="BT1036" i="1"/>
  <c r="BT1035" i="1"/>
  <c r="BF1035" i="1"/>
  <c r="BT1034" i="1"/>
  <c r="BF1034" i="1"/>
  <c r="BT1033" i="1"/>
  <c r="BT1032" i="1"/>
  <c r="BF1032" i="1"/>
  <c r="BT1031" i="1"/>
  <c r="BF1031" i="1"/>
  <c r="BT1030" i="1"/>
  <c r="BF1030" i="1"/>
  <c r="BT1029" i="1"/>
  <c r="BF1029" i="1"/>
  <c r="BT1028" i="1"/>
  <c r="BF1028" i="1"/>
  <c r="BT1027" i="1"/>
  <c r="BF1027" i="1"/>
  <c r="BT1026" i="1"/>
  <c r="BF1026" i="1"/>
  <c r="BT1025" i="1"/>
  <c r="BF1025" i="1"/>
  <c r="BT1024" i="1"/>
  <c r="BF1024" i="1"/>
  <c r="BT1023" i="1"/>
  <c r="BF1023" i="1"/>
  <c r="BT1022" i="1"/>
  <c r="BF1022" i="1"/>
  <c r="BT1021" i="1"/>
  <c r="BF1021" i="1"/>
  <c r="BT1020" i="1"/>
  <c r="BT1019" i="1"/>
  <c r="BF1019" i="1"/>
  <c r="BT1018" i="1"/>
  <c r="BF1018" i="1"/>
  <c r="BT1017" i="1"/>
  <c r="BF1017" i="1"/>
  <c r="BT1016" i="1"/>
  <c r="BF1016" i="1"/>
  <c r="BT1015" i="1"/>
  <c r="BF1015" i="1"/>
  <c r="BT1014" i="1"/>
  <c r="BF1014" i="1"/>
  <c r="BT1013" i="1"/>
  <c r="BF1013" i="1"/>
  <c r="BT1012" i="1"/>
  <c r="BF1012" i="1"/>
  <c r="BT1011" i="1"/>
  <c r="BF1011" i="1"/>
  <c r="BT1010" i="1"/>
  <c r="BF1010" i="1"/>
  <c r="BT1009" i="1"/>
  <c r="BF1009" i="1"/>
  <c r="BT1008" i="1"/>
  <c r="BF1008" i="1"/>
  <c r="BT1007" i="1"/>
  <c r="BF1007" i="1"/>
  <c r="BT1006" i="1"/>
  <c r="BF1006" i="1"/>
  <c r="BT1005" i="1"/>
  <c r="BF1005" i="1"/>
  <c r="BT1004" i="1"/>
  <c r="BF1004" i="1"/>
  <c r="BT1003" i="1"/>
  <c r="BF1003" i="1"/>
  <c r="BT1002" i="1"/>
  <c r="BF1002" i="1"/>
  <c r="BT1001" i="1"/>
  <c r="BF1001" i="1"/>
  <c r="BT1000" i="1"/>
  <c r="BF1000" i="1"/>
  <c r="BT999" i="1"/>
  <c r="BF999" i="1"/>
  <c r="BT998" i="1"/>
  <c r="BF998" i="1"/>
  <c r="BT997" i="1"/>
  <c r="BF997" i="1"/>
  <c r="BT996" i="1"/>
  <c r="BF996" i="1"/>
  <c r="BT995" i="1"/>
  <c r="BT994" i="1"/>
  <c r="BF994" i="1"/>
  <c r="BT993" i="1"/>
  <c r="BF993" i="1"/>
  <c r="BT992" i="1"/>
  <c r="BF992" i="1"/>
  <c r="BT991" i="1"/>
  <c r="BT990" i="1"/>
  <c r="BF990" i="1"/>
  <c r="BT989" i="1"/>
  <c r="BF989" i="1"/>
  <c r="BT988" i="1"/>
  <c r="BT987" i="1"/>
  <c r="BF987" i="1"/>
  <c r="BT986" i="1"/>
  <c r="BF986" i="1"/>
  <c r="BT985" i="1"/>
  <c r="BF985" i="1"/>
  <c r="BT984" i="1"/>
  <c r="BT983" i="1"/>
  <c r="BF983" i="1"/>
  <c r="BT982" i="1"/>
  <c r="BF982" i="1"/>
  <c r="BT981" i="1"/>
  <c r="BT980" i="1"/>
  <c r="BF980" i="1"/>
  <c r="BT979" i="1"/>
  <c r="BF979" i="1"/>
  <c r="BT978" i="1"/>
  <c r="BF978" i="1"/>
  <c r="BT977" i="1"/>
  <c r="BF977" i="1"/>
  <c r="BT976" i="1"/>
  <c r="BF976" i="1"/>
  <c r="BT975" i="1"/>
  <c r="BF975" i="1"/>
  <c r="BT974" i="1"/>
  <c r="BF974" i="1"/>
  <c r="BT973" i="1"/>
  <c r="BF973" i="1"/>
  <c r="BT972" i="1"/>
  <c r="BF972" i="1"/>
  <c r="BT971" i="1"/>
  <c r="BT970" i="1"/>
  <c r="BF970" i="1"/>
  <c r="BT969" i="1"/>
  <c r="BF969" i="1"/>
  <c r="BT968" i="1"/>
  <c r="BF968" i="1"/>
  <c r="BT967" i="1"/>
  <c r="BF967" i="1"/>
  <c r="BT966" i="1"/>
  <c r="BF966" i="1"/>
  <c r="BT965" i="1"/>
  <c r="BF965" i="1"/>
  <c r="BT964" i="1"/>
  <c r="BF964" i="1"/>
  <c r="BT963" i="1"/>
  <c r="BF963" i="1"/>
  <c r="BT962" i="1"/>
  <c r="BT961" i="1"/>
  <c r="BF961" i="1"/>
  <c r="BT960" i="1"/>
  <c r="BF960" i="1"/>
  <c r="BT959" i="1"/>
  <c r="BF959" i="1"/>
  <c r="BT958" i="1"/>
  <c r="BF958" i="1"/>
  <c r="BT957" i="1"/>
  <c r="BT956" i="1"/>
  <c r="BF956" i="1"/>
  <c r="BT955" i="1"/>
  <c r="BF955" i="1"/>
  <c r="BT954" i="1"/>
  <c r="BF954" i="1"/>
  <c r="BT953" i="1"/>
  <c r="BF953" i="1"/>
  <c r="BT952" i="1"/>
  <c r="BF952" i="1"/>
  <c r="BT951" i="1"/>
  <c r="BF951" i="1"/>
  <c r="BT950" i="1"/>
  <c r="BF950" i="1"/>
  <c r="BT949" i="1"/>
  <c r="BT948" i="1"/>
  <c r="BF948" i="1"/>
  <c r="BT947" i="1"/>
  <c r="BF947" i="1"/>
  <c r="BT946" i="1"/>
  <c r="BF946" i="1"/>
  <c r="BT945" i="1"/>
  <c r="BF945" i="1"/>
  <c r="BT944" i="1"/>
  <c r="BF944" i="1"/>
  <c r="BT943" i="1"/>
  <c r="BF943" i="1"/>
  <c r="BT942" i="1"/>
  <c r="BT941" i="1"/>
  <c r="BF941" i="1"/>
  <c r="BT940" i="1"/>
  <c r="BF940" i="1"/>
  <c r="BT939" i="1"/>
  <c r="BF939" i="1"/>
  <c r="BT938" i="1"/>
  <c r="BF938" i="1"/>
  <c r="BT937" i="1"/>
  <c r="BF937" i="1"/>
  <c r="BT936" i="1"/>
  <c r="BF936" i="1"/>
  <c r="BT935" i="1"/>
  <c r="BT934" i="1"/>
  <c r="BF934" i="1"/>
  <c r="BT933" i="1"/>
  <c r="BF933" i="1"/>
  <c r="BT932" i="1"/>
  <c r="BF932" i="1"/>
  <c r="BT931" i="1"/>
  <c r="BF931" i="1"/>
  <c r="BT930" i="1"/>
  <c r="BF930" i="1"/>
  <c r="BT929" i="1"/>
  <c r="BT928" i="1"/>
  <c r="BF928" i="1"/>
  <c r="BT927" i="1"/>
  <c r="BF927" i="1"/>
  <c r="BT926" i="1"/>
  <c r="BF926" i="1"/>
  <c r="BT925" i="1"/>
  <c r="BF925" i="1"/>
  <c r="BT924" i="1"/>
  <c r="BT923" i="1"/>
  <c r="BF923" i="1"/>
  <c r="BT922" i="1"/>
  <c r="BF922" i="1"/>
  <c r="BT921" i="1"/>
  <c r="BF921" i="1"/>
  <c r="BT920" i="1"/>
  <c r="BF920" i="1"/>
  <c r="BT919" i="1"/>
  <c r="BT918" i="1"/>
  <c r="BF918" i="1"/>
  <c r="BT917" i="1"/>
  <c r="BT916" i="1"/>
  <c r="BF916" i="1"/>
  <c r="BT915" i="1"/>
  <c r="BF915" i="1"/>
  <c r="BT914" i="1"/>
  <c r="BF914" i="1"/>
  <c r="BT913" i="1"/>
  <c r="BF913" i="1"/>
  <c r="BT912" i="1"/>
  <c r="BF912" i="1"/>
  <c r="BT911" i="1"/>
  <c r="BF911" i="1"/>
  <c r="BT910" i="1"/>
  <c r="BF910" i="1"/>
  <c r="BT909" i="1"/>
  <c r="BT908" i="1"/>
  <c r="BF908" i="1"/>
  <c r="BT907" i="1"/>
  <c r="BF907" i="1"/>
  <c r="BT906" i="1"/>
  <c r="BF906" i="1"/>
  <c r="BT905" i="1"/>
  <c r="BF905" i="1"/>
  <c r="BT904" i="1"/>
  <c r="BF904" i="1"/>
  <c r="BT903" i="1"/>
  <c r="BF903" i="1"/>
  <c r="BT902" i="1"/>
  <c r="BF902" i="1"/>
  <c r="BT901" i="1"/>
  <c r="BF901" i="1"/>
  <c r="BT900" i="1"/>
  <c r="BF900" i="1"/>
  <c r="BT899" i="1"/>
  <c r="BF899" i="1"/>
  <c r="BT898" i="1"/>
  <c r="BF898" i="1"/>
  <c r="BT897" i="1"/>
  <c r="BF897" i="1"/>
  <c r="BT896" i="1"/>
  <c r="BT895" i="1"/>
  <c r="BF895" i="1"/>
  <c r="BT894" i="1"/>
  <c r="BF894" i="1"/>
  <c r="BT893" i="1"/>
  <c r="BF893" i="1"/>
  <c r="BT892" i="1"/>
  <c r="BF892" i="1"/>
  <c r="BT891" i="1"/>
  <c r="BF891" i="1"/>
  <c r="BT890" i="1"/>
  <c r="BF890" i="1"/>
  <c r="BT889" i="1"/>
  <c r="BF889" i="1"/>
  <c r="BT888" i="1"/>
  <c r="BF888" i="1"/>
  <c r="BT887" i="1"/>
  <c r="BF887" i="1"/>
  <c r="BT886" i="1"/>
  <c r="BF886" i="1"/>
  <c r="BT885" i="1"/>
  <c r="BF885" i="1"/>
  <c r="BT884" i="1"/>
  <c r="BF884" i="1"/>
  <c r="BT883" i="1"/>
  <c r="BF883" i="1"/>
  <c r="BT882" i="1"/>
  <c r="BF882" i="1"/>
  <c r="BT881" i="1"/>
  <c r="BF881" i="1"/>
  <c r="BT880" i="1"/>
  <c r="BF880" i="1"/>
  <c r="BT879" i="1"/>
  <c r="BT878" i="1"/>
  <c r="BF878" i="1"/>
  <c r="BT877" i="1"/>
  <c r="BF877" i="1"/>
  <c r="BT876" i="1"/>
  <c r="BT875" i="1"/>
  <c r="BF875" i="1"/>
  <c r="BT874" i="1"/>
  <c r="BF874" i="1"/>
  <c r="BT873" i="1"/>
  <c r="BF873" i="1"/>
  <c r="BT872" i="1"/>
  <c r="BF872" i="1"/>
  <c r="BT871" i="1"/>
  <c r="BF871" i="1"/>
  <c r="BT870" i="1"/>
  <c r="BF870" i="1"/>
  <c r="BT869" i="1"/>
  <c r="BF869" i="1"/>
  <c r="BT868" i="1"/>
  <c r="BF868" i="1"/>
  <c r="BT867" i="1"/>
  <c r="BF867" i="1"/>
  <c r="BT866" i="1"/>
  <c r="BF866" i="1"/>
  <c r="BT865" i="1"/>
  <c r="BF865" i="1"/>
  <c r="BT864" i="1"/>
  <c r="BF864" i="1"/>
  <c r="BT863" i="1"/>
  <c r="BF863" i="1"/>
  <c r="BT862" i="1"/>
  <c r="BF862" i="1"/>
  <c r="BT861" i="1"/>
  <c r="BF861" i="1"/>
  <c r="BT860" i="1"/>
  <c r="BF860" i="1"/>
  <c r="BT859" i="1"/>
  <c r="BT858" i="1"/>
  <c r="BF858" i="1"/>
  <c r="BT857" i="1"/>
  <c r="BF857" i="1"/>
  <c r="BT856" i="1"/>
  <c r="BF856" i="1"/>
  <c r="BT855" i="1"/>
  <c r="BF855" i="1"/>
  <c r="BT854" i="1"/>
  <c r="BF854" i="1"/>
  <c r="BT853" i="1"/>
  <c r="BF853" i="1"/>
  <c r="BT852" i="1"/>
  <c r="BF852" i="1"/>
  <c r="BT851" i="1"/>
  <c r="BF851" i="1"/>
  <c r="BT850" i="1"/>
  <c r="BT849" i="1"/>
  <c r="BT848" i="1"/>
  <c r="BF848" i="1"/>
  <c r="BT847" i="1"/>
  <c r="BF847" i="1"/>
  <c r="BT846" i="1"/>
  <c r="BF846" i="1"/>
  <c r="BT845" i="1"/>
  <c r="BT844" i="1"/>
  <c r="BF844" i="1"/>
  <c r="BT843" i="1"/>
  <c r="BF843" i="1"/>
  <c r="BT842" i="1"/>
  <c r="BF842" i="1"/>
  <c r="BT841" i="1"/>
  <c r="BF841" i="1"/>
  <c r="BT840" i="1"/>
  <c r="BF840" i="1"/>
  <c r="BT839" i="1"/>
  <c r="BF839" i="1"/>
  <c r="BT838" i="1"/>
  <c r="BF838" i="1"/>
  <c r="BT837" i="1"/>
  <c r="BF837" i="1"/>
  <c r="BT836" i="1"/>
  <c r="BF836" i="1"/>
  <c r="BT835" i="1"/>
  <c r="BF835" i="1"/>
  <c r="BT834" i="1"/>
  <c r="BT833" i="1"/>
  <c r="BF833" i="1"/>
  <c r="BT832" i="1"/>
  <c r="BF832" i="1"/>
  <c r="BT831" i="1"/>
  <c r="BF831" i="1"/>
  <c r="BT830" i="1"/>
  <c r="BF830" i="1"/>
  <c r="BT829" i="1"/>
  <c r="BT828" i="1"/>
  <c r="BT827" i="1"/>
  <c r="BF827" i="1"/>
  <c r="BT826" i="1"/>
  <c r="BF826" i="1"/>
  <c r="BT825" i="1"/>
  <c r="BF825" i="1"/>
  <c r="BT824" i="1"/>
  <c r="BT823" i="1"/>
  <c r="BF823" i="1"/>
  <c r="BT822" i="1"/>
  <c r="BF822" i="1"/>
  <c r="BT821" i="1"/>
  <c r="BF821" i="1"/>
  <c r="BT820" i="1"/>
  <c r="BT819" i="1"/>
  <c r="BF819" i="1"/>
  <c r="BT818" i="1"/>
  <c r="BF818" i="1"/>
  <c r="BT817" i="1"/>
  <c r="BF817" i="1"/>
  <c r="BT816" i="1"/>
  <c r="BF816" i="1"/>
  <c r="BT815" i="1"/>
  <c r="BF815" i="1"/>
  <c r="BT814" i="1"/>
  <c r="BF814" i="1"/>
  <c r="BT813" i="1"/>
  <c r="BF813" i="1"/>
  <c r="BT812" i="1"/>
  <c r="BF812" i="1"/>
  <c r="BT811" i="1"/>
  <c r="BF811" i="1"/>
  <c r="BT810" i="1"/>
  <c r="BF810" i="1"/>
  <c r="BT809" i="1"/>
  <c r="BF809" i="1"/>
  <c r="BT808" i="1"/>
  <c r="BF808" i="1"/>
  <c r="BT807" i="1"/>
  <c r="BF807" i="1"/>
  <c r="BT806" i="1"/>
  <c r="BF806" i="1"/>
  <c r="BT805" i="1"/>
  <c r="BF805" i="1"/>
  <c r="BT804" i="1"/>
  <c r="BF804" i="1"/>
  <c r="BT803" i="1"/>
  <c r="BF803" i="1"/>
  <c r="BT802" i="1"/>
  <c r="BF802" i="1"/>
  <c r="BT801" i="1"/>
  <c r="BF801" i="1"/>
  <c r="BT800" i="1"/>
  <c r="BF800" i="1"/>
  <c r="BT799" i="1"/>
  <c r="BF799" i="1"/>
  <c r="BT798" i="1"/>
  <c r="BT797" i="1"/>
  <c r="BF797" i="1"/>
  <c r="BT796" i="1"/>
  <c r="BT795" i="1"/>
  <c r="BF795" i="1"/>
  <c r="BT794" i="1"/>
  <c r="BF794" i="1"/>
  <c r="BT793" i="1"/>
  <c r="BF793" i="1"/>
  <c r="BT792" i="1"/>
  <c r="BF792" i="1"/>
  <c r="BT791" i="1"/>
  <c r="BF791" i="1"/>
  <c r="BT790" i="1"/>
  <c r="BF790" i="1"/>
  <c r="BT789" i="1"/>
  <c r="BF789" i="1"/>
  <c r="BT788" i="1"/>
  <c r="BF788" i="1"/>
  <c r="BT787" i="1"/>
  <c r="BF787" i="1"/>
  <c r="BT786" i="1"/>
  <c r="BF786" i="1"/>
  <c r="BT785" i="1"/>
  <c r="BF785" i="1"/>
  <c r="BT784" i="1"/>
  <c r="BF784" i="1"/>
  <c r="BT783" i="1"/>
  <c r="BF783" i="1"/>
  <c r="BT782" i="1"/>
  <c r="BF782" i="1"/>
  <c r="BT781" i="1"/>
  <c r="BF781" i="1"/>
  <c r="BT780" i="1"/>
  <c r="BF780" i="1"/>
  <c r="BT779" i="1"/>
  <c r="BF779" i="1"/>
  <c r="BT778" i="1"/>
  <c r="BF778" i="1"/>
  <c r="BT777" i="1"/>
  <c r="BF777" i="1"/>
  <c r="BT776" i="1"/>
  <c r="BF776" i="1"/>
  <c r="BT775" i="1"/>
  <c r="BF775" i="1"/>
  <c r="BT774" i="1"/>
  <c r="BF774" i="1"/>
  <c r="BT773" i="1"/>
  <c r="BT772" i="1"/>
  <c r="BF772" i="1"/>
  <c r="BT771" i="1"/>
  <c r="BF771" i="1"/>
  <c r="BT770" i="1"/>
  <c r="BF770" i="1"/>
  <c r="BT769" i="1"/>
  <c r="BF769" i="1"/>
  <c r="BT768" i="1"/>
  <c r="BF768" i="1"/>
  <c r="BT767" i="1"/>
  <c r="BF767" i="1"/>
  <c r="BT766" i="1"/>
  <c r="BF766" i="1"/>
  <c r="BT765" i="1"/>
  <c r="BT764" i="1"/>
  <c r="BF764" i="1"/>
  <c r="BT763" i="1"/>
  <c r="BF763" i="1"/>
  <c r="BT762" i="1"/>
  <c r="BT761" i="1"/>
  <c r="BT760" i="1"/>
  <c r="BF760" i="1"/>
  <c r="BT759" i="1"/>
  <c r="BF759" i="1"/>
  <c r="BT758" i="1"/>
  <c r="BF758" i="1"/>
  <c r="BT757" i="1"/>
  <c r="BF757" i="1"/>
  <c r="BT756" i="1"/>
  <c r="BF756" i="1"/>
  <c r="BT755" i="1"/>
  <c r="BF755" i="1"/>
  <c r="BT754" i="1"/>
  <c r="BF754" i="1"/>
  <c r="BT753" i="1"/>
  <c r="BT752" i="1"/>
  <c r="BF752" i="1"/>
  <c r="BT751" i="1"/>
  <c r="BF751" i="1"/>
  <c r="BT750" i="1"/>
  <c r="BF750" i="1"/>
  <c r="BT749" i="1"/>
  <c r="BF749" i="1"/>
  <c r="BT748" i="1"/>
  <c r="BF748" i="1"/>
  <c r="BT747" i="1"/>
  <c r="BF747" i="1"/>
  <c r="BT746" i="1"/>
  <c r="BF746" i="1"/>
  <c r="BT745" i="1"/>
  <c r="BF745" i="1"/>
  <c r="BT744" i="1"/>
  <c r="BF744" i="1"/>
  <c r="BT743" i="1"/>
  <c r="BT742" i="1"/>
  <c r="BF742" i="1"/>
  <c r="BT741" i="1"/>
  <c r="BF741" i="1"/>
  <c r="BT740" i="1"/>
  <c r="BF740" i="1"/>
  <c r="BT739" i="1"/>
  <c r="BF739" i="1"/>
  <c r="BT738" i="1"/>
  <c r="BF738" i="1"/>
  <c r="BT737" i="1"/>
  <c r="BF737" i="1"/>
  <c r="BT736" i="1"/>
  <c r="BF736" i="1"/>
  <c r="BT735" i="1"/>
  <c r="BT734" i="1"/>
  <c r="BF734" i="1"/>
  <c r="BT733" i="1"/>
  <c r="BF733" i="1"/>
  <c r="BT732" i="1"/>
  <c r="BF732" i="1"/>
  <c r="BT731" i="1"/>
  <c r="BF731" i="1"/>
  <c r="BT730" i="1"/>
  <c r="BF730" i="1"/>
  <c r="BT729" i="1"/>
  <c r="BF729" i="1"/>
  <c r="BT728" i="1"/>
  <c r="BF728" i="1"/>
  <c r="BT727" i="1"/>
  <c r="BF727" i="1"/>
  <c r="BT726" i="1"/>
  <c r="BF726" i="1"/>
  <c r="BT725" i="1"/>
  <c r="BF725" i="1"/>
  <c r="BT724" i="1"/>
  <c r="BF724" i="1"/>
  <c r="BT723" i="1"/>
  <c r="BF723" i="1"/>
  <c r="BT722" i="1"/>
  <c r="BF722" i="1"/>
  <c r="BT721" i="1"/>
  <c r="BF721" i="1"/>
  <c r="BT720" i="1"/>
  <c r="BF720" i="1"/>
  <c r="BT719" i="1"/>
  <c r="BF719" i="1"/>
  <c r="BT718" i="1"/>
  <c r="BT717" i="1"/>
  <c r="BF717" i="1"/>
  <c r="BT716" i="1"/>
  <c r="BF716" i="1"/>
  <c r="BT715" i="1"/>
  <c r="BF715" i="1"/>
  <c r="BT714" i="1"/>
  <c r="BT713" i="1"/>
  <c r="BT712" i="1"/>
  <c r="BF712" i="1"/>
  <c r="BT711" i="1"/>
  <c r="BT710" i="1"/>
  <c r="BF710" i="1"/>
  <c r="BT709" i="1"/>
  <c r="BF709" i="1"/>
  <c r="BT708" i="1"/>
  <c r="BF708" i="1"/>
  <c r="BT707" i="1"/>
  <c r="BF707" i="1"/>
  <c r="BT706" i="1"/>
  <c r="BF706" i="1"/>
  <c r="BT705" i="1"/>
  <c r="BF705" i="1"/>
  <c r="BT704" i="1"/>
  <c r="BF704" i="1"/>
  <c r="BT703" i="1"/>
  <c r="BF703" i="1"/>
  <c r="BT702" i="1"/>
  <c r="BF702" i="1"/>
  <c r="BT701" i="1"/>
  <c r="BT700" i="1"/>
  <c r="BT699" i="1"/>
  <c r="BF699" i="1"/>
  <c r="BT698" i="1"/>
  <c r="BF698" i="1"/>
  <c r="BT697" i="1"/>
  <c r="BT696" i="1"/>
  <c r="BT695" i="1"/>
  <c r="BT694" i="1"/>
  <c r="BF694" i="1"/>
  <c r="BT693" i="1"/>
  <c r="BF693" i="1"/>
  <c r="BT692" i="1"/>
  <c r="BF692" i="1"/>
  <c r="BT691" i="1"/>
  <c r="BF691" i="1"/>
  <c r="BT690" i="1"/>
  <c r="BT689" i="1"/>
  <c r="BF689" i="1"/>
  <c r="BT688" i="1"/>
  <c r="BF688" i="1"/>
  <c r="BT687" i="1"/>
  <c r="BF687" i="1"/>
  <c r="BT686" i="1"/>
  <c r="BF686" i="1"/>
  <c r="BT685" i="1"/>
  <c r="BF685" i="1"/>
  <c r="BT684" i="1"/>
  <c r="BT683" i="1"/>
  <c r="BF683" i="1"/>
  <c r="BT682" i="1"/>
  <c r="BT681" i="1"/>
  <c r="BF681" i="1"/>
  <c r="BT680" i="1"/>
  <c r="BT679" i="1"/>
  <c r="BF679" i="1"/>
  <c r="BT678" i="1"/>
  <c r="BF678" i="1"/>
  <c r="BT677" i="1"/>
  <c r="BF677" i="1"/>
  <c r="BT676" i="1"/>
  <c r="BT675" i="1"/>
  <c r="BF675" i="1"/>
  <c r="BT674" i="1"/>
  <c r="BF674" i="1"/>
  <c r="BT673" i="1"/>
  <c r="BF673" i="1"/>
  <c r="BT672" i="1"/>
  <c r="BF672" i="1"/>
  <c r="BT671" i="1"/>
  <c r="BF671" i="1"/>
  <c r="BT670" i="1"/>
  <c r="BF670" i="1"/>
  <c r="BT669" i="1"/>
  <c r="BT668" i="1"/>
  <c r="BT667" i="1"/>
  <c r="BF667" i="1"/>
  <c r="BT666" i="1"/>
  <c r="BF666" i="1"/>
  <c r="BT665" i="1"/>
  <c r="BF665" i="1"/>
  <c r="BT664" i="1"/>
  <c r="BF664" i="1"/>
  <c r="BT663" i="1"/>
  <c r="BF663" i="1"/>
  <c r="BT662" i="1"/>
  <c r="BF662" i="1"/>
  <c r="BT661" i="1"/>
  <c r="BT660" i="1"/>
  <c r="BF660" i="1"/>
  <c r="BT659" i="1"/>
  <c r="BF659" i="1"/>
  <c r="BT658" i="1"/>
  <c r="BT657" i="1"/>
  <c r="BT656" i="1"/>
  <c r="BF656" i="1"/>
  <c r="BT655" i="1"/>
  <c r="BT654" i="1"/>
  <c r="BF654" i="1"/>
  <c r="BT653" i="1"/>
  <c r="BF653" i="1"/>
  <c r="BT652" i="1"/>
  <c r="BF652" i="1"/>
  <c r="BT651" i="1"/>
  <c r="BT650" i="1"/>
  <c r="BT649" i="1"/>
  <c r="BF649" i="1"/>
  <c r="BT648" i="1"/>
  <c r="BF648" i="1"/>
  <c r="BT647" i="1"/>
  <c r="BF647" i="1"/>
  <c r="BT646" i="1"/>
  <c r="BF646" i="1"/>
  <c r="BT645" i="1"/>
  <c r="BF645" i="1"/>
  <c r="BT644" i="1"/>
  <c r="BT643" i="1"/>
  <c r="BF643" i="1"/>
  <c r="BT642" i="1"/>
  <c r="BF642" i="1"/>
  <c r="BT641" i="1"/>
  <c r="BF641" i="1"/>
  <c r="BT640" i="1"/>
  <c r="BF640" i="1"/>
  <c r="BT639" i="1"/>
  <c r="BF639" i="1"/>
  <c r="BT638" i="1"/>
  <c r="BF638" i="1"/>
  <c r="BT637" i="1"/>
  <c r="BF637" i="1"/>
  <c r="BT636" i="1"/>
  <c r="BF636" i="1"/>
  <c r="BT635" i="1"/>
  <c r="BF635" i="1"/>
  <c r="BT634" i="1"/>
  <c r="BF634" i="1"/>
  <c r="BT633" i="1"/>
  <c r="BF633" i="1"/>
  <c r="BT632" i="1"/>
  <c r="BF632" i="1"/>
  <c r="BT631" i="1"/>
  <c r="BT630" i="1"/>
  <c r="BF630" i="1"/>
  <c r="BT629" i="1"/>
  <c r="BT628" i="1"/>
  <c r="BT627" i="1"/>
  <c r="BF627" i="1"/>
  <c r="BT626" i="1"/>
  <c r="BT625" i="1"/>
  <c r="BF625" i="1"/>
  <c r="BT624" i="1"/>
  <c r="BT623" i="1"/>
  <c r="BF623" i="1"/>
  <c r="BT622" i="1"/>
  <c r="BF622" i="1"/>
  <c r="BT621" i="1"/>
  <c r="BF621" i="1"/>
  <c r="BT620" i="1"/>
  <c r="BF620" i="1"/>
  <c r="BT619" i="1"/>
  <c r="BF619" i="1"/>
  <c r="BT618" i="1"/>
  <c r="BF618" i="1"/>
  <c r="BT617" i="1"/>
  <c r="BF617" i="1"/>
  <c r="BT616" i="1"/>
  <c r="BF616" i="1"/>
  <c r="BT615" i="1"/>
  <c r="BT614" i="1"/>
  <c r="BF614" i="1"/>
  <c r="BT613" i="1"/>
  <c r="BF613" i="1"/>
  <c r="BT612" i="1"/>
  <c r="BF612" i="1"/>
  <c r="BT611" i="1"/>
  <c r="BF611" i="1"/>
  <c r="BT610" i="1"/>
  <c r="BF610" i="1"/>
  <c r="BT609" i="1"/>
  <c r="BF609" i="1"/>
  <c r="BT608" i="1"/>
  <c r="BF608" i="1"/>
  <c r="BT607" i="1"/>
  <c r="BF607" i="1"/>
  <c r="BT606" i="1"/>
  <c r="BT605" i="1"/>
  <c r="BF605" i="1"/>
  <c r="BT604" i="1"/>
  <c r="BT603" i="1"/>
  <c r="BF603" i="1"/>
  <c r="BT602" i="1"/>
  <c r="BF602" i="1"/>
  <c r="BT601" i="1"/>
  <c r="BF601" i="1"/>
  <c r="BT600" i="1"/>
  <c r="BF600" i="1"/>
  <c r="BT599" i="1"/>
  <c r="BF599" i="1"/>
  <c r="BT598" i="1"/>
  <c r="BF598" i="1"/>
  <c r="BT597" i="1"/>
  <c r="BF597" i="1"/>
  <c r="BT596" i="1"/>
  <c r="BT595" i="1"/>
  <c r="BT594" i="1"/>
  <c r="BF594" i="1"/>
  <c r="BT593" i="1"/>
  <c r="BF593" i="1"/>
  <c r="BT592" i="1"/>
  <c r="BT591" i="1"/>
  <c r="BF591" i="1"/>
  <c r="BT590" i="1"/>
  <c r="BF590" i="1"/>
  <c r="BT589" i="1"/>
  <c r="BT588" i="1"/>
  <c r="BT587" i="1"/>
  <c r="BF587" i="1"/>
  <c r="BT586" i="1"/>
  <c r="BT585" i="1"/>
  <c r="BT584" i="1"/>
  <c r="BF584" i="1"/>
  <c r="BT583" i="1"/>
  <c r="BF583" i="1"/>
  <c r="BT582" i="1"/>
  <c r="BF582" i="1"/>
  <c r="BT581" i="1"/>
  <c r="BT580" i="1"/>
  <c r="BF580" i="1"/>
  <c r="BT579" i="1"/>
  <c r="BF579" i="1"/>
  <c r="BT578" i="1"/>
  <c r="BF578" i="1"/>
  <c r="BT577" i="1"/>
  <c r="BF577" i="1"/>
  <c r="BT576" i="1"/>
  <c r="BF576" i="1"/>
  <c r="BT575" i="1"/>
  <c r="BF575" i="1"/>
  <c r="BT574" i="1"/>
  <c r="BF574" i="1"/>
  <c r="BT573" i="1"/>
  <c r="BT572" i="1"/>
  <c r="BT571" i="1"/>
  <c r="BT570" i="1"/>
  <c r="BF570" i="1"/>
  <c r="BT569" i="1"/>
  <c r="BT568" i="1"/>
  <c r="BF568" i="1"/>
  <c r="BT567" i="1"/>
  <c r="BT566" i="1"/>
  <c r="BT565" i="1"/>
  <c r="BT564" i="1"/>
  <c r="BF564" i="1"/>
  <c r="BT563" i="1"/>
  <c r="BT562" i="1"/>
  <c r="BT561" i="1"/>
  <c r="BT560" i="1"/>
  <c r="BF560" i="1"/>
  <c r="BT559" i="1"/>
  <c r="BF559" i="1"/>
  <c r="BT558" i="1"/>
  <c r="BT557" i="1"/>
  <c r="BT556" i="1"/>
  <c r="BF556" i="1"/>
  <c r="BT555" i="1"/>
  <c r="BF555" i="1"/>
  <c r="BT554" i="1"/>
  <c r="BT553" i="1"/>
  <c r="BF553" i="1"/>
  <c r="BT552" i="1"/>
  <c r="BF552" i="1"/>
  <c r="BT551" i="1"/>
  <c r="BF551" i="1"/>
  <c r="BT550" i="1"/>
  <c r="BF550" i="1"/>
  <c r="BT549" i="1"/>
  <c r="BF549" i="1"/>
  <c r="BT548" i="1"/>
  <c r="BF548" i="1"/>
  <c r="BT547" i="1"/>
  <c r="BT546" i="1"/>
  <c r="BT545" i="1"/>
  <c r="BT544" i="1"/>
  <c r="BF544" i="1"/>
  <c r="BT543" i="1"/>
  <c r="BT542" i="1"/>
  <c r="BT541" i="1"/>
  <c r="BF541" i="1"/>
  <c r="BT540" i="1"/>
  <c r="BT539" i="1"/>
  <c r="BF539" i="1"/>
  <c r="BT538" i="1"/>
  <c r="BT537" i="1"/>
  <c r="BF537" i="1"/>
  <c r="BT536" i="1"/>
  <c r="BT535" i="1"/>
  <c r="BF535" i="1"/>
  <c r="BT534" i="1"/>
  <c r="BF534" i="1"/>
  <c r="BT533" i="1"/>
  <c r="BT532" i="1"/>
  <c r="BF532" i="1"/>
  <c r="BT531" i="1"/>
  <c r="BF531" i="1"/>
  <c r="BT530" i="1"/>
  <c r="BF530" i="1"/>
  <c r="BT529" i="1"/>
  <c r="BF529" i="1"/>
  <c r="BT528" i="1"/>
  <c r="BF528" i="1"/>
  <c r="BT527" i="1"/>
  <c r="BF527" i="1"/>
  <c r="BT526" i="1"/>
  <c r="BF526" i="1"/>
  <c r="BT525" i="1"/>
  <c r="BF525" i="1"/>
  <c r="BT524" i="1"/>
  <c r="BF524" i="1"/>
  <c r="BT523" i="1"/>
  <c r="BF523" i="1"/>
  <c r="BT522" i="1"/>
  <c r="BF522" i="1"/>
  <c r="BT521" i="1"/>
  <c r="BT520" i="1"/>
  <c r="BF520" i="1"/>
  <c r="BT519" i="1"/>
  <c r="BT518" i="1"/>
  <c r="BT517" i="1"/>
  <c r="BT516" i="1"/>
  <c r="BF516" i="1"/>
  <c r="BT515" i="1"/>
  <c r="BF515" i="1"/>
  <c r="BT514" i="1"/>
  <c r="BF514" i="1"/>
  <c r="BT513" i="1"/>
  <c r="BF513" i="1"/>
  <c r="BT512" i="1"/>
  <c r="BF512" i="1"/>
  <c r="BT511" i="1"/>
  <c r="BF511" i="1"/>
  <c r="BT510" i="1"/>
  <c r="BF510" i="1"/>
  <c r="BT509" i="1"/>
  <c r="BF509" i="1"/>
  <c r="BT508" i="1"/>
  <c r="BF508" i="1"/>
  <c r="BT507" i="1"/>
  <c r="BF507" i="1"/>
  <c r="BT506" i="1"/>
  <c r="BF506" i="1"/>
  <c r="BT505" i="1"/>
  <c r="BF505" i="1"/>
  <c r="BT504" i="1"/>
  <c r="BF504" i="1"/>
  <c r="BT503" i="1"/>
  <c r="BF503" i="1"/>
  <c r="BT502" i="1"/>
  <c r="BF502" i="1"/>
  <c r="BT501" i="1"/>
  <c r="BF501" i="1"/>
  <c r="BT500" i="1"/>
  <c r="BF500" i="1"/>
  <c r="BT499" i="1"/>
  <c r="BF499" i="1"/>
  <c r="BT498" i="1"/>
  <c r="BF498" i="1"/>
  <c r="BT497" i="1"/>
  <c r="BT496" i="1"/>
  <c r="BF496" i="1"/>
  <c r="BT495" i="1"/>
  <c r="BT494" i="1"/>
  <c r="BF494" i="1"/>
  <c r="BT493" i="1"/>
  <c r="BT492" i="1"/>
  <c r="BT491" i="1"/>
  <c r="BT490" i="1"/>
  <c r="BF490" i="1"/>
  <c r="BT489" i="1"/>
  <c r="BF489" i="1"/>
  <c r="BT488" i="1"/>
  <c r="BF488" i="1"/>
  <c r="BT487" i="1"/>
  <c r="BT486" i="1"/>
  <c r="BF486" i="1"/>
  <c r="BT485" i="1"/>
  <c r="BF485" i="1"/>
  <c r="BT484" i="1"/>
  <c r="BT483" i="1"/>
  <c r="BF483" i="1"/>
  <c r="BT482" i="1"/>
  <c r="BF482" i="1"/>
  <c r="BT481" i="1"/>
  <c r="BF481" i="1"/>
  <c r="BT480" i="1"/>
  <c r="BF480" i="1"/>
  <c r="BT479" i="1"/>
  <c r="BF479" i="1"/>
  <c r="BT478" i="1"/>
  <c r="BF478" i="1"/>
  <c r="BT477" i="1"/>
  <c r="BF477" i="1"/>
  <c r="BT476" i="1"/>
  <c r="BF476" i="1"/>
  <c r="BT475" i="1"/>
  <c r="BF475" i="1"/>
  <c r="BT474" i="1"/>
  <c r="BF474" i="1"/>
  <c r="BT473" i="1"/>
  <c r="BT472" i="1"/>
  <c r="BF472" i="1"/>
  <c r="BT471" i="1"/>
  <c r="BF471" i="1"/>
  <c r="BT470" i="1"/>
  <c r="BT469" i="1"/>
  <c r="BT468" i="1"/>
  <c r="BT467" i="1"/>
  <c r="BT466" i="1"/>
  <c r="BF466" i="1"/>
  <c r="BT465" i="1"/>
  <c r="BT464" i="1"/>
  <c r="BT463" i="1"/>
  <c r="BF463" i="1"/>
  <c r="BT462" i="1"/>
  <c r="BT461" i="1"/>
  <c r="BF461" i="1"/>
  <c r="BT460" i="1"/>
  <c r="BF460" i="1"/>
  <c r="BT459" i="1"/>
  <c r="BF459" i="1"/>
  <c r="BT458" i="1"/>
  <c r="BF458" i="1"/>
  <c r="BT457" i="1"/>
  <c r="BT456" i="1"/>
  <c r="BF456" i="1"/>
  <c r="BT455" i="1"/>
  <c r="BT454" i="1"/>
  <c r="BF454" i="1"/>
  <c r="BT453" i="1"/>
  <c r="BF453" i="1"/>
  <c r="BT452" i="1"/>
  <c r="BF452" i="1"/>
  <c r="BT451" i="1"/>
  <c r="BF451" i="1"/>
  <c r="BT450" i="1"/>
  <c r="BF450" i="1"/>
  <c r="BT449" i="1"/>
  <c r="BF449" i="1"/>
  <c r="BT448" i="1"/>
  <c r="BF448" i="1"/>
  <c r="BT447" i="1"/>
  <c r="BF447" i="1"/>
  <c r="BT446" i="1"/>
  <c r="BF446" i="1"/>
  <c r="BT445" i="1"/>
  <c r="BF445" i="1"/>
  <c r="BT444" i="1"/>
  <c r="BF444" i="1"/>
  <c r="BT443" i="1"/>
  <c r="BT442" i="1"/>
  <c r="BF442" i="1"/>
  <c r="BT441" i="1"/>
  <c r="BT440" i="1"/>
  <c r="BF440" i="1"/>
  <c r="BT439" i="1"/>
  <c r="BF439" i="1"/>
  <c r="BT438" i="1"/>
  <c r="BF438" i="1"/>
  <c r="BT437" i="1"/>
  <c r="BT436" i="1"/>
  <c r="BF436" i="1"/>
  <c r="BT435" i="1"/>
  <c r="BF435" i="1"/>
  <c r="BT434" i="1"/>
  <c r="BT433" i="1"/>
  <c r="BT432" i="1"/>
  <c r="BF432" i="1"/>
  <c r="BT431" i="1"/>
  <c r="BF431" i="1"/>
  <c r="BT430" i="1"/>
  <c r="BF430" i="1"/>
  <c r="BT429" i="1"/>
  <c r="BF429" i="1"/>
  <c r="BT428" i="1"/>
  <c r="BF428" i="1"/>
  <c r="BT427" i="1"/>
  <c r="BF427" i="1"/>
  <c r="BT426" i="1"/>
  <c r="BF426" i="1"/>
  <c r="BT425" i="1"/>
  <c r="BF425" i="1"/>
  <c r="BT424" i="1"/>
  <c r="BF424" i="1"/>
  <c r="BT423" i="1"/>
  <c r="BF423" i="1"/>
  <c r="BT422" i="1"/>
  <c r="BF422" i="1"/>
  <c r="BT421" i="1"/>
  <c r="BF421" i="1"/>
  <c r="BT420" i="1"/>
  <c r="BF420" i="1"/>
  <c r="BT419" i="1"/>
  <c r="BT418" i="1"/>
  <c r="BF418" i="1"/>
  <c r="BT417" i="1"/>
  <c r="BF417" i="1"/>
  <c r="BT416" i="1"/>
  <c r="BT415" i="1"/>
  <c r="BT414" i="1"/>
  <c r="BT413" i="1"/>
  <c r="BT412" i="1"/>
  <c r="BT411" i="1"/>
  <c r="BT410" i="1"/>
  <c r="BT409" i="1"/>
  <c r="BF409" i="1"/>
  <c r="BT408" i="1"/>
  <c r="BT407" i="1"/>
  <c r="BF407" i="1"/>
  <c r="BT406" i="1"/>
  <c r="BF406" i="1"/>
  <c r="BT405" i="1"/>
  <c r="BF405" i="1"/>
  <c r="BT404" i="1"/>
  <c r="BF404" i="1"/>
  <c r="BT403" i="1"/>
  <c r="BT402" i="1"/>
  <c r="BT401" i="1"/>
  <c r="BF401" i="1"/>
  <c r="BT400" i="1"/>
  <c r="BF400" i="1"/>
  <c r="BT399" i="1"/>
  <c r="BF399" i="1"/>
  <c r="BT398" i="1"/>
  <c r="BF398" i="1"/>
  <c r="BT397" i="1"/>
  <c r="BF397" i="1"/>
  <c r="BT396" i="1"/>
  <c r="BF396" i="1"/>
  <c r="BT395" i="1"/>
  <c r="BF395" i="1"/>
  <c r="BT394" i="1"/>
  <c r="BF394" i="1"/>
  <c r="BT393" i="1"/>
  <c r="BT392" i="1"/>
  <c r="BF392" i="1"/>
  <c r="BT391" i="1"/>
  <c r="BF391" i="1"/>
  <c r="BT390" i="1"/>
  <c r="BT389" i="1"/>
  <c r="BT388" i="1"/>
  <c r="BT387" i="1"/>
  <c r="BF387" i="1"/>
  <c r="BT386" i="1"/>
  <c r="BF386" i="1"/>
  <c r="BT385" i="1"/>
  <c r="BT384" i="1"/>
  <c r="BT383" i="1"/>
  <c r="BT382" i="1"/>
  <c r="BT381" i="1"/>
  <c r="BF381" i="1"/>
  <c r="BT380" i="1"/>
  <c r="BF380" i="1"/>
  <c r="BT379" i="1"/>
  <c r="BF379" i="1"/>
  <c r="BT378" i="1"/>
  <c r="BF378" i="1"/>
  <c r="BT377" i="1"/>
  <c r="BT376" i="1"/>
  <c r="BF376" i="1"/>
  <c r="BT375" i="1"/>
  <c r="BF375" i="1"/>
  <c r="BT374" i="1"/>
  <c r="BF374" i="1"/>
  <c r="BT373" i="1"/>
  <c r="BF373" i="1"/>
  <c r="BT372" i="1"/>
  <c r="BF372" i="1"/>
  <c r="BT371" i="1"/>
  <c r="BF371" i="1"/>
  <c r="BT370" i="1"/>
  <c r="BF370" i="1"/>
  <c r="BT369" i="1"/>
  <c r="BF369" i="1"/>
  <c r="BT368" i="1"/>
  <c r="BF368" i="1"/>
  <c r="BT367" i="1"/>
  <c r="BT366" i="1"/>
  <c r="BF366" i="1"/>
  <c r="BT365" i="1"/>
  <c r="BF365" i="1"/>
  <c r="BT364" i="1"/>
  <c r="BT363" i="1"/>
  <c r="BF363" i="1"/>
  <c r="BT362" i="1"/>
  <c r="BT361" i="1"/>
  <c r="BT360" i="1"/>
  <c r="BT359" i="1"/>
  <c r="BF359" i="1"/>
  <c r="BT358" i="1"/>
  <c r="BF358" i="1"/>
  <c r="BT357" i="1"/>
  <c r="BF357" i="1"/>
  <c r="BT356" i="1"/>
  <c r="BT355" i="1"/>
  <c r="BT354" i="1"/>
  <c r="BF354" i="1"/>
  <c r="BT353" i="1"/>
  <c r="BF353" i="1"/>
  <c r="BT352" i="1"/>
  <c r="BT351" i="1"/>
  <c r="BF351" i="1"/>
  <c r="BT350" i="1"/>
  <c r="BT349" i="1"/>
  <c r="BT348" i="1"/>
  <c r="BT347" i="1"/>
  <c r="BF347" i="1"/>
  <c r="BT346" i="1"/>
  <c r="BT345" i="1"/>
  <c r="BT344" i="1"/>
  <c r="BT343" i="1"/>
  <c r="BT342" i="1"/>
  <c r="BT341" i="1"/>
  <c r="BT340" i="1"/>
  <c r="BF340" i="1"/>
  <c r="BT339" i="1"/>
  <c r="BF339" i="1"/>
  <c r="BT338" i="1"/>
  <c r="BF338" i="1"/>
  <c r="BT337" i="1"/>
  <c r="BF337" i="1"/>
  <c r="BT336" i="1"/>
  <c r="BT335" i="1"/>
  <c r="BF335" i="1"/>
  <c r="BT334" i="1"/>
  <c r="BT333" i="1"/>
  <c r="BT332" i="1"/>
  <c r="BF332" i="1"/>
  <c r="BT331" i="1"/>
  <c r="BF331" i="1"/>
  <c r="BT330" i="1"/>
  <c r="BF330" i="1"/>
  <c r="BT329" i="1"/>
  <c r="BF329" i="1"/>
  <c r="BT328" i="1"/>
  <c r="BF328" i="1"/>
  <c r="BT327" i="1"/>
  <c r="BF327" i="1"/>
  <c r="BT326" i="1"/>
  <c r="BF326" i="1"/>
  <c r="BT325" i="1"/>
  <c r="BF325" i="1"/>
  <c r="BT324" i="1"/>
  <c r="BF324" i="1"/>
  <c r="BT323" i="1"/>
  <c r="BF323" i="1"/>
  <c r="BT322" i="1"/>
  <c r="BF322" i="1"/>
  <c r="BT321" i="1"/>
  <c r="BF321" i="1"/>
  <c r="BT320" i="1"/>
  <c r="BF320" i="1"/>
  <c r="BT319" i="1"/>
  <c r="BF319" i="1"/>
  <c r="BT318" i="1"/>
  <c r="BF318" i="1"/>
  <c r="BT317" i="1"/>
  <c r="BT316" i="1"/>
  <c r="BF316" i="1"/>
  <c r="BT315" i="1"/>
  <c r="BF315" i="1"/>
  <c r="BT314" i="1"/>
  <c r="BF314" i="1"/>
  <c r="BT313" i="1"/>
  <c r="BT312" i="1"/>
  <c r="BT311" i="1"/>
  <c r="BT310" i="1"/>
  <c r="BF310" i="1"/>
  <c r="BT309" i="1"/>
  <c r="BT308" i="1"/>
  <c r="BF308" i="1"/>
  <c r="BT307" i="1"/>
  <c r="BF307" i="1"/>
  <c r="BT306" i="1"/>
  <c r="BF306" i="1"/>
  <c r="BT305" i="1"/>
  <c r="BF305" i="1"/>
  <c r="BT304" i="1"/>
  <c r="BF304" i="1"/>
  <c r="BT303" i="1"/>
  <c r="BF303" i="1"/>
  <c r="BT302" i="1"/>
  <c r="BT301" i="1"/>
  <c r="BT300" i="1"/>
  <c r="BF300" i="1"/>
  <c r="BT299" i="1"/>
  <c r="BF299" i="1"/>
  <c r="BT298" i="1"/>
  <c r="BF298" i="1"/>
  <c r="BT297" i="1"/>
  <c r="BT296" i="1"/>
  <c r="BF296" i="1"/>
  <c r="BT295" i="1"/>
  <c r="BF295" i="1"/>
  <c r="BT294" i="1"/>
  <c r="BF294" i="1"/>
  <c r="BT293" i="1"/>
  <c r="BF293" i="1"/>
  <c r="BT292" i="1"/>
  <c r="BF292" i="1"/>
  <c r="BT291" i="1"/>
  <c r="BF291" i="1"/>
  <c r="BT290" i="1"/>
  <c r="BF290" i="1"/>
  <c r="BT289" i="1"/>
  <c r="BF289" i="1"/>
  <c r="BT288" i="1"/>
  <c r="BF288" i="1"/>
  <c r="BT287" i="1"/>
  <c r="BF287" i="1"/>
  <c r="BT286" i="1"/>
  <c r="BF286" i="1"/>
  <c r="BT285" i="1"/>
  <c r="BF285" i="1"/>
  <c r="BT284" i="1"/>
  <c r="BF284" i="1"/>
  <c r="BT283" i="1"/>
  <c r="BT282" i="1"/>
  <c r="BT281" i="1"/>
  <c r="BT280" i="1"/>
  <c r="BF280" i="1"/>
  <c r="BT279" i="1"/>
  <c r="BT278" i="1"/>
  <c r="BT277" i="1"/>
  <c r="BT276" i="1"/>
  <c r="BF276" i="1"/>
  <c r="BT275" i="1"/>
  <c r="BT274" i="1"/>
  <c r="BF274" i="1"/>
  <c r="BT273" i="1"/>
  <c r="BF273" i="1"/>
  <c r="BT272" i="1"/>
  <c r="BT271" i="1"/>
  <c r="BT270" i="1"/>
  <c r="BF270" i="1"/>
  <c r="BT269" i="1"/>
  <c r="BF269" i="1"/>
  <c r="BT268" i="1"/>
  <c r="BF268" i="1"/>
  <c r="BT267" i="1"/>
  <c r="BT266" i="1"/>
  <c r="BF266" i="1"/>
  <c r="BT265" i="1"/>
  <c r="BF265" i="1"/>
  <c r="BT264" i="1"/>
  <c r="BF264" i="1"/>
  <c r="BT263" i="1"/>
  <c r="BT262" i="1"/>
  <c r="BF262" i="1"/>
  <c r="BT261" i="1"/>
  <c r="BF261" i="1"/>
  <c r="BT260" i="1"/>
  <c r="BF260" i="1"/>
  <c r="BT259" i="1"/>
  <c r="BF259" i="1"/>
  <c r="BT258" i="1"/>
  <c r="BF258" i="1"/>
  <c r="BT257" i="1"/>
  <c r="BF257" i="1"/>
  <c r="BT256" i="1"/>
  <c r="BF256" i="1"/>
  <c r="BT255" i="1"/>
  <c r="BT254" i="1"/>
  <c r="BF254" i="1"/>
  <c r="BT253" i="1"/>
  <c r="BT252" i="1"/>
  <c r="BT251" i="1"/>
  <c r="BT250" i="1"/>
  <c r="BT249" i="1"/>
  <c r="BF249" i="1"/>
  <c r="BT248" i="1"/>
  <c r="BF248" i="1"/>
  <c r="BT247" i="1"/>
  <c r="BF247" i="1"/>
  <c r="BT246" i="1"/>
  <c r="BF246" i="1"/>
  <c r="BT245" i="1"/>
  <c r="BF245" i="1"/>
  <c r="BT244" i="1"/>
  <c r="BF244" i="1"/>
  <c r="BT243" i="1"/>
  <c r="BF243" i="1"/>
  <c r="BT242" i="1"/>
  <c r="BF242" i="1"/>
  <c r="BT241" i="1"/>
  <c r="BF241" i="1"/>
  <c r="BT240" i="1"/>
  <c r="BF240" i="1"/>
  <c r="BT239" i="1"/>
  <c r="BF239" i="1"/>
  <c r="BT238" i="1"/>
  <c r="BF238" i="1"/>
  <c r="BT237" i="1"/>
  <c r="BF237" i="1"/>
  <c r="BT236" i="1"/>
  <c r="BF236" i="1"/>
  <c r="BT235" i="1"/>
  <c r="BT234" i="1"/>
  <c r="BT233" i="1"/>
  <c r="BF233" i="1"/>
  <c r="BT232" i="1"/>
  <c r="BF232" i="1"/>
  <c r="BT231" i="1"/>
  <c r="BF231" i="1"/>
  <c r="BT230" i="1"/>
  <c r="BF230" i="1"/>
  <c r="BT229" i="1"/>
  <c r="BT228" i="1"/>
  <c r="BF228" i="1"/>
  <c r="BT227" i="1"/>
  <c r="BF227" i="1"/>
  <c r="BT226" i="1"/>
  <c r="BT225" i="1"/>
  <c r="BT224" i="1"/>
  <c r="BF224" i="1"/>
  <c r="BT223" i="1"/>
  <c r="BT222" i="1"/>
  <c r="BT221" i="1"/>
  <c r="BT220" i="1"/>
  <c r="BF220" i="1"/>
  <c r="BT219" i="1"/>
  <c r="BT218" i="1"/>
  <c r="BT217" i="1"/>
  <c r="BF217" i="1"/>
  <c r="BT216" i="1"/>
  <c r="BF216" i="1"/>
  <c r="BT215" i="1"/>
  <c r="BF215" i="1"/>
  <c r="BT214" i="1"/>
  <c r="BF214" i="1"/>
  <c r="BT213" i="1"/>
  <c r="BF213" i="1"/>
  <c r="BT212" i="1"/>
  <c r="BF212" i="1"/>
  <c r="BT211" i="1"/>
  <c r="BF211" i="1"/>
  <c r="BT210" i="1"/>
  <c r="BF210" i="1"/>
  <c r="BT209" i="1"/>
  <c r="BT208" i="1"/>
  <c r="BF208" i="1"/>
  <c r="BT207" i="1"/>
  <c r="BF207" i="1"/>
  <c r="BT206" i="1"/>
  <c r="BF206" i="1"/>
  <c r="BT205" i="1"/>
  <c r="BF205" i="1"/>
  <c r="BT204" i="1"/>
  <c r="BT203" i="1"/>
  <c r="BF203" i="1"/>
  <c r="BT202" i="1"/>
  <c r="BT201" i="1"/>
  <c r="BT200" i="1"/>
  <c r="BF200" i="1"/>
  <c r="BT199" i="1"/>
  <c r="BF199" i="1"/>
  <c r="BT198" i="1"/>
  <c r="BF198" i="1"/>
  <c r="BT197" i="1"/>
  <c r="BF197" i="1"/>
  <c r="BT196" i="1"/>
  <c r="BT195" i="1"/>
  <c r="BF195" i="1"/>
  <c r="BT194" i="1"/>
  <c r="BT193" i="1"/>
  <c r="BF193" i="1"/>
  <c r="BT192" i="1"/>
  <c r="BF192" i="1"/>
  <c r="BT191" i="1"/>
  <c r="BT190" i="1"/>
  <c r="BF190" i="1"/>
  <c r="BT189" i="1"/>
  <c r="BF189" i="1"/>
  <c r="BT188" i="1"/>
  <c r="BT187" i="1"/>
  <c r="BT186" i="1"/>
  <c r="BF186" i="1"/>
  <c r="BT185" i="1"/>
  <c r="BF185" i="1"/>
  <c r="BT184" i="1"/>
  <c r="BT183" i="1"/>
  <c r="BF183" i="1"/>
  <c r="BT182" i="1"/>
  <c r="BT181" i="1"/>
  <c r="BT180" i="1"/>
  <c r="BT179" i="1"/>
  <c r="BF179" i="1"/>
  <c r="BT178" i="1"/>
  <c r="BF178" i="1"/>
  <c r="BT177" i="1"/>
  <c r="BF177" i="1"/>
  <c r="BT176" i="1"/>
  <c r="BT175" i="1"/>
  <c r="BF175" i="1"/>
  <c r="BT174" i="1"/>
  <c r="BF174" i="1"/>
  <c r="BT173" i="1"/>
  <c r="BF173" i="1"/>
  <c r="BT172" i="1"/>
  <c r="BF172" i="1"/>
  <c r="BT171" i="1"/>
  <c r="BF171" i="1"/>
  <c r="BT170" i="1"/>
  <c r="BF170" i="1"/>
  <c r="BT169" i="1"/>
  <c r="BF169" i="1"/>
  <c r="BT168" i="1"/>
  <c r="BF168" i="1"/>
  <c r="BT167" i="1"/>
  <c r="BF167" i="1"/>
  <c r="BT166" i="1"/>
  <c r="BT165" i="1"/>
  <c r="BT164" i="1"/>
  <c r="BT163" i="1"/>
  <c r="BT162" i="1"/>
  <c r="BF162" i="1"/>
  <c r="BT161" i="1"/>
  <c r="BT160" i="1"/>
  <c r="BT159" i="1"/>
  <c r="BF159" i="1"/>
  <c r="BT158" i="1"/>
  <c r="BF158" i="1"/>
  <c r="BT157" i="1"/>
  <c r="BT156" i="1"/>
  <c r="BT155" i="1"/>
  <c r="BT154" i="1"/>
  <c r="BF154" i="1"/>
  <c r="BT153" i="1"/>
  <c r="BF153" i="1"/>
  <c r="BT152" i="1"/>
  <c r="BF152" i="1"/>
  <c r="BT151" i="1"/>
  <c r="BF151" i="1"/>
  <c r="BT150" i="1"/>
  <c r="BF150" i="1"/>
  <c r="BT149" i="1"/>
  <c r="BF149" i="1"/>
  <c r="BT148" i="1"/>
  <c r="BT147" i="1"/>
  <c r="BF147" i="1"/>
  <c r="BT146" i="1"/>
  <c r="BF146" i="1"/>
  <c r="BT145" i="1"/>
  <c r="BT144" i="1"/>
  <c r="BT143" i="1"/>
  <c r="BF143" i="1"/>
  <c r="BT142" i="1"/>
  <c r="BT141" i="1"/>
  <c r="BT140" i="1"/>
  <c r="BF140" i="1"/>
  <c r="BT139" i="1"/>
  <c r="BT138" i="1"/>
  <c r="BF138" i="1"/>
  <c r="BT137" i="1"/>
  <c r="BF137" i="1"/>
  <c r="BT136" i="1"/>
  <c r="BT135" i="1"/>
  <c r="BF135" i="1"/>
  <c r="BT134" i="1"/>
  <c r="BF134" i="1"/>
  <c r="BT133" i="1"/>
  <c r="BF133" i="1"/>
  <c r="BT132" i="1"/>
  <c r="BF132" i="1"/>
  <c r="BT131" i="1"/>
  <c r="BF131" i="1"/>
  <c r="BT130" i="1"/>
  <c r="BT129" i="1"/>
  <c r="BF129" i="1"/>
  <c r="BT128" i="1"/>
  <c r="BF128" i="1"/>
  <c r="BT127" i="1"/>
  <c r="BF127" i="1"/>
  <c r="BT126" i="1"/>
  <c r="BT125" i="1"/>
  <c r="BT124" i="1"/>
  <c r="BT123" i="1"/>
  <c r="BT122" i="1"/>
  <c r="BF122" i="1"/>
  <c r="BT121" i="1"/>
  <c r="BF121" i="1"/>
  <c r="BT120" i="1"/>
  <c r="BT119" i="1"/>
  <c r="BF119" i="1"/>
  <c r="BT118" i="1"/>
  <c r="BF118" i="1"/>
  <c r="BT117" i="1"/>
  <c r="BF117" i="1"/>
  <c r="BT116" i="1"/>
  <c r="BF116" i="1"/>
  <c r="BT115" i="1"/>
  <c r="BF115" i="1"/>
  <c r="BT114" i="1"/>
  <c r="BF114" i="1"/>
  <c r="BT113" i="1"/>
  <c r="BF113" i="1"/>
  <c r="BT112" i="1"/>
  <c r="BF112" i="1"/>
  <c r="BT111" i="1"/>
  <c r="BF111" i="1"/>
  <c r="BT110" i="1"/>
  <c r="BT109" i="1"/>
  <c r="BF109" i="1"/>
  <c r="BT108" i="1"/>
  <c r="BF108" i="1"/>
  <c r="BT107" i="1"/>
  <c r="BF107" i="1"/>
  <c r="BT106" i="1"/>
  <c r="BF106" i="1"/>
  <c r="BT105" i="1"/>
  <c r="BF105" i="1"/>
  <c r="BT104" i="1"/>
  <c r="BF104" i="1"/>
  <c r="BT103" i="1"/>
  <c r="BT102" i="1"/>
  <c r="BF102" i="1"/>
  <c r="BT101" i="1"/>
  <c r="BT100" i="1"/>
  <c r="BF100" i="1"/>
  <c r="BT99" i="1"/>
  <c r="BF99" i="1"/>
  <c r="BT98" i="1"/>
  <c r="BF98" i="1"/>
  <c r="BT97" i="1"/>
  <c r="BT96" i="1"/>
  <c r="BF96" i="1"/>
  <c r="BT95" i="1"/>
  <c r="BF95" i="1"/>
  <c r="BT94" i="1"/>
  <c r="BF94" i="1"/>
  <c r="BT93" i="1"/>
  <c r="BF93" i="1"/>
  <c r="BT92" i="1"/>
  <c r="BT91" i="1"/>
  <c r="BF91" i="1"/>
  <c r="BT90" i="1"/>
  <c r="BT89" i="1"/>
  <c r="BF89" i="1"/>
  <c r="BT88" i="1"/>
  <c r="BF88" i="1"/>
  <c r="BT87" i="1"/>
  <c r="BF87" i="1"/>
  <c r="BT86" i="1"/>
  <c r="BF86" i="1"/>
  <c r="BT85" i="1"/>
  <c r="BF85" i="1"/>
  <c r="BT84" i="1"/>
  <c r="BF84" i="1"/>
  <c r="BT83" i="1"/>
  <c r="BF83" i="1"/>
  <c r="BT82" i="1"/>
  <c r="BF82" i="1"/>
  <c r="BT81" i="1"/>
  <c r="BF81" i="1"/>
  <c r="BT80" i="1"/>
  <c r="BF80" i="1"/>
  <c r="BT79" i="1"/>
  <c r="BT78" i="1"/>
  <c r="BT77" i="1"/>
  <c r="BT76" i="1"/>
  <c r="BT75" i="1"/>
  <c r="BT74" i="1"/>
  <c r="BF74" i="1"/>
  <c r="BT73" i="1"/>
  <c r="BF73" i="1"/>
  <c r="BT72" i="1"/>
  <c r="BT71" i="1"/>
  <c r="BF71" i="1"/>
  <c r="BT70" i="1"/>
  <c r="BF70" i="1"/>
  <c r="BT69" i="1"/>
  <c r="BF69" i="1"/>
  <c r="BT68" i="1"/>
  <c r="BF68" i="1"/>
  <c r="BT67" i="1"/>
  <c r="BF67" i="1"/>
  <c r="BT66" i="1"/>
  <c r="BF66" i="1"/>
  <c r="BT65" i="1"/>
  <c r="BF65" i="1"/>
  <c r="BT64" i="1"/>
  <c r="BF64" i="1"/>
  <c r="BT63" i="1"/>
  <c r="BF63" i="1"/>
  <c r="BT62" i="1"/>
  <c r="BF62" i="1"/>
  <c r="BT61" i="1"/>
  <c r="BF61" i="1"/>
  <c r="BT60" i="1"/>
  <c r="BT59" i="1"/>
  <c r="BT58" i="1"/>
  <c r="BT57" i="1"/>
  <c r="BF57" i="1"/>
  <c r="BT56" i="1"/>
  <c r="BT55" i="1"/>
  <c r="BF55" i="1"/>
  <c r="BT54" i="1"/>
  <c r="BF54" i="1"/>
  <c r="BT53" i="1"/>
  <c r="BF53" i="1"/>
  <c r="BT52" i="1"/>
  <c r="BF52" i="1"/>
  <c r="BT51" i="1"/>
  <c r="BF51" i="1"/>
  <c r="BT50" i="1"/>
  <c r="BF50" i="1"/>
  <c r="BT49" i="1"/>
  <c r="BF49" i="1"/>
  <c r="BT48" i="1"/>
  <c r="BF48" i="1"/>
  <c r="BT47" i="1"/>
  <c r="BF47" i="1"/>
  <c r="BT46" i="1"/>
  <c r="BT45" i="1"/>
  <c r="BF45" i="1"/>
  <c r="BT44" i="1"/>
  <c r="BT43" i="1"/>
  <c r="BT42" i="1"/>
  <c r="BF42" i="1"/>
  <c r="BT41" i="1"/>
  <c r="BF41" i="1"/>
  <c r="BT40" i="1"/>
  <c r="BF40" i="1"/>
  <c r="BT39" i="1"/>
  <c r="BT38" i="1"/>
  <c r="BF38" i="1"/>
  <c r="BT37" i="1"/>
  <c r="BF37" i="1"/>
  <c r="BT36" i="1"/>
  <c r="BT35" i="1"/>
  <c r="BT34" i="1"/>
  <c r="BF34" i="1"/>
  <c r="BT33" i="1"/>
  <c r="BT32" i="1"/>
  <c r="BF32" i="1"/>
  <c r="BT31" i="1"/>
  <c r="BF31" i="1"/>
  <c r="BT30" i="1"/>
  <c r="BF30" i="1"/>
  <c r="BT29" i="1"/>
  <c r="BT28" i="1"/>
  <c r="BF28" i="1"/>
  <c r="BT27" i="1"/>
  <c r="BF27" i="1"/>
  <c r="BT26" i="1"/>
  <c r="BF26" i="1"/>
  <c r="BT25" i="1"/>
  <c r="BT24" i="1"/>
  <c r="BT23" i="1"/>
  <c r="BT22" i="1"/>
  <c r="BT21" i="1"/>
  <c r="BT20" i="1"/>
  <c r="BF20" i="1"/>
  <c r="BT19" i="1"/>
  <c r="BF19" i="1"/>
  <c r="BT18" i="1"/>
  <c r="BT17" i="1"/>
  <c r="BT16" i="1"/>
  <c r="BF16" i="1"/>
  <c r="BT15" i="1"/>
  <c r="BT14" i="1"/>
  <c r="BF14" i="1"/>
  <c r="BT13" i="1"/>
  <c r="BF13" i="1"/>
  <c r="BT12" i="1"/>
  <c r="BF12" i="1"/>
  <c r="BT11" i="1"/>
  <c r="BF11" i="1"/>
  <c r="BT10" i="1"/>
  <c r="BF10" i="1"/>
  <c r="BT9" i="1"/>
  <c r="BF9" i="1"/>
  <c r="BT8" i="1"/>
  <c r="BF8" i="1"/>
  <c r="BT7" i="1"/>
  <c r="BF7" i="1"/>
  <c r="BT6" i="1"/>
  <c r="BF6" i="1"/>
  <c r="BT5" i="1"/>
  <c r="BF5" i="1"/>
  <c r="BT4" i="1"/>
  <c r="BF4" i="1"/>
  <c r="BT3" i="1"/>
  <c r="BF3" i="1"/>
  <c r="BT2" i="1"/>
</calcChain>
</file>

<file path=xl/sharedStrings.xml><?xml version="1.0" encoding="utf-8"?>
<sst xmlns="http://schemas.openxmlformats.org/spreadsheetml/2006/main" count="16825" uniqueCount="9318">
  <si>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</si>
  <si>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</si>
  <si>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</si>
  <si>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</si>
  <si>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</si>
  <si>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</si>
  <si>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</si>
  <si>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</si>
  <si>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</si>
  <si>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</si>
  <si>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</si>
  <si>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</si>
  <si>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</si>
  <si>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</si>
  <si>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</si>
  <si>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</si>
  <si>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</si>
  <si>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</si>
  <si>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</si>
  <si>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</si>
  <si>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</si>
  <si>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</si>
  <si>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</si>
  <si>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</si>
  <si>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</si>
  <si>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</si>
  <si>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</si>
  <si>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</si>
  <si>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</si>
  <si>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</si>
  <si>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</si>
  <si>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</si>
  <si>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</si>
  <si>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</si>
  <si>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</si>
  <si>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</si>
  <si>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</si>
  <si>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</si>
  <si>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</si>
  <si>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</si>
  <si>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</si>
  <si>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</si>
  <si>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</si>
  <si>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</si>
  <si>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</si>
  <si>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</si>
  <si>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</si>
  <si>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</si>
  <si>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</si>
  <si>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</si>
  <si>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</si>
  <si>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</si>
  <si>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</si>
  <si>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</si>
  <si>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</si>
  <si>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</si>
  <si>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</si>
  <si>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</si>
  <si>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</si>
  <si>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</si>
  <si>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</si>
  <si>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</si>
  <si>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</si>
  <si>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</si>
  <si>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</si>
  <si>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</si>
  <si>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</si>
  <si>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</si>
  <si>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</si>
  <si>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</si>
  <si>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</si>
  <si>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</si>
  <si>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</si>
  <si>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Konyshev, DN</t>
  </si>
  <si>
    <t>Konyshev, D. N.</t>
  </si>
  <si>
    <t>Government's policy of limiting personal house farming, late 1950s early 1960s</t>
  </si>
  <si>
    <t>ROSSIISKAYA ISTORIYA</t>
  </si>
  <si>
    <t>0869-5687</t>
  </si>
  <si>
    <t>MAY-JUN</t>
  </si>
  <si>
    <t>WOS:000292365000009</t>
  </si>
  <si>
    <t>Isupov, K</t>
  </si>
  <si>
    <t>Isupov, Konstantin</t>
  </si>
  <si>
    <t>Multiple-precision sparse matrix-vector multiplication on GPUs</t>
  </si>
  <si>
    <t>JOURNAL OF COMPUTATIONAL SCIENCE</t>
  </si>
  <si>
    <t>Isupov, Konstantin/K-5843-2015</t>
  </si>
  <si>
    <t>Isupov, Konstantin/0000-0003-0239-0404</t>
  </si>
  <si>
    <t>1877-7503</t>
  </si>
  <si>
    <t>1877-7511</t>
  </si>
  <si>
    <t>MAY</t>
  </si>
  <si>
    <t>10.1016/j.jocs.2022.101609</t>
  </si>
  <si>
    <t>MAR 2022</t>
  </si>
  <si>
    <t>WOS:000782587900010</t>
  </si>
  <si>
    <t>Sazanova, ML; Kadochnikova, NI</t>
  </si>
  <si>
    <t>Sazanova, M. L.; Kadochnikova, N., I</t>
  </si>
  <si>
    <t>On the relationship between alimentary preferences and the female reproductive health</t>
  </si>
  <si>
    <t>THEORETICAL AND APPLIED ECOLOGY</t>
  </si>
  <si>
    <t>Sazanova, Maria/I-4211-2016</t>
  </si>
  <si>
    <t>Sazanova, Maria/0000-0003-3492-8395</t>
  </si>
  <si>
    <t>1995-4301</t>
  </si>
  <si>
    <t>2618-8406</t>
  </si>
  <si>
    <t>10.25750/1995-4301-2022-1-235-242</t>
  </si>
  <si>
    <t>WOS:000819811100033</t>
  </si>
  <si>
    <t>Timkin, YN</t>
  </si>
  <si>
    <t>Timkin, Yuri Nikolaevich</t>
  </si>
  <si>
    <t>Features of the Process of Formation of the Regional Organization of the RCP (B) of the Mari Autonomous Region in 1921-23: Archival Materials</t>
  </si>
  <si>
    <t>HERALD OF AN ARCHIVIST</t>
  </si>
  <si>
    <t>2073-0101</t>
  </si>
  <si>
    <t>+</t>
  </si>
  <si>
    <t>10.28995/2073-0101-2022-2-384-395</t>
  </si>
  <si>
    <t>WOS:000868958500005</t>
  </si>
  <si>
    <t>Zorin, AV</t>
  </si>
  <si>
    <t>Zorin, Artem, V</t>
  </si>
  <si>
    <t>THE FEBRUARY 1948 CRISIS IN CZECHOSLOVAKIA: REACTION, ASSESSMENTS AND CONSEQUENSES FOR THE USA FOREIGN POLICY</t>
  </si>
  <si>
    <t>VOLGOGRADSKII GOSUDARSTVENNYI UNIVERSITET-VESTNIK-SERIYA 4-ISTORIYA REGIONOVEDENIE MEZHDUNARODNYE OTNOSHENIYA</t>
  </si>
  <si>
    <t>Zorin, Artem/W-1762-2018</t>
  </si>
  <si>
    <t>Zorin, Artem/0000-0002-3238-9036</t>
  </si>
  <si>
    <t>1998-9938</t>
  </si>
  <si>
    <t>2312-8704</t>
  </si>
  <si>
    <t>10.15688/jvolsu4.2022.2.6</t>
  </si>
  <si>
    <t>WOS:000787124400007</t>
  </si>
  <si>
    <t>Olkova, A</t>
  </si>
  <si>
    <t>Olkova, Anna</t>
  </si>
  <si>
    <t>Intraspecific Sensitivity to Toxicants - a Methodological Problem of Bioassay: Review</t>
  </si>
  <si>
    <t>JOURNAL OF ECOLOGICAL ENGINEERING</t>
  </si>
  <si>
    <t>2299-8993</t>
  </si>
  <si>
    <t>JUL</t>
  </si>
  <si>
    <t>10.12911/22998993/139066</t>
  </si>
  <si>
    <t>WOS:000672663900013</t>
  </si>
  <si>
    <t>Avdeeva, MS; Belicheva, TV</t>
  </si>
  <si>
    <t>Avdeeva, M. S.; Belicheva, T., V</t>
  </si>
  <si>
    <t>DEVELOPMENT OF PHYSICAL QUALITIES IN FIRST-YEAR FEMALE NON-ATHLETES BY MEANS OF VOLLEYBALL AND ATHLETICS</t>
  </si>
  <si>
    <t>HUMAN SPORT MEDICINE</t>
  </si>
  <si>
    <t>Avdeeva, Marina S./J-9840-2018</t>
  </si>
  <si>
    <t>Avdeeva, Marina S./0000-0002-6760-7347</t>
  </si>
  <si>
    <t>2500-0209</t>
  </si>
  <si>
    <t>2500-0195</t>
  </si>
  <si>
    <t>10.14529/hsm20s208</t>
  </si>
  <si>
    <t>WOS:000635166900008</t>
  </si>
  <si>
    <t>Basmanov, VG; Kholmanskikh, VM</t>
  </si>
  <si>
    <t>Basmanov, V. G.; Kholmanskikh, V. M.</t>
  </si>
  <si>
    <t>Selection of Frequency Estimation of 6-10 kV-Overhead Lines' Technical Condition Based on Reliability Statistical Studies</t>
  </si>
  <si>
    <t>PROBLEMELE ENERGETICII REGIONALE</t>
  </si>
  <si>
    <t>Basmanov, Vladislav G/T-8358-2017</t>
  </si>
  <si>
    <t>Basmanov, Vladislav G/0000-0002-9564-5148; Kholmanskikh, Valeriy/0000-0001-8771-0053</t>
  </si>
  <si>
    <t>1857-0070</t>
  </si>
  <si>
    <t>10.5281/zenodo.4316637</t>
  </si>
  <si>
    <t>WOS:000599902400003</t>
  </si>
  <si>
    <t>C</t>
  </si>
  <si>
    <t>Ishutinov, DV; Laletin, VI; Malyshev, EN</t>
  </si>
  <si>
    <t>Radionov, AA; Karandaev, AS</t>
  </si>
  <si>
    <t>Ishutinov, D., V; Laletin, V., I; Malyshev, E. N.</t>
  </si>
  <si>
    <t>Application Features of Mathematical Model of Power System for Analysis of Technical and Economic Indicators of Reactive Power Compensation Device</t>
  </si>
  <si>
    <t>ADVANCES IN AUTOMATION</t>
  </si>
  <si>
    <t>Lecture Notes in Electrical Engineering</t>
  </si>
  <si>
    <t>International Russian Automation Conference (RusAutoCon)</t>
  </si>
  <si>
    <t>SEP 08-14, 2019</t>
  </si>
  <si>
    <t>Sochi, RUSSIA</t>
  </si>
  <si>
    <t>S Ural State Univ</t>
  </si>
  <si>
    <t>1876-1100</t>
  </si>
  <si>
    <t>1876-1119</t>
  </si>
  <si>
    <t>978-3-030-39225-3; 978-3-030-39224-6</t>
  </si>
  <si>
    <t>10.1007/978-3-030-39225-3_47</t>
  </si>
  <si>
    <t>WOS:000675525300047</t>
  </si>
  <si>
    <t>Tatarinova, MN; Shvetsova, MG</t>
  </si>
  <si>
    <t>Tatarinova, Maya N.; Shvetsova, Marina G.</t>
  </si>
  <si>
    <t>The Model of the Emotionally-Valuable Component of the Content of Primary School Foreign-Language Education: Designing and Testing</t>
  </si>
  <si>
    <t>EUROPEAN JOURNAL OF CONTEMPORARY EDUCATION</t>
  </si>
  <si>
    <t>Shvetsova, Marina/AAX-1048-2020</t>
  </si>
  <si>
    <t>Shvetsova, Marina/0000-0002-3960-0658</t>
  </si>
  <si>
    <t>2304-9650</t>
  </si>
  <si>
    <t>2305-6746</t>
  </si>
  <si>
    <t>MAR</t>
  </si>
  <si>
    <t>10.13187/ejced.2019.1.167</t>
  </si>
  <si>
    <t>WOS:000462498700013</t>
  </si>
  <si>
    <t>Soboleva, EV; Kharunzheva, EV</t>
  </si>
  <si>
    <t>IOP</t>
  </si>
  <si>
    <t>Soboleva, E., V; Kharunzheva, E., V</t>
  </si>
  <si>
    <t>Visualisation of a physical model of interacting of hard objects in a computer game</t>
  </si>
  <si>
    <t>INTERNATIONAL SCIENTIFIC CONFERENCE ON APPLIED PHYSICS, INFORMATION TECHNOLOGIES AND ENGINEERING (APITECH-2019)</t>
  </si>
  <si>
    <t>Journal of Physics Conference Series</t>
  </si>
  <si>
    <t>International Scientific Conference on Applied Physics, Information Technologies and Engineering (APITECH) / 2-nd International Scientific and Practical Conference on Borisov's Readings</t>
  </si>
  <si>
    <t>SEP 25-27, 2019</t>
  </si>
  <si>
    <t>Siberian Fed Univ, Polytechn Inst, Krasnoyarsk, RUSSIA</t>
  </si>
  <si>
    <t>Int &amp; Russian Union Sci &amp; Engn Assoc,Russian Acad Sci, Siberian Branch, Krasnoyarsk Sci Ctr,JSC Cent Construct Bur Geophys,JSC ISS Reshetnev Co,Reshetnev Univ, Inst Informat &amp; Telecommunicat</t>
  </si>
  <si>
    <t>Siberian Fed Univ, Polytechn Inst</t>
  </si>
  <si>
    <t>Kharunzheva, Elena/AAQ-6712-2020</t>
  </si>
  <si>
    <t>Kharunzheva, Elena/0000-0002-9525-9984</t>
  </si>
  <si>
    <t>1742-6588</t>
  </si>
  <si>
    <t>1742-6596</t>
  </si>
  <si>
    <t>10.1088/1742-6596/1399/3/033094</t>
  </si>
  <si>
    <t>WOS:000589557100156</t>
  </si>
  <si>
    <t>Kulikov, IA</t>
  </si>
  <si>
    <t>Kulikov, Ilya A.</t>
  </si>
  <si>
    <t>SUBSTANTIATION OF THE POSSIBILITY OF USING THE FUZZY LOGIC APPARATUS IN THE RESEARCH OF THE ELECTRONIC BOOK SYSTEM</t>
  </si>
  <si>
    <t>TEKST KNIGA KNIGOIZDANIE-TEXT BOOK PUBLISHING</t>
  </si>
  <si>
    <t>Kulikov, Ilya A./A-2028-2019</t>
  </si>
  <si>
    <t>2306-2061</t>
  </si>
  <si>
    <t>2311-3774</t>
  </si>
  <si>
    <t>APR</t>
  </si>
  <si>
    <t>10.17223/23062061/16/9</t>
  </si>
  <si>
    <t>WOS:000451192400009</t>
  </si>
  <si>
    <t>Tatarinova, MN</t>
  </si>
  <si>
    <t>Tatarinova, M. N.</t>
  </si>
  <si>
    <t>MODEL OF EMOTIONALLY-VALUABLE COMPONENT OF THE CONTENT OF ELEMENTARY FOREIGN LANGUAGE EDUCATION</t>
  </si>
  <si>
    <t>OBRAZOVANIE I NAUKA-EDUCATION AND SCIENCE</t>
  </si>
  <si>
    <t>1994-5639</t>
  </si>
  <si>
    <t>2310-5828</t>
  </si>
  <si>
    <t>10.17853/1994-5639-2018-4-180-199</t>
  </si>
  <si>
    <t>WOS:000461120800008</t>
  </si>
  <si>
    <t>Ozhegov, AN; Derendjaeva, LV; Zakalata, AA</t>
  </si>
  <si>
    <t>IEEE</t>
  </si>
  <si>
    <t>Ozhegov, A. N.; Derendjaeva, L., V; Zakalata, A. A.</t>
  </si>
  <si>
    <t>Network Reduction in Calculation of Oscillatory Characteristics of Branching Point Resistor of Electric Loads at Industrial Enterprise</t>
  </si>
  <si>
    <t>2018 INTERNATIONAL CONFERENCE ON INDUSTRIAL ENGINEERING, APPLICATIONS AND MANUFACTURING (ICIEAM)</t>
  </si>
  <si>
    <t>International Conference on Industrial Engineering, Applications and Manufacturing (ICIEAM)</t>
  </si>
  <si>
    <t>MAY 15-18, 2018</t>
  </si>
  <si>
    <t>Moscow Polytechn Univ, Moscow, RUSSIA</t>
  </si>
  <si>
    <t>Moscow Polytechn Univ</t>
  </si>
  <si>
    <t>978-1-5386-4307-5</t>
  </si>
  <si>
    <t>WOS:000478963800067</t>
  </si>
  <si>
    <t>Petrov, EP; Kharina, NL</t>
  </si>
  <si>
    <t>Petrov, E. P.; Kharina, N. L.</t>
  </si>
  <si>
    <t>Markov Processes in Image Processing</t>
  </si>
  <si>
    <t>INTERNATIONAL CONFERENCE INFORMATION TECHNOLOGIES IN BUSINESS AND INDUSTRY 2018, PTS 1-4</t>
  </si>
  <si>
    <t>International Conference on Information Technologies in Business and Industry</t>
  </si>
  <si>
    <t>JAN 17-20, 2018</t>
  </si>
  <si>
    <t>Tomsk Polytechn Univ, Tomsk, RUSSIA</t>
  </si>
  <si>
    <t>Tomsk Polytechn Univ</t>
  </si>
  <si>
    <t>Petrov, Evgeny/K-7050-2012</t>
  </si>
  <si>
    <t>10.1088/1742-6596/1015/3/032059</t>
  </si>
  <si>
    <t>WOS:000446952000078</t>
  </si>
  <si>
    <t>B</t>
  </si>
  <si>
    <t>Sozinova, AA</t>
  </si>
  <si>
    <t>Popkova, EG</t>
  </si>
  <si>
    <t>Sozinova, Anastasia A.</t>
  </si>
  <si>
    <t>CONCEPTUAL PROVISIONS OF A NEW INSTITUTIONAL THEORY</t>
  </si>
  <si>
    <t>ECONOMIC AND LEGAL FOUNDATIONS OF MODERN RUSSIAN SOCIETY: A NEW INSTITUTIONAL THEORY</t>
  </si>
  <si>
    <t>Advances in Research on Russian Business and Management</t>
  </si>
  <si>
    <t>Sozinova, Anastasia/F-6298-2015</t>
  </si>
  <si>
    <t>Sozinova, Anastasia/0000-0001-5876-2823</t>
  </si>
  <si>
    <t>978-1-64113-125-4; 978-1-64113-126-1</t>
  </si>
  <si>
    <t>WOS:000435422600001</t>
  </si>
  <si>
    <t>Timkin, Yuriy N.</t>
  </si>
  <si>
    <t>POLITICAL CASE ABOUT THE DECAY OFTHE PARTY LEADERSHIP IN VYATKA DISTRICT COMMITEE OF THE VKP(B) IN 1933</t>
  </si>
  <si>
    <t>VOPROSY ISTORII</t>
  </si>
  <si>
    <t>0042-8779</t>
  </si>
  <si>
    <t>1938-2561</t>
  </si>
  <si>
    <t>WOS:000430782900010</t>
  </si>
  <si>
    <t>Lebedeva, OV; Khodyreva, EA</t>
  </si>
  <si>
    <t>Valeeva, R</t>
  </si>
  <si>
    <t>Lebedeva, Olga Vladimirovna; Khodyreva, Elena Anatolyevna</t>
  </si>
  <si>
    <t>PROBLEMS OF MULTICULTURAL EDUCATION OF STUDENTS IN RUSSIA: WAYS OF ITS SOLVING</t>
  </si>
  <si>
    <t>IFTE 2017 - 3RD INTERNATIONAL FORUM ON TEACHER EDUCATION</t>
  </si>
  <si>
    <t>European Proceedings of Social and Behavioural Sciences</t>
  </si>
  <si>
    <t>3rd International Forum on Teacher Education (IFTE)</t>
  </si>
  <si>
    <t>MAY 23-25, 2017</t>
  </si>
  <si>
    <t>Kazan Fed Univ, Kazan, RUSSIA</t>
  </si>
  <si>
    <t>Kazan Fed Univ</t>
  </si>
  <si>
    <t>Khodyreva, Elena/AAE-3535-2019</t>
  </si>
  <si>
    <t>2357-1330</t>
  </si>
  <si>
    <t>10.15405/epsbs.2017.08.02.55</t>
  </si>
  <si>
    <t>WOS:000432421300055</t>
  </si>
  <si>
    <t>Galitskikh, EO</t>
  </si>
  <si>
    <t>Galitskikh, Elena O.</t>
  </si>
  <si>
    <t>Educational Technology List as a Resource for the Organization of Children's Literature Reading</t>
  </si>
  <si>
    <t>IFTE 2016 - 2ND INTERNATIONAL FORUM ON TEACHER EDUCATION</t>
  </si>
  <si>
    <t>2nd International Forum on Teacher Education (IFTE)</t>
  </si>
  <si>
    <t>MAY 19-21, 2016</t>
  </si>
  <si>
    <t>Kazan Fed Univ, RUSSIA</t>
  </si>
  <si>
    <t>Galitskikh, Elena O./G-3532-2018</t>
  </si>
  <si>
    <t>Galitskikh, Elena O./0000-0003-1145-3315</t>
  </si>
  <si>
    <t>10.15405/epsbs.2016.07.8</t>
  </si>
  <si>
    <t>WOS:000383393800008</t>
  </si>
  <si>
    <t>Zboev, AV</t>
  </si>
  <si>
    <t>Zboev, Artem, V</t>
  </si>
  <si>
    <t>The position of the Anti-Hitler allies on the bombing of Bulgaria in 1943-1944</t>
  </si>
  <si>
    <t>Zboev, Artem/C-6104-2017</t>
  </si>
  <si>
    <t>Zboev, Artem/0000-0001-5122-538X</t>
  </si>
  <si>
    <t>WOS:000370908700007</t>
  </si>
  <si>
    <t>Chemodanov, IV</t>
  </si>
  <si>
    <t>SGEM</t>
  </si>
  <si>
    <t>Chemodanov, Igor Vladislavovich</t>
  </si>
  <si>
    <t>AGRICULTURE AND PEASANTRY IN VYATKA REGION DURING SECOND HALF OF 1930-S</t>
  </si>
  <si>
    <t>ANTHROPOLOGY, ARCHAEOLOGY, HISTORY AND PHILOSOPHY</t>
  </si>
  <si>
    <t>International Multidisciplinary Scientific Conferences on Social Sciences and Arts</t>
  </si>
  <si>
    <t>International Multidisciplinary Scientific Conferences on Social Sciences and Arts (SGEM 2014)</t>
  </si>
  <si>
    <t>SEP 01-10, 2014</t>
  </si>
  <si>
    <t>Albena, BULGARIA</t>
  </si>
  <si>
    <t>Bulgarian Acad Sci,Acad Sci Czech Republ,Latvian Acad Sci,Polish Acad Sci,Russian Acad Sci,Serbian Acad Sci &amp; Arts,Slovak Acad Sci Intro,Natl Acad Sci Ukraine,Natl Acad Sci Armenia,Sci Counc Japan,World Acad Sci TWAS,European Acad Sci, Arts &amp; Lett,Acad Fine Arts Zagreb Croatia,Croatian Acad Sci &amp; Arts,Acad Sci Moldova,Montenegrin Acad Sci &amp; Arts,Georgian Acad Sci,Acad Fine Arts &amp; Design Bratislava,Russian Acad Arts,Turkish Acad Sci,SGEM</t>
  </si>
  <si>
    <t>2367-5659</t>
  </si>
  <si>
    <t>978-619-7105-29-2</t>
  </si>
  <si>
    <t>WOS:000358190200056</t>
  </si>
  <si>
    <t>Sudovikov, MS</t>
  </si>
  <si>
    <t>Sudovikov, M. S.</t>
  </si>
  <si>
    <t>The merchant and negotiant Xenofont Anfilatov</t>
  </si>
  <si>
    <t>WOS:000290830700011</t>
  </si>
  <si>
    <t>Kalinin, AA</t>
  </si>
  <si>
    <t>Kalinin, A. A.</t>
  </si>
  <si>
    <t>Soviet-British negotiations on the division of spheres of influence in Europe, 1944</t>
  </si>
  <si>
    <t>Kalinin, Alexander/T-8698-2017</t>
  </si>
  <si>
    <t>Kalinin, Alexander/0000-0002-8083-6291</t>
  </si>
  <si>
    <t>WOS:000271159400002</t>
  </si>
  <si>
    <t>Bakulin, VI</t>
  </si>
  <si>
    <t>The personnel purges of 1933-1938 in Kirov region.</t>
  </si>
  <si>
    <t>OTECHESTVENNAYA ISTORIYA</t>
  </si>
  <si>
    <t>Bakulin, Vladimir Ivanovich/E-7808-2018</t>
  </si>
  <si>
    <t>Bakulin, Vladimir Ivanovich/0000-0002-8648-0011</t>
  </si>
  <si>
    <t>JAN-FEB</t>
  </si>
  <si>
    <t>WOS:000235642300014</t>
  </si>
  <si>
    <t>Sokovnin, OM; Zagoskin, SN</t>
  </si>
  <si>
    <t>Kinetics of sorption of particles on granular filter</t>
  </si>
  <si>
    <t>THEORETICAL FOUNDATIONS OF CHEMICAL ENGINEERING</t>
  </si>
  <si>
    <t>0040-5795</t>
  </si>
  <si>
    <t>JUL-AUG</t>
  </si>
  <si>
    <t>10.1023/B:TFCE.0000036967.86553.56</t>
  </si>
  <si>
    <t>WOS:000223571800010</t>
  </si>
  <si>
    <t>Kalinin, SI; Pankratova, LV</t>
  </si>
  <si>
    <t>Kalinin, S. I.; Pankratova, L. V.</t>
  </si>
  <si>
    <t>ON THE IMPLEMENTATION OF A TRANSDISCIPLINARY APPROACH IN PREPARING FUTURE MATHEMATICS TEACHERS</t>
  </si>
  <si>
    <t>NOV</t>
  </si>
  <si>
    <t>10.17853/1994-5639-2022-9-11-42</t>
  </si>
  <si>
    <t>WOS:000926386400001</t>
  </si>
  <si>
    <t>Sozinova, AA; Saveleva, NK</t>
  </si>
  <si>
    <t>Sozinova, Anastasia A.; Saveleva, Nadezhda K.</t>
  </si>
  <si>
    <t>MARKETING QUALITY MANAGEMENT IN INDUSTRY 4.0 IN TRANSBORDER MARKETS</t>
  </si>
  <si>
    <t>INTERNATIONAL JOURNAL FOR QUALITY RESEARCH</t>
  </si>
  <si>
    <t>Sozinova, Anastasia/F-6298-2015; Andrea Simões Braga, Francisco/GRS-0157-2022</t>
  </si>
  <si>
    <t xml:space="preserve">Sozinova, Anastasia/0000-0001-5876-2823; </t>
  </si>
  <si>
    <t>1800-6450</t>
  </si>
  <si>
    <t>1800-7473</t>
  </si>
  <si>
    <t>10.24874/IJQR16.03-20</t>
  </si>
  <si>
    <t>WOS:000891387700001</t>
  </si>
  <si>
    <t>Schastlivtseva, EA; Kazakova, NV</t>
  </si>
  <si>
    <t>Schastlivtseva, Elena A.; Kazakova, Natalya, V</t>
  </si>
  <si>
    <t>THE PHENOMENOLOGICAL TRADITION IN RUSSIAN PHILOSOPHY</t>
  </si>
  <si>
    <t>REVISTA INCLUSIONES</t>
  </si>
  <si>
    <t>Schastlivtseva, Elena/0000-0002-2832-7748</t>
  </si>
  <si>
    <t>0719-4706</t>
  </si>
  <si>
    <t>JUL-SEP</t>
  </si>
  <si>
    <t>SI</t>
  </si>
  <si>
    <t>WOS:000583771900020</t>
  </si>
  <si>
    <t>Chernysheva, N; Chernyshev, K</t>
  </si>
  <si>
    <t>Chernysheva, Natalia; Chernyshev, Konstantin</t>
  </si>
  <si>
    <t>Migrations of Kirov residents to the Kaliningrad region in the post-war period (1946-1953)</t>
  </si>
  <si>
    <t>Chernysheva, Natalia/Q-4804-2016; Chernyshev, Konstantin A/H-6630-2016</t>
  </si>
  <si>
    <t>Chernysheva, Natalia/0000-0002-1492-5368; Chernyshev, Konstantin A/0000-0003-3543-4776</t>
  </si>
  <si>
    <t>10.31166/VoprosyIstorii202010Staty165</t>
  </si>
  <si>
    <t>WOS:000605445300016</t>
  </si>
  <si>
    <t>Devetyarova, IP; Agalakova, OS; Cheglakova, LS; Kolesova, YA</t>
  </si>
  <si>
    <t>Devetyarova, Irina P.; Agalakova, Oksana S.; Cheglakova, Larisa S.; Kolesova, Yulia A.</t>
  </si>
  <si>
    <t>INSTITUTIONALIZATION OF SUCCESSFUL MARKETING PRACTICES OF DIGITAL UNIVERSITIES BASED ON QUALITY MANAGEMENT IN MODERN RUSSIA</t>
  </si>
  <si>
    <t>10.24874/IJQR14.02-12</t>
  </si>
  <si>
    <t>WOS:000531047700012</t>
  </si>
  <si>
    <t>Fokina, AI; Kulakov, VN; Darovskikh, LV; Lyalina, KD</t>
  </si>
  <si>
    <t>Fokina, A. I.; Kulakov, V. N.; Darovskikh, L. V.; Lyalina, K. D.</t>
  </si>
  <si>
    <t>A new approach to the determination of cobalt in the form of cobalt(III) by inversion voltammetry</t>
  </si>
  <si>
    <t>10.25750/1995-4301-2020-2-057-063</t>
  </si>
  <si>
    <t>WOS:000545295600007</t>
  </si>
  <si>
    <t>Medvedeva, E; Trubin, I; Kasper, P</t>
  </si>
  <si>
    <t>Medvedeva, Elena; Trubin, Igor; Kasper, Pavel</t>
  </si>
  <si>
    <t>Vehicle License Plate Recognition Based on Edge Detection</t>
  </si>
  <si>
    <t>PROCEEDINGS OF THE 26TH CONFERENCE OF OPEN INNOVATIONS ASSOCIATION FRUCT</t>
  </si>
  <si>
    <t>Proceedings Conference of Open Innovations Association FRUCT</t>
  </si>
  <si>
    <t>26th Conference of Open Innovations Association FRUCT</t>
  </si>
  <si>
    <t>APR 23-24, 2020</t>
  </si>
  <si>
    <t>Yaroslavl, RUSSIA</t>
  </si>
  <si>
    <t>FRUCT Assoc,Yaroslavl Demidov State Univ, Fac Informat &amp; Comp Sci,Helsinki Inst Informat Technol,IEEE Russia Russia Siberia &amp; Russia NW Joint Sect Informat Theory Soc Chapter,IEEE Commun Soc,IEEE,MDPI, Future Internet Journal</t>
  </si>
  <si>
    <t>Medvedeva, Elena V./A-5714-2014</t>
  </si>
  <si>
    <t>Medvedeva, Elena V./0000-0002-0677-1418</t>
  </si>
  <si>
    <t>2305-7254</t>
  </si>
  <si>
    <t>2343-0737</t>
  </si>
  <si>
    <t>978-952-69244-2-7</t>
  </si>
  <si>
    <t>WOS:000590125300040</t>
  </si>
  <si>
    <t>Tatarinova, NV; Suvorov, DM</t>
  </si>
  <si>
    <t>Tatarinova, N., V; Suvorov, D. M.</t>
  </si>
  <si>
    <t>Comparative and Optimizing Calculations of Energy Efficiency Indicators for Operation of CHP Plants Using the Normative Characteristics and Mathematical Models</t>
  </si>
  <si>
    <t>10.1007/978-3-030-39225-3_70</t>
  </si>
  <si>
    <t>WOS:000675525300070</t>
  </si>
  <si>
    <t>Polevoy, GG</t>
  </si>
  <si>
    <t>Polevoy, Georgy G.</t>
  </si>
  <si>
    <t>INFLUENCE OF COORDINATION TRAINING ON THE DEVELOPMENT OF MEMORY OF CHILDREN WITH DIFFERENT TYPOLOGY</t>
  </si>
  <si>
    <t>REVISTA BRASILEIRA DE FUTSAL E FUTEBOL</t>
  </si>
  <si>
    <t>1984-4956</t>
  </si>
  <si>
    <t>MAY-AUG</t>
  </si>
  <si>
    <t>WOS:000458750500010</t>
  </si>
  <si>
    <t>Medvedeva, E</t>
  </si>
  <si>
    <t>Jozwiak, L; Stojanovic, R; Lutovac, B; Jurisic, D</t>
  </si>
  <si>
    <t>Medvedeva, Elena</t>
  </si>
  <si>
    <t>Moving Object Detection in Noisy Images</t>
  </si>
  <si>
    <t>2019 8TH MEDITERRANEAN CONFERENCE ON EMBEDDED COMPUTING (MECO)</t>
  </si>
  <si>
    <t>Mediterranean Conference on Embedded Computing</t>
  </si>
  <si>
    <t>8th Mediterranean Conference on Embedded Computing (MECO)</t>
  </si>
  <si>
    <t>JUN 10-14, 2019</t>
  </si>
  <si>
    <t>Budva, MONTENEGRO</t>
  </si>
  <si>
    <t>IEEE,EUROMICRO,MANT,MECOnet,Univ Montenegro,Ryazan State Radio Engn Univ,Eindhoven Tech Univ,Univ Zagreb,Univ Belgrade,Minist Sci Montenegro,Cikom Co</t>
  </si>
  <si>
    <t>2377-5475</t>
  </si>
  <si>
    <t>978-1-7281-1739-3</t>
  </si>
  <si>
    <t>WOS:000492146100119</t>
  </si>
  <si>
    <t>Diner, EV</t>
  </si>
  <si>
    <t>Diner, Elena V.</t>
  </si>
  <si>
    <t>ON DEVELOPING THE CONCEPT OF A MULTIMEDIA EDUCATIONAL TEXTBOOK FOR SECONDARY SCHOOLS (A CASE STUDY OF AN ELECTRONIC APPLICATION TO THE ENGLISH LANGUAGE TEXTBOOK FOR ELEMENTARY SCHOOL)</t>
  </si>
  <si>
    <t>Diner, Elena/ABA-6122-2020</t>
  </si>
  <si>
    <t>Diner, Elena/0000-0001-6233-7571</t>
  </si>
  <si>
    <t>DEC</t>
  </si>
  <si>
    <t>10.17223/23062061/18/8</t>
  </si>
  <si>
    <t>WOS:000455535400008</t>
  </si>
  <si>
    <t>Sedlova, NG; Shilov, IB; Fomin, SV; Mansurova, IA</t>
  </si>
  <si>
    <t>Sedlova, N. G.; Shilov, I. B.; Fomin, S. V.; Mansurova, I. A.</t>
  </si>
  <si>
    <t>Synthesis of a Modifier for Rubbers with Silica-filler by Reaction of N-tert-Butyl-2-benzothiazolylsulfenamide with Trimethylolpropane Triglycidyl Ether and Characterization of the Reaction Product</t>
  </si>
  <si>
    <t>RUSSIAN JOURNAL OF APPLIED CHEMISTRY</t>
  </si>
  <si>
    <t>Shilov, Ivan/ABA-7069-2021; Mansurova, Irina Alekseevna/J-3337-2016; Fomin, Sergey V./A-7869-2014</t>
  </si>
  <si>
    <t>Mansurova, Irina Alekseevna/0000-0003-1197-0339; Fomin, Sergey V./0000-0003-0393-5613; Shilov, Ivan/0000-0002-0896-095X</t>
  </si>
  <si>
    <t>1070-4272</t>
  </si>
  <si>
    <t>1608-3296</t>
  </si>
  <si>
    <t>10.1134/S1070427218070182</t>
  </si>
  <si>
    <t>WOS:000447673400018</t>
  </si>
  <si>
    <t>Tatarinova, A; Prozorov, D</t>
  </si>
  <si>
    <t>Tatarinova, Alexandra; Prozorov, Dmitriy</t>
  </si>
  <si>
    <t>Building Test Speech Dataset on Russian Language for Spoken Document Retrieval Task</t>
  </si>
  <si>
    <t>PROCEEDINGS OF 2018 IEEE EAST-WEST DESIGN &amp; TEST SYMPOSIUM (EWDTS 2018)</t>
  </si>
  <si>
    <t>East-West Design &amp; Test Symposium</t>
  </si>
  <si>
    <t>IEEE East-West Design and Test Symposium (EWDTS)</t>
  </si>
  <si>
    <t>SEP 14-17, 2018</t>
  </si>
  <si>
    <t>Kazan, RUSSIA</t>
  </si>
  <si>
    <t>IEEE,IEEE Comp Soc,TTTC</t>
  </si>
  <si>
    <t>Prozorov, Dmitriy E./A-3548-2014</t>
  </si>
  <si>
    <t>Prozorov, Dmitriy E./0000-0002-3577-8838</t>
  </si>
  <si>
    <t>2373-826X</t>
  </si>
  <si>
    <t>2472-761X</t>
  </si>
  <si>
    <t>978-1-5386-5710-2</t>
  </si>
  <si>
    <t>WOS:000517795800002</t>
  </si>
  <si>
    <t>Yungblud, V; Sadakov, D</t>
  </si>
  <si>
    <t>Yungblud, V; Sadakov, D.</t>
  </si>
  <si>
    <t>DIPLOMATIC SUPPORT OF US INVOLVMENT IN THE KOREAN WAR JUNE 25 - JULY 6 1950: CRISIS RESPONSE EXPERIENCE</t>
  </si>
  <si>
    <t>MGIMO REVIEW OF INTERNATIONAL RELATIONS</t>
  </si>
  <si>
    <t>Sadakov, Denis/R-9556-2018; Yungblyud, Valeriy T./J-8665-2016</t>
  </si>
  <si>
    <t>Sadakov, Denis/0000-0003-4308-7276; Yungblyud, Valeriy T./0000-0002-2706-3904</t>
  </si>
  <si>
    <t>2071-8160</t>
  </si>
  <si>
    <t>2541-9099</t>
  </si>
  <si>
    <t>10.24833/2071-8160-2018-4-61-241-261</t>
  </si>
  <si>
    <t>WOS:000445743100013</t>
  </si>
  <si>
    <t>Grabar, AA; Kuklin, AV; Prokopenko, LK</t>
  </si>
  <si>
    <t>Grabar, Anna A.; Kuklin, Andrey V.; Prokopenko, Lyudmila K.</t>
  </si>
  <si>
    <t>The Concept of Economic and Social Development of Region Within Global Crisis Management</t>
  </si>
  <si>
    <t>OVERCOMING UNCERTAINTY OF INSTITUTIONAL ENVIRONMENT AS A TOOL OF GLOBAL CRISIS MANAGEMENT</t>
  </si>
  <si>
    <t>Contributions to Economics</t>
  </si>
  <si>
    <t>Conference on Overcoming Uncertainty of Institutional Environment as a Tool of Global Crisis Management</t>
  </si>
  <si>
    <t>APR, 2017</t>
  </si>
  <si>
    <t>Athens, GREECE</t>
  </si>
  <si>
    <t>Kuklin, Andrei/0000-0002-4195-106X</t>
  </si>
  <si>
    <t>1431-1933</t>
  </si>
  <si>
    <t>978-3-319-60696-5; 978-3-319-60695-8</t>
  </si>
  <si>
    <t>10.1007/978-3-319-60696-5_3</t>
  </si>
  <si>
    <t>WOS:000426114200003</t>
  </si>
  <si>
    <t>Soboleva, ON; Burtseva, TA; Barmina, EA; Ganebnykh, EV; Tokareva, PV</t>
  </si>
  <si>
    <t>Soboleva, Olga N.; Burtseva, Tatiana A.; Barmina, Elena A.; Ganebnykh, Elena V.; Tokareva, Polina V.</t>
  </si>
  <si>
    <t>Methodology of Multivariate Statistical Analysis in Evaluating the Factors of Region's Innovative Activity</t>
  </si>
  <si>
    <t>Ganebnykh, Elena/I-2839-2017; Soboleva, Olga/T-1858-2018; Tokareva, Polina/AAB-2658-2020</t>
  </si>
  <si>
    <t>Ganebnykh, Elena/0000-0003-0669-8318; Soboleva, Olga/0000-0001-8019-7023; Barmina, Elena/0000-0001-8296-6498; Burtseva, Tatyana/0000-0001-9088-1208</t>
  </si>
  <si>
    <t>10.1007/978-3-319-60696-5_71</t>
  </si>
  <si>
    <t>WOS:000426114200071</t>
  </si>
  <si>
    <t>Prozorov, D; Yashina, A</t>
  </si>
  <si>
    <t>Prozorov, Dmitriy; Yashina, Alexandra</t>
  </si>
  <si>
    <t>The Extended Longest Common Substring Algorithm for Spoken Document Retrieval</t>
  </si>
  <si>
    <t>2015 9TH INTERNATIONAL CONFERENCE ON APPLICATION OF INFORMATION AND COMMUNICATION TECHNOLOGIES (AICT)</t>
  </si>
  <si>
    <t>International Conference on Application of Information and Communication Technologies</t>
  </si>
  <si>
    <t>9th International Conference of Information and Communiation Technologies (AICT)</t>
  </si>
  <si>
    <t>OCT 14-16, 2015</t>
  </si>
  <si>
    <t>Rostov-on-Don, RUSSIA</t>
  </si>
  <si>
    <t>SO FEDERAL UNIV,QAFQAZ UNIV,IEEE,IEEE ADV TECHNOLOGY HUMANITY,SO FEDERAL UNIV</t>
  </si>
  <si>
    <t>2378-8232</t>
  </si>
  <si>
    <t>2472-8586</t>
  </si>
  <si>
    <t>978-1-4673-6855-1</t>
  </si>
  <si>
    <t>WOS:000380404000020</t>
  </si>
  <si>
    <t>Peretiagina, AV</t>
  </si>
  <si>
    <t>Peretiagina, A. V.</t>
  </si>
  <si>
    <t>Foreign specialists in the works of Viatka province in the 19th century</t>
  </si>
  <si>
    <t>WOS:000330336600010</t>
  </si>
  <si>
    <t>Devyaterikova, SV; Khitrin, SV; Fuks, SL</t>
  </si>
  <si>
    <t>Use of mother liquor from fluorplastic production for preparing composite coatings</t>
  </si>
  <si>
    <t>Khitrin, Sergey/AAC-9299-2019; Fuks, Sofja/AAB-4769-2019</t>
  </si>
  <si>
    <t>Khitrin, Sergey/0000-0001-6874-6018; Fuks, Sofja/0000-0002-9238-2944</t>
  </si>
  <si>
    <t>10.1023/A:1025776212553</t>
  </si>
  <si>
    <t>WOS:000184763100039</t>
  </si>
  <si>
    <t>Kalinina, LA; Fominykh, EG; Tsirenova, LS; Ushakova, YN; Shirokova, GI; Murin, IV</t>
  </si>
  <si>
    <t>Electrochemical modification of composition and properties of nonstoichiometric sulfides and oxides with sulfide-conducting solid electrolyte</t>
  </si>
  <si>
    <t>International Conference on Glasses and Solid Electrolytes</t>
  </si>
  <si>
    <t>MAY 17-19, 1999</t>
  </si>
  <si>
    <t>ST PETERSBURG, RUSSIA</t>
  </si>
  <si>
    <t>Murin, Igor V/L-6482-2013</t>
  </si>
  <si>
    <t>Murin, Igor V/0000-0003-1869-7590; Kalinina, Ludmila/0000-0001-9471-2778</t>
  </si>
  <si>
    <t>JUN</t>
  </si>
  <si>
    <t>WOS:000165979500020</t>
  </si>
  <si>
    <t>Sysolyatina, MA; Olkova, AS</t>
  </si>
  <si>
    <t>Sysolyatina, M. A.; Olkova, A. S.</t>
  </si>
  <si>
    <t>Sources of rare earth elements in the environment and their impact on living organisms</t>
  </si>
  <si>
    <t>ENVIRONMENTAL REVIEWS</t>
  </si>
  <si>
    <t>Sysolyatina, Maria/0000-0002-7671-3993</t>
  </si>
  <si>
    <t>1208-6053</t>
  </si>
  <si>
    <t>1181-8700</t>
  </si>
  <si>
    <t>NOV 21</t>
  </si>
  <si>
    <t>10.1139/er-2022-0081</t>
  </si>
  <si>
    <t>WOS:000931841200001</t>
  </si>
  <si>
    <t>Mosechkin, IN</t>
  </si>
  <si>
    <t>Mosechkin, I. N.</t>
  </si>
  <si>
    <t>Criminal liability for organizing a stable group of persons aimed at committing crimes in the field of computer information</t>
  </si>
  <si>
    <t>VESTNIK OF SAINT PETERSBURG UNIVERSITY-LAW-VESTNIK SANKT-PETERBURGSKOGO UNIVERSITETA-PRAVO</t>
  </si>
  <si>
    <t>Mosechkin, Elya Nikolaevich/I-8772-2017</t>
  </si>
  <si>
    <t>Mosechkin, Elya Nikolaevich/0000-0002-9724-9552</t>
  </si>
  <si>
    <t>2074-1243</t>
  </si>
  <si>
    <t>2587-5833</t>
  </si>
  <si>
    <t>10.21638/spbu14.2022.102</t>
  </si>
  <si>
    <t>WOS:000806210500002</t>
  </si>
  <si>
    <t>Kalinina, LV; Faleeva, AS</t>
  </si>
  <si>
    <t>Kalinina, Liudmila, V; Faleeva, Anna S.</t>
  </si>
  <si>
    <t>The Transitional State as an Object of Description in an Explanatory-Ideographic Dictionary</t>
  </si>
  <si>
    <t>VOPROSY LEKSIKOGRAFII-RUSSIAN JOURNAL OF LEXICOGRAPHY</t>
  </si>
  <si>
    <t>Faleeva, Anna A.S./GOG-8105-2022; Kalinina, Liudmila/HMV-2988-2023</t>
  </si>
  <si>
    <t>Kalinina, Liudmila/0000-0003-2271-3995</t>
  </si>
  <si>
    <t>2227-4200</t>
  </si>
  <si>
    <t>2311-3758</t>
  </si>
  <si>
    <t>10.17223/22274200/22/2</t>
  </si>
  <si>
    <t>WOS:000869082400002</t>
  </si>
  <si>
    <t>Basmanov, VG; Holmaskih, VM</t>
  </si>
  <si>
    <t>Basmanov, V. G.; Holmaskih, V. M.</t>
  </si>
  <si>
    <t>Features of Forecasting Reliability of 6-10 kV Overhead Lines According to Statistics of their Failures and Reconditionings</t>
  </si>
  <si>
    <t>Basmanov, Vladislav G/0000-0002-9564-5148</t>
  </si>
  <si>
    <t>10.52254/1857-0070.2021.4-52.01</t>
  </si>
  <si>
    <t>WOS:000734088800001</t>
  </si>
  <si>
    <t>Gabdulinova, KG; Kovrova, MA</t>
  </si>
  <si>
    <t>Gabdulinova, Kamilya G.; Kovrova, Maria A.</t>
  </si>
  <si>
    <t>THE USE OF A DIGITAL MICROSCOPE FOR THE DEVELOPMENT OF YOUNG SCHOOLCHILDREN'S IDEAS ABOUT PLANTS, ANIMALS AND FUNGI</t>
  </si>
  <si>
    <t>INFORMATION TECHNOLOGIES AND LEARNING TOOLS</t>
  </si>
  <si>
    <t>Габдулинова, камиля/AHB-8442-2022</t>
  </si>
  <si>
    <t>2076-8184</t>
  </si>
  <si>
    <t>10.33407/itlt.v86i6.4320</t>
  </si>
  <si>
    <t>WOS:000750127200002</t>
  </si>
  <si>
    <t>Control of Suitability of the Culture Daphnia magna Straus for Bioassays of Aquatic Environments, Taking into Account Demographic Indicators of Model Populations</t>
  </si>
  <si>
    <t>WATER</t>
  </si>
  <si>
    <t>Olkova, Anna/0000-0002-5798-8211</t>
  </si>
  <si>
    <t>2073-4441</t>
  </si>
  <si>
    <t>JAN</t>
  </si>
  <si>
    <t>10.3390/w13010047</t>
  </si>
  <si>
    <t>WOS:000606408000001</t>
  </si>
  <si>
    <t>Soboleva, EV; Karavaev, NL</t>
  </si>
  <si>
    <t>Soboleva, Elena, V; Karavaev, Nikita L.</t>
  </si>
  <si>
    <t>Preparing Engineers of the Future: the Development of Environmental Thinking as a Universal Competency in Teaching Robotics</t>
  </si>
  <si>
    <t>10.13187/ejced.2020.1.160</t>
  </si>
  <si>
    <t>WOS:000522736400013</t>
  </si>
  <si>
    <t>Polevoy, GG; Strelnikowa, IV</t>
  </si>
  <si>
    <t>Polevoy, Georgiy Georgievich; Strelnikowa, Irina Vasil'evna</t>
  </si>
  <si>
    <t>Complex control of coordination and speed-power abilities in fire-applied sports</t>
  </si>
  <si>
    <t>PEDAGOGY OF PHYSICAL CULTURE AND SPORTS</t>
  </si>
  <si>
    <t>Polevoy, Georgiy/M-2155-2016</t>
  </si>
  <si>
    <t>Polevoy, Georgiy/0000-0002-3300-3908</t>
  </si>
  <si>
    <t>2664-9837</t>
  </si>
  <si>
    <t>10.15561/26649837.2020.0606</t>
  </si>
  <si>
    <t>WOS:000601302200006</t>
  </si>
  <si>
    <t>Kuzmin, VA; Zagrai, IA; Maratkanova, EI; Desiatkov, IA</t>
  </si>
  <si>
    <t>Kuzmin, V. A.; Zagrai, I. A.; Maratkanova, E. I.; Desiatkov, I. A.</t>
  </si>
  <si>
    <t>Investigation of thermal radiation of furnace gases generated from solid-fuel combustion in a steam boiler</t>
  </si>
  <si>
    <t>THERMOPHYSICS AND AEROMECHANICS</t>
  </si>
  <si>
    <t>Kuzmin, Vladimir A/J-6741-2017</t>
  </si>
  <si>
    <t>Kuzmin, Vladimir A/0000-0002-8886-8677; Kuzmin, Vladimir/0000-0001-9979-4610</t>
  </si>
  <si>
    <t>0869-8643</t>
  </si>
  <si>
    <t>1531-8699</t>
  </si>
  <si>
    <t>10.1134/S0869864319020112</t>
  </si>
  <si>
    <t>WOS:000471203300011</t>
  </si>
  <si>
    <t>Lesnikov, V; Naumovich, T; Chastikov, A</t>
  </si>
  <si>
    <t>Lesnikov, Vladislav; Naumovich, Tatiana; Chastikov, Alexander</t>
  </si>
  <si>
    <t>The Relationship between the Representation of a IIR Digital Filter in the State Space and the Description by the Topological Matrix</t>
  </si>
  <si>
    <t>PROCEEDINGS OF THE 24TH CONFERENCE OF OPEN INNOVATIONS ASSOCIATION (FRUCT)</t>
  </si>
  <si>
    <t>24th Conference of Open-Innovations-Association (FRUCT)</t>
  </si>
  <si>
    <t>APR 08-12, 2019</t>
  </si>
  <si>
    <t>Moscow Tech Univ Commun &amp; Informat, Moscow, RUSSIA</t>
  </si>
  <si>
    <t>IEEE,IEEE Commun Soc,Sensors,FRUCT Assoc,IEEE Russia Joint Sect Informat Theory Soc Chapter,IEEE Russia Siberia Joint Sect Informat Theory Soc Chapter,IEEE Russia NW Joint Sect Informat Theory Soc Chapter,Moscow Tech Univ Commun &amp; Informat</t>
  </si>
  <si>
    <t>Moscow Tech Univ Commun &amp; Informat</t>
  </si>
  <si>
    <t>Naumovich, Tatyana/B-8000-2017; Chastikov, Alexander/ACX-8162-2022; Chastikov, Alexander/A-5560-2014; Lesnikov, Vladislav/E-9558-2011</t>
  </si>
  <si>
    <t>Naumovich, Tatyana/0000-0002-3659-2664; Chastikov, Alexander/0000-0002-1998-7787; Lesnikov, Vladislav/0000-0002-5034-291X</t>
  </si>
  <si>
    <t>978-9-5268-6538-6</t>
  </si>
  <si>
    <t>WOS:000469999300031</t>
  </si>
  <si>
    <t>Tyukalov, YY</t>
  </si>
  <si>
    <t>Tyukalov, Yu Ya</t>
  </si>
  <si>
    <t>Finite element model of Reisner's plates in stresses</t>
  </si>
  <si>
    <t>MAGAZINE OF CIVIL ENGINEERING</t>
  </si>
  <si>
    <t>Tyukalov, Yury/AAC-1554-2021; Tyukalov, Yury/P-3728-2017; Tyukalov, Yury/GPS-7157-2022</t>
  </si>
  <si>
    <t xml:space="preserve">Tyukalov, Yury/0000-0001-6184-2365; Tyukalov, Yury/0000-0001-6184-2365; </t>
  </si>
  <si>
    <t>2071-4726</t>
  </si>
  <si>
    <t>2071-0305</t>
  </si>
  <si>
    <t>10.18720/MCE.89.6</t>
  </si>
  <si>
    <t>WOS:000487290800006</t>
  </si>
  <si>
    <t>Moskvin, AS; Kushova, IA; Korotysheva, NN; Kolobova, JI; Golenok, MP; Utemov, VV; Simonova, GI</t>
  </si>
  <si>
    <t>Moskvin, Artem S.; Kushova, Irina A.; Korotysheva, Natalia N.; Kolobova, Julia I.; Golenok, Marina P.; Utemov, Vyacheslav V.; Simonova, Galina I.</t>
  </si>
  <si>
    <t>Urban Youth: Trends To Downshifting In The Internet</t>
  </si>
  <si>
    <t>MODERN JOURNAL OF LANGUAGE TEACHING METHODS</t>
  </si>
  <si>
    <t>Korotysheva, Natalya/V-2261-2018; Moskvin, A. S./AAC-9541-2019; Simonova, Galina/X-5789-2018; Utemov, Vyacheslav V/F-1651-2017</t>
  </si>
  <si>
    <t>Korotysheva, Natalya/0000-0002-8646-5794; Simonova, Galina/0000-0002-0721-287X; Utemov, Vyacheslav V/0000-0001-8156-5916</t>
  </si>
  <si>
    <t>2251-6204</t>
  </si>
  <si>
    <t>WOS:000443674500029</t>
  </si>
  <si>
    <t>Kolupaev, AV; Metelyov, AP; Prozorov, DE; Kurbatova, EE; Kharina, NL</t>
  </si>
  <si>
    <t>Kolupaev, A., V; Metelyov, A. P.; Prozorov, D. E.; Kurbatova, E. E.; Kharina, N. L.</t>
  </si>
  <si>
    <t>Speed increasing of FOE calculation in autonomous vehicle control systems</t>
  </si>
  <si>
    <t>Kurbatova, Ekaterina/A-6003-2014; Prozorov, Dmitriy E./A-3548-2014; Metelyov, Alexander/A-3580-2014</t>
  </si>
  <si>
    <t>Kurbatova, Ekaterina/0000-0001-7173-9214; Prozorov, Dmitriy E./0000-0002-3577-8838; Metelyov, Alexander/0000-0001-7246-9156</t>
  </si>
  <si>
    <t>WOS:000517795800128</t>
  </si>
  <si>
    <t>Vorobyova, TA; Yungblyud, VT</t>
  </si>
  <si>
    <t>Vorobyova, Tamara A.; Yungblyud, Valerii T.</t>
  </si>
  <si>
    <t>Afghanistan in the USSR and USA policy in 1979</t>
  </si>
  <si>
    <t>Yungblyud, Valeriy T./J-8665-2016</t>
  </si>
  <si>
    <t>Yungblyud, Valeriy T./0000-0002-2706-3904</t>
  </si>
  <si>
    <t>WOS:000386994400006</t>
  </si>
  <si>
    <t>Kovalevskii, AV; El'kin, OV</t>
  </si>
  <si>
    <t>Kovalevskii, A. V.; El'kin, O. V.</t>
  </si>
  <si>
    <t>Corrosion of samarium and lanthanum in molten eutectoid mixture of lithium and potassium chlorides</t>
  </si>
  <si>
    <t>RUSSIAN JOURNAL OF ELECTROCHEMISTRY</t>
  </si>
  <si>
    <t>O.V., El'kin/T-7146-2019</t>
  </si>
  <si>
    <t>O.V., El'kin/0000-0002-4540-7483</t>
  </si>
  <si>
    <t>1023-1935</t>
  </si>
  <si>
    <t>10.1134/S1023193512120051</t>
  </si>
  <si>
    <t>WOS:000312405700009</t>
  </si>
  <si>
    <t>Shishalov, VI; Kovalevskii, AV</t>
  </si>
  <si>
    <t>Shishalov, V. I.; Kovalevskii, A. V.</t>
  </si>
  <si>
    <t>The Properties of the Surface of Molten Mixtures of the LiCl-KCl Eutectic with Praseodymium, Samarium, Erbium, and Ytterbium Chlorides</t>
  </si>
  <si>
    <t>RUSSIAN JOURNAL OF PHYSICAL CHEMISTRY A</t>
  </si>
  <si>
    <t>0036-0244</t>
  </si>
  <si>
    <t>10.1134/S0036024411010286</t>
  </si>
  <si>
    <t>WOS:000288387800020</t>
  </si>
  <si>
    <t>Fuchs, SL; Devyaterikova, SV</t>
  </si>
  <si>
    <t>Fuchs, S. L.; Devyaterikova, S., V</t>
  </si>
  <si>
    <t>Recycling of waste from primary chemical power sources</t>
  </si>
  <si>
    <t>10.25750/1995-4301-2022-4-119-123</t>
  </si>
  <si>
    <t>WOS:000929704700016</t>
  </si>
  <si>
    <t>Sennikov, AI</t>
  </si>
  <si>
    <t>Sennikov, Alexey, I</t>
  </si>
  <si>
    <t>THE KURDS IN THE US IRAQI POLICY IN 1958-1960</t>
  </si>
  <si>
    <t>Sennikov, Alexey/I-4292-2018</t>
  </si>
  <si>
    <t>Sennikov, Alexey/0000-0001-9329-2839</t>
  </si>
  <si>
    <t>10.15688/jvolsu4.2022.2.8</t>
  </si>
  <si>
    <t>WOS:000787124400009</t>
  </si>
  <si>
    <t>Yungblud, V</t>
  </si>
  <si>
    <t>Yungblud, Valery</t>
  </si>
  <si>
    <t>The Way to the Rubicon: American-Soviet Contacts in Science and Technology</t>
  </si>
  <si>
    <t>QUAESTIO ROSSICA</t>
  </si>
  <si>
    <t>2311-911X</t>
  </si>
  <si>
    <t>2313-6871</t>
  </si>
  <si>
    <t>10.15826/qr.2022.5.755</t>
  </si>
  <si>
    <t>WOS:000945576100007</t>
  </si>
  <si>
    <t>Chernova, V; Zhukovin, SV; Kondrat'ev, DA</t>
  </si>
  <si>
    <t>Chernova, V; Zhukovin, S., V; Kondrat'ev, D. A.</t>
  </si>
  <si>
    <t>Electroreduction of Holmium Chloride in the Equimolar NaCl-KCl Melt</t>
  </si>
  <si>
    <t>RUSSIAN METALLURGY</t>
  </si>
  <si>
    <t>Zhukovin, Sergey/F-5488-2019; Chernova, Olga/S-4511-2018</t>
  </si>
  <si>
    <t>Zhukovin, Sergey/0000-0002-0532-2303; Chernova, Olga/0000-0002-3773-2796</t>
  </si>
  <si>
    <t>0036-0295</t>
  </si>
  <si>
    <t>1555-6255</t>
  </si>
  <si>
    <t>FEB</t>
  </si>
  <si>
    <t>10.1134/S0036029520020032</t>
  </si>
  <si>
    <t>WOS:000520832000004</t>
  </si>
  <si>
    <t>Krukovsky, VE; Mosechkin, IN</t>
  </si>
  <si>
    <t>Krukovsky, Vladimir E.; Mosechkin, Iliya N.</t>
  </si>
  <si>
    <t>On forms of non-physical (psychological) violence in the criminal legislation of Russia</t>
  </si>
  <si>
    <t>PSYCHOLOGY AND LAW</t>
  </si>
  <si>
    <t>2222-5196</t>
  </si>
  <si>
    <t>10.17759/psylaw.2020100115</t>
  </si>
  <si>
    <t>WOS:000523598300015</t>
  </si>
  <si>
    <t>Mokerova, EY; Tarasov, KN</t>
  </si>
  <si>
    <t>Mokerova, Elena Y.; Tarasov, Konstantin N.</t>
  </si>
  <si>
    <t>COIN CIRCULATION IN THE VYATKA REGION IN THE 30-90s OF THE 18TH CENTURY (ACCORDING TO THE DATA OF COIN TREASURES)</t>
  </si>
  <si>
    <t>NAUCHNYI DIALOG</t>
  </si>
  <si>
    <t>2225-756X</t>
  </si>
  <si>
    <t>2227-1295</t>
  </si>
  <si>
    <t>10.24224/2227-1295-2020-1-400-421</t>
  </si>
  <si>
    <t>WOS:000511435400025</t>
  </si>
  <si>
    <t>Zorin, A</t>
  </si>
  <si>
    <t>Zorin, A.</t>
  </si>
  <si>
    <t>Slovakia in US Foreign Policy in 1945-1948</t>
  </si>
  <si>
    <t>ISTORIYA-ELEKTRONNYI NAUCHNO-OBRAZOVATELNYI ZHURNAL</t>
  </si>
  <si>
    <t>Zorin, Artem V/W-1762-2018</t>
  </si>
  <si>
    <t>Zorin, Artem V/0000-0002-3238-9036</t>
  </si>
  <si>
    <t>2079-8784</t>
  </si>
  <si>
    <t>10.18254/S207987840013183-0</t>
  </si>
  <si>
    <t>WOS:000609191500013</t>
  </si>
  <si>
    <t>Savinykh, NP; Konovalova, IA</t>
  </si>
  <si>
    <t>Savinykh, N. P.; Konovalova, I. A.</t>
  </si>
  <si>
    <t>Shoot Systems of Solanum dulcamara L.</t>
  </si>
  <si>
    <t>BIOLOGY BULLETIN</t>
  </si>
  <si>
    <t>Irina, Konovalova/ABH-4521-2020</t>
  </si>
  <si>
    <t>1062-3590</t>
  </si>
  <si>
    <t>1608-3059</t>
  </si>
  <si>
    <t>10.1134/S1062359019060116</t>
  </si>
  <si>
    <t>WOS:000511334100008</t>
  </si>
  <si>
    <t>Fuks, SL; Khitrin, SV; Devyaterikova, SV</t>
  </si>
  <si>
    <t>Fuks, S. L.; Khitrin, S., V; Devyaterikova, S., V</t>
  </si>
  <si>
    <t>Processing of fluoroplast waste to ultradisperse polytetrafluoroethylene for obtaining lubricants and protective coatings</t>
  </si>
  <si>
    <t>Khitrin, Sergey/AAC-9299-2019</t>
  </si>
  <si>
    <t>Khitrin, Sergey/0000-0001-6874-6018</t>
  </si>
  <si>
    <t>10.25750/1995-4301-2019-3-087-094</t>
  </si>
  <si>
    <t>WOS:000490704900012</t>
  </si>
  <si>
    <t>Polevoy, G</t>
  </si>
  <si>
    <t>Polevoy, Georgiy</t>
  </si>
  <si>
    <t>INFLUENCE OF COORDINATION TRAINING ON THE DEVELOPMENT OF SPEED IN CHILDREN WITH DIFFERENT STRENGTHS NERVOUS SYSTEMS</t>
  </si>
  <si>
    <t>REVISTA UNIVERSIDAD Y SOCIEDAD</t>
  </si>
  <si>
    <t>2218-3620</t>
  </si>
  <si>
    <t>OCT-DEC</t>
  </si>
  <si>
    <t>WOS:000457012100053</t>
  </si>
  <si>
    <t>Skvortsov, AI; Skvortsov, AA</t>
  </si>
  <si>
    <t>Skvortsov, A. I.; Skvortsov, A. A.</t>
  </si>
  <si>
    <t>Amplitude Dependence of Internal Friction of Zirconium and Alloys Zr-8% Nb and Zr-20% Nb</t>
  </si>
  <si>
    <t>PHYSICS OF METALS AND METALLOGRAPHY</t>
  </si>
  <si>
    <t>0031-918X</t>
  </si>
  <si>
    <t>1555-6190</t>
  </si>
  <si>
    <t>10.1134/S0031918X18070098</t>
  </si>
  <si>
    <t>WOS:000440113400005</t>
  </si>
  <si>
    <t>Mashkovtsev, AA; Mashkovtseva, VV</t>
  </si>
  <si>
    <t>Mashkovtsev, Andrey A.; Mashkovtseva, Victoria V.</t>
  </si>
  <si>
    <t>THE CONFESSIONAL POLICY OF THE STATE IN RELATION TO THE OLD BELIEVERS' CHAPELS IN THE SECOND QUARTER OF THE 19TH CENTURY (ON THE MATERIALS OF VYATKA PROVINCE)</t>
  </si>
  <si>
    <t>TOMSK STATE UNIVERSITY JOURNAL</t>
  </si>
  <si>
    <t>Mashkovtsev, Andrey A/Q-3185-2017; Mashkovtseva, Victoria/K-8380-2018</t>
  </si>
  <si>
    <t>Mashkovtsev, Andrey A/0000-0001-8135-4043; Mashkovtseva, Victoria/0000-0002-4710-817X</t>
  </si>
  <si>
    <t>1561-7793</t>
  </si>
  <si>
    <t>1561-803X</t>
  </si>
  <si>
    <t>10.17223/15617793/429/20</t>
  </si>
  <si>
    <t>WOS:000435701700020</t>
  </si>
  <si>
    <t>Mashkovtseva, VV</t>
  </si>
  <si>
    <t>Mashkovtseva, Viktoriya V.</t>
  </si>
  <si>
    <t>Missionary activities of the Orthodox clergy of the Vyatka province among the Old Believers in the second half of the XIX century</t>
  </si>
  <si>
    <t>Mashkovtseva, Victoria/K-8380-2018</t>
  </si>
  <si>
    <t>Mashkovtseva, Victoria/0000-0002-4710-817X</t>
  </si>
  <si>
    <t>WOS:000399357000012</t>
  </si>
  <si>
    <t>The Use of Redundancy in the Structural Synthesis of IIR Digital Filters</t>
  </si>
  <si>
    <t>PROCEEDINGS OF 2016 IEEE EAST-WEST DESIGN &amp; TEST SYMPOSIUM (EWDTS)</t>
  </si>
  <si>
    <t>OCT 14-17, 2016</t>
  </si>
  <si>
    <t>Yerevan, ARMENIA</t>
  </si>
  <si>
    <t>IEEE,Kharkov Natl Univ Radioelectron,IEEE Comp Soc</t>
  </si>
  <si>
    <t>Chastikov, Alexander/A-5560-2014; Naumovich, Tatyana/B-8000-2017; Lesnikov, Vladislav A./E-9558-2011; Chastikov, Alexander/ACX-8162-2022</t>
  </si>
  <si>
    <t xml:space="preserve">Chastikov, Alexander/0000-0002-1998-7787; Naumovich, Tatyana/0000-0002-3659-2664; Lesnikov, Vladislav A./0000-0002-5034-291X; </t>
  </si>
  <si>
    <t>978-1-5090-0693-9</t>
  </si>
  <si>
    <t>WOS:000400700700024</t>
  </si>
  <si>
    <t>Prozorov, DE; Chistyakov, AV</t>
  </si>
  <si>
    <t>Stukach, O</t>
  </si>
  <si>
    <t>Prozorov, Dmitry E.; Chistyakov, Anton V.</t>
  </si>
  <si>
    <t>Detection Algorithm of Activity of Cognitive Networks Primary Users</t>
  </si>
  <si>
    <t>2016 INTERNATIONAL SIBERIAN CONFERENCE ON CONTROL AND COMMUNICATIONS (SIBCON)</t>
  </si>
  <si>
    <t>IEEE International Siberian Conference on Control and Communications</t>
  </si>
  <si>
    <t>International Siberian Conference on Control and Communications (SIBCON)</t>
  </si>
  <si>
    <t>MAY 12-14, 2016</t>
  </si>
  <si>
    <t>Moscow, RUSSIA</t>
  </si>
  <si>
    <t>Inst Elect &amp; Elect Engineers,Natl Res Univ, Higher Sch Econ,IEEE, Russia Siberia Sect,Tomsk IEEE Chapter &amp; Student Branch,Krasnoyarsk IEEE Joint Chapter,IEEE Russia Siberia Sect, Graduates Last Decade Young Profess Affin Grp,Natl Instruments R &amp; D,IEEE Electron Devices Soc,Siberian Fed Univ,Natl Res Tomsk Polytechn Univ</t>
  </si>
  <si>
    <t>2380-6508</t>
  </si>
  <si>
    <t>978-1-4673-8383-7</t>
  </si>
  <si>
    <t>WOS:000383090900046</t>
  </si>
  <si>
    <t>Polovnikova, MY</t>
  </si>
  <si>
    <t>Polovnikova, M. Yu.</t>
  </si>
  <si>
    <t>European religious-political organisations in Palestine in the 2(nd) half of the 19(th) century. History and fates</t>
  </si>
  <si>
    <t>Половникова, Марина/AAG-9875-2020</t>
  </si>
  <si>
    <t>WOS:000295100200008</t>
  </si>
  <si>
    <t>Kolotilova, NV; Khitrin, SV; Fuks, SL; Gavrikova, AA</t>
  </si>
  <si>
    <t>Alcoholysis of amides, catalyzed by compounds of some metals</t>
  </si>
  <si>
    <t>Fuks, Sofja/AAB-4769-2019; Khitrin, Sergey/AAC-9299-2019</t>
  </si>
  <si>
    <t>Fuks, Sofja/0000-0002-9238-2944; Khitrin, Sergey/0000-0001-6874-6018</t>
  </si>
  <si>
    <t>WOS:000169540600013</t>
  </si>
  <si>
    <t>Kuklina, SS; Shevchenko, AI</t>
  </si>
  <si>
    <t>Kuklina, Svetlana S.; Shevchenko, Anna, I</t>
  </si>
  <si>
    <t>Experimental Verification of Methods for the Intercultural Competence Formation in the Professionally Oriented Informational Educational Environment of the University</t>
  </si>
  <si>
    <t>10.17223/15617793/464/24</t>
  </si>
  <si>
    <t>WOS:000662849700024</t>
  </si>
  <si>
    <t>Sergeev, DG; Marinin, EA; Kokorin, VV; Anufriev, DS</t>
  </si>
  <si>
    <t>Sergeev, D. G.; Marinin, E. A.; Kokorin, V. V.; Anufriev, D. S.</t>
  </si>
  <si>
    <t>The improvement of surface quality characteristics after mechanical treatment by pulse laser radiation</t>
  </si>
  <si>
    <t>MATERIALS TODAY-PROCEEDINGS</t>
  </si>
  <si>
    <t>International Conference on Modern Trends in Manufacturing Technologies and Equipment (ICMTME)</t>
  </si>
  <si>
    <t>SEP 07-11, 2020</t>
  </si>
  <si>
    <t>Sevastopol, RUSSIA</t>
  </si>
  <si>
    <t>Sevastopol State Univ</t>
  </si>
  <si>
    <t>Sergeev, Denis/0000-0001-6784-6754</t>
  </si>
  <si>
    <t>2214-7853</t>
  </si>
  <si>
    <t>10.1016/j.matpr.2020.08.165</t>
  </si>
  <si>
    <t>FEB 2021</t>
  </si>
  <si>
    <t>WOS:000624313400081</t>
  </si>
  <si>
    <t>Mashkovtsev, AA; Mashkovtseva,VV</t>
  </si>
  <si>
    <t>Mashkovtsev, Andrey A.; Mashkovtseva, Viktonya V.</t>
  </si>
  <si>
    <t>The repressive component in the confessional policy of Nicholas I in relation to the old believers (based on materials from the Vyatka province)</t>
  </si>
  <si>
    <t>Mashkovtsev, Andrey A/Q-3185-2017</t>
  </si>
  <si>
    <t>Mashkovtsev, Andrey A/0000-0001-8135-4043</t>
  </si>
  <si>
    <t>10.31166/VoprosyIstorii202201Statyi02</t>
  </si>
  <si>
    <t>WOS:000757092500024</t>
  </si>
  <si>
    <t>Zorin, Artem</t>
  </si>
  <si>
    <t>THE SOVIET UNION AND THE POST-WORLD WAR II FOREIGN POLICY OF CZECHOSLOVAKIA AS ASSESSED BY AMERICAN DIPLOMACY</t>
  </si>
  <si>
    <t>10.15826/qr.2021.3.628</t>
  </si>
  <si>
    <t>WOS:000727336000020</t>
  </si>
  <si>
    <t>Savinykh, NP; Shabalkina, SV</t>
  </si>
  <si>
    <t>Savinykh, N. P.; Shabalkina, S. V.</t>
  </si>
  <si>
    <t>Shoot-Formation Model as a Basis for Adaptations of Flowering Plants</t>
  </si>
  <si>
    <t>CONTEMPORARY PROBLEMS OF ECOLOGY</t>
  </si>
  <si>
    <t>/0000-0002-6157-1312</t>
  </si>
  <si>
    <t>1995-4255</t>
  </si>
  <si>
    <t>1995-4263</t>
  </si>
  <si>
    <t>10.1134/S1995425520030105</t>
  </si>
  <si>
    <t>WOS:000545495200003</t>
  </si>
  <si>
    <t>Kurbatova, E</t>
  </si>
  <si>
    <t>Kudryashov, D</t>
  </si>
  <si>
    <t>Kurbatova, Ekaterina</t>
  </si>
  <si>
    <t>Road Detection Based on Color and Geometry Characteristics</t>
  </si>
  <si>
    <t>2020 VI INTERNATIONAL CONFERENCE ON INFORMATION TECHNOLOGY AND NANOTECHNOLOGY (IEEE ITNT-2020)</t>
  </si>
  <si>
    <t>6th International Conference on Information Technology and Nanotechnology (IEEE ITNT)</t>
  </si>
  <si>
    <t>MAY 26-29, 2020</t>
  </si>
  <si>
    <t>Samara, RUSSIA</t>
  </si>
  <si>
    <t>IEEE,Samara Natl Res Univ,RAS, Image Proc Syst Inst</t>
  </si>
  <si>
    <t>Kurbatova, Ekaterina/A-6003-2014</t>
  </si>
  <si>
    <t>Kurbatova, Ekaterina/0000-0001-7173-9214</t>
  </si>
  <si>
    <t>978-1-7281-7041-1</t>
  </si>
  <si>
    <t>10.1109/ITNT49337.2020.9253206</t>
  </si>
  <si>
    <t>WOS:000647641500043</t>
  </si>
  <si>
    <t>Levashov, AP; Medvedev, OY</t>
  </si>
  <si>
    <t>Radionov, AA; Kravchenko, OA; Guzeev, VI; Rozhdestvenskiy, YV</t>
  </si>
  <si>
    <t>Levashov, A. P.; Medvedev, O. Yu</t>
  </si>
  <si>
    <t>Determination of Eigenforms and Frequencies of Transverse Vibrations of a Rod of Variable Cross Section in the Field of Centrifugal Forces</t>
  </si>
  <si>
    <t>PROCEEDINGS OF THE 5TH INTERNATIONAL CONFERENCE ON INDUSTRIAL ENGINEERING, ICIE 2019, VOL I</t>
  </si>
  <si>
    <t>Lecture Notes in Mechanical Engineering</t>
  </si>
  <si>
    <t>5th International Conference on Industrial Engineering (ICIE)</t>
  </si>
  <si>
    <t>MAR 25-29, 2019</t>
  </si>
  <si>
    <t>South Ural State Univ,Moscow Polytechn Univ,Platov S Russian State Polytechn Univ,Volgograd State Tech Univ</t>
  </si>
  <si>
    <t>2195-4356</t>
  </si>
  <si>
    <t>2195-4364</t>
  </si>
  <si>
    <t>978-3-030-22041-9; 978-3-030-22040-2</t>
  </si>
  <si>
    <t>10.1007/978-3-030-22041-9_80</t>
  </si>
  <si>
    <t>WOS:000613138500080</t>
  </si>
  <si>
    <t>Soboleva, EV</t>
  </si>
  <si>
    <t>Soboleva, Elena V.</t>
  </si>
  <si>
    <t>Quest in a Digital School: the Potential and Peculiarities of Mobile Technology Implementation</t>
  </si>
  <si>
    <t>SEP</t>
  </si>
  <si>
    <t>10.13187/ejced.2019.3.613</t>
  </si>
  <si>
    <t>WOS:000486437000014</t>
  </si>
  <si>
    <t>Tatarinova, MN; Sungurova, OV</t>
  </si>
  <si>
    <t>Tatarinova, M. N.; Sungurova, O. V.</t>
  </si>
  <si>
    <t>THE IMPLEMENTATION OF EMOTIONALLY-VALUABLE COMPONENT OF THE CONTENT OF FOREIGN-LANGUAGE EDUCATION (ON THE MATERIAL OF STUDY COURSE SPOTLIGHT). Part II</t>
  </si>
  <si>
    <t>10.17853/1994-5639-2019-7-164-202</t>
  </si>
  <si>
    <t>WOS:000497661800007</t>
  </si>
  <si>
    <t>Naumova, NG</t>
  </si>
  <si>
    <t>Naumova, Natalya G.</t>
  </si>
  <si>
    <t>Features of the Semantics and Functioning of the Preposition PO in Modern Russian (On the Material of Texts of the Scientific and Official Style)</t>
  </si>
  <si>
    <t>Naumova, Natalya/ABD-2249-2020</t>
  </si>
  <si>
    <t>Naumova, Natalya/0000-0002-4876-6019</t>
  </si>
  <si>
    <t>10.17223/15617793/441/6</t>
  </si>
  <si>
    <t>WOS:000468214400006</t>
  </si>
  <si>
    <t>Bykova, SS; Buldakova, NV</t>
  </si>
  <si>
    <t>Erlikh, VV; Smolina, SG</t>
  </si>
  <si>
    <t>Bykova, Svetlana Stanislavovna; Buldakova, Natalia Viktorovna</t>
  </si>
  <si>
    <t>Shaping a healthy lifestyle attitude in adolescents in extra curricular learning</t>
  </si>
  <si>
    <t>PROCEEDINGS OF THE 4TH INTERNATIONAL CONFERENCE ON INNOVATIONS IN SPORTS, TOURISM AND INSTRUCTIONAL SCIENCE (ICISTIS 2019)</t>
  </si>
  <si>
    <t>Advances in Health Sciences Research</t>
  </si>
  <si>
    <t>4th International Conference on Innovations in Sports, Tourism and Instructional Science (ICISTIS)</t>
  </si>
  <si>
    <t>DEC 05-06, 2019</t>
  </si>
  <si>
    <t>S Ural State Univ, Inst Sports, Tourism &amp; Serv, Chelyabinsk, RUSSIA</t>
  </si>
  <si>
    <t>S Ural State Univ, Inst Sports, Tourism &amp; Serv</t>
  </si>
  <si>
    <t>2468-5739</t>
  </si>
  <si>
    <t>978-94-6252-832-1</t>
  </si>
  <si>
    <t>WOS:000625435700011</t>
  </si>
  <si>
    <t>Mansurova, IA; Yurkin, YV; Shilov, IB; Burkov, AA; Belozerov, VS; Koshkin, IY</t>
  </si>
  <si>
    <t>Mansurova, I. A.; Yurkin, Yu. V.; Shilov, I. B.; Burkov, A. A.; Belozerov, V. S.; Koshkin, I. Yu.</t>
  </si>
  <si>
    <t>INFLUENCE OF SURFACE CHEMISTRY OF THE FILLER AND THERMAL MODIFICATION OF BNKS-40 / PVC COMPOSITIONS ON THE VIBRO-ABSORBING PROPERTIES OF THE MATERIAL</t>
  </si>
  <si>
    <t>IZVESTIYA VYSSHIKH UCHEBNYKH ZAVEDENII KHIMIYA I KHIMICHESKAYA TEKHNOLOGIYA</t>
  </si>
  <si>
    <t>Shilov, Ivan/ABA-7069-2021; Belozerov, Vladislav/B-7087-2019; Burkov, Andrey/ABB-8219-2021</t>
  </si>
  <si>
    <t>Belozerov, Vladislav/0000-0002-9930-5458; Burkov, Andrey/0000-0002-3627-1262; Shilov, Ivan/0000-0002-0896-095X</t>
  </si>
  <si>
    <t>0579-2991</t>
  </si>
  <si>
    <t>2500-3070</t>
  </si>
  <si>
    <t>10.6060/ivkkt.20196209.5920</t>
  </si>
  <si>
    <t>WOS:000484823500009</t>
  </si>
  <si>
    <t>MARKETING CONCEPT OF MANAGING THE REORGANIZATION OF ENTREPRENEURIAL STRUCTURES USING THE LATEST INFORMATION TECHNOLOGIES</t>
  </si>
  <si>
    <t>QUALITY-ACCESS TO SUCCESS</t>
  </si>
  <si>
    <t>1582-2559</t>
  </si>
  <si>
    <t>WOS:000450658500021</t>
  </si>
  <si>
    <t>Avdeeva, MS; Tulyakova, OV</t>
  </si>
  <si>
    <t>Avdeeva, M. S.; Tulyakova, O. V.</t>
  </si>
  <si>
    <t>Indicated factors of physical development, physical readiness, functional condition and efficiency of female students in the process of adaptation to training</t>
  </si>
  <si>
    <t>PHYSICAL EDUCATION OF STUDENTS</t>
  </si>
  <si>
    <t>Avdeeva, Marina S./J-9840-2018; Tulyakova, Olga/O-8534-2017</t>
  </si>
  <si>
    <t>Avdeeva, Marina S./0000-0002-6760-7347; Tulyakova, Olga/0000-0002-2095-4309</t>
  </si>
  <si>
    <t>2075-5279</t>
  </si>
  <si>
    <t>2308-7250</t>
  </si>
  <si>
    <t>10.15561/20755279.2018.0101</t>
  </si>
  <si>
    <t>WOS:000429273100001</t>
  </si>
  <si>
    <t>Plotnikov, SA; Kartashevich, AN; Buzikov, SV</t>
  </si>
  <si>
    <t>Plotnikov, S. A.; Kartashevich, A. N.; Buzikov, S. V.</t>
  </si>
  <si>
    <t>Analysis of pre-heated fuel combustion and heat-emission dynamics in a diesel engine</t>
  </si>
  <si>
    <t>XI INTERNATIONAL SCIENTIFIC AND TECHNICAL CONFERENCE - APPLIED MECHANICS AND DYNAMICS SYSTEMS</t>
  </si>
  <si>
    <t>11th International Scientific and Technical Conference on Applied Mechanics and Dynamics Systems</t>
  </si>
  <si>
    <t>NOV 14-16, 2017</t>
  </si>
  <si>
    <t>Omsk, RUSSIA</t>
  </si>
  <si>
    <t>Plotnikov, Sergej A/R-8491-2016; Buzikov, Shamil V/I-3817-2017</t>
  </si>
  <si>
    <t>Plotnikov, Sergej A/0000-0002-8887-4591; Buzikov, Shamil V/0000-0003-3769-3253</t>
  </si>
  <si>
    <t>10.1088/1742-6596/944/1/012089</t>
  </si>
  <si>
    <t>WOS:000431622000089</t>
  </si>
  <si>
    <t>Tarasov, KN; Mokerova, EY; Nemchaninova, EN; Bykova, EV</t>
  </si>
  <si>
    <t>Tarasov, Konstantin N.; Mokerova, Elena Yu; Nemchaninova, Evgenia N.; Bykova, Ekaterina, V</t>
  </si>
  <si>
    <t>Russian Conservatism of the beginning of the 20th century: Between Dogma, Illusion and Reality</t>
  </si>
  <si>
    <t>BYLYE GODY</t>
  </si>
  <si>
    <t>Nemchaninova, Evgeniya/AAH-1045-2020; Bykova, Ekaterina V/I-6317-2016; Tarasov, Konstantin/AAH-8945-2019</t>
  </si>
  <si>
    <t>Tarasov, Konstantin/0000-0002-3050-0239</t>
  </si>
  <si>
    <t>2073-9745</t>
  </si>
  <si>
    <t>10.13187/bg.2018.4.1725</t>
  </si>
  <si>
    <t>WOS:000451963100038</t>
  </si>
  <si>
    <t>Kuzmin, VA; Maratkanova, EI; Zagrai, IA</t>
  </si>
  <si>
    <t>Radionov, AA</t>
  </si>
  <si>
    <t>Kuzmin, V. A.; Maratkanova, E. I.; Zagrai, I. A.</t>
  </si>
  <si>
    <t>Modeling of Thermal Radiation of Heterogeneous Combustion Products in the Model Solid Rocket Engine Plume</t>
  </si>
  <si>
    <t>INTERNATIONAL CONFERENCE ON INDUSTRIAL ENGINEERING (ICIE 2017)</t>
  </si>
  <si>
    <t>Procedia Engineering</t>
  </si>
  <si>
    <t>International Conference on Industrial Engineering (ICIE)</t>
  </si>
  <si>
    <t>MAY 16-19, 2017</t>
  </si>
  <si>
    <t>Saint Petersburg, RUSSIA</t>
  </si>
  <si>
    <t>Peter Great Saint Petersburg Polytechn Univ,S Ural State Univ,Platov S Russian State Polytechn Univ,Far Eastern Fed Univ</t>
  </si>
  <si>
    <t>1877-7058</t>
  </si>
  <si>
    <t>10.1016/j.proeng.2017.10.716</t>
  </si>
  <si>
    <t>WOS:000425674300290</t>
  </si>
  <si>
    <t>Computation of the energy detector threshold for various approximations of noise power distribution</t>
  </si>
  <si>
    <t>2017 IEEE EAST-WEST DESIGN &amp; TEST SYMPOSIUM (EWDTS)</t>
  </si>
  <si>
    <t>2017 IEEE East-West Design &amp; Test Symposium (EWDTS)</t>
  </si>
  <si>
    <t>SEP 29-OCT 02, 2017</t>
  </si>
  <si>
    <t>Novi Sad, SERBIA</t>
  </si>
  <si>
    <t>IEEE,IEEE Comp Soc,tttc</t>
  </si>
  <si>
    <t>Chastikov, Alexander/A-5560-2014; Chastikov, Alexander/ACX-8162-2022; Lesnikov, Vladislav A./E-9558-2011; Naumovich, Tatyana/B-8000-2017</t>
  </si>
  <si>
    <t>Chastikov, Alexander/0000-0002-1998-7787; Lesnikov, Vladislav A./0000-0002-5034-291X; Naumovich, Tatyana/0000-0002-3659-2664</t>
  </si>
  <si>
    <t>978-1-5386-3299-4</t>
  </si>
  <si>
    <t>WOS:000426878200006</t>
  </si>
  <si>
    <t>Isupov, K; Knyazkov, V</t>
  </si>
  <si>
    <t>Isupov, Konstantin; Knyazkov, Vladimir</t>
  </si>
  <si>
    <t>RNS-based Data Representation for Handling Multiple-Precision Integers on Parallel Architectures</t>
  </si>
  <si>
    <t>2016 INTERNATIONAL CONFERENCE ON ENGINEERING AND TELECOMMUNICATION (ENT 2016)</t>
  </si>
  <si>
    <t>International Conference on Engineering and Telecommunication (EnT)</t>
  </si>
  <si>
    <t>NOV 29-30, 2016</t>
  </si>
  <si>
    <t>Moscow Inst Phys &amp; Technol, Moscow, RUSSIA</t>
  </si>
  <si>
    <t>IEEE,IEEE Comp Soc,Mediterranean Inst Appl Sci</t>
  </si>
  <si>
    <t>Moscow Inst Phys &amp; Technol</t>
  </si>
  <si>
    <t>Knyazkov, Vladimir Sergeevich/T-4089-2018; Isupov, Konstantin/K-5843-2015</t>
  </si>
  <si>
    <t>Knyazkov, Vladimir Sergeevich/0000-0003-3820-6541; Isupov, Konstantin/0000-0003-0239-0404</t>
  </si>
  <si>
    <t>978-1-5090-4553-2</t>
  </si>
  <si>
    <t>10.1109/EnT.2016.23</t>
  </si>
  <si>
    <t>WOS:000404436600017</t>
  </si>
  <si>
    <t>Effect of Aging on the Hardness and Structure of Quenched and Deformed Alloy Zn-23% Al</t>
  </si>
  <si>
    <t>METAL SCIENCE AND HEAT TREATMENT</t>
  </si>
  <si>
    <t>Skvortsov, Arkadiy/J-7606-2012</t>
  </si>
  <si>
    <t>Skvortsov, Arkadiy/0000-0002-9935-951X</t>
  </si>
  <si>
    <t>0026-0673</t>
  </si>
  <si>
    <t>1573-8973</t>
  </si>
  <si>
    <t>11-12</t>
  </si>
  <si>
    <t>10.1007/s11041-015-9821-6</t>
  </si>
  <si>
    <t>WOS:000352980200020</t>
  </si>
  <si>
    <t>Chistyakov, A</t>
  </si>
  <si>
    <t>AlDabass, D; Colla, V; Vannucci, M; Pantelous, A</t>
  </si>
  <si>
    <t>Chistyakov, Anton</t>
  </si>
  <si>
    <t>A Software Architecture for Large Multi-simulation Experiments over Ad-hoc Networks Using NS-3 Discrete-event Network Simulator</t>
  </si>
  <si>
    <t>UKSIM-AMSS EIGHTH EUROPEAN MODELLING SYMPOSIUM ON COMPUTER MODELLING AND SIMULATION (EMS 2014)</t>
  </si>
  <si>
    <t>8th UKSim-AMSS European Modelling Symposium on Computer Modelling and Simulation (EMS)</t>
  </si>
  <si>
    <t>OCT 21-23, 2014</t>
  </si>
  <si>
    <t>Pisa, ITALY</t>
  </si>
  <si>
    <t>UK Simulat Soc,Asia Modelling &amp; Simulat Sect,IEEE UK &amp; RI Sect,IEEE Reg 8,Scuola Super Sant Anna,European Simulat Federat,European Council Modelling &amp; Simulat,Manchester Metropolitan Univ,Univ Politecnica Madrid,Kingston Univ,Liverpool Univ,Univ Technol Malaysia,Univ Malaysia Pahang,Univ Malaysia Sabah,Nottingham Trent Univ,IEEE Comp Soc,IEEE,Inst Teknologi Bandung,IEEE Comp Soc UK &amp; RI Sect,Univ Manchester,Univ Malta,McLeod Inst Simulat Sci,Riga Univ Technol</t>
  </si>
  <si>
    <t>Zalygin, Anton/AAC-9031-2022</t>
  </si>
  <si>
    <t>Zalygin, Anton/0000-0003-0132-0674</t>
  </si>
  <si>
    <t>978-1-4799-7412-2</t>
  </si>
  <si>
    <t>10.1109/EMS.2014.71</t>
  </si>
  <si>
    <t>WOS:000411856100067</t>
  </si>
  <si>
    <t>Trushkova, IY</t>
  </si>
  <si>
    <t>Trushkova, I. Yu.</t>
  </si>
  <si>
    <t>WOMAN AND MAN IN VYATKA REGION'S TRADITIONAL CULTURE: GENDER PORTRAIT'S SPECIFIC</t>
  </si>
  <si>
    <t>Trushkova, Irina/C-5994-2019</t>
  </si>
  <si>
    <t>Trushkova, Irina/0000-0003-2944-2446</t>
  </si>
  <si>
    <t>WOS:000358190200039</t>
  </si>
  <si>
    <t>Shevchenko, EA; Bessolitsyna, EA; Darmov, IV</t>
  </si>
  <si>
    <t>Shevchenko, E. A.; Bessolitsyna, E. A.; Darmov, I. V.</t>
  </si>
  <si>
    <t>Identification of Genes Encoding Ligninolytic Enzymes in Naturally Occurring Basidiomycete Isolates</t>
  </si>
  <si>
    <t>APPLIED BIOCHEMISTRY AND MICROBIOLOGY</t>
  </si>
  <si>
    <t>Shevchenko, Evgeny/C-1914-2014</t>
  </si>
  <si>
    <t>0003-6838</t>
  </si>
  <si>
    <t>1608-3024</t>
  </si>
  <si>
    <t>10.1134/S0003683813030150</t>
  </si>
  <si>
    <t>WOS:000318798500010</t>
  </si>
  <si>
    <t>Mashkovtsev, AA</t>
  </si>
  <si>
    <t>Mashkovtsev, A. A.</t>
  </si>
  <si>
    <t>The Polish resurrection of 1863-1864 and catholic communities in Kazan and Viatka</t>
  </si>
  <si>
    <t>WOS:000326774100013</t>
  </si>
  <si>
    <t>Khitrin, SV; Fuks, SL; Ryazantseva, EA; Ryazanskaya, YV</t>
  </si>
  <si>
    <t>Khitrin, S. V.; Fuks, S. L.; Ryazantseva, E. A.; Ryazanskaya, Yu. V.</t>
  </si>
  <si>
    <t>Preparation of composite electrochemical coatings using fluoropolymer production wastes</t>
  </si>
  <si>
    <t>10.1134/S1070427212050195</t>
  </si>
  <si>
    <t>WOS:000306594000019</t>
  </si>
  <si>
    <t>Vechtomov, EM; Chuprakov, DV</t>
  </si>
  <si>
    <t>Vechtomov, E. M.; Chuprakov, D. V.</t>
  </si>
  <si>
    <t>Extension of congruences on semirings of continuous functions</t>
  </si>
  <si>
    <t>MATHEMATICAL NOTES</t>
  </si>
  <si>
    <t>Vechtomov, Evgeniy/O-5472-2019; Vechtomov, Evgenii M./I-5421-2017</t>
  </si>
  <si>
    <t>Vechtomov, Evgeniy/0000-0002-3490-2956; Vechtomov, Evgenii M./0000-0002-3490-2956; Chuprakov, Dmitriy/0000-0003-0042-3700</t>
  </si>
  <si>
    <t>0001-4346</t>
  </si>
  <si>
    <t>1573-8876</t>
  </si>
  <si>
    <t>5-6</t>
  </si>
  <si>
    <t>10.1134/S0001434609050198</t>
  </si>
  <si>
    <t>WOS:000267684500019</t>
  </si>
  <si>
    <t>Bakulin, MK; Grudtsyna, AS; Pletneva, AY</t>
  </si>
  <si>
    <t>Bakulin, M. K.; Grudtsyna, A. S.; Pletneva, A. Yu.</t>
  </si>
  <si>
    <t>Biological fixation of nitrogen and growth of bacteria of the genus Azotobacter in liquid media in the presence of perfluorocarbons</t>
  </si>
  <si>
    <t>10.1134/S0003683807040072</t>
  </si>
  <si>
    <t>WOS:000248054600007</t>
  </si>
  <si>
    <t>Bakulin, MK; Grudtsyna, AS; Pletneva, AY; Kucherenko, AS; Lyapustin, AV; Malakhov, IG</t>
  </si>
  <si>
    <t>Bakulin, M. K.; Grudtsyna, A. S.; Pletneva, A. Yu.; Kucherenko, A. S.; Lyapustin, A. V.; Malakhov, I. G.</t>
  </si>
  <si>
    <t>Effect of perfluorodecalin, carbogal, and perfluoromethyldecalin on growth and ice-forming activity of bacteria</t>
  </si>
  <si>
    <t>MICROBIOLOGY</t>
  </si>
  <si>
    <t>0026-2617</t>
  </si>
  <si>
    <t>1608-3237</t>
  </si>
  <si>
    <t>10.1134/S002626170603012X</t>
  </si>
  <si>
    <t>WOS:000238267100012</t>
  </si>
  <si>
    <t>Sokovnin, OM; Zagoskina, NV; Zykin, YV</t>
  </si>
  <si>
    <t>Optimizing the spraying pressure for cocurrent scrubbers</t>
  </si>
  <si>
    <t>SEP-OCT</t>
  </si>
  <si>
    <t>10.1023/A:1012394524649</t>
  </si>
  <si>
    <t>WOS:000171839100018</t>
  </si>
  <si>
    <t>Skvortsov, AI; Kondratov, VM</t>
  </si>
  <si>
    <t>Magnetomechanical damping and physical properties of damping iron alloys</t>
  </si>
  <si>
    <t>10.1007/BF02467476</t>
  </si>
  <si>
    <t>WOS:000077330900001</t>
  </si>
  <si>
    <t>Shishkina, SV; Maslenikova, IY; Alalykina, I</t>
  </si>
  <si>
    <t>Electrodialysis of solutions containing surfactants</t>
  </si>
  <si>
    <t>20th Seminar on Membrane Electrochemistry</t>
  </si>
  <si>
    <t>ANAPA, RUSSIA</t>
  </si>
  <si>
    <t>Kuban State Univ,State Comm Higher Educ Russia,Membrannaya Tekhnologiya Innovat Enterprise,XII Univ Paris,Membrane Club France</t>
  </si>
  <si>
    <t>Shishkina, Svitlana/Q-1669-2019</t>
  </si>
  <si>
    <t>Shishkina, Svitlana/0000-0002-3946-1061</t>
  </si>
  <si>
    <t>WOS:A1996TY61200025</t>
  </si>
  <si>
    <t>Mosunova, LA; Mityagina, EV; Ananin, PV</t>
  </si>
  <si>
    <t>Mosunova, L. A.; Mityagina, E. V.; Ananin, P. V.</t>
  </si>
  <si>
    <t>Automatic Extraction of Value-Semantic Components of the Cultural Codes from a Corpus of Readers' Reviews</t>
  </si>
  <si>
    <t>AUTOMATIC DOCUMENTATION AND MATHEMATICAL LINGUISTICS</t>
  </si>
  <si>
    <t>Mitiagina, Ekaterina/N-5272-2016</t>
  </si>
  <si>
    <t>Mitiagina, Ekaterina/0000-0002-7294-4508</t>
  </si>
  <si>
    <t>0005-1055</t>
  </si>
  <si>
    <t>1934-8371</t>
  </si>
  <si>
    <t>10.3103/S0005105522030037</t>
  </si>
  <si>
    <t>WOS:000840844200004</t>
  </si>
  <si>
    <t>Kuklina, SS; Tatarinova, MN</t>
  </si>
  <si>
    <t>Kuklina, Svetlana S.; Tatarinova, Maya N.</t>
  </si>
  <si>
    <t>The Content of the Emotional Component of Foreign-Language Education: Principles of Selection and Organization</t>
  </si>
  <si>
    <t>10.17223/15617793/468/24</t>
  </si>
  <si>
    <t>WOS:000727809000024</t>
  </si>
  <si>
    <t>Demshina, NV; Mosunova, LA</t>
  </si>
  <si>
    <t>Demshina, N., V; Mosunova, L. A.</t>
  </si>
  <si>
    <t>The Principle of Complementary Interactivity in Information Work with Schoolchildren</t>
  </si>
  <si>
    <t>SCIENTIFIC AND TECHNICAL INFORMATION PROCESSING</t>
  </si>
  <si>
    <t>Mosunova, Ludmila/I-1314-2018</t>
  </si>
  <si>
    <t>Mosunova, Ludmila/0000-0002-2130-6872</t>
  </si>
  <si>
    <t>0147-6882</t>
  </si>
  <si>
    <t>1934-8118</t>
  </si>
  <si>
    <t>10.3103/S0147688221020064</t>
  </si>
  <si>
    <t>WOS:000694881900005</t>
  </si>
  <si>
    <t>Recursive Numerically-Controlled Polynomial Phase Signal Oscillator</t>
  </si>
  <si>
    <t>INTERNATIONAL SIBERIAN CONFERENCE ON CONTROL AND COMMUNICATIONS (SIBCON 2021 )</t>
  </si>
  <si>
    <t>MAY 13-15, 2021</t>
  </si>
  <si>
    <t>Tomsk IEEE Chapter &amp; Student Branch,Inst Elect &amp; Elect Engineers,EEE Electron Devices Soc,eSystems Eng Soc, Russian Branch</t>
  </si>
  <si>
    <t>Chastikov, Alexander/A-5560-2014; Lesnikov, Vladislav A./E-9558-2011; Naumovich, Tatyana/B-8000-2017; Chastikov, Alexander/ACX-8162-2022</t>
  </si>
  <si>
    <t xml:space="preserve">Chastikov, Alexander/0000-0002-1998-7787; Lesnikov, Vladislav A./0000-0002-5034-291X; Naumovich, Tatyana/0000-0002-3659-2664; </t>
  </si>
  <si>
    <t>978-1-7281-8504-0</t>
  </si>
  <si>
    <t>10.1109/SIBCON50419.2021.9438922</t>
  </si>
  <si>
    <t>WOS:000680842100070</t>
  </si>
  <si>
    <t>Utemov, V; Gorbushina, A</t>
  </si>
  <si>
    <t>Shirin, AG; Zvyaglova, MV; Fikhtner, OA; Ignateva, EY; Shaydorova, NA</t>
  </si>
  <si>
    <t>Utemov, Vyacheslav; Gorbushina, Anastasiya</t>
  </si>
  <si>
    <t>PSYCHOLOGICAL PREPAREDNESS OF UNIVERSITY TEACHERS TO WORK IN INCLUSION</t>
  </si>
  <si>
    <t>EDUCATION IN A CHANGING WORLD: GLOBAL CHALLENGES AND NATIONAL PRIORITIES</t>
  </si>
  <si>
    <t>International Scientific-Practical Conference on Education in a Changing World (EdCW) - Global Challenges and National Priorities</t>
  </si>
  <si>
    <t>OCT 08-09, 2020</t>
  </si>
  <si>
    <t>Yaroslav Wise Novgorod State Univ, Veliky Novogorod, RUSSIA</t>
  </si>
  <si>
    <t>Russian Sci Fdn,Russian Fdn Basic Res,Russian State Humanitarian Res Fdn</t>
  </si>
  <si>
    <t>Yaroslav Wise Novgorod State Univ</t>
  </si>
  <si>
    <t>978-1-80296-113-3</t>
  </si>
  <si>
    <t>10.15405/epsbs.2021.07.02.40</t>
  </si>
  <si>
    <t>WOS:000771919100040</t>
  </si>
  <si>
    <t>Sidorov, VV</t>
  </si>
  <si>
    <t>Sidorov, V. V.</t>
  </si>
  <si>
    <t>Isomorphisms of Semirings of Continuous Nonnegative Functions and the Lattices of Their Subalgebras</t>
  </si>
  <si>
    <t>LOBACHEVSKII JOURNAL OF MATHEMATICS</t>
  </si>
  <si>
    <t>Sidorov, Vadim V.V./N-1278-2016</t>
  </si>
  <si>
    <t>Sidorov, Vadim V.V./0000-0002-7303-4485</t>
  </si>
  <si>
    <t>1995-0802</t>
  </si>
  <si>
    <t>1818-9962</t>
  </si>
  <si>
    <t>10.1134/S1995080220090255</t>
  </si>
  <si>
    <t>WOS:000587460100010</t>
  </si>
  <si>
    <t>Volotskoy, A; Yurkin, Y; Avdonin, V</t>
  </si>
  <si>
    <t>Volotskoy, Alexey; Yurkin, Yuriy; Avdonin, Valeriy</t>
  </si>
  <si>
    <t>New Thermoplastic Damping Polymeric Materials Based on Ethylene-Vinyl Acetate</t>
  </si>
  <si>
    <t>MATERIALE PLASTICE</t>
  </si>
  <si>
    <t>Polymer Processing in Engineering (PPE) Conference</t>
  </si>
  <si>
    <t>OCT 07-09, 2019</t>
  </si>
  <si>
    <t>Galati, ROMANIA</t>
  </si>
  <si>
    <t>Avdonin, Valeriy V. V./N-3233-2016; Yurkin, Yuiy/AAD-4331-2021</t>
  </si>
  <si>
    <t xml:space="preserve">Avdonin, Valeriy V. V./0000-0002-1069-2413; </t>
  </si>
  <si>
    <t>0025-5289</t>
  </si>
  <si>
    <t>2668-8220</t>
  </si>
  <si>
    <t>10.37358/mp.20.1.5313</t>
  </si>
  <si>
    <t>WOS:000528195000009</t>
  </si>
  <si>
    <t>Chernova, OV; Zhykovin, SV</t>
  </si>
  <si>
    <t>Chernova, O., V; Zhykovin, S., V</t>
  </si>
  <si>
    <t>REDUCTION KINETICS OF TERBIUM IONS IN EQUIMOLAR MELTING SODIUM AND POTASSIUM CHLORIDE</t>
  </si>
  <si>
    <t>Chernova, Olga V/S-4511-2018</t>
  </si>
  <si>
    <t>Chernova, Olga V/0000-0002-3773-2796</t>
  </si>
  <si>
    <t>10.6060/ivkkt.20206301.6051</t>
  </si>
  <si>
    <t>WOS:000502525400009</t>
  </si>
  <si>
    <t>Izotov, SA; Izotov, AI; Fominyh, AA</t>
  </si>
  <si>
    <t>Izotov, S. A.; Izotov, A. I.; Fominyh, A. A.</t>
  </si>
  <si>
    <t>Influence of Physicochemical Processes on Reliability of Node of Sliding Current Collector of Electric Machines</t>
  </si>
  <si>
    <t>Izotov, Anatoliy/ABA-3776-2020</t>
  </si>
  <si>
    <t>Izotov, Anatoliy/0000-0003-4943-2499</t>
  </si>
  <si>
    <t>10.1007/978-3-030-22041-9_113</t>
  </si>
  <si>
    <t>WOS:000613138500113</t>
  </si>
  <si>
    <t>Baykova, O; Obukhova, O; Porchesku, G</t>
  </si>
  <si>
    <t>Baykova, Olga; Obukhova, Olga; Porchesku, Galina</t>
  </si>
  <si>
    <t>Intonation Contours in Spontaneous Speech of Russian Germans: An Experimental Study of German language Islands</t>
  </si>
  <si>
    <t>AMAZONIA INVESTIGA</t>
  </si>
  <si>
    <t>Porchesku, Galina/AAZ-8186-2020</t>
  </si>
  <si>
    <t>Porchesku, Galina/0000-0003-1423-3510</t>
  </si>
  <si>
    <t>2322-6307</t>
  </si>
  <si>
    <t>WOS:000485631000022</t>
  </si>
  <si>
    <t>Nemchaninova, EN; Polovnikova, MY</t>
  </si>
  <si>
    <t>Nemchaninova, Evgeniya N.; Polovnikova, Marina Y.</t>
  </si>
  <si>
    <t>THE GOVERNOR AND DIOCESAN IN THE SYSTEM OF CHURCH-STATE RELATIONS IN THE SECOND HALF OF THE XIX - EARLY XX CENTURIES (ON THE MATERIALS OF THE VYATKA PROVINCE)</t>
  </si>
  <si>
    <t>VESTNIK TOMSKOGO GOSUDARSTVENNOGO UNIVERSITETA ISTORIYA-TOMSK STATE UNIVERSITY JOURNAL OF HISTORY</t>
  </si>
  <si>
    <t>Nemchaninova, Evgeniya/AAH-1045-2020; Половникова, Марина/AAG-9875-2020</t>
  </si>
  <si>
    <t>1998-8613</t>
  </si>
  <si>
    <t>2311-2387</t>
  </si>
  <si>
    <t>10.17223/19988613/62/9</t>
  </si>
  <si>
    <t>WOS:000510467300009</t>
  </si>
  <si>
    <t>Avdeeva, MS</t>
  </si>
  <si>
    <t>Avdeeva, M. S.</t>
  </si>
  <si>
    <t>Physical development and physical fitness of 7-8-year-old girls with peculiarities of perinatal development period</t>
  </si>
  <si>
    <t>YAKUT MEDICAL JOURNAL</t>
  </si>
  <si>
    <t>1813-1905</t>
  </si>
  <si>
    <t>2312-1017</t>
  </si>
  <si>
    <t>10.25789/YMJ.2018.64.17</t>
  </si>
  <si>
    <t>WOS:000453449700017</t>
  </si>
  <si>
    <t>Kurbatova, E; Medvedeva, E</t>
  </si>
  <si>
    <t>Kurbatova, Ekaterina; Medvedeva, Elena</t>
  </si>
  <si>
    <t>A Method for Texture Segmentation of the Multidimensional Images</t>
  </si>
  <si>
    <t>2018 7TH MEDITERRANEAN CONFERENCE ON EMBEDDED COMPUTING (MECO)</t>
  </si>
  <si>
    <t>7th Mediterranean Conference on Embedded Computing (MECO)</t>
  </si>
  <si>
    <t>JUN 10-14, 2018</t>
  </si>
  <si>
    <t>IEEE,EUROMICRO,MANT,MECOnet,Univ Montenegro,Ryazan State Radio Engn Univ,Eindhoven Tech Univ,Univ Zagreb,Minist Sci Montenegro,Cikom Co,FER,Plantaze</t>
  </si>
  <si>
    <t>Medvedeva, Elena V./A-5714-2014; Kurbatova, Ekaterina/A-6003-2014</t>
  </si>
  <si>
    <t>Medvedeva, Elena V./0000-0002-0677-1418; Kurbatova, Ekaterina/0000-0001-7173-9214</t>
  </si>
  <si>
    <t>978-1-5386-5683-9</t>
  </si>
  <si>
    <t>WOS:000644432200078</t>
  </si>
  <si>
    <t>Lanskikh, VG; Vakhrushev, VY; Lanskikh, YV</t>
  </si>
  <si>
    <t>Lanskikh, V. G.; Vakhrushev, V. Yu; Lanskikh, Yu., V</t>
  </si>
  <si>
    <t>Method of Synthesizing Non-Linear Pseudo-Random Sequence Generator</t>
  </si>
  <si>
    <t>Lanskikh, Yury V./B-3801-2017</t>
  </si>
  <si>
    <t>Lanskikh, Yury V./0000-0002-0922-1200</t>
  </si>
  <si>
    <t>WOS:000478963800053</t>
  </si>
  <si>
    <t>Sensitivity analysis of the equivalent direct form of IIR digital filters</t>
  </si>
  <si>
    <t>WOS:000517795800099</t>
  </si>
  <si>
    <t>Prozorov, D; Tatarinova, A</t>
  </si>
  <si>
    <t>Prozorov, Dmitriy; Tatarinova, Alexandra</t>
  </si>
  <si>
    <t>Analysis Of The Computational Complexity Of Algorithms For Phonemic Transcription</t>
  </si>
  <si>
    <t>WOS:000517795800058</t>
  </si>
  <si>
    <t>Khitrin, KS; Meteleva, DS; Fuks, SL; Khitrin, SV; Nisanbaeva, YR</t>
  </si>
  <si>
    <t>Khitrin, K. S.; Meteleva, D. S.; Fuks, S. L.; Khitrin, S. V.; Nisanbaeva, Yu. R.</t>
  </si>
  <si>
    <t>Development of the Method for Determination of the Content of Softwood Component in Lignins</t>
  </si>
  <si>
    <t>10.1134/S1070427211120263</t>
  </si>
  <si>
    <t>WOS:000300088400026</t>
  </si>
  <si>
    <t>Bobrov, MN; Khranilov, YP</t>
  </si>
  <si>
    <t>Bobrov, M. N.; Khranilov, Yu. P.</t>
  </si>
  <si>
    <t>Preparation of Compact Copper from Slurries Formed in Etching of Printed-Circuit Boards</t>
  </si>
  <si>
    <t>OCT</t>
  </si>
  <si>
    <t>10.1134/S1070427208100133</t>
  </si>
  <si>
    <t>WOS:000263171600013</t>
  </si>
  <si>
    <t>Sokovnin, OM; Zagoskina, NV; Zagoskin, SN</t>
  </si>
  <si>
    <t>Sokovnin, O. M.; Zagoskina, N. V.; Zagoskin, S. N.</t>
  </si>
  <si>
    <t>Choice of boundary conditions for studying the behavior of the swarm of spherical particles traveling through a non-Newtonian liquid</t>
  </si>
  <si>
    <t>AUG</t>
  </si>
  <si>
    <t>10.1134/S0040579508040040</t>
  </si>
  <si>
    <t>WOS:000258408800004</t>
  </si>
  <si>
    <t>Berdinskikh, IV</t>
  </si>
  <si>
    <t>Berdinskikh, I. V.</t>
  </si>
  <si>
    <t>Index of repressed people</t>
  </si>
  <si>
    <t>WOS:000253186900027</t>
  </si>
  <si>
    <t>Makhniov, AS</t>
  </si>
  <si>
    <t>Matvienko, GG; Banakh, VA</t>
  </si>
  <si>
    <t>Makhniov, Anatoli S.</t>
  </si>
  <si>
    <t>About use of Cartesian coordinates in molecular spectroscopy of atmospheric gases</t>
  </si>
  <si>
    <t>FOURTEENTH INTERNATIONAL SYMPOSIUM ON ATMOSPHERIC AND OCEAN OPTICS/ATMOSPHERIC PHYSICS</t>
  </si>
  <si>
    <t>Proceedings of SPIE</t>
  </si>
  <si>
    <t>14th International Symposium on Atmospheric and Ocean Optics/Atmospheric Physics</t>
  </si>
  <si>
    <t>JUN 24-30, 2007</t>
  </si>
  <si>
    <t>Buryatia, RUSSIA</t>
  </si>
  <si>
    <t>Russian Acad Sci, Siberian Branch,SPIE Russia Chapter,Fed Agcy Sci &amp; Innovat,Russian Fdn Basic Res,Opt Soc Amer,Inst Solar Terrestrial Phys SB RAS,Presidium Burat Sci Ctr SB RAS, Dept Phys Problems,E Siberian State Technol Univ</t>
  </si>
  <si>
    <t>0277-786X</t>
  </si>
  <si>
    <t>978-0-8194-7123-9</t>
  </si>
  <si>
    <t>10.1117/12.783049</t>
  </si>
  <si>
    <t>WOS:000256667200009</t>
  </si>
  <si>
    <t>Pakhomov, MM</t>
  </si>
  <si>
    <t>Pakhomov, M. M.</t>
  </si>
  <si>
    <t>Glacial-Interglacial cycles in arid regions of northern Eurasia</t>
  </si>
  <si>
    <t>QUATERNARY INTERNATIONAL</t>
  </si>
  <si>
    <t>1040-6182</t>
  </si>
  <si>
    <t>1873-4553</t>
  </si>
  <si>
    <t>AUG-SEP</t>
  </si>
  <si>
    <t>10.1016/j.quaint.2006.02.018</t>
  </si>
  <si>
    <t>WOS:000239755800008</t>
  </si>
  <si>
    <t>Kovalevskii, AV; Shishalov, VI</t>
  </si>
  <si>
    <t>Kovalevskii, A. V.; Shishalov, V. I.</t>
  </si>
  <si>
    <t>Temperature dependence of electric conductivity of molten binary mixtures of alkali and rare-earth metals chlorides</t>
  </si>
  <si>
    <t>RUSSIAN JOURNAL OF PHYSICAL CHEMISTRY</t>
  </si>
  <si>
    <t>10.1134/S0036024406030241</t>
  </si>
  <si>
    <t>WOS:000243768200024</t>
  </si>
  <si>
    <t>Suvorov, DM; Tatarinova, NV; Lyskova, EA</t>
  </si>
  <si>
    <t>Suvorov, D. M.; Tatarinova, N., V; Lyskova, E. A.</t>
  </si>
  <si>
    <t>The Effectiveness of Extended Schedules of Heating Regulation at CHP Plants with Decreasing Normative Design Temperature of the Supply Water</t>
  </si>
  <si>
    <t>10.52254/1857-0070.2021.4-52.10</t>
  </si>
  <si>
    <t>WOS:000734088800009</t>
  </si>
  <si>
    <t>Savinykh, N; Shakleina, M</t>
  </si>
  <si>
    <t>Banaev, EV; Tomoshevich, MA; Zaytseva, YG</t>
  </si>
  <si>
    <t>Savinykh, Natalya; Shakleina, Marya</t>
  </si>
  <si>
    <t>Biomorph Limosella aquatica L. and its contribution in stolon-rosette water grasses formation</t>
  </si>
  <si>
    <t>INTERNATIONAL CONFERENCES PLANT DIVERSITY: STATUS, TRENDS, CONSERVATION CONCEPT 2020</t>
  </si>
  <si>
    <t>BIO Web of Conferences</t>
  </si>
  <si>
    <t>International Conference on Plant Diversity - Status, Trends, Conservation Concept</t>
  </si>
  <si>
    <t>SEP 30-OCT 03, 2020</t>
  </si>
  <si>
    <t>Novosibirsk, RUSSIA</t>
  </si>
  <si>
    <t>2117-4458</t>
  </si>
  <si>
    <t>10.1051/bioconf/20202400073</t>
  </si>
  <si>
    <t>WOS:000624287900073</t>
  </si>
  <si>
    <t>Polevoy, Georgiy Georgievich</t>
  </si>
  <si>
    <t>Development of Coordination Abilities with Use of Classic's Exercises</t>
  </si>
  <si>
    <t>INTERNATIONAL JOURNAL OF MEDICAL RESEARCH &amp; HEALTH SCIENCES</t>
  </si>
  <si>
    <t>2319-5886</t>
  </si>
  <si>
    <t>WOS:000514803300005</t>
  </si>
  <si>
    <t>Porokhnenko, A; Sapozhnikova, E</t>
  </si>
  <si>
    <t>Kalinina, O</t>
  </si>
  <si>
    <t>Porokhnenko, Andrey; Sapozhnikova, Ekaterina</t>
  </si>
  <si>
    <t>Digital technologies for launching innovative medications to the pharmaceutical market</t>
  </si>
  <si>
    <t>INTERNATIONAL SCIENCE CONFERENCE SPBWOSCE-2018: BUSINESS TECHNOLOGIES FOR SUSTAINABLE URBAN DEVELOPMENT</t>
  </si>
  <si>
    <t>E3S Web of Conferences</t>
  </si>
  <si>
    <t>International Scientific Conference on Business Technologies for Sustainable Urban Development (SPbWOSCE)</t>
  </si>
  <si>
    <t>DEC 10-12, 2018</t>
  </si>
  <si>
    <t>Peter Great Saint Petersburg Polytechn Univ,Inst Ind Management Econ &amp; Trade</t>
  </si>
  <si>
    <t>2267-1242</t>
  </si>
  <si>
    <t>10.1051/e3sconf/201911002026</t>
  </si>
  <si>
    <t>WOS:000569050000115</t>
  </si>
  <si>
    <t>Bykova, SS; Kuvaldina, EA; Mashkovtseva, LM; Malova, TV</t>
  </si>
  <si>
    <t>Bykova, Svetlana S.; Kuvaldina, Elena A.; Mashkovtseva, Larisa M.; Malova, Tatyana V.</t>
  </si>
  <si>
    <t>Applying the Ideas of the Developmental Teaching at the Foreign Language Lessons to Develop Students' Communicative Competence</t>
  </si>
  <si>
    <t>Svetlana, Bykova/S-5241-2018</t>
  </si>
  <si>
    <t>Svetlana, Bykova/0000-0002-2382-0496</t>
  </si>
  <si>
    <t>10.13187/ejced.2018.2.275</t>
  </si>
  <si>
    <t>WOS:000434838300005</t>
  </si>
  <si>
    <t>Taxonomy of Small-Scale Fading Models</t>
  </si>
  <si>
    <t>Naumovich, Tatyana/B-8000-2017; Chastikov, Alexander/A-5560-2014; Chastikov, Alexander/ACX-8162-2022; Lesnikov, Vladislav/E-9558-2011</t>
  </si>
  <si>
    <t>WOS:000517795800079</t>
  </si>
  <si>
    <t>Olkova, AS</t>
  </si>
  <si>
    <t>Olkova, A. S.</t>
  </si>
  <si>
    <t>Modern trends in the development of bioassay methodology of aquatic environments</t>
  </si>
  <si>
    <t>10.25750/1995-4301-2018-3-019-026</t>
  </si>
  <si>
    <t>WOS:000468564900003</t>
  </si>
  <si>
    <t>Bessolitsyn, AV; Golgovskich, AV; Novikov, AV</t>
  </si>
  <si>
    <t>Bessolitsyn, A. V.; Golgovskich, A. V.; Novikov, A. V.</t>
  </si>
  <si>
    <t>Experimental Study of Current Error of up to 50 Hz Current-measuring Transformer</t>
  </si>
  <si>
    <t>2017 INTERNATIONAL CONFERENCE ON INDUSTRIAL ENGINEERING, APPLICATIONS AND MANUFACTURING (ICIEAM)</t>
  </si>
  <si>
    <t>Russia Siberia Sect Joint PES IES IAS CSS Chapter,South Ural State Univ,IEEE</t>
  </si>
  <si>
    <t>978-1-5090-5648-4</t>
  </si>
  <si>
    <t>WOS:000414282400134</t>
  </si>
  <si>
    <t>Cherepanov, VV; Kalinina, EA</t>
  </si>
  <si>
    <t>Cherepanov, V. V.; Kalinina, E. A.</t>
  </si>
  <si>
    <t>Calculation of Voltage Vibrations and a Short-Term Flicker Indicator Arising up During Working of Asynchronous Engines with Abruptly Variable Loading</t>
  </si>
  <si>
    <t>Cherepanov, Valery V./R-7589-2016</t>
  </si>
  <si>
    <t>Cherepanov, Valery V./0000-0003-2733-752X</t>
  </si>
  <si>
    <t>WOS:000414282400179</t>
  </si>
  <si>
    <t>Marinin, E; Sergeev, D; Marinina, N</t>
  </si>
  <si>
    <t>Bratan, S; Gorbatyuk, S; Leonov, S; Roshchupkin, S</t>
  </si>
  <si>
    <t>Marinin, Evgeny; Sergeev, Denis; Marinina, Nadezhda</t>
  </si>
  <si>
    <t>The capability of pulsed laser radiation for cutting band saws hardening</t>
  </si>
  <si>
    <t>INTERNATIONAL CONFERENCE ON MODERN TRENDS IN MANUFACTURING TECHNOLOGIES AND EQUIPMENT (ICMTMTE 2017)</t>
  </si>
  <si>
    <t>MATEC Web of Conferences</t>
  </si>
  <si>
    <t>International Conference on Modern Trends in Manufacturing Technologies and Equipment (ICMTMTE)</t>
  </si>
  <si>
    <t>SEP 11-15, 2017</t>
  </si>
  <si>
    <t>Sevastopol State Univ,Natl Univ Sci &amp; Technol,Polzunov Altai State Tech Univ,Inlink Ltd,Int Union Machine Builders,Russian Fdn Basic Res</t>
  </si>
  <si>
    <t>Sergeev, Denis/AAG-6738-2020</t>
  </si>
  <si>
    <t>Sergeev, Denis/0000-0001-6784-6754; Marinin, Evgeny/0000-0003-0676-9438</t>
  </si>
  <si>
    <t>2261-236X</t>
  </si>
  <si>
    <t>10.1051/matecconf/201712901013</t>
  </si>
  <si>
    <t>WOS:000426431000013</t>
  </si>
  <si>
    <t>Tatarinova, NV; Suvorov, DM; Shempelev, AG</t>
  </si>
  <si>
    <t>Tatarinova, N. V.; Suvorov, D. M.; Shempelev, A. G.</t>
  </si>
  <si>
    <t>Approaches to Building Computational Mathematical Models Based on the Flow and Power Characteristics of Cogeneration Steam Turbine Stages and Compartments</t>
  </si>
  <si>
    <t>Anatoly, Shempelev/AAF-5257-2021; Суворов, Дмитрий/S-9053-2019</t>
  </si>
  <si>
    <t>Суворов, Дмитрий/0000-0001-7415-3868; Tatarinova, Natalia/0000-0003-2640-9085</t>
  </si>
  <si>
    <t>WOS:000414282400356</t>
  </si>
  <si>
    <t>Zorin, Artem V.</t>
  </si>
  <si>
    <t>Official visit of President E. BENES in the United States in 1943</t>
  </si>
  <si>
    <t>WOS:000403853500001</t>
  </si>
  <si>
    <t>Nikulin, V</t>
  </si>
  <si>
    <t>Perner, P</t>
  </si>
  <si>
    <t>Nikulin, Vladimir</t>
  </si>
  <si>
    <t>Driving Style Identification with Unsupervised Learning</t>
  </si>
  <si>
    <t>MACHINE LEARNING AND DATA MINING IN PATTERN RECOGNITION (MLDM 2016)</t>
  </si>
  <si>
    <t>Lecture Notes in Artificial Intelligence</t>
  </si>
  <si>
    <t>12th International Conference on Machine Learning and Data Mining (MLDM)</t>
  </si>
  <si>
    <t>JUL 16-21, 2016</t>
  </si>
  <si>
    <t>New York, NY</t>
  </si>
  <si>
    <t>2945-9133</t>
  </si>
  <si>
    <t>1611-3349</t>
  </si>
  <si>
    <t>978-3-319-41920-6; 978-3-319-41919-0</t>
  </si>
  <si>
    <t>10.1007/978-3-319-41920-6_12</t>
  </si>
  <si>
    <t>WOS:000386510300012</t>
  </si>
  <si>
    <t>Strabykin, D; Meltsov, V; Dolzhenkova, M; Chistyakov, G; Kuvaev, A</t>
  </si>
  <si>
    <t>Silhavy, R; Senkerik, R; Oplatkova, ZK; Silhavy, P; Prokopova, Z</t>
  </si>
  <si>
    <t>Strabykin, Dmitry; Meltsov, Vasily; Dolzhenkova, Maria; Chistyakov, Gennady; Kuvaev, Alexey</t>
  </si>
  <si>
    <t>Formal Verification and Accelerated Inference</t>
  </si>
  <si>
    <t>ARTIFICIAL INTELLIGENCE PERSPECTIVES IN INTELLIGENT SYSTEMS, VOL 1</t>
  </si>
  <si>
    <t>Advances in Intelligent Systems and Computing</t>
  </si>
  <si>
    <t>5th Computer Science On-line Conference (CSOC)</t>
  </si>
  <si>
    <t>APR 27-30, 2016</t>
  </si>
  <si>
    <t>Prague, CZECH REPUBLIC</t>
  </si>
  <si>
    <t>Kuvaev, Alexey/H-9867-2017; Meltsov, Vasily Yurevich/P-7511-2017; Chistyakov, Gennadiy/Q-2312-2016; Strabykin, Dmitry/T-9196-2019</t>
  </si>
  <si>
    <t>Kuvaev, Alexey/0000-0003-1342-9861; Meltsov, Vasily Yurevich/0000-0001-5479-9979; Chistyakov, Gennadiy/0000-0002-6918-9337; Strabykin, Dmitry/0000-0003-2787-3525</t>
  </si>
  <si>
    <t>2194-5357</t>
  </si>
  <si>
    <t>978-3-319-33625-1; 978-3-319-33623-7</t>
  </si>
  <si>
    <t>10.1007/978-3-319-33625-1_19</t>
  </si>
  <si>
    <t>WOS:000385237600019</t>
  </si>
  <si>
    <t>Luppov, AV; Kudryavtsev, AS; Marenkov, DA; Lanskikh, JV</t>
  </si>
  <si>
    <t>Luppov, Andrey V.; Kudryavtsev, Anton S.; Marenkov, Dmitry A.; Lanskikh, Jury V.</t>
  </si>
  <si>
    <t>Improving the Efficiency of P2P Real-Time Communications Networks</t>
  </si>
  <si>
    <t>2013 INTERNATIONAL SIBERIAN CONFERENCE ON CONTROL AND COMMUNICATIONS (SIBCON)</t>
  </si>
  <si>
    <t>SEP 12-13, 2013</t>
  </si>
  <si>
    <t>Siberian Fed Univ, Krasnoyarsk, RUSSIA</t>
  </si>
  <si>
    <t>Inst Elect &amp; Elect Engineers,Siberian Fed Univ,IEEE, Russia Siberia Sect,Krasnoyarsk IEEE Joint Chapter,Tomsk IEEE Chapter &amp; Student Branch,IEEE, Russia Siberia Sect, Grad Last Decade Affin Grp,Krasnoyarsk Reg Fdn Res &amp; Tech Activ,IEEE Electron Devices Soc,IEEE Microwave Theory &amp; Tech Soc,Vinnitsa Natl Res Univ,Natl Res Tomsk Polytechn Univ</t>
  </si>
  <si>
    <t>Siberian Fed Univ</t>
  </si>
  <si>
    <t>978-1-4799-1062-5; 978-1-4799-1060-1</t>
  </si>
  <si>
    <t>WOS:000331107100053</t>
  </si>
  <si>
    <t>The electrochemical properties of LiCl-KCl melt held in contact with samarium</t>
  </si>
  <si>
    <t>1531-863X</t>
  </si>
  <si>
    <t>10.1134/S0036024411030204</t>
  </si>
  <si>
    <t>WOS:000286985400027</t>
  </si>
  <si>
    <t>Olkova, AS; Sysolyatina, M</t>
  </si>
  <si>
    <t>Olkova, Anna Sergeewna; Sysolyatina, Maria</t>
  </si>
  <si>
    <t>Behavioral and Lethal Effects of La Salt and a Mixture of Cu and La Salt on Daphnia magna Straus</t>
  </si>
  <si>
    <t>10.12911/22998993/148148</t>
  </si>
  <si>
    <t>WOS:000814321000001</t>
  </si>
  <si>
    <t>S</t>
  </si>
  <si>
    <t>Karanina, EV; Ryazanova, OA</t>
  </si>
  <si>
    <t>Ragulina, JV; Khachaturyan, AA; Abdulkadyrov, AS; Babaeva, ZS</t>
  </si>
  <si>
    <t>Karanina, Elena V.; Ryazanova, Olesya A.</t>
  </si>
  <si>
    <t>Development of the Methodology of Complex Diagnostics and Ranking of Regions' Economic Security for Sustainable Development of Their Digital Economy</t>
  </si>
  <si>
    <t>SUSTAINABLE DEVELOPMENT OF MODERN DIGITAL ECONOMY: Perspectives from Russian Experiences</t>
  </si>
  <si>
    <t>Research for Development</t>
  </si>
  <si>
    <t>2198-7300</t>
  </si>
  <si>
    <t>2198-7319</t>
  </si>
  <si>
    <t>978-3-030-70194-9; 978-3-030-70193-2</t>
  </si>
  <si>
    <t>10.1007/978-3-030-70194-9_33</t>
  </si>
  <si>
    <t>10.1007/978-3-030-70194-9</t>
  </si>
  <si>
    <t>WOS:000849737100032</t>
  </si>
  <si>
    <t>Dolgikh, AY</t>
  </si>
  <si>
    <t>Dolgikh, Andrei Yu.</t>
  </si>
  <si>
    <t>CARDINAL VERSIONS OF THE FUTURE: AN ESSAY ON FUTUROLOGY SYSTEMATIZATION</t>
  </si>
  <si>
    <t>VESTNIK TOMSKOGO GOSUDARSTVENNOGO UNIVERSITETA-FILOSOFIYA-SOTSIOLOGIYA-POLITOLOGIYA-TOMSK STATE UNIVERSITY JOURNAL OF PHILOSOPHY SOCIOLOGY AND POLITICAL SCIENCE</t>
  </si>
  <si>
    <t>1998-863X</t>
  </si>
  <si>
    <t>2311-2395</t>
  </si>
  <si>
    <t>10.17223/1998863X/50/6</t>
  </si>
  <si>
    <t>WOS:000500733100006</t>
  </si>
  <si>
    <t>Demshina, N. V.; Mosunova, L. A.</t>
  </si>
  <si>
    <t>A Study of the Levels of Semantic Perception of Information in Additional Education</t>
  </si>
  <si>
    <t>Mosunova, Ludmila/0000-0002-2130-6872; Demsina, Natal'a/0000-0001-9419-9310</t>
  </si>
  <si>
    <t>10.3103/S0147688219020096</t>
  </si>
  <si>
    <t>WOS:000481530700008</t>
  </si>
  <si>
    <t>Utemov, VV</t>
  </si>
  <si>
    <t>Utemov, Vyacheslav V.</t>
  </si>
  <si>
    <t>A Comparative Study of the Qualities of School Teachers and Their Teaching Practice</t>
  </si>
  <si>
    <t>V INTERNATIONAL FORUM ON TEACHER EDUCATION (IFTE 2019)</t>
  </si>
  <si>
    <t>5th International Forum on Teacher Education (IFTE)</t>
  </si>
  <si>
    <t>MAY 29-31, 2019</t>
  </si>
  <si>
    <t>978-954-642-984-1</t>
  </si>
  <si>
    <t>10.3897/ap.1.e0698</t>
  </si>
  <si>
    <t>WOS:000520005200072</t>
  </si>
  <si>
    <t>Orlov, MA</t>
  </si>
  <si>
    <t>Orlov, M. A.</t>
  </si>
  <si>
    <t>The Ivan the Terrible's Charter to Syrian Udmurt</t>
  </si>
  <si>
    <t>DREVNYAYA RUS-VOPROSY MEDIEVISTIKI</t>
  </si>
  <si>
    <t>Orlov, Maxim/U-8688-2018</t>
  </si>
  <si>
    <t>Orlov, Maxim/0000-0003-4663-9443</t>
  </si>
  <si>
    <t>2071-9574</t>
  </si>
  <si>
    <t>WOS:000444615300004</t>
  </si>
  <si>
    <t>Number-Theoretical Analysis of the Structures of Classical IIR Digital Filters</t>
  </si>
  <si>
    <t>Chastikov, Alexander/A-5560-2014; Chastikov, Alexander/ACX-8162-2022; Naumovich, Tatyana/B-8000-2017</t>
  </si>
  <si>
    <t>Chastikov, Alexander/0000-0002-1998-7787; Naumovich, Tatyana/0000-0002-3659-2664</t>
  </si>
  <si>
    <t>WOS:000644432200110</t>
  </si>
  <si>
    <t>Rykov, A; Luppov, A; Krasikov, M</t>
  </si>
  <si>
    <t>Rykov, A.; Luppov, A.; Krasikov, M.</t>
  </si>
  <si>
    <t>Identification and Classification of Signal Distortions Based on Wavelet Transform and Neural Networks</t>
  </si>
  <si>
    <t>WOS:000478963800186</t>
  </si>
  <si>
    <t>Savinykh, NP; Lelekova, EV; Shakleina, MN</t>
  </si>
  <si>
    <t>Savinykh, N. P.; Lelekova, E., V; Shakleina, M. N.</t>
  </si>
  <si>
    <t>About the promotion of natural restoration of Pinus sylvestris L.</t>
  </si>
  <si>
    <t>10.25750/1995-4301-2018-4-108-113</t>
  </si>
  <si>
    <t>WOS:000468565300014</t>
  </si>
  <si>
    <t>Kotelnikov, EV; Pletneva, MV</t>
  </si>
  <si>
    <t>Kotelnikov, E. V.; Pletneva, M. V.</t>
  </si>
  <si>
    <t>Text sentiment classification based on a genetic algorithm and word and document co-clustering</t>
  </si>
  <si>
    <t>JOURNAL OF COMPUTER AND SYSTEMS SCIENCES INTERNATIONAL</t>
  </si>
  <si>
    <t>Kotelnikov, Evgeny/A-3606-2014</t>
  </si>
  <si>
    <t>Kotelnikov, Evgeny/0000-0001-9745-1489</t>
  </si>
  <si>
    <t>1064-2307</t>
  </si>
  <si>
    <t>1555-6530</t>
  </si>
  <si>
    <t>10.1134/S1064230715060106</t>
  </si>
  <si>
    <t>WOS:000373156600007</t>
  </si>
  <si>
    <t>Krivosheina, N</t>
  </si>
  <si>
    <t>Krivosheina, Natalia</t>
  </si>
  <si>
    <t>MONUMENTAL RELIGIOUS PAINTING OF VYATKA</t>
  </si>
  <si>
    <t>ARTS, PERFORMING ARTS, ARCHITECTURE AND DESIGN</t>
  </si>
  <si>
    <t>Krivosheina, Natalia V/M-8938-2018</t>
  </si>
  <si>
    <t>Krivosheina, Natalia V/0000-0001-7612-5174</t>
  </si>
  <si>
    <t>978-619-7105-30-8</t>
  </si>
  <si>
    <t>WOS:000357943500021</t>
  </si>
  <si>
    <t>Yungblyud, VT</t>
  </si>
  <si>
    <t>Yungblyud, V. T.</t>
  </si>
  <si>
    <t>The disband of Comintern in May 1943: comments and analysis in the USA.</t>
  </si>
  <si>
    <t>WOS:000316525400002</t>
  </si>
  <si>
    <t>Khitrin, KS; Khitrin, SV; Fuks, SL; Meteleva, DS; Vtyurina, EN</t>
  </si>
  <si>
    <t>Khitrin, K. S.; Khitrin, S. V.; Fuks, S. L.; Meteleva, D. S.; Vtyurina, E. N.</t>
  </si>
  <si>
    <t>Effect of physical and chemical modification on the sorption capacity of hydrolyzed lignin</t>
  </si>
  <si>
    <t>10.1134/S1070427212080101</t>
  </si>
  <si>
    <t>WOS:000308813500010</t>
  </si>
  <si>
    <t>History or politics?</t>
  </si>
  <si>
    <t>WOS:000247859600017</t>
  </si>
  <si>
    <t>Balyberdin, YA</t>
  </si>
  <si>
    <t>Balyberdin, Yu. A.</t>
  </si>
  <si>
    <t>The socio-political life in Volga-Kama region in the early XXth century</t>
  </si>
  <si>
    <t>WOS:000241086700004</t>
  </si>
  <si>
    <t>Skvortsov, AI; Kondratov, VM; Potekhin, BA; Borisov, AA</t>
  </si>
  <si>
    <t>Connection of magnetomechanical attenuation with magnetocrystalline structure parameters in ferrum alloys</t>
  </si>
  <si>
    <t>IZVESTIYA AKADEMII NAUK SERIYA FIZICHESKAYA</t>
  </si>
  <si>
    <t>1026-3489</t>
  </si>
  <si>
    <t>WOS:A1997WU95900007</t>
  </si>
  <si>
    <t>Soloveva, IA</t>
  </si>
  <si>
    <t>Nikolai Vasilevich Chaikovskii (1850-1926) + Political biography of a Russian revolutionary</t>
  </si>
  <si>
    <t>WOS:A1997XG33200003</t>
  </si>
  <si>
    <t>Timkin, NY; Kirillovykh, AA</t>
  </si>
  <si>
    <t>Timkin, Yuri N.; Kirillovykh, Andrey A.</t>
  </si>
  <si>
    <t>Human and civil rights and freedoms at the end of 1917 - the first half of 1921 in the conditions of the formation of the socialist legal consciousness of the peasants (according to the archival materials of the Vyatka province)</t>
  </si>
  <si>
    <t>Kirillovykh, Andrey/J-7815-2016</t>
  </si>
  <si>
    <t>Kirillovykh, Andrey/0000-0002-0035-9035</t>
  </si>
  <si>
    <t>10.31166/VoprosyIstorii202106Statyi39</t>
  </si>
  <si>
    <t>WOS:000729816200015</t>
  </si>
  <si>
    <t>Arbitrary quadrangular finite element for plates with shear deformations</t>
  </si>
  <si>
    <t>Tyukalov, Yury/P-3728-2017</t>
  </si>
  <si>
    <t>Tyukalov, Yury/0000-0001-6184-2365</t>
  </si>
  <si>
    <t>2712-8172</t>
  </si>
  <si>
    <t>10.34910/MCE.107.7</t>
  </si>
  <si>
    <t>WOS:000730911700005</t>
  </si>
  <si>
    <t>Cherepanov, VV; Bakshaeva, NS; Suvorova, IA</t>
  </si>
  <si>
    <t>Cherepanov, V. V.; Bakshaeva, N. S.; Suvorova, I. A.</t>
  </si>
  <si>
    <t>The Development of Cost Assessment Models for Overhead Power Transmission Lines</t>
  </si>
  <si>
    <t>10.1007/978-3-030-39225-3_65</t>
  </si>
  <si>
    <t>WOS:000675525300065</t>
  </si>
  <si>
    <t>Egorov, SG; Trushkov, SA</t>
  </si>
  <si>
    <t>Egorov, Sergey G.; Trushkov, Sergey A.</t>
  </si>
  <si>
    <t>Police staffing and practices in the Vyatka province in the post-reform era</t>
  </si>
  <si>
    <t>Egorov, Sergey G/T-1889-2018</t>
  </si>
  <si>
    <t>Egorov, Sergey G/0000-0002-7116-0840</t>
  </si>
  <si>
    <t>10.31166/VoprosyIstorii202006Statyi08</t>
  </si>
  <si>
    <t>WOS:000657722200008</t>
  </si>
  <si>
    <t>Sergeev, DG; Marinin, EA; Marinina, NI; Durseneva, MD</t>
  </si>
  <si>
    <t>IOP Publishing</t>
  </si>
  <si>
    <t>Sergeev, D. G.; Marinin, E. A.; Marinina, N., I; Durseneva, M. D.</t>
  </si>
  <si>
    <t>The choice of pulse laser radiation modes for hardening a metal cutting saw</t>
  </si>
  <si>
    <t>INTERNATIONAL CONFERENCE ON MODERN TRENDS IN MANUFACTURING TECHNOLOGIES AND EQUIPMENT (ICMTMTE) 2020</t>
  </si>
  <si>
    <t>IOP Conference Series-Materials Science and Engineering</t>
  </si>
  <si>
    <t>Sevastopol, CRIMEA</t>
  </si>
  <si>
    <t>Sevastopol State Univ,Natl Univ Sci &amp; Technol MISIS,Polzunov Altai State Tech Univ,Crimean Fed Univ,Inlink Ltd,Int Union Machine Builders</t>
  </si>
  <si>
    <t>1757-8981</t>
  </si>
  <si>
    <t>10.1088/1757-899X/971/3/032024</t>
  </si>
  <si>
    <t>WOS:000646359100125</t>
  </si>
  <si>
    <t>Yungblud, VT; Sadakov, DA</t>
  </si>
  <si>
    <t>Yungblud, V. T.; Sadakov, D. A.</t>
  </si>
  <si>
    <t>Japan-Korea settlement in US policy, 1953-1965</t>
  </si>
  <si>
    <t>JAPANESE STUDIES IN RUSSIA</t>
  </si>
  <si>
    <t>2500-2872</t>
  </si>
  <si>
    <t>10.24411/2500-2872-2020-10030</t>
  </si>
  <si>
    <t>WOS:000604555300006</t>
  </si>
  <si>
    <t>Susloparova, MM; Ponomarenko, LN; Kibishev, AN; Romanova, IV</t>
  </si>
  <si>
    <t>Susloparova, Maria M.; Ponomarenko, Larisa N.; Kibishev, Andrey N.; Romanova, Irina, V</t>
  </si>
  <si>
    <t>Formation of Cognitive Motivation in Junior School Age Children in Institutions of Supplementary Education</t>
  </si>
  <si>
    <t>Ponomarenko, Larisa N/L-3310-2017; Романова, Ирина/ABC-3457-2020; Kibishev, Andrey/B-2743-2019</t>
  </si>
  <si>
    <t>Ponomarenko, Larisa N/0000-0001-5056-5446; Романова, Ирина/0000-0001-8448-1873; Kibishev, Andrey/0000-0003-0723-1728; Susloparova, Maria/0000-0002-2680-2533</t>
  </si>
  <si>
    <t>10.13187/ejced.2019.2.357</t>
  </si>
  <si>
    <t>WOS:000471936000009</t>
  </si>
  <si>
    <t>Fishcheva, I; Kotelnikov, E</t>
  </si>
  <si>
    <t>VanDerAalst, WMP; Batagelj, V; Ignatov, DI; Khachay, M; Kuskova, V; Kutuzov, A; Kuznetsov, SO; Lomazova, IA; Loukachevitch, N; Napoli, A; Pardalos, PM; Pelillo, M; Savchenko, AV; Tutubalina, E</t>
  </si>
  <si>
    <t>Fishcheva, Irina; Kotelnikov, Evgeny</t>
  </si>
  <si>
    <t>Cross-Lingual Argumentation Mining for Russian Texts</t>
  </si>
  <si>
    <t>ANALYSIS OF IMAGES, SOCIAL NETWORKS AND TEXTS, AIST 2019</t>
  </si>
  <si>
    <t>Lecture Notes in Computer Science</t>
  </si>
  <si>
    <t>8th International Conference on Analysis of Images, Social Networks, and Texts (AIST)</t>
  </si>
  <si>
    <t>JUL 17-19, 2019</t>
  </si>
  <si>
    <t>Natl Res Univ Higher Sch Econ,Springer</t>
  </si>
  <si>
    <t>Kotelnikov, Evgeny/A-3606-2014; Fishcheva, Irina/T-6334-2018</t>
  </si>
  <si>
    <t>Kotelnikov, Evgeny/0000-0001-9745-1489; Fishcheva, Irina/0000-0002-6941-2009</t>
  </si>
  <si>
    <t>0302-9743</t>
  </si>
  <si>
    <t>978-3-030-37334-4; 978-3-030-37333-7</t>
  </si>
  <si>
    <t>10.1007/978-3-030-37334-4_12</t>
  </si>
  <si>
    <t>WOS:000611787800012</t>
  </si>
  <si>
    <t>Kuzmin, VA; Zagrai, IA; Maratkanova, EI</t>
  </si>
  <si>
    <t>Kuzmin, V. A.; Zagrai, I. A.; Maratkanova, E. I.</t>
  </si>
  <si>
    <t>Model of solid fuel rocket engine: thermal emission characteristics from a plume calculated with account for temperature and speed non-equilibrium between gas and particle flows</t>
  </si>
  <si>
    <t>10.1134/S0869864319010074</t>
  </si>
  <si>
    <t>WOS:000465534000008</t>
  </si>
  <si>
    <t>Zlobin, AA</t>
  </si>
  <si>
    <t>Dudziak, A; Zlobin, A; Payunena, M</t>
  </si>
  <si>
    <t>Zlobin, Andrey Alexandrovich</t>
  </si>
  <si>
    <t>Old Slavic language in the Indo-European language family</t>
  </si>
  <si>
    <t>INDO-EUROPEAN LEGACY IN LANGUAGE AND CULTURE: Selected Issues</t>
  </si>
  <si>
    <t>978-83-8100-209-7</t>
  </si>
  <si>
    <t>WOS:000739878500009</t>
  </si>
  <si>
    <t>Bushuev, AN; El'kin, OV; Tolstobrov, IV; Sazanov, AV; Kondrat'ev, DA</t>
  </si>
  <si>
    <t>Bushuev, A. N.; El'kin, O. V.; Tolstobrov, I. V.; Sazanov, A. V.; Kondrat'ev, D. A.</t>
  </si>
  <si>
    <t>Preparation of a Nickel-Holmium Alloy Coating in an Equimolar HoCl3-Containing NaCl-KCl Melt</t>
  </si>
  <si>
    <t>O.V., El'kin/T-7146-2019; Bushuev, Andrey/AAE-1002-2019; Tolstobrov, Ivan/T-7734-2019</t>
  </si>
  <si>
    <t>O.V., El'kin/0000-0002-4540-7483; Bushuev, Andrey/0000-0001-9651-2171; Tolstobrov, Ivan/0000-0002-0133-6150</t>
  </si>
  <si>
    <t>10.1134/S0036029518080049</t>
  </si>
  <si>
    <t>WOS:000454273600015</t>
  </si>
  <si>
    <t>Development of the ability to differentiate the parameters of football players' movements taking into account their typology</t>
  </si>
  <si>
    <t>INTERNATIONAL JOURNAL OF APPLIED EXERCISE PHYSIOLOGY</t>
  </si>
  <si>
    <t>2322-3537</t>
  </si>
  <si>
    <t>10.22631/ijaep.v7i2.268</t>
  </si>
  <si>
    <t>WOS:000435602100004</t>
  </si>
  <si>
    <t>Trushkova, IY; Titova, EI</t>
  </si>
  <si>
    <t>Trushkova, Irina Yu.; Titova, Elena I.</t>
  </si>
  <si>
    <t>'NETWORK INTERACTION' AT VYATKA STATE UNIVERSITY</t>
  </si>
  <si>
    <t>SIBERIAN HISTORICAL RESEARCH-SIBIRSKIE ISTORICHESKIE ISSLEDOVANIYA</t>
  </si>
  <si>
    <t>Trushkova, Irina/C-5994-2019; Titova, Elena/ABG-9460-2021</t>
  </si>
  <si>
    <t xml:space="preserve">Trushkova, Irina/0000-0003-2944-2446; </t>
  </si>
  <si>
    <t>2312-461X</t>
  </si>
  <si>
    <t>2312-4628</t>
  </si>
  <si>
    <t>10.17223/2312461X/19/9</t>
  </si>
  <si>
    <t>WOS:000429668400009</t>
  </si>
  <si>
    <t>Economic Feasibility Study of the 20 kV Voltage Application at Industrial Enterprises</t>
  </si>
  <si>
    <t>2016 2ND INTERNATIONAL CONFERENCE ON INDUSTRIAL ENGINEERING, APPLICATIONS AND MANUFACTURING (ICIEAM)</t>
  </si>
  <si>
    <t>2nd International Conference on Industrial Engineering, Applications and Manufacturing (ICIEAM)</t>
  </si>
  <si>
    <t>MAY 19-20, 2016</t>
  </si>
  <si>
    <t>Chelyabinsk, RUSSIA</t>
  </si>
  <si>
    <t>Russia Siberia Sect Joint PES IES IAS CSS Chapter,S Ural State Univ,IEEE</t>
  </si>
  <si>
    <t>978-1-5090-1322-7</t>
  </si>
  <si>
    <t>WOS:000403604400156</t>
  </si>
  <si>
    <t>Lesnikov, V; Naumovich, T; Chastikov, A; Garsh, D</t>
  </si>
  <si>
    <t>Stojanovic, R; Jozwiak, L; Lutovac, B</t>
  </si>
  <si>
    <t>Lesnikov, V.; Naumovich, T.; Chastikov, A.; Garsh, D.</t>
  </si>
  <si>
    <t>Unaliasing of Under sampled Spectra</t>
  </si>
  <si>
    <t>2016 5TH MEDITERRANEAN CONFERENCE ON EMBEDDED COMPUTING (MECO)</t>
  </si>
  <si>
    <t>5th Mediterranean Conference on Embedded Computing (MECO)</t>
  </si>
  <si>
    <t>JUN 12-16, 2016</t>
  </si>
  <si>
    <t>Bar, MONTENEGRO</t>
  </si>
  <si>
    <t>IEEE,EUROMICRO,MANT,Univ Montenegro, Fac Elect Engn,Ryazan State Radio Engn Univ,Eindhoven Tech Univ,Minist Sci Montenegro,Cikom Co,IEEE Adv Technol Human,Univ Crne Gore,BioEMIS,Plantaze,FER</t>
  </si>
  <si>
    <t>Chastikov, Alexander/ACX-8162-2022; Denis, Harsh/A-7045-2014; Chastikov, Alexander/A-5560-2014; Naumovich, Tatyana/B-8000-2017; Lesnikov, Vladislav/E-9558-2011</t>
  </si>
  <si>
    <t>Chastikov, Alexander/0000-0002-1998-7787; Naumovich, Tatyana/0000-0002-3659-2664; Lesnikov, Vladislav/0000-0002-5034-291X</t>
  </si>
  <si>
    <t>978-1-5090-2221-2</t>
  </si>
  <si>
    <t>WOS:000387159800034</t>
  </si>
  <si>
    <t>Meltsov, V; Chistyakov, G; Strabykin, D; Dolgenkova, M</t>
  </si>
  <si>
    <t>DEStech Publications, Inc</t>
  </si>
  <si>
    <t>Meltsov, V.; Chistyakov, G.; Strabykin, D.; Dolgenkova, M.</t>
  </si>
  <si>
    <t>Accelerated Logical Inference in the Intelligent Control Systems</t>
  </si>
  <si>
    <t>INTERNATIONAL CONFERENCE ON ARTIFICIAL INTELLIGENCE: TECHNIQUES AND APPLICATIONS, AITA 2016</t>
  </si>
  <si>
    <t>International Conference on Artificial Intelligence - Techniques and Applications (AITA)</t>
  </si>
  <si>
    <t>SEP 25-26, 2016</t>
  </si>
  <si>
    <t>Shanghai, PEOPLES R CHINA</t>
  </si>
  <si>
    <t>Chistyakov, Gennadiy/Q-2312-2016; Meltsov, Vasily Yurevich/P-7511-2017</t>
  </si>
  <si>
    <t>Chistyakov, Gennadiy/0000-0002-6918-9337; Meltsov, Vasily Yurevich/0000-0001-5479-9979</t>
  </si>
  <si>
    <t>978-1-60595-389-2</t>
  </si>
  <si>
    <t>WOS:000387945700001</t>
  </si>
  <si>
    <t>Prokashev, AM; Soboleva, ES; Chepurnov, RR; Matushkin, AS; Ohorzin, ND; Borodaty, IL; Zhuikova, IA; Alalykina, IY; Russkikh, GA; Pupysheva, SA; Mokrushin, SL; Vartan, IA</t>
  </si>
  <si>
    <t>Golabi, MH</t>
  </si>
  <si>
    <t>Prokashev, A. M.; Soboleva, E. S.; Chepurnov, R. R.; Matushkin, A. S.; Ohorzin, N. D.; Borodaty, I. L.; Zhuikova, I. A.; Alalykina, I. Y.; Russkikh, G. A.; Pupysheva, S. A.; Mokrushin, S. L.; Vartan, I. A.</t>
  </si>
  <si>
    <t>Sod-podzolic soils with a complex organic profile of the southern Vyatka River basin</t>
  </si>
  <si>
    <t>2ND INTERNATIONAL CONFERENCE ON AGRICULTURAL AND BIOLOGICAL SCIENCES (ABS 2016)</t>
  </si>
  <si>
    <t>IOP Conference Series-Earth and Environmental Science</t>
  </si>
  <si>
    <t>2nd International Conference on Agricultural and Biological Sciences (ABS)</t>
  </si>
  <si>
    <t>JUL 23-26, 2016</t>
  </si>
  <si>
    <t>Vartan, Igor/AAR-6107-2021; Prokashev, Aleksei/ABE-7729-2020</t>
  </si>
  <si>
    <t>Vartan, Igor/0000-0003-1663-385X; Prokasev, Aleksei/0000-0002-3029-8093; Zhuikova, Irina/0000-0001-7855-604X</t>
  </si>
  <si>
    <t>1755-1307</t>
  </si>
  <si>
    <t>10.1088/1755-1315/41/1/012024</t>
  </si>
  <si>
    <t>WOS:000389919500024</t>
  </si>
  <si>
    <t>Tatarinova, N. V.; Suvorov, D. M.</t>
  </si>
  <si>
    <t>Development of Adequate Computational Mathematical Models of Cogeneration Steam Turbines for Solving Problems of Optimization of Operating Modes of CHP Plants</t>
  </si>
  <si>
    <t>Суворов, Дмитрий/S-9053-2019</t>
  </si>
  <si>
    <t>WOS:000403604400281</t>
  </si>
  <si>
    <t>Makhnev, AS</t>
  </si>
  <si>
    <t>Makhnev, A. S.</t>
  </si>
  <si>
    <t>The use of internal cartesian coordinates for describing molecular vibrations</t>
  </si>
  <si>
    <t>10.1134/S0036024409030169</t>
  </si>
  <si>
    <t>WOS:000263675600016</t>
  </si>
  <si>
    <t>Effect of thermomagnetic treatment on the damping properties of magnetically soft iron alloys</t>
  </si>
  <si>
    <t>9-10</t>
  </si>
  <si>
    <t>10.1007/s11041-006-0113-z</t>
  </si>
  <si>
    <t>WOS:000245753200011</t>
  </si>
  <si>
    <t>Kustova, EV</t>
  </si>
  <si>
    <t>Town self-government in Vyatka from the late-18th to mid-19th centuries</t>
  </si>
  <si>
    <t>WOS:000223263200010</t>
  </si>
  <si>
    <t>Bagaev, SI; Kstenina, EN</t>
  </si>
  <si>
    <t>Copolymerization and copolycondensation of maleic anhydride with 4-methylene-1,3-dioxolane and maleic acid. A route to polycarboxylic acids</t>
  </si>
  <si>
    <t>VYSOKOMOLEKULYARNYE SOEDINENIYA SERIYA A &amp; SERIYA B</t>
  </si>
  <si>
    <t>0507-5475</t>
  </si>
  <si>
    <t>WOS:000077454300020</t>
  </si>
  <si>
    <t>Plotnikov, SA; Kartashevich, AN; Motovilova, MV</t>
  </si>
  <si>
    <t>Plotnikov, S. A.; Kartashevich, A. N.; Motovilova, M. V.</t>
  </si>
  <si>
    <t>Evaluation of Combustion Performance and Heat Release in Preheated Fuel Consumed Diesel Engines</t>
  </si>
  <si>
    <t>ENGINEERING TECHNOLOGIES AND SYSTEMS</t>
  </si>
  <si>
    <t>Plotnikov, Sergej A/R-8491-2016</t>
  </si>
  <si>
    <t>Plotnikov, Sergej A/0000-0002-8887-4591</t>
  </si>
  <si>
    <t>2658-4123</t>
  </si>
  <si>
    <t>2658-6525</t>
  </si>
  <si>
    <t>10.15507/2658-4123.031.202103.349-363</t>
  </si>
  <si>
    <t>WOS:000698672500002</t>
  </si>
  <si>
    <t>Isupov, SA</t>
  </si>
  <si>
    <t>Isupov, S. A.</t>
  </si>
  <si>
    <t>Experimental substantiation by choosing basic variant of plates with cylindrical dowels</t>
  </si>
  <si>
    <t>INTERNATIONAL CONFERENCE ON CONSTRUCTION, ARCHITECTURE AND TECHNOSPHERE SAFETY (ICCATS 2020)</t>
  </si>
  <si>
    <t>International Conference on Construction, Architecture and Technosphere Safety (ICCATS)</t>
  </si>
  <si>
    <t>SEP 06-12, 2020</t>
  </si>
  <si>
    <t>S Ural State Univ,Irkutsk Natl Res Tech Univ,B N Yeltsin Ural Fed Univ</t>
  </si>
  <si>
    <t>10.1088/1757-899X/962/2/022047</t>
  </si>
  <si>
    <t>WOS:000648432000047</t>
  </si>
  <si>
    <t>Implementation of the Poles of IIR Digital Filters with a Declared Structural Precision</t>
  </si>
  <si>
    <t>PROCEEDINGS OF THE 2020 30TH INTERNATIONAL CONFERENCE RADIOELEKTRONIKA (RADIOELEKTRONIKA)</t>
  </si>
  <si>
    <t>30th International Conference Radioelektronika (RADIOELEKTRONIKA)</t>
  </si>
  <si>
    <t>APR 15-16, 2020</t>
  </si>
  <si>
    <t>ELECTR NETWORK</t>
  </si>
  <si>
    <t>IEEE Czechoslovakia Sect,Slovak Univ Technol, Fac Elect Engn &amp; Informat Technol,Inst Elect &amp; Photon,ON Semiconductor,Ceska Elektrotechnicka Spolecnost,TR Instruments</t>
  </si>
  <si>
    <t>978-1-7281-6469-4</t>
  </si>
  <si>
    <t>WOS:000610803200022</t>
  </si>
  <si>
    <t>Grabar, AA; Koykova, TL; Prokopenko, LK; Shchinova, RA</t>
  </si>
  <si>
    <t>Grabar, Anna A.; Koykova, Tatiana L.; Prokopenko, Lyudmila K.; Shchinova, Raisa A.</t>
  </si>
  <si>
    <t>The innovative mechanism of government support for the investment activities of digital universities for provision of region's investment attractiveness in the conditions of Industry 4.0</t>
  </si>
  <si>
    <t>ON THE HORIZON</t>
  </si>
  <si>
    <t>1074-8121</t>
  </si>
  <si>
    <t>2054-1708</t>
  </si>
  <si>
    <t>OCT 11</t>
  </si>
  <si>
    <t>3-4</t>
  </si>
  <si>
    <t>10.1108/OTH-07-2019-0041</t>
  </si>
  <si>
    <t>WOS:000491196500005</t>
  </si>
  <si>
    <t>Kulikov, I; Deener, E</t>
  </si>
  <si>
    <t>Kulikov, Ilya; Deener, Elena</t>
  </si>
  <si>
    <t>Specific application of mathematical method of fuzzy logics to digital book identification</t>
  </si>
  <si>
    <t>NAUCHNYE I TEKHNICHESKIE BIBLIOTEKI-SCIENTIFIC AND TECHNICAL LIBRARIES</t>
  </si>
  <si>
    <t>Diner, Elena/ABA-6122-2020; Kulikov, Ilya A./A-2028-2019</t>
  </si>
  <si>
    <t>Diner, Elena/0000-0001-6233-7571; Kulikov, Ilya/0000-0001-5989-9733</t>
  </si>
  <si>
    <t>0130-9765</t>
  </si>
  <si>
    <t>10.33186/1027-3689-2019-12-100-119</t>
  </si>
  <si>
    <t>WOS:000502575300009</t>
  </si>
  <si>
    <t>The Influence of Coordination on the Thinking of Children with Different Nervous System</t>
  </si>
  <si>
    <t>PAKISTAN JOURNAL OF MEDICAL &amp; HEALTH SCIENCES</t>
  </si>
  <si>
    <t>1996-7195</t>
  </si>
  <si>
    <t>WOS:000468146000153</t>
  </si>
  <si>
    <t>Kirillovykh, AA</t>
  </si>
  <si>
    <t>Kirillovykh, Andrey A.</t>
  </si>
  <si>
    <t>EDUCATIONAL DOCTRINE IN THE SYSTEM OF PUBLIC EDUCATION MANAGEMENT TOOLS: A LEGAL ASPECT</t>
  </si>
  <si>
    <t>10.17223/15617793/434/26</t>
  </si>
  <si>
    <t>WOS:000451260400026</t>
  </si>
  <si>
    <t>Egorov, SG</t>
  </si>
  <si>
    <t>Egorov, Sergey G.</t>
  </si>
  <si>
    <t>FIGHTING VIOLATION OF LABOR LAWS IN THE KIROV REGION IN THE YEARS 1946-1953</t>
  </si>
  <si>
    <t>WOS:000443793600009</t>
  </si>
  <si>
    <t>Kotelnikov, E; Peskisheva, T; Kotelnikova, A; Razova, E</t>
  </si>
  <si>
    <t>Ustalov, D; Filchenkov, A; Pivovarova, L; Zizka, J</t>
  </si>
  <si>
    <t>Kotelnikov, Evgeny; Peskisheva, Tatiana; Kotelnikova, Anastasia; Razova, Elena</t>
  </si>
  <si>
    <t>A Comparative Study of Publicly Available Russian Sentiment Lexicons</t>
  </si>
  <si>
    <t>ARTIFICIAL INTELLIGENCE AND NATURAL LANGUAGE (AINL 2018)</t>
  </si>
  <si>
    <t>Communications in Computer and Information Science</t>
  </si>
  <si>
    <t>7th International Conference on Artificial Intelligence and Natural Language (AINL)</t>
  </si>
  <si>
    <t>OCT 17-19, 2018</t>
  </si>
  <si>
    <t>NLP Seminar,ITMO Univ,NLPub,Just AI,Huawei,STC Grp</t>
  </si>
  <si>
    <t>Kotelnikova, Anastasia/AAD-5135-2019; Razova, Elena/U-4097-2018; Kotelnikov, Evgeny/A-3606-2014</t>
  </si>
  <si>
    <t>Razova, Elena/0000-0001-5557-5432; Kotelnikov, Evgeny/0000-0001-9745-1489</t>
  </si>
  <si>
    <t>1865-0929</t>
  </si>
  <si>
    <t>1865-0937</t>
  </si>
  <si>
    <t>978-3-030-01204-5; 978-3-030-01203-8</t>
  </si>
  <si>
    <t>10.1007/978-3-030-01204-5_14</t>
  </si>
  <si>
    <t>WOS:000460557600014</t>
  </si>
  <si>
    <t>Mansurova, IA; Isupova, OY; Burkov, AA; Gavrilov, KE</t>
  </si>
  <si>
    <t>Mansurova, I. A.; Isupova, O. Yu.; Burkov, A. A.; Gavrilov, K. E.</t>
  </si>
  <si>
    <t>ELASTIC-HYSTERESIS PROPERTIES OF RUBBER CONTAINING CARBON NANOTUBES FUNCTIONALYZED BY POLYMER</t>
  </si>
  <si>
    <t>Burkov, Andrei/N-5302-2016; Burkov, Andrey/ABB-8219-2021; Mansurova, Irina Alekseevna/J-3337-2016</t>
  </si>
  <si>
    <t>Burkov, Andrei/0000-0002-3627-1262; Mansurova, Irina Alekseevna/0000-0003-1197-0339</t>
  </si>
  <si>
    <t>4-5</t>
  </si>
  <si>
    <t>10.6060/tcct.20186104-05.5596</t>
  </si>
  <si>
    <t>WOS:000435584400009</t>
  </si>
  <si>
    <t>Medvedeva, E; Trubin, I; Kurbatova, E</t>
  </si>
  <si>
    <t>Favorskaya, MN; Jain, LC</t>
  </si>
  <si>
    <t>Medvedeva, E.; Trubin, I.; Kurbatova, E.</t>
  </si>
  <si>
    <t>Methods of Filtering and Texture Segmentation of Multicomponent Images</t>
  </si>
  <si>
    <t>COMPUTER VISION IN CONTROL SYSTEMS-3: AERIAL AND SATELLITE IMAGE PROCESSING</t>
  </si>
  <si>
    <t>Intelligent Systems Reference Library</t>
  </si>
  <si>
    <t>Kurbatova, Ekaterina/A-6003-2014; Medvedeva, Elena V./A-5714-2014</t>
  </si>
  <si>
    <t>Kurbatova, Ekaterina/0000-0001-7173-9214; Medvedeva, Elena V./0000-0002-0677-1418</t>
  </si>
  <si>
    <t>1868-4394</t>
  </si>
  <si>
    <t>978-3-319-67516-9; 978-3-319-67515-2</t>
  </si>
  <si>
    <t>10.1007/978-3-319-67516-9_4</t>
  </si>
  <si>
    <t>10.1007/978-3-319-67516-9</t>
  </si>
  <si>
    <t>WOS:000440661000005</t>
  </si>
  <si>
    <t>Calculation of bending plates by finite element method in stresses</t>
  </si>
  <si>
    <t>INTERNATIONAL CONFERENCE ON CONSTRUCTION, ARCHITECTURE AND TECHNOSPHERE SAFETY (ICCATS 2018)</t>
  </si>
  <si>
    <t>SEP 26-28, 2018</t>
  </si>
  <si>
    <t>S Ural State Univ, RUSSIA</t>
  </si>
  <si>
    <t>Irkutsk Natl Res Tech Univ,B N Yeltsin Ural Fed Univ</t>
  </si>
  <si>
    <t>10.1088/1757-899X/451/1/012046</t>
  </si>
  <si>
    <t>WOS:000648426900046</t>
  </si>
  <si>
    <t>Kasatkina, EB; Mashkovtcev, AA</t>
  </si>
  <si>
    <t>Kasatkina, Evgenia B.; Mashkovtcev, Andrey A.</t>
  </si>
  <si>
    <t>Polish and Caucasian exiles in Vyatka province in the second half of XIX- early XX century</t>
  </si>
  <si>
    <t>WOS:000423138700013</t>
  </si>
  <si>
    <t>Mashkovtsev, Andrey A.</t>
  </si>
  <si>
    <t>Baptists and evangelical christians of the Middle Volga and the Ural during the first world war</t>
  </si>
  <si>
    <t>WOS:000372373000011</t>
  </si>
  <si>
    <t>Ananchenko, BA; Mikhailichenko, TV; Kalinina, LA; Ushakova, YN; Pentin, MA; Myakishev, AO</t>
  </si>
  <si>
    <t>Ananchenko, B. A.; Mikhailichenko, T. V.; Kalinina, L. A.; Ushakova, Yu. N.; Pentin, M. A.; Myakishev, A. O.</t>
  </si>
  <si>
    <t>Effect of the method for the preparation of the oxide precursor on the electrolytic properties of sulfide-conducting solid electrolytes</t>
  </si>
  <si>
    <t>Ananchenko, Boris/AAM-5831-2020</t>
  </si>
  <si>
    <t>Ananchenko, Boris/0000-0002-7975-7828; Kalinina, Ludmila/0000-0001-9471-2778</t>
  </si>
  <si>
    <t>1608-3342</t>
  </si>
  <si>
    <t>10.1134/S102319351505002X</t>
  </si>
  <si>
    <t>WOS:000355411900015</t>
  </si>
  <si>
    <t>Collision Avoidance Spectrum Sharing Technique Using GFDM for Cognitive Wireless Ad-hoc Networks</t>
  </si>
  <si>
    <t>PROCEEDINGS OF 2015 IEEE EAST-WEST DESIGN &amp; TEST SYMPOSIUM (EWDTS)</t>
  </si>
  <si>
    <t>SEP 26-29, 2015</t>
  </si>
  <si>
    <t>Batumi, GA</t>
  </si>
  <si>
    <t>IEEE,Kharkiv Natl Univ Radio Elect,IEEE Comp Soc Test Technol Tech Council</t>
  </si>
  <si>
    <t>978-1-4673-7776-8</t>
  </si>
  <si>
    <t>WOS:000382527700042</t>
  </si>
  <si>
    <t>Belyaev, AN; Flegentov, IV</t>
  </si>
  <si>
    <t>Belyaev, A. N.; Flegentov, I. V.</t>
  </si>
  <si>
    <t>Hydrodynamic cavitation treatment as a tool for intensification of reagent processes in commercial technologies</t>
  </si>
  <si>
    <t>Беляев, Андрей/GNH-3240-2022</t>
  </si>
  <si>
    <t>10.1134/S1070427214080126</t>
  </si>
  <si>
    <t>WOS:000345395800012</t>
  </si>
  <si>
    <t>Rossinskii, AP; Alalykin, AA; Talantov, SV; Chagaev, SV</t>
  </si>
  <si>
    <t>Rossinskii, A. P.; Alalykin, A. A.; Talantov, S. V.; Chagaev, S. V.</t>
  </si>
  <si>
    <t>Acid-catalyzed alkenylation of aromatic compounds with 1,3-pentadiene as a route to new modifying additives for polymer compounds</t>
  </si>
  <si>
    <t>Alalykin, Alexandr/AAM-6654-2020</t>
  </si>
  <si>
    <t>10.1134/S107042720808020X</t>
  </si>
  <si>
    <t>WOS:000259579700020</t>
  </si>
  <si>
    <t>Determining the velocity of a non-newtonian medium flowing past spherical particles</t>
  </si>
  <si>
    <t>10.1134/S004057950803007X</t>
  </si>
  <si>
    <t>WOS:000257394200007</t>
  </si>
  <si>
    <t>Makhanova, EV; Leushina, AP</t>
  </si>
  <si>
    <t>Electrochemical sensors for sulfur- and lead-containing gases: Effect of nonstoichiometry of measuring electrodes</t>
  </si>
  <si>
    <t>6th Meeting on the Fundamental Problems of Solid State Ionics</t>
  </si>
  <si>
    <t>JUN 18-20, 2002</t>
  </si>
  <si>
    <t>RUSSIAN ACAD SCI, INST PROBLEMS CHEM PHYS, MOSCOW, RUSSIA</t>
  </si>
  <si>
    <t>RUSSIAN ACAD SCI, INST PROBLEMS CHEM PHYS</t>
  </si>
  <si>
    <t>10.1023/A:1023833111833</t>
  </si>
  <si>
    <t>WOS:000183347900016</t>
  </si>
  <si>
    <t>Gomayunov, SA</t>
  </si>
  <si>
    <t>Local history: Methodological problems</t>
  </si>
  <si>
    <t>WOS:A1996VT67800011</t>
  </si>
  <si>
    <t>Vechtomov, EM; Petrov, AA</t>
  </si>
  <si>
    <t>Vechtomov, E. M.; Petrov, A. A.</t>
  </si>
  <si>
    <t>Multiplicatively Idempotent Semirings in which All Congruences Are Ideal</t>
  </si>
  <si>
    <t>Petrov, Andrey/AEY-1169-2022; Vechtomov, Evgenii M./I-5421-2017</t>
  </si>
  <si>
    <t>Vechtomov, Evgenii M./0000-0002-3490-2956</t>
  </si>
  <si>
    <t>10.1134/S0001434622090061</t>
  </si>
  <si>
    <t>WOS:000871088800006</t>
  </si>
  <si>
    <t>Sozinova, AA; Meteleva, OA</t>
  </si>
  <si>
    <t>Sozinova, Anastasia A.; Meteleva, Olesya A.</t>
  </si>
  <si>
    <t>Cluster Development as a Factor of Sustainable Economic Development: Scientific Analytics and Management Prospects</t>
  </si>
  <si>
    <t>IMITATION MARKET MODELING IN DIGITAL ECONOMY: GAME THEORETIC APPROACHES</t>
  </si>
  <si>
    <t>Lecture Notes in Networks and Systems</t>
  </si>
  <si>
    <t>International Scientific and Practical Conference on New Behaviors of Market Players in the Digital Economy</t>
  </si>
  <si>
    <t>JUL 08, 2021</t>
  </si>
  <si>
    <t>Inst Sci Commun, ELECTR NETWORK</t>
  </si>
  <si>
    <t>Inst Sci Commun</t>
  </si>
  <si>
    <t>2367-3370</t>
  </si>
  <si>
    <t>2367-3389</t>
  </si>
  <si>
    <t>978-3-030-93244-2; 978-3-030-93243-5</t>
  </si>
  <si>
    <t>10.1007/978-3-030-93244-2_78</t>
  </si>
  <si>
    <t>WOS:000759460600078</t>
  </si>
  <si>
    <t>Vlasova, K</t>
  </si>
  <si>
    <t>Vlasova, K.</t>
  </si>
  <si>
    <t>Greek-Turkish Confrontation and Its Influence on the Eastern Mediterranean</t>
  </si>
  <si>
    <t>CONTEMPORARY EUROPE-SOVREMENNAYA EVROPA</t>
  </si>
  <si>
    <t>Vlasova, Ksenia V/F-4747-2019</t>
  </si>
  <si>
    <t>Vlasova, Ksenia V/0000-0002-4119-4492</t>
  </si>
  <si>
    <t>0201-7083</t>
  </si>
  <si>
    <t>10.15211/soveurope320212737</t>
  </si>
  <si>
    <t>WOS:000708406300003</t>
  </si>
  <si>
    <t>Timkin, Yuri N.</t>
  </si>
  <si>
    <t>The Smell of Factionalism: Left Opposition in the Vyatka Provincial Organization of the Bolshevik Party in 1923-1924</t>
  </si>
  <si>
    <t>RUDN JOURNAL OF RUSSIAN HISTORY</t>
  </si>
  <si>
    <t>2312-8674</t>
  </si>
  <si>
    <t>2312-8690</t>
  </si>
  <si>
    <t>10.22363/2312-8674-2021-20-1-108-124</t>
  </si>
  <si>
    <t>WOS:000624911700007</t>
  </si>
  <si>
    <t>Sazanov, AV; Tovstik, EV; Kozvonin, VA; Kazakova, AA</t>
  </si>
  <si>
    <t>Sazanov, A., V; Tovstik, E., V; Kozvonin, V. A.; Kazakova, A. A.</t>
  </si>
  <si>
    <t>Assessment of the bioavailability of chelated zinc in various soil types</t>
  </si>
  <si>
    <t>Tovstik, Evgeniya/P-1350-2017</t>
  </si>
  <si>
    <t>Tovstik, Evgeniya/0000-0003-1861-6076; Kozvonin, Valeriy/0000-0002-2447-6949; Sazanov, Alexander/0000-0002-6934-3330</t>
  </si>
  <si>
    <t>10.25750/1995-4301-2021-1-181-187</t>
  </si>
  <si>
    <t>WOS:000632219100024</t>
  </si>
  <si>
    <t>Koshkina, NA; Popova, GA</t>
  </si>
  <si>
    <t>Gafurov, I; Valeeva, R</t>
  </si>
  <si>
    <t>Koshkina, Natalya A.; Popova, Galina A.</t>
  </si>
  <si>
    <t>Teaching Methodology of Health and Safety at Modern University (from Work Experience)</t>
  </si>
  <si>
    <t>VI INTERNATIONAL FORUM ON TEACHER EDUCATION</t>
  </si>
  <si>
    <t>ARPHA Proceedings</t>
  </si>
  <si>
    <t>6th International Forum on Teacher Education (IFTE)</t>
  </si>
  <si>
    <t>MAY 27-JUN 09, 2020</t>
  </si>
  <si>
    <t>Kazan Fed Univ, ELECTR NETWORK</t>
  </si>
  <si>
    <t>2683-0183</t>
  </si>
  <si>
    <t>978-619-248-025-7</t>
  </si>
  <si>
    <t>10.3897/ap.2.e1227</t>
  </si>
  <si>
    <t>WOS:000671896200095</t>
  </si>
  <si>
    <t>Nabokikh, AA; Ryattel, AV; Sanovich, MA; Lapteva, SV</t>
  </si>
  <si>
    <t>Nabokikh, Aleksei A.; Ryattel, Aleksandra, V; Sanovich, Marina A.; Lapteva, Svetlana, V</t>
  </si>
  <si>
    <t>QUALITY AS THE BASIS OF EFFECTIVE MANAGEMENT OF THE EDUCATIONAL MARKET AND A GOAL OF DEVELOPMENT OF UNIVERSITIES IN THE CONDITIONS OF INDUSTRY 4.0</t>
  </si>
  <si>
    <t>Ryattel, Alexandra/AAB-8651-2021; Nabokikh, Alekseiy/AAB-8688-2021; Andrea Simões Braga, Francisco/GRS-0157-2022</t>
  </si>
  <si>
    <t xml:space="preserve">Nabokikh, Alekseiy/0000-0002-9046-0523; </t>
  </si>
  <si>
    <t>10.24874/IJQR14.01-07</t>
  </si>
  <si>
    <t>WOS:000518417300007</t>
  </si>
  <si>
    <t>Savelyeva, NK; Kuklin, AV; Lapteva, IP; Malysheva, NV</t>
  </si>
  <si>
    <t>Savelyeva, Nadezhda K.; Kuklin, Andrey V.; Lapteva, Irina P.; Malysheva, Natalia V.</t>
  </si>
  <si>
    <t>The investment attractiveness of a regional market of educational services as the basis of its global competitiveness in industry 4.0</t>
  </si>
  <si>
    <t>Saveleva, Nadezda/AAP-4493-2020</t>
  </si>
  <si>
    <t>Saveleva, Nadezda/0000-0002-9497-6172; Kuklin, Andrei/0000-0002-4195-106X</t>
  </si>
  <si>
    <t>10.1108/OTH-07-2019-0042</t>
  </si>
  <si>
    <t>WOS:000491196500016</t>
  </si>
  <si>
    <t>Medvedeva, E; Evdokimova, A</t>
  </si>
  <si>
    <t>Medvedeva, Elena; Evdokimova, Alena</t>
  </si>
  <si>
    <t>Detection of Texture Objects on Multichannel Images</t>
  </si>
  <si>
    <t>WOS:000469999300035</t>
  </si>
  <si>
    <t>Petrov, E; Kharina, N</t>
  </si>
  <si>
    <t>Petrov, Eugeny; Kharina, Natalia</t>
  </si>
  <si>
    <t>Method of Fast Video Inpainting</t>
  </si>
  <si>
    <t>2019 INTERNATIONAL SIBERIAN CONFERENCE ON CONTROL AND COMMUNICATIONS (SIBCON)</t>
  </si>
  <si>
    <t>APR 18-20, 2019</t>
  </si>
  <si>
    <t>Tomsk State Univ Control Syst &amp; Radioelectron, Tomsk, RUSSIA</t>
  </si>
  <si>
    <t>Natl Instruments R &amp; D,Inst Elect &amp; Elect Engineers,IEEE Elect Dev Soc,IEEE Russia Sect,Tomsk IEEE Chapter &amp; Student Branch,IEEE Russia Siberia Sect</t>
  </si>
  <si>
    <t>Tomsk State Univ Control Syst &amp; Radioelectron</t>
  </si>
  <si>
    <t>978-1-5386-5142-1</t>
  </si>
  <si>
    <t>WOS:000477706200026</t>
  </si>
  <si>
    <t>Equilibrium finite elements for plane problems of the elasticity theory</t>
  </si>
  <si>
    <t>Tyukalov, Yury/GPS-7157-2022; Tyukalov, Yury/P-3728-2017; Tyukalov, Yury/AAC-1554-2021</t>
  </si>
  <si>
    <t>Tyukalov, Yury/0000-0001-6184-2365; Tyukalov, Yury/0000-0001-6184-2365</t>
  </si>
  <si>
    <t>10.18720/MCE.91.8</t>
  </si>
  <si>
    <t>WOS:000593141100008</t>
  </si>
  <si>
    <t>Bashmakova, SB; Lapteva, NV; Matantseva, TN; Khmelkova, EV; Tsvetkova, NV; Sheshukova, NN</t>
  </si>
  <si>
    <t>Bashmakova, S. B.; Lapteva, N. V.; Matantseva, T. N.; Khmelkova, E. V.; Tsvetkova, N. V.; Sheshukova, N. N.</t>
  </si>
  <si>
    <t>Correction Of The Sensory-Perspective Sphere In Children With Down'S Syndrome By Means Of Hippotherapy</t>
  </si>
  <si>
    <t>Sheshukova, Natalia/U-7880-2018</t>
  </si>
  <si>
    <t>Sheshukova, Natalia/0000-0002-3048-681X</t>
  </si>
  <si>
    <t>WOS:000443674500037</t>
  </si>
  <si>
    <t>Basmanov, VG; Kalinina, EA; Kholmanskikh, VM</t>
  </si>
  <si>
    <t>Basmanov, V. G.; Kalinina, E. A.; Kholmanskikh, V. M.</t>
  </si>
  <si>
    <t>Selecting Optimum Stage Switching Interval for Capacitor Unit as Way to Increase Efficiency of Reactive Power Regulation</t>
  </si>
  <si>
    <t>WOS:000478963800033</t>
  </si>
  <si>
    <t>Pleshkova, TA; Pushkov, AP; Repkina, NG</t>
  </si>
  <si>
    <t>Pleshkova, T. A.; Pushkov, A. P.; Repkina, N. G.</t>
  </si>
  <si>
    <t>Dynamic Stability of Synchronous Turbogenerators with Longitudinally-Transverse Excitation</t>
  </si>
  <si>
    <t>WOS:000478963800234</t>
  </si>
  <si>
    <t>Zorin, A. V.</t>
  </si>
  <si>
    <t>THE SOVIET ARMY IN CZECHOSLOVAKIA IN 1945 IN AMERICAN MESSAGES: PERCEPTION, IMAGES, STEREOTYPES</t>
  </si>
  <si>
    <t>VESTNIK PERMSKOGO UNIVERSITETA-ISTORIYA-PERM UNIVERSITY HERALD-HISTORY</t>
  </si>
  <si>
    <t>2219-3111</t>
  </si>
  <si>
    <t>10.17072/2219-3111-2018-4-107-116</t>
  </si>
  <si>
    <t>WOS:000456115100012</t>
  </si>
  <si>
    <t>Basmanov, VG; Vtyurin, AV; Kholmanskikh, VM</t>
  </si>
  <si>
    <t>Basmanov, V. G.; Vtyurin, A. V.; Kholmanskikh, V. M.</t>
  </si>
  <si>
    <t>Estimating the Condition of 6-10 kV Cable Lines with Impregnated Paper Insulation According to Their Length and Operational Reliability</t>
  </si>
  <si>
    <t>WOS:000414282400171</t>
  </si>
  <si>
    <t>Derendiaeva, LV; Zakalata, AA; Ojegov, AN</t>
  </si>
  <si>
    <t>Derendiaeva, L., V; Zakalata, A. A.; Ojegov, A. N.</t>
  </si>
  <si>
    <t>Application of Equivalenting Method for Electric Power Grid Subsystems In Calculating the Higher Harmonics Mode</t>
  </si>
  <si>
    <t>Alexandr, Ojegov/0000-0002-8052-241X</t>
  </si>
  <si>
    <t>WOS:000414282400175</t>
  </si>
  <si>
    <t>Loginov, D; Karanina, E</t>
  </si>
  <si>
    <t>Murgul, V</t>
  </si>
  <si>
    <t>Loginov, Dmitri; Karanina, Elena</t>
  </si>
  <si>
    <t>The participation of the municipalities in the creation of urban agglomerations</t>
  </si>
  <si>
    <t>INTERNATIONAL SCIENCE CONFERENCE SPBWOSCE-2016 - SMART CITY</t>
  </si>
  <si>
    <t>International Science Conference SPbWOSCE - SMART City</t>
  </si>
  <si>
    <t>NOV 15-17, 2016</t>
  </si>
  <si>
    <t>Peter Great Saint Petersburg Polytechn Univ, Inst Civil Engn, St Petersburg, RUSSIA</t>
  </si>
  <si>
    <t>Univ Montenegro,Riga Techn Univ,Sci Tech &amp; Expert Inst Construct Expertise Ctr</t>
  </si>
  <si>
    <t>Peter Great Saint Petersburg Polytechn Univ, Inst Civil Engn</t>
  </si>
  <si>
    <t>Karanina, Elena E.V./L-1395-2016</t>
  </si>
  <si>
    <t>Karanina, Elena E.V./0000-0002-5439-5912; Loginov, Dmitrii Alekseevic/0000-0002-2458-9978</t>
  </si>
  <si>
    <t>10.1051/matecconf/201710608012</t>
  </si>
  <si>
    <t>WOS:000426426600197</t>
  </si>
  <si>
    <t>Morozova, MA; Kapustin, AG</t>
  </si>
  <si>
    <t>Morozova, Marina A.; Kapustin, Alexandr G.</t>
  </si>
  <si>
    <t>CONTENT AND TECHNOLOGY MODERNIZATION OF PROFESSIONAL LIFE SAFETY TRAINING FOR FUTURE TEACHERS</t>
  </si>
  <si>
    <t>Kapustin, Aleksandr/G-4595-2019; Morozova, Marina A./AAD-1191-2019</t>
  </si>
  <si>
    <t>Kapustin, Aleksandr/0000-0001-8655-4060; Morozova, Marina A./0000-0003-3303-3426</t>
  </si>
  <si>
    <t>10.15405/epsbs.2017.08.02.64</t>
  </si>
  <si>
    <t>WOS:000432421300064</t>
  </si>
  <si>
    <t>Vikharev, AP; Repkin, DA; Repkina, NG</t>
  </si>
  <si>
    <t>Vikharev, A. P.; Repkin, D. A.; Repkina, N. G.</t>
  </si>
  <si>
    <t>Thermal Calculation of Covered Conductor for Overhead Lines</t>
  </si>
  <si>
    <t>Repkin, Dmitry A/Y-9184-2018</t>
  </si>
  <si>
    <t>Repkin, Dmitry A/0000-0003-4161-3527</t>
  </si>
  <si>
    <t>WOS:000414282400176</t>
  </si>
  <si>
    <t>Ananchenko, BA; Koshurnikova, EV; Kalinina, LA; Ushakova, YN; Bezdenezhnykh, LA</t>
  </si>
  <si>
    <t>Ananchenko, B. A.; Koshurnikova, E. V.; Kalinina, L. A.; Ushakova, Yu. N.; Bezdenezhnykh, L. A.</t>
  </si>
  <si>
    <t>Transport properties of sulfide-conductive solid electrolyte in the system CaYb2S4-Yb2S3</t>
  </si>
  <si>
    <t>GLASS PHYSICS AND CHEMISTRY</t>
  </si>
  <si>
    <t>1087-6596</t>
  </si>
  <si>
    <t>10.1134/S1087659612040025</t>
  </si>
  <si>
    <t>WOS:000307556900009</t>
  </si>
  <si>
    <t>Kalinina, LA; Ushakova, YN; Koshurnikova, EV; Mikhailichenko, TV; Ananchenko, BA; Yurlov, IS</t>
  </si>
  <si>
    <t>Kalinina, L. A.; Ushakova, Yu N.; Koshurnikova, E. V.; Mikhailichenko, T. V.; Ananchenko, B. A.; Yurlov, I. S.</t>
  </si>
  <si>
    <t>Electrolytic properties of the MeLn(2)S(4)-Ln'(2) S-3 phases synthesized using the sol-gel and cryochemical technologies</t>
  </si>
  <si>
    <t>1608-313X</t>
  </si>
  <si>
    <t>10.1134/S1087659611060095</t>
  </si>
  <si>
    <t>WOS:000298396000009</t>
  </si>
  <si>
    <t>The construction of the Hamiltonian of an isotope substituted molecule in internal cartesian coordinates</t>
  </si>
  <si>
    <t>10.1134/S0036024409030170</t>
  </si>
  <si>
    <t>WOS:000263675600017</t>
  </si>
  <si>
    <t>Lobanova, LL; Batalova, EV; Khranilov, YP</t>
  </si>
  <si>
    <t>Lobanova, L. L.; Batalova, E. V.; Khranilov, Yu. P.</t>
  </si>
  <si>
    <t>Reagent techniques for nickel recovery from spent electroless nickel-plating solutions</t>
  </si>
  <si>
    <t>10.1134/S1070427208020080</t>
  </si>
  <si>
    <t>WOS:000254752400008</t>
  </si>
  <si>
    <t>Zagoskina, NV; Sokovnin, OM</t>
  </si>
  <si>
    <t>Conditions for foam flow and breaking</t>
  </si>
  <si>
    <t>WOS:000167436400016</t>
  </si>
  <si>
    <t>Harry L. Hopkins + 20th century American diplomat. History and fates</t>
  </si>
  <si>
    <t>WOS:A1996WH88100004</t>
  </si>
  <si>
    <t>Egorov, SG; Zyryanova, AV</t>
  </si>
  <si>
    <t>Egorov, S. G.; Zyryanova, A. V.</t>
  </si>
  <si>
    <t>Draft transcripts of regional party conferences as a significant historical source (based on the materials of the Kirov Regional Committee of the All-Union Communist Party of Bolsheviks in 1952)</t>
  </si>
  <si>
    <t>10.31166/VoprosyIstorii202212Statyi52</t>
  </si>
  <si>
    <t>WOS:000904073900003</t>
  </si>
  <si>
    <t>Shirokova, ES; Tovstik, EV; Sazanov, AV</t>
  </si>
  <si>
    <t>Shirokova, E. S.; Tovstik, E. V.; Sazanov, A. V.</t>
  </si>
  <si>
    <t>Degradation of poly(epsilon-caprolactone) under laboratory conditions during exposure to air and soil</t>
  </si>
  <si>
    <t>Tovstik, Evgeniya/0000-0003-1861-6076</t>
  </si>
  <si>
    <t>10.25750/1995-4301-2022-2-165-172</t>
  </si>
  <si>
    <t>WOS:000820802000021</t>
  </si>
  <si>
    <t>Polovnikova, Marina Yu</t>
  </si>
  <si>
    <t>Bishop Apollos (Belyaev) and Development of Vyatka Diocese in 1866-1885</t>
  </si>
  <si>
    <t>10.24224/2227-1295-2021-12-396-412</t>
  </si>
  <si>
    <t>WOS:000751642500022</t>
  </si>
  <si>
    <t>Inclusion of the Republic of Korea in the US Defense Perimeter after the Korean War</t>
  </si>
  <si>
    <t>VESTNIK SANKT-PETERBURGSKOGO UNIVERSITETA-ISTORIYA</t>
  </si>
  <si>
    <t>Yungblyud, Valeriy T./J-8665-2016; Sadakov, Denis/R-9556-2018</t>
  </si>
  <si>
    <t>Yungblyud, Valeriy T./0000-0002-2706-3904; Sadakov, Denis/0000-0003-4308-7276</t>
  </si>
  <si>
    <t>1812-9323</t>
  </si>
  <si>
    <t>10.21638/11701/spbu02.2021.114</t>
  </si>
  <si>
    <t>WOS:000637851800014</t>
  </si>
  <si>
    <t>An Unusual Role: Soviet Diplomacy between Washington and Pyongyang in 1968</t>
  </si>
  <si>
    <t>10.15826/qr.2021.4.651</t>
  </si>
  <si>
    <t>WOS:000757029100020</t>
  </si>
  <si>
    <t>Yungblyud, V; Sadakov, D</t>
  </si>
  <si>
    <t>Yungblyud, Valery; Sadakov, Denis</t>
  </si>
  <si>
    <t>Japanese-Korean Contradictions in U.S. Politics, 1951-1954</t>
  </si>
  <si>
    <t>PII s207987840017862-7-1</t>
  </si>
  <si>
    <t>10.18254/S207987840017862-7</t>
  </si>
  <si>
    <t>WOS:000773993800016</t>
  </si>
  <si>
    <t>Shamova, NV; Ponomarenko, LN</t>
  </si>
  <si>
    <t>Shamova, Nina V.; Ponomarenko, Larisa N.</t>
  </si>
  <si>
    <t>GERMAN YOUTH LANGUAGE: WORD-FORMATION TYPES OF SUFFIX NOUNS AND THEIR SEMANTIC RELATIONS</t>
  </si>
  <si>
    <t>Ponomarenko, Larisa N/L-3310-2017</t>
  </si>
  <si>
    <t>Ponomarenko, Larisa N/0000-0001-5056-5446</t>
  </si>
  <si>
    <t>10.24224/2227-1295-2020-5-171-191</t>
  </si>
  <si>
    <t>WOS:000538093300011</t>
  </si>
  <si>
    <t>Yungblud, VT; Mashkovtsev, AA</t>
  </si>
  <si>
    <t>Yungblud, V. T.; Mashkovtsev, A. A.</t>
  </si>
  <si>
    <t>THE COLD SUMMER OF 1953 IN THE KIROV REGION: AMNESTY, CRIME AND FIGHT AGAINST IT</t>
  </si>
  <si>
    <t>10.17072/2219-3111-2020-3-118-127</t>
  </si>
  <si>
    <t>WOS:000591510800011</t>
  </si>
  <si>
    <t>Goryachikh, SP; Lapteva, SV; Matushkina, YN; Kalinin, PA</t>
  </si>
  <si>
    <t>Goryachikh, Svetlana P.; Lapteva, Svetlana V.; Matushkina, Yulia N.; Kalinin, Pavel A.</t>
  </si>
  <si>
    <t>Audit of training of digital personnel for regional economy in the conditions of Industry 4.0</t>
  </si>
  <si>
    <t>Goryachikh, Svetlana/F-2583-2019</t>
  </si>
  <si>
    <t>Goryachikh, Svetlana/0000-0003-0186-5308</t>
  </si>
  <si>
    <t>10.1108/OTH-07-2019-0039</t>
  </si>
  <si>
    <t>WOS:000491196500017</t>
  </si>
  <si>
    <t>The influence of coordination abilities on the development of the volume of dynamic attention in children with different types of nervous system</t>
  </si>
  <si>
    <t>10.30472/ijaep.v8i1.303</t>
  </si>
  <si>
    <t>WOS:000457011900011</t>
  </si>
  <si>
    <t>Party Work Lapses: Crisis Phenomena in the RCP (B) Organizations in the Vyatka Gubernia in Late 1918 - the First Half of 1919: From Archival Materials</t>
  </si>
  <si>
    <t>10.28995/2073-0101-2019-2-458-466</t>
  </si>
  <si>
    <t>WOS:000473803800012</t>
  </si>
  <si>
    <t>Maslova, AG</t>
  </si>
  <si>
    <t>Maslova, Anna G.</t>
  </si>
  <si>
    <t>MYTHOLOGY OF ARTISTIC SPACE AND TIME IN S.S. BOBROV'S WORKS</t>
  </si>
  <si>
    <t>VESTNIK TOMSKOGO GOSUDARSTVENNOGO UNIVERSITETA FILOLOGIYA-TOMSK STATE UNIVERSITY JOURNAL OF PHILOLOGY</t>
  </si>
  <si>
    <t>Maslova, Anna/AAC-5249-2019</t>
  </si>
  <si>
    <t>Maslova, Anna/0000-0002-9118-2983</t>
  </si>
  <si>
    <t>1998-6645</t>
  </si>
  <si>
    <t>2310-5046</t>
  </si>
  <si>
    <t>10.17223/19986645/51/13</t>
  </si>
  <si>
    <t>WOS:000436334100013</t>
  </si>
  <si>
    <t>Krukovskiy, V; Mosechkin, I</t>
  </si>
  <si>
    <t>Krukovskiy, Vladimir; Mosechkin, Ilya</t>
  </si>
  <si>
    <t>Legal Issues of Counteractions to Encouraging Murders and Suicides</t>
  </si>
  <si>
    <t>PRAVO-ZHURNAL VYSSHEI SHKOLY EKONOMIKI</t>
  </si>
  <si>
    <t>2072-8166</t>
  </si>
  <si>
    <t>10.17323/2072-8166.2018.4.196.215</t>
  </si>
  <si>
    <t>WOS:000455584700011</t>
  </si>
  <si>
    <t>Zhelonkina, EA; Shishkina, SV; Mikhailova, IY; Ananchenko, BA</t>
  </si>
  <si>
    <t>Zhelonkina, E. A.; Shishkina, S. V.; Mikhailova, I. Yu.; Ananchenko, B. A.</t>
  </si>
  <si>
    <t>Study of electrodialysis of a copper chloride solution at overlimiting currents</t>
  </si>
  <si>
    <t>PETROLEUM CHEMISTRY</t>
  </si>
  <si>
    <t>Shishkina, Svitlana/Q-1669-2019; Ananchenko, Boris/AAM-5831-2020</t>
  </si>
  <si>
    <t>Shishkina, Svitlana/0000-0002-3946-1061; Ananchenko, Boris/0000-0002-7975-7828</t>
  </si>
  <si>
    <t>0965-5441</t>
  </si>
  <si>
    <t>1555-6239</t>
  </si>
  <si>
    <t>10.1134/S0965544117110068</t>
  </si>
  <si>
    <t>WOS:000412901200004</t>
  </si>
  <si>
    <t>Stojanovic, R; Jozwiak, L; Lutovac, B; Kubatova, H</t>
  </si>
  <si>
    <t>Lesnikov, V.; Naumovich, T.; Chastikov, A.</t>
  </si>
  <si>
    <t>Taxonomy of Table-Algorithmic Methods of Distributed Arithmetic</t>
  </si>
  <si>
    <t>2017 6TH MEDITERRANEAN CONFERENCE ON EMBEDDED COMPUTING (MECO)</t>
  </si>
  <si>
    <t>6th Mediterranean Conference on Embedded Computing (MECO)</t>
  </si>
  <si>
    <t>JUN 11-15, 2017</t>
  </si>
  <si>
    <t>Naumovich, Tatyana/B-8000-2017; Chastikov, Alexander/A-5560-2014; Lesnikov, Vladislav A./E-9558-2011; Chastikov, Alexander/ACX-8162-2022</t>
  </si>
  <si>
    <t xml:space="preserve">Naumovich, Tatyana/0000-0002-3659-2664; Chastikov, Alexander/0000-0002-1998-7787; Lesnikov, Vladislav A./0000-0002-5034-291X; </t>
  </si>
  <si>
    <t>978-1-5090-6742-8</t>
  </si>
  <si>
    <t>WOS:000428759500110</t>
  </si>
  <si>
    <t>Shempelev, A; Iglin, P; Tatarinova, N</t>
  </si>
  <si>
    <t>Shempelev, A.; Iglin, P.; Tatarinova, N.</t>
  </si>
  <si>
    <t>On Condenser Mathematical Model Method Introduction into Steam Turbine Unit Mathematical Model</t>
  </si>
  <si>
    <t>Anatoly, Shempelev/AAF-5257-2021; Iglin, Pavel/Q-2963-2016</t>
  </si>
  <si>
    <t>Tatarinova, Natalia/0000-0003-2640-9085; Iglin, Pavel/0000-0003-3731-7864</t>
  </si>
  <si>
    <t>WOS:000414282400348</t>
  </si>
  <si>
    <t>Petrov, E; Kharina, N; Sukhikh, P</t>
  </si>
  <si>
    <t>Petrov, E.; Kharina, N.; Sukhikh, P.</t>
  </si>
  <si>
    <t>Lossless Compressing Method in Image Processing Systems with Limited Power Resources</t>
  </si>
  <si>
    <t>WOS:000383090900124</t>
  </si>
  <si>
    <t>Trushkova, I. Yu</t>
  </si>
  <si>
    <t>MODIFICATION OF SOURCES DURING XX -BEGINNING XXI C. IN THE RUSSIAN PROVINCE ETHNOGRAPHY</t>
  </si>
  <si>
    <t>WOS:000358190200019</t>
  </si>
  <si>
    <t>Sokovnin, OM; Zagoskina, NV</t>
  </si>
  <si>
    <t>Quantitative determination of the limits of hydrodynamic modes of flotation in rheologically complex media</t>
  </si>
  <si>
    <t>10.1007/s11236-005-0083-7</t>
  </si>
  <si>
    <t>WOS:000230025900016</t>
  </si>
  <si>
    <t>Borodin, AP</t>
  </si>
  <si>
    <t>The reform of the Russian State Council in 1906</t>
  </si>
  <si>
    <t>WOS:000083212500006</t>
  </si>
  <si>
    <t>Tyukalov, Yu. Ya.</t>
  </si>
  <si>
    <t>Elliptical underground concrete block bridge with minimal weight</t>
  </si>
  <si>
    <t>10.34910/MCE.117.13</t>
  </si>
  <si>
    <t>WOS:000935004600004</t>
  </si>
  <si>
    <t>The topography of zeros and poles of a third order IIR digital filter with finite word length in the z-plane</t>
  </si>
  <si>
    <t>MICROPROCESSORS AND MICROSYSTEMS</t>
  </si>
  <si>
    <t>Lesnikov, Vladislav A./E-9558-2011; Naumovich, Tatyana/B-8000-2017; Chastikov, Alexander/ACX-8162-2022; Chastikov, Alexander/A-5560-2014</t>
  </si>
  <si>
    <t>Lesnikov, Vladislav A./0000-0002-5034-291X; Naumovich, Tatyana/0000-0002-3659-2664; Chastikov, Alexander/0000-0002-1998-7787</t>
  </si>
  <si>
    <t>0141-9331</t>
  </si>
  <si>
    <t>1872-9436</t>
  </si>
  <si>
    <t>10.1016/j.micpro.2022.104529</t>
  </si>
  <si>
    <t>APR 2022</t>
  </si>
  <si>
    <t>WOS:000797303800001</t>
  </si>
  <si>
    <t>Completely Prime Ideals in Multiplicatively Idempotent Semirings</t>
  </si>
  <si>
    <t>Petrov, Andrey/AEY-1169-2022; Vechtomov, Evgenii/I-5421-2017</t>
  </si>
  <si>
    <t>Vechtomov, Evgenii/0000-0002-3490-2956</t>
  </si>
  <si>
    <t>10.1134/S0001434622030191</t>
  </si>
  <si>
    <t>WOS:000787851100019</t>
  </si>
  <si>
    <t>Mishchenko, NS</t>
  </si>
  <si>
    <t>Mishchenko, N. S.</t>
  </si>
  <si>
    <t>MIKHAIL GORBACHEV IN THE PERCEPTION OF THE LEADERSHIP OF THE UNITED STATES AND FRANCE IN 1985: EXPECTATIONS AND REALITIES</t>
  </si>
  <si>
    <t>10.17072/2219-3111-2022-1-163-171</t>
  </si>
  <si>
    <t>WOS:000865406500015</t>
  </si>
  <si>
    <t>Savinykh, NP; Shabalkina, SV; Perestoronina, ON</t>
  </si>
  <si>
    <t>Savinykh, N. P.; Shabalkina, S., V; Perestoronina, O. N.</t>
  </si>
  <si>
    <t>Features of the allocation of high conservation values of type Rare ecosystems and habitats for certification of forests of the Kirov region</t>
  </si>
  <si>
    <t>10.25750/1995-4301-2021-2-229-234</t>
  </si>
  <si>
    <t>WOS:000667025400033</t>
  </si>
  <si>
    <t>Vorontsova, ND; Palesheva, NV</t>
  </si>
  <si>
    <t>Vorontsova, Natalia D.; Palesheva, Nadezhda V.</t>
  </si>
  <si>
    <t>Analysis of the Modern Methodology of Calculating Consumer Price Index in the Russian Federation and the Perspectives of Its Digital Economy's Sustainable Development</t>
  </si>
  <si>
    <t>10.1007/978-3-030-70194-9_34</t>
  </si>
  <si>
    <t>WOS:000849737100033</t>
  </si>
  <si>
    <t>Bushmeleva, NA; Isupova, NI; Mamaeva, EA; Kharunzheva, EV</t>
  </si>
  <si>
    <t>Bushmeleva, Natalia A.; Isupova, Natalya I.; Mamaeva, Ekaterina A.; Kharunzheva, Elena, V</t>
  </si>
  <si>
    <t>Peculiarities of Engineering Thinking Formation Using 3D Technology</t>
  </si>
  <si>
    <t>Mamaeva, Ekaterina/AAP-9683-2020</t>
  </si>
  <si>
    <t>Mamaeva, Ekaterina/0000-0002-7721-8820; Kharunzheva, Elena/0000-0002-9525-9984</t>
  </si>
  <si>
    <t>10.13187/ejced.2020.3.529</t>
  </si>
  <si>
    <t>WOS:000567722400005</t>
  </si>
  <si>
    <t>Digital Radar Imaging by Nonlinear Filtering Methods of Discrete and Continuous Parameters (Amplitude and Delay) of Reflected PM Signals</t>
  </si>
  <si>
    <t>2020 DYNAMICS OF SYSTEMS, MECHANISMS AND MACHINES (DYNAMICS)</t>
  </si>
  <si>
    <t>Dynamics of Systems Mechanisms and Machines</t>
  </si>
  <si>
    <t>14th IEEE International Scientific and Technical Conference on Dynamics of Systems, Mechanisms and Machines (Dynamics)</t>
  </si>
  <si>
    <t>NOV 10-12, 2020</t>
  </si>
  <si>
    <t>Omsk State Tech Univ, Omsk, RUSSIA</t>
  </si>
  <si>
    <t>Inst Elect &amp; Elect Engineers,Tomsk IEEE Chapter &amp; Student Branch,IEEE Reg 8 Russia Siberia Sect,IEEE Russia Siberia Sect, Grad Last Decade Affin Grp,Novosibirsk State Tech Univ,Tomsk Polytechn Univ,Tomsk IEEE Chapter,Sobolev Inst Math</t>
  </si>
  <si>
    <t>Omsk State Tech Univ</t>
  </si>
  <si>
    <t>2381-7593</t>
  </si>
  <si>
    <t>978-1-7281-8096-0</t>
  </si>
  <si>
    <t>WOS:000649745900025</t>
  </si>
  <si>
    <t>Development of speed endurance and coordination abilities of schoolchildren with the help of exercise Classics</t>
  </si>
  <si>
    <t>REVISTA TEMPOS E ESPACOS EDUCACAO</t>
  </si>
  <si>
    <t>Polevoy, Georgiy/M-2155-2016; Educação, Revista Tempos e Espaços em/AAA-6734-2020</t>
  </si>
  <si>
    <t xml:space="preserve">Polevoy, Georgiy/0000-0002-3300-3908; </t>
  </si>
  <si>
    <t>1983-6597</t>
  </si>
  <si>
    <t>2358-1425</t>
  </si>
  <si>
    <t>10.20952/revtee.v12i31.11888</t>
  </si>
  <si>
    <t>WOS:000496533000013</t>
  </si>
  <si>
    <t>Polevoy, G. G.</t>
  </si>
  <si>
    <t>Development the Speed of Movement and Coordination Abilities of Pupils with Use of Exercise Classic's</t>
  </si>
  <si>
    <t>INTERNATIONAL JOURNAL OF EDUCATIONAL SCIENCES</t>
  </si>
  <si>
    <t>0975-1122</t>
  </si>
  <si>
    <t>1-3</t>
  </si>
  <si>
    <t>10.31901/24566322.2019/26.1-3.1083</t>
  </si>
  <si>
    <t>WOS:000491261400002</t>
  </si>
  <si>
    <t>Investment as a factor of economic security of the region</t>
  </si>
  <si>
    <t>10.1051/e3sconf/201911002021</t>
  </si>
  <si>
    <t>WOS:000569050000110</t>
  </si>
  <si>
    <t>Meltsov, VY; Lapitsky, AA; Lesnikov, VA; Kuvaev, AS</t>
  </si>
  <si>
    <t>Meltsov, Vasiliy Yu.; Lapitsky, Alexey A.; Lesnikov, Vladislav A.; Kuvaev, Alexey S.</t>
  </si>
  <si>
    <t>Features of Decoding Transponder Signal of an Aircraft Using FPGA</t>
  </si>
  <si>
    <t>PROCEEDINGS OF THE 2019 IEEE CONFERENCE OF RUSSIAN YOUNG RESEARCHERS IN ELECTRICAL AND ELECTRONIC ENGINEERING (EICONRUS)</t>
  </si>
  <si>
    <t>IEEE NW Russia Young Researchers in Electrical and Electronic Engineering Conference</t>
  </si>
  <si>
    <t>IEEE Conference of Russian Young Researchers in Electrical and Electronic Engineering (EIConRus)</t>
  </si>
  <si>
    <t>JAN 28-31, 2019</t>
  </si>
  <si>
    <t>St Petersburg Electrotechn Univ, RUSSIA</t>
  </si>
  <si>
    <t>IEEE,Natl Res Univ Elect Technol</t>
  </si>
  <si>
    <t>St Petersburg Electrotechn Univ</t>
  </si>
  <si>
    <t>Lesnikov, Vladislav A./E-9558-2011; Kuvaev, Alexey/H-9867-2017; Meltsov, Vasily Yurevich/P-7511-2017</t>
  </si>
  <si>
    <t>Lesnikov, Vladislav A./0000-0002-5034-291X; Kuvaev, Alexey/0000-0003-1342-9861; Meltsov, Vasily Yurevich/0000-0001-5479-9979; Lapitsky, Alexey/0000-0003-2325-4989</t>
  </si>
  <si>
    <t>2376-6557</t>
  </si>
  <si>
    <t>978-1-7281-0339-6</t>
  </si>
  <si>
    <t>WOS:000469452600028</t>
  </si>
  <si>
    <t>Calculation method of bending plates with assuming shear deformations</t>
  </si>
  <si>
    <t>Tyukalov, Yury/P-3728-2017; Tyukalov, Yury/AAC-1554-2021; Tyukalov, Yury/GPS-7157-2022</t>
  </si>
  <si>
    <t>10.18720/MCE.85.9</t>
  </si>
  <si>
    <t>WOS:000474459100009</t>
  </si>
  <si>
    <t>Yungblud, Valery; Sadakov, Denis</t>
  </si>
  <si>
    <t>THE ROLE OF THE USSR IN THE KOREAN WAR AS ESTIMATED BY US INTELLIGENCE</t>
  </si>
  <si>
    <t>10.15826/qr.2019.4.441</t>
  </si>
  <si>
    <t>WOS:000510178900019</t>
  </si>
  <si>
    <t>Mosunova, LA</t>
  </si>
  <si>
    <t>Mosunova, Liudmila A.</t>
  </si>
  <si>
    <t>TOPICAL ISSUES OF FOREIGN CLASSICS REPRINTS (BY EXAMPLE OF OSCAR WILDE)</t>
  </si>
  <si>
    <t>10.17223/23062061/16/7</t>
  </si>
  <si>
    <t>WOS:000451192400007</t>
  </si>
  <si>
    <t>Laletin, VI; Malyshev, EN; Prismotrov, NI</t>
  </si>
  <si>
    <t>Laletin, V. I.; Malyshev, E. N.; Prismotrov, N. I.</t>
  </si>
  <si>
    <t>Study of Gear Ratio Influence of Reducer on Characteristics of Discrete Electric Drive</t>
  </si>
  <si>
    <t>WOS:000478963800197</t>
  </si>
  <si>
    <t>Osipova, N</t>
  </si>
  <si>
    <t>Korycankova, S</t>
  </si>
  <si>
    <t>Osipova, Nina</t>
  </si>
  <si>
    <t>A. BLOCK'S POEM THE TWELVE AND RUSSIAN FILM AVANT-GUARD ARTISTIC SEARCH</t>
  </si>
  <si>
    <t>CURRENT ISSUES OF THE RUSSIAN LANGUAGE TEACHING XIII</t>
  </si>
  <si>
    <t>International Scientific Conference on Current Issues of the Russian Language Teaching XIII</t>
  </si>
  <si>
    <t>MAY 16-18, 2018</t>
  </si>
  <si>
    <t>Brno, CZECH REPUBLIC</t>
  </si>
  <si>
    <t>978-80-210-9077-4</t>
  </si>
  <si>
    <t>WOS:000527800600059</t>
  </si>
  <si>
    <t>Kuzmin, VA; Zagrai, IA</t>
  </si>
  <si>
    <t>Kuzmin, V. A.; Zagrai, I. A.</t>
  </si>
  <si>
    <t>A comprehensive study of combustion products generated from pulverized peat combustion in the furnace of BKZ-210-140F steam boiler</t>
  </si>
  <si>
    <t>INTERNATIONAL CONFERENCE PROBLEMS OF THERMAL PHYSICS AND POWER ENGINEERING (PTPPE-2017)</t>
  </si>
  <si>
    <t>International Conference on Problems of Thermal Physics and Power Engineering (PTPPE)</t>
  </si>
  <si>
    <t>OCT 09-11, 2017</t>
  </si>
  <si>
    <t>Natl Res Univ, Moscow Power Engn Inst, Moscow, RUSSIA</t>
  </si>
  <si>
    <t>Minist Educ &amp; Sci Russian Federat,Russian Acad Sci, Siberian Branch, Inst Thermophys,Natl Comm Heat &amp; Mass Transfer,Russian Fdn Basic Res,Comsol,GazEcos,Interenergo</t>
  </si>
  <si>
    <t>Natl Res Univ, Moscow Power Engn Inst</t>
  </si>
  <si>
    <t>10.1088/1742-6596/891/1/012226</t>
  </si>
  <si>
    <t>WOS:000424078500226</t>
  </si>
  <si>
    <t>Sozinova, AA; Fokina, OV; Fufacheva, LA</t>
  </si>
  <si>
    <t>Sozinova, Anastasia A.; Fokina, Olga V.; Fufacheva, Lyudmila A.</t>
  </si>
  <si>
    <t>Reorganization of Entrepreneurial Structures Within Global Crisis Management: Problems and Perspectives</t>
  </si>
  <si>
    <t>Sozinova, Anastasia/F-6298-2015; Fokina, Olga/AAX-2743-2020</t>
  </si>
  <si>
    <t>Sozinova, Anastasia/0000-0001-5876-2823; Fokina, Olga/0000-0002-6697-3353</t>
  </si>
  <si>
    <t>10.1007/978-3-319-60696-5_1</t>
  </si>
  <si>
    <t>WOS:000426114200001</t>
  </si>
  <si>
    <t>Medvedeva, EV; Trubin, IS</t>
  </si>
  <si>
    <t>Medvedeva, E. V.; Trubin, I. S.</t>
  </si>
  <si>
    <t>Improving the Noise Immunity of Receiving Video Distorted White Gaussian Noise</t>
  </si>
  <si>
    <t>Trubin, Igor S./A-4176-2014; Medvedeva, Elena V./A-5714-2014</t>
  </si>
  <si>
    <t>Trubin, Igor S./0000-0003-2440-9743; Medvedeva, Elena V./0000-0002-0677-1418</t>
  </si>
  <si>
    <t>WOS:000383090900086</t>
  </si>
  <si>
    <t>Savinykh, NP; Shabalkina, SV; Lelekova, EV</t>
  </si>
  <si>
    <t>Savinykh, N. P.; Shabalkina, S. V.; Lelekova, E. V.</t>
  </si>
  <si>
    <t>Biomorphological adaptations of helophytes</t>
  </si>
  <si>
    <t>Savinykh, Natalia/0000-0003-4996-8269; /0000-0002-6157-1312</t>
  </si>
  <si>
    <t>10.1134/S199542551505011X</t>
  </si>
  <si>
    <t>WOS:000363241200002</t>
  </si>
  <si>
    <t>Strong Consistency of the Prototype Based Clustering in Probabilistic Space</t>
  </si>
  <si>
    <t>JOURNAL OF MACHINE LEARNING RESEARCH</t>
  </si>
  <si>
    <t>1532-4435</t>
  </si>
  <si>
    <t>WOS:000369886300005</t>
  </si>
  <si>
    <t>The Viatica branch of the Empire Orthodox Palestine society, late 19th-early 20th centuries</t>
  </si>
  <si>
    <t>WOS:000313402500011</t>
  </si>
  <si>
    <t>Kazakovtsev, SV</t>
  </si>
  <si>
    <t>Kazakovtsev, S. V.</t>
  </si>
  <si>
    <t>The organisation of military hospitals in the Viatka province during the World War 1</t>
  </si>
  <si>
    <t>WOS:000251119000010</t>
  </si>
  <si>
    <t>Calculation of the efficiency of inertialess flotation of disklike particles</t>
  </si>
  <si>
    <t>10.1007/s11236-005-0112-6</t>
  </si>
  <si>
    <t>WOS:000232940300011</t>
  </si>
  <si>
    <t>Mansurova, IA</t>
  </si>
  <si>
    <t>Sorption of water vapors by poly(methyl methacrylate) modified with amino-containing compounds</t>
  </si>
  <si>
    <t>POLYMER SCIENCE SERIES A</t>
  </si>
  <si>
    <t>Mansurova, Irina Alekseevna/J-3337-2016</t>
  </si>
  <si>
    <t>Mansurova, Irina Alekseevna/0000-0003-1197-0339</t>
  </si>
  <si>
    <t>0965-545X</t>
  </si>
  <si>
    <t>WOS:000180718300010</t>
  </si>
  <si>
    <t>Kostin, AA</t>
  </si>
  <si>
    <t>US position regarding Yugoslavia in January-March 1941</t>
  </si>
  <si>
    <t>WOS:000173770700008</t>
  </si>
  <si>
    <t>PECHENKIN, AA</t>
  </si>
  <si>
    <t>WAS THERE A CHANCE FOR AN OFFENSIVE + DID THE SOVIET-UNION PREPARE A FORESTALLING OFFENSIVE AGAINST NAZI GERMANY IN 1941</t>
  </si>
  <si>
    <t>WOS:A1995RD36300005</t>
  </si>
  <si>
    <t>Kuzmin, VA; Zagrai, IA; Shmakova, NA</t>
  </si>
  <si>
    <t>Kuzmin, V. A.; Zagrai, I. A.; Shmakova, N. A.</t>
  </si>
  <si>
    <t>Determining the Steam Boiler Furnace Gas Temperature and Emissivity during Flame Combustion of Peat</t>
  </si>
  <si>
    <t>THERMAL ENGINEERING</t>
  </si>
  <si>
    <t>Kuzmin, Vladimir A/J-6741-2017; Shmakova, Natalia/HKE-3411-2023</t>
  </si>
  <si>
    <t>Kuzmin, Vladimir A/0000-0002-8886-8677; Shmakova, Natalia/0000-0002-7718-7681</t>
  </si>
  <si>
    <t>0040-6015</t>
  </si>
  <si>
    <t>1555-6301</t>
  </si>
  <si>
    <t>10.1134/S0040601523010044</t>
  </si>
  <si>
    <t>WOS:000949710000007</t>
  </si>
  <si>
    <t>Skutnev, AV</t>
  </si>
  <si>
    <t>Skutnev, A. V.</t>
  </si>
  <si>
    <t>The Orders, Life, and Mores of the Theological Schools of Post-Reform Russia (On Revelations and Omissions in the Memoirs of the Clergy)</t>
  </si>
  <si>
    <t>NOVYI ISTORICHESKII VESTNIK-THE NEW HISTORICAL BULLETIN</t>
  </si>
  <si>
    <t>2072-9286</t>
  </si>
  <si>
    <t>10.54770/20729286_2023_1_50</t>
  </si>
  <si>
    <t>WOS:000971558700003</t>
  </si>
  <si>
    <t>Fokina, AI; Fominykh, EG; Yuzhanin, I</t>
  </si>
  <si>
    <t>Fokina, A. I.; Fominykh, E. G.; Yuzhanin, I.</t>
  </si>
  <si>
    <t>Electrochemical methods for the determination of ascorbic acid in biologically active additives</t>
  </si>
  <si>
    <t>Kirill Igorevic, Uzanin/0000-0002-8359-1920</t>
  </si>
  <si>
    <t>10.25750/1995-4301-2022-3-034-040</t>
  </si>
  <si>
    <t>WOS:000885393200004</t>
  </si>
  <si>
    <t>Mosechkin, Ilya N.</t>
  </si>
  <si>
    <t>IMPROVING THE LIST OF THREATS FALLING UNDER ART. 163 OF THE CRIMINAL CODE OF THE RUSSIAN FEDERATION AS A MEASURE TO COUNTERACT EXTORTION</t>
  </si>
  <si>
    <t>RUSSIAN JOURNAL OF CRIMINOLOGY</t>
  </si>
  <si>
    <t>2500-4255</t>
  </si>
  <si>
    <t>2500-1442</t>
  </si>
  <si>
    <t>10.17150/2500-4255.2022.16(2).257-267</t>
  </si>
  <si>
    <t>WOS:000805759500011</t>
  </si>
  <si>
    <t>Timkin, Y. N.</t>
  </si>
  <si>
    <t>The First General Purge of the RCP(b) in 1921: Institutional and Human Dimensions (Basing on Archival Material of the Vyatka Gubernia)</t>
  </si>
  <si>
    <t>NOVEISHAYA ISTORIYA ROSSII-MODERN HISTORY OF RUSSIA</t>
  </si>
  <si>
    <t>2219-9659</t>
  </si>
  <si>
    <t>2309-7973</t>
  </si>
  <si>
    <t>10.21638/11701/spbu24.2022.106</t>
  </si>
  <si>
    <t>WOS:000905283300006</t>
  </si>
  <si>
    <t>Chernyshev, KA; Chernysheva, NV</t>
  </si>
  <si>
    <t>Chernyshev, Konstantin A.; Chernysheva, Natalia, V</t>
  </si>
  <si>
    <t>Migration of the population of the Kirov region in the pre-war period (1937-1940)</t>
  </si>
  <si>
    <t>10.31166/VoprosyIstorii202005Statyi06</t>
  </si>
  <si>
    <t>WOS:000657720900006</t>
  </si>
  <si>
    <t>Gritsuk, NV; Gamulinskaya, NV; Petrova, EV</t>
  </si>
  <si>
    <t>Gritsuk, Natalia, V; Gamulinskaya, Nadezhda, V; Petrova, Elena, V</t>
  </si>
  <si>
    <t>THE INNOVATIVE APPROACH TO MANAGING THE PRODUCT QUALITY IN THE DIGITAL ECONOMY: INTELLECTUAL ACCOUNTING AND AUDIT</t>
  </si>
  <si>
    <t>10.24874/IJQR14.02-13</t>
  </si>
  <si>
    <t>WOS:000531047700013</t>
  </si>
  <si>
    <t>The Symbolism of Light in Ermil Kostrov's Poetry</t>
  </si>
  <si>
    <t>10.17223/15617793/450/2</t>
  </si>
  <si>
    <t>WOS:000513895200002</t>
  </si>
  <si>
    <t>Zorin, A., V</t>
  </si>
  <si>
    <t>The problem of American Loans and Credits for Czechoslovakia in 1945-1948</t>
  </si>
  <si>
    <t>10.24833/2071-8160-2020-1-70-56-81</t>
  </si>
  <si>
    <t>WOS:000518853200004</t>
  </si>
  <si>
    <t>Grudinin, VS; Khoroshavin, VS; Zotov, AV; Grudinin, SV</t>
  </si>
  <si>
    <t>Grudinin, V. S.; Khoroshavin, V. S.; Zotov, A., V; Grudinin, S., V</t>
  </si>
  <si>
    <t>Adaptive Iterative Control of Temperature in Greenhouse</t>
  </si>
  <si>
    <t>Grudinin, Viktor/ABA-7599-2020</t>
  </si>
  <si>
    <t>10.15507/2658-4123.029.201903.383-395</t>
  </si>
  <si>
    <t>WOS:000487855400004</t>
  </si>
  <si>
    <t>Tatarinova, NV; Suvorov, DM; Sushchikh, VM</t>
  </si>
  <si>
    <t>Tatarinova, N., V; Suvorov, D. M.; Sushchikh, V. M.</t>
  </si>
  <si>
    <t>Efficiency of the Operation of the Cogeneration Steam Turbine Plants at the Variable Heat and Electric Load Schedules</t>
  </si>
  <si>
    <t>Suvorov, Dmitry/I-1373-2016</t>
  </si>
  <si>
    <t>Suvorov, Dmitry/0000-0001-7415-3868</t>
  </si>
  <si>
    <t>10.5281/zenodo.1343404</t>
  </si>
  <si>
    <t>WOS:000441795300009</t>
  </si>
  <si>
    <t>Zyryanov, IA; Budin, AG; Pozolotin, AP</t>
  </si>
  <si>
    <t>Zyryanov, I. A.; Budin, A. G.; Pozolotin, A. P.</t>
  </si>
  <si>
    <t>Disperse admixtures in flame plasma influence on the heterogeneous combustion rate in the electrostatic field</t>
  </si>
  <si>
    <t>SCIENTIFIC TECHNICAL CONFERENCE ON LOW TEMPERATURE PLASMA DURING THE DEPOSITION OF FUNCTIONAL COATINGS (LTP COATINGS 2017)</t>
  </si>
  <si>
    <t>9th Republican Scientific Technical Conference on Low Temperature Plasma during the Deposition of Functional Coatings (LTP Coatings)</t>
  </si>
  <si>
    <t>NOV 05-08, 2017</t>
  </si>
  <si>
    <t>Acad Sci Republ Tatarstan, Kazan, RUSSIA</t>
  </si>
  <si>
    <t>Acad Sci Republ Tatarstan</t>
  </si>
  <si>
    <t>Pozolotin, Alexandr/ABE-9390-2020</t>
  </si>
  <si>
    <t>Pozolotin, Alexandr/0000-0003-3130-2573</t>
  </si>
  <si>
    <t>10.1088/1742-6596/1058/1/012017</t>
  </si>
  <si>
    <t>WOS:000518798300017</t>
  </si>
  <si>
    <t>Lomb, S</t>
  </si>
  <si>
    <t>Lomb, Samantha</t>
  </si>
  <si>
    <t>Enemies of the People' Under the Soviets. A History of Repression and its Consequences</t>
  </si>
  <si>
    <t>EUROPE-ASIA STUDIES</t>
  </si>
  <si>
    <t>Lomb, Samantha/U-1032-2018</t>
  </si>
  <si>
    <t>Lomb, Samantha/0000-0002-3472-6382</t>
  </si>
  <si>
    <t>0966-8136</t>
  </si>
  <si>
    <t>1465-3427</t>
  </si>
  <si>
    <t>10.1080/09668136.2017.1371496</t>
  </si>
  <si>
    <t>WOS:000413946100011</t>
  </si>
  <si>
    <t>Sintsov, A; Luppov, A; Fufachev, A</t>
  </si>
  <si>
    <t>Sintsov, A.; Luppov, A.; Fufachev, A.</t>
  </si>
  <si>
    <t>Development of Testing and Diagnostic Tools as a Way to Improve the Reliability of Multifunctional Radio Receiving Center</t>
  </si>
  <si>
    <t>WOS:000383090900118</t>
  </si>
  <si>
    <t>Kosheleva, EV; Kalinina, LA; Ananchenko, BA; Ushakova, YN; Zobnin, RM</t>
  </si>
  <si>
    <t>Kosheleva, E. V.; Kalinina, L. A.; Ananchenko, B. A.; Ushakova, Yu. N.; Zobnin, R. M.</t>
  </si>
  <si>
    <t>Prospects of using CaY2S4-Yb2S3 within sensors sensitive towards sulfur-containing gases</t>
  </si>
  <si>
    <t>10.1134/S1023193515060129</t>
  </si>
  <si>
    <t>WOS:000356494600008</t>
  </si>
  <si>
    <t>Koshurnikova, EV; Kalinina, LA; Ushakova, YN; Ananchenko, BA; Bezdenezhnykh, LA</t>
  </si>
  <si>
    <t>Koshurnikova, E. V.; Kalinina, L. A.; Ushakova, Yu N.; Ananchenko, B. A.; Bezdenezhnykh, L. A.</t>
  </si>
  <si>
    <t>Synthesis of Complex Sulfide Phases on the CaYb2S4-Y2S3 Quasibinary Section and Investigation of Their Structural and Electrolytic Properties</t>
  </si>
  <si>
    <t>10.1134/S1023193511050053</t>
  </si>
  <si>
    <t>WOS:000292270900006</t>
  </si>
  <si>
    <t>Ushakova, YN; Kalinina, LA; Ananchenko, BA; Yurlov, IS; Shirokova, GI; Fominykh, EG</t>
  </si>
  <si>
    <t>Ushakova, Yu. N.; Kalinina, L. A.; Ananchenko, B. A.; Yurlov, I. S.; Shirokova, G. I.; Fominykh, E. G.</t>
  </si>
  <si>
    <t>Electrolytic properties of sulfide-conducting phases based on the BaLn(2)S(4) and CaLn(2)S(4) compounds of different structural types</t>
  </si>
  <si>
    <t>10.1134/S1087659609030158</t>
  </si>
  <si>
    <t>WOS:000267486100015</t>
  </si>
  <si>
    <t>Social mobility of the parish clergy in the Viatka province, mid-19th-early 20th century</t>
  </si>
  <si>
    <t>Skutnev, Alexey/AAX-7041-2020</t>
  </si>
  <si>
    <t>WOS:000252876100012</t>
  </si>
  <si>
    <t>Izergin, NA</t>
  </si>
  <si>
    <t>A multistack switch-controlled induction motor</t>
  </si>
  <si>
    <t>ELECTRICAL TECHNOLOGY</t>
  </si>
  <si>
    <t>0965-5433</t>
  </si>
  <si>
    <t>WOS:A1996WR53300012</t>
  </si>
  <si>
    <t>Toropova, SI</t>
  </si>
  <si>
    <t>Toropova, S. I.</t>
  </si>
  <si>
    <t>DEVELOPMENT OF CRITICAL THINKING OF STUDENTS-FUTURE BIOTECHNOLOGISTS IN THE PROCESS OF TEACHING MATHEMATICS</t>
  </si>
  <si>
    <t>10.17853/1994-5639-2023-5-49-76</t>
  </si>
  <si>
    <t>WOS:000996323100002</t>
  </si>
  <si>
    <t>PROBLEMS OF THE CRIMINAL LAW PROTECTION OF CRITICAL INFORMATION INFRASTRUCTURE OF THE RUSSIAN FEDERATION</t>
  </si>
  <si>
    <t>10.17150/2500-1442.2023.17(1).22-34</t>
  </si>
  <si>
    <t>WOS:000953399900003</t>
  </si>
  <si>
    <t>Chernyshev, K</t>
  </si>
  <si>
    <t>Popov, E; Barkhatov, V; Pham, VD; Pletnev, D</t>
  </si>
  <si>
    <t>Chernyshev, Konstantin</t>
  </si>
  <si>
    <t>DEPOPULATION AND MIGRATION OUTFLOW AS A FEATURE OF REGIONAL ECONOMIC DEPRESSION</t>
  </si>
  <si>
    <t>COMPETITIVENESS AND THE DEVELOPMENT OF SOCIO-ECONOMIC SYSTEMS</t>
  </si>
  <si>
    <t>4th International Scientific Conference on Competitiveness and the Development of Socio-Economic Systems dedicated to the Memory of Alexander Tatarkin (CDSES)</t>
  </si>
  <si>
    <t>NOV 25-26, 2020</t>
  </si>
  <si>
    <t>Chelyabinsk State Univ, ELECTR NETWORK</t>
  </si>
  <si>
    <t>Russian Fdn Basic Res,Russian Acad Sci, Ural Branch, Inst Econ,Free Econ Soc Russia,Grad Acad Social Sci,Allameh Tabatabai Univ</t>
  </si>
  <si>
    <t>Chelyabinsk State Univ</t>
  </si>
  <si>
    <t>978-1-80296-104-1</t>
  </si>
  <si>
    <t>10.15405/epsbs.2021.04.91</t>
  </si>
  <si>
    <t>WOS:000773381800091</t>
  </si>
  <si>
    <t>Yungblyud, V; Zorin, A</t>
  </si>
  <si>
    <t>Yungblyud, Valery; Zorin, Artyom</t>
  </si>
  <si>
    <t>Daily Life of the American Embassy in Czechoslovakia in 1945-1948</t>
  </si>
  <si>
    <t>Yungblyud, Valeriy T./J-8665-2016; Zorin, Artem V/W-1762-2018</t>
  </si>
  <si>
    <t>Yungblyud, Valeriy T./0000-0002-2706-3904; Zorin, Artem V/0000-0002-3238-9036</t>
  </si>
  <si>
    <t>10.18254/S207987840016048-1</t>
  </si>
  <si>
    <t>WOS:000685513200017</t>
  </si>
  <si>
    <t>Development of coordination and speed-power abilities in children 8-9 years with the help of exercise Classics</t>
  </si>
  <si>
    <t>PHYSICAL ACTIVITY REVIEW</t>
  </si>
  <si>
    <t>2300-5076</t>
  </si>
  <si>
    <t>10.16926/par.2020.08.06</t>
  </si>
  <si>
    <t>WOS:000519128200006</t>
  </si>
  <si>
    <t>Timshin, V; Kolesnikova, O; Plotnikova, T</t>
  </si>
  <si>
    <t>Timshin, Vadim; Kolesnikova, Olga; Plotnikova, Tatyana</t>
  </si>
  <si>
    <t>Site Usability as an Indicator of the Educational Institution Media Culture (On the Example of Basic Schools of the Kirov Region)</t>
  </si>
  <si>
    <t>MEDIA EDUCATION-MEDIAOBRAZOVANIE</t>
  </si>
  <si>
    <t>Vadim, Timshin/I-7736-2018</t>
  </si>
  <si>
    <t>Vadim, Timshin/0000-0001-6472-6976</t>
  </si>
  <si>
    <t>1994-4160</t>
  </si>
  <si>
    <t>2729-8132</t>
  </si>
  <si>
    <t>10.13187/me.2020.3.549</t>
  </si>
  <si>
    <t>WOS:000574588500017</t>
  </si>
  <si>
    <t>Development of Intellectual Abilities Using Coordination Training in Schoolchildren with Different Nervous System</t>
  </si>
  <si>
    <t>APR-JUN</t>
  </si>
  <si>
    <t>WOS:000483412400101</t>
  </si>
  <si>
    <t>Polevoy, Georgy</t>
  </si>
  <si>
    <t>Unison of movements in football players with different nervous systems</t>
  </si>
  <si>
    <t>REVISTA DA ASSOCIACAO MEDICA BRASILEIRA</t>
  </si>
  <si>
    <t>1806-9282</t>
  </si>
  <si>
    <t>10.1590/1806-9282.65.2.211</t>
  </si>
  <si>
    <t>WOS:000461474100020</t>
  </si>
  <si>
    <t>Berdinsky, VA</t>
  </si>
  <si>
    <t>Berdinsky, Viktor A.</t>
  </si>
  <si>
    <t>Historical parascience and local history</t>
  </si>
  <si>
    <t>Viktor, Berdinskikh/AAS-8140-2021</t>
  </si>
  <si>
    <t>WOS:000467893700017</t>
  </si>
  <si>
    <t>The state of health of responsible party workers of the RCP(b) during the revolution of 1917, the civil war and the NEP years (based on the materials of the Vyatka Province)</t>
  </si>
  <si>
    <t>WOS:000473107100007</t>
  </si>
  <si>
    <t>Trubin, IS</t>
  </si>
  <si>
    <t>Trubin, I. S.</t>
  </si>
  <si>
    <t>Simulation of System with Code Channel Division in the LabVIEW</t>
  </si>
  <si>
    <t>Trubin, Igor S./A-4176-2014</t>
  </si>
  <si>
    <t>Trubin, Igor S./0000-0003-2440-9743</t>
  </si>
  <si>
    <t>WOS:000492146100144</t>
  </si>
  <si>
    <t>Kondrat'ev, DA; Tolstobrov, IV; Bushuev, AN; El'kin, OV; Bervitskaya, OS; Chernova, OV</t>
  </si>
  <si>
    <t>Kondrat'ev, D. A.; Tolstobrov, I. V.; Bushuev, A. N.; El'kin, O. V.; Bervitskaya, O. S.; Chernova, O. V.</t>
  </si>
  <si>
    <t>Powder Co2Er Intermetallic Compound Synthesis Conditions in a Halide Melt</t>
  </si>
  <si>
    <t>Tolstobrov, Ivan/T-7734-2019; Chernova, Olga V/S-4511-2018; O.V., El'kin/T-7146-2019; Bushuev, Andrey/AAE-1002-2019</t>
  </si>
  <si>
    <t>Tolstobrov, Ivan/0000-0002-0133-6150; Chernova, Olga V/0000-0002-3773-2796; O.V., El'kin/0000-0002-4540-7483; Bushuev, Andrey/0000-0001-9651-2171</t>
  </si>
  <si>
    <t>10.1134/S0036029518020076</t>
  </si>
  <si>
    <t>WOS:000435618500013</t>
  </si>
  <si>
    <t>Kosheleva, EV; Pentin, MA; Kalinina, LA; Mikhailichenko, TV; Lapteva, TA; Ushakova, YN</t>
  </si>
  <si>
    <t>Kosheleva, E. V.; Pentin, M. A.; Kalinina, L. A.; Mikhailichenko, T. V.; Lapteva, T. A.; Ushakova, Yu. N.</t>
  </si>
  <si>
    <t>Heterogeneous Doping of Sulfide-Conducting Phases Based on Calcium and Barium Thiolanthanates</t>
  </si>
  <si>
    <t>Kalinina, Ludmila/0000-0001-9471-2778</t>
  </si>
  <si>
    <t>10.1134/S1023193517070059</t>
  </si>
  <si>
    <t>WOS:000407274400015</t>
  </si>
  <si>
    <t>Musikhina, TA; Zemtsova, EA; Fuks, CL</t>
  </si>
  <si>
    <t>Musikhina, T. A.; Zemtsova, E. A.; Fuks, C. L.</t>
  </si>
  <si>
    <t>Use of Repeated Fluoropolymer Suspensions to Obtain Composite Electrochemical Coating Based on Zinc</t>
  </si>
  <si>
    <t>INTERNATIONAL CONFERENCE ON CONSTRUCTION, ARCHITECTURE AND TECHNOSPHERE SAFETY (ICCATS 2017)</t>
  </si>
  <si>
    <t>SEP 21-22, 2017</t>
  </si>
  <si>
    <t>S Ural State Univ,Irkutsk Natl Res Tech Univ,Far Eastern Fed Univ</t>
  </si>
  <si>
    <t>Musikhina, Tatyana/E-3915-2018</t>
  </si>
  <si>
    <t>Musikhina, Tatyana/0000-0003-4714-0572</t>
  </si>
  <si>
    <t>10.1088/1757-899X/262/1/012010</t>
  </si>
  <si>
    <t>WOS:000423728200010</t>
  </si>
  <si>
    <t>Kustova, Elena, V</t>
  </si>
  <si>
    <t>Formation of monasteries in the Perm region in the XV-XVII centuries</t>
  </si>
  <si>
    <t>WOS:000375522500012</t>
  </si>
  <si>
    <t>On a solution for the high-dimensionality-small-sample-size regression problem with several different microarrays</t>
  </si>
  <si>
    <t>INTERNATIONAL JOURNAL OF DATA MINING AND BIOINFORMATICS</t>
  </si>
  <si>
    <t>1748-5673</t>
  </si>
  <si>
    <t>1748-5681</t>
  </si>
  <si>
    <t>10.1504/IJDMB.2014.060049</t>
  </si>
  <si>
    <t>WOS:000333745900001</t>
  </si>
  <si>
    <t>Ananchenko, BA; Kalinina, LA; Ushakova, YN; Koshurnikova, EV</t>
  </si>
  <si>
    <t>Ananchenko, B. A.; Kalinina, L. A.; Ushakova, Yu N.; Koshurnikova, E. V.</t>
  </si>
  <si>
    <t>Electrolytic properties and stability of solid solutions of ytterbium sulfide in calcium thioytterbate</t>
  </si>
  <si>
    <t>10.1134/S102319351308003X</t>
  </si>
  <si>
    <t>WOS:000323258500006</t>
  </si>
  <si>
    <t>Alalykin, AA; Vesnin, RL; Kozulin, DA</t>
  </si>
  <si>
    <t>Alalykin, A. A.; Vesnin, R. L.; Kozulin, D. A.</t>
  </si>
  <si>
    <t>Preparation of Modified Hydrolysis Lignin and Its Use for Filling Epoxy Polymers and Enhancing Their Flame Resistance</t>
  </si>
  <si>
    <t>Kozulin, Denis/T-7435-2019; Vesnin, Roman/T-7719-2019; Alalykin, Alexandr/AAM-6654-2020</t>
  </si>
  <si>
    <t>Vesnin, Roman/0000-0002-8359-7871; Kozulin, Denis/0000-0001-6071-0707</t>
  </si>
  <si>
    <t>10.1134/S1070427211090278</t>
  </si>
  <si>
    <t>WOS:000297357300027</t>
  </si>
  <si>
    <t>Khitrin, SV; Fuks, SL; Devyaterikova, SV</t>
  </si>
  <si>
    <t>Properties and composition of the wastes of monoethanolamine treatment of hydrogen to remove carbon dioxide</t>
  </si>
  <si>
    <t>10.1023/A:1015564806467</t>
  </si>
  <si>
    <t>WOS:000175980800015</t>
  </si>
  <si>
    <t>Skvortsov, AI</t>
  </si>
  <si>
    <t>Effect of alloying, heat treatment, and deformation on the structure and properties of damping Zn-Al alloys</t>
  </si>
  <si>
    <t>10.1007/BF01395646</t>
  </si>
  <si>
    <t>WOS:A1996XD81500008</t>
  </si>
  <si>
    <t>Korshunkov, VA</t>
  </si>
  <si>
    <t>Korshunkov, Vladimir A.</t>
  </si>
  <si>
    <t>Archival Research on the Local and Family History: The City of Omsk City and New Research of Its Past</t>
  </si>
  <si>
    <t>10.28995/2073-0101-2022-4-1271-1279</t>
  </si>
  <si>
    <t>WOS:000906584000023</t>
  </si>
  <si>
    <t>Pevzner, MZ; Sergeev, DG</t>
  </si>
  <si>
    <t>Pevzner, M. Z.; Sergeev, D. G.</t>
  </si>
  <si>
    <t>Effect of Impurities on the Properties of Brass L63 and Preventive Control of Commercial Batches of Continuously Annealed Ribbon at the Kirov Plant for Processing Nonferrous Metals</t>
  </si>
  <si>
    <t>Pevzner, Mikhail/AAE-1321-2019</t>
  </si>
  <si>
    <t>Pevzner, Mikhail/0000-0001-9894-7523; Sergeev, Denis/0000-0001-6784-6754</t>
  </si>
  <si>
    <t>1-2</t>
  </si>
  <si>
    <t>10.1007/s11041-021-00646-0</t>
  </si>
  <si>
    <t>JUN 2021</t>
  </si>
  <si>
    <t>WOS:000659035900005</t>
  </si>
  <si>
    <t>Bratukhina, EA; Lysova, EA; Lapteva, IP; Malysheva, NV</t>
  </si>
  <si>
    <t>Bratukhina, Elena A.; Lysova, Elena A.; Lapteva, Irina P.; Malysheva, Natalia, V</t>
  </si>
  <si>
    <t>MARKETING MANAGEMENT OF EDUCATION QUALITY IN THE PROCESS OF UNIVERSITY REORGANIZATION IN INDUSTRY 4.0: GOALS OF APPLICATION AND NEW TOOLS</t>
  </si>
  <si>
    <t>Bratukhina, Elena/AAB-6051-2022; Andrea Simões Braga, Francisco/GRS-0157-2022</t>
  </si>
  <si>
    <t>10.24874/IJQR14.02-03</t>
  </si>
  <si>
    <t>WOS:000531047700003</t>
  </si>
  <si>
    <t>Isotov, AI; Isotov, SA</t>
  </si>
  <si>
    <t>Isotov, A. I.; Isotov, S. A.</t>
  </si>
  <si>
    <t>Evaluation of the effectiveness of using solid lubricants to reduce the wear of the brushes of electric AC machines</t>
  </si>
  <si>
    <t>10.1088/1757-899X/971/3/032028</t>
  </si>
  <si>
    <t>WOS:000646359100129</t>
  </si>
  <si>
    <t>U.S. plans to internationalize the containment of the USSR in the Balkans in the first half of the 1950s</t>
  </si>
  <si>
    <t>10.24833/2071-8160-2020-6-75-53-76</t>
  </si>
  <si>
    <t>WOS:000605204300002</t>
  </si>
  <si>
    <t>Nemchaninova, Evgenia N.; Polovnikova, Marina Yu</t>
  </si>
  <si>
    <t>MISSIONARY ACTIVITY OF RUSSIAN ORTHODOX CHURCH IN THE SECOND HALF OF THE XIX - EARLY XX CENTURIES (VYATKA PROVINCE)</t>
  </si>
  <si>
    <t>10.24224/2227-1295-2020-4-401-419</t>
  </si>
  <si>
    <t>WOS:000530639000025</t>
  </si>
  <si>
    <t>KURDISH QUESTION IN THE MIDDLE EAST POLICY OF THE ADMINISTRATION OF J. CARTER IN 1979-1980</t>
  </si>
  <si>
    <t>10.17223/19988613/63/13</t>
  </si>
  <si>
    <t>WOS:000517821700013</t>
  </si>
  <si>
    <t>Sidorov, Vadim Veniaminovich</t>
  </si>
  <si>
    <t>ISOMORPHISMS OF SEMIRINGS OF CONTINUOUS NONNEGATIVE FUNCTIONS WITH MAX-ADDITION AND ISOMORPHISMS OF LATTICES OF THEIR SUBALGEBRAS</t>
  </si>
  <si>
    <t>SIBERIAN ELECTRONIC MATHEMATICAL REPORTS-SIBIRSKIE ELEKTRONNYE MATEMATICHESKIE IZVESTIYA</t>
  </si>
  <si>
    <t>1813-3304</t>
  </si>
  <si>
    <t>10.33048/semi.2020.17.021</t>
  </si>
  <si>
    <t>WOS:000518782500001</t>
  </si>
  <si>
    <t>Razova, E; Kotelnikov, E</t>
  </si>
  <si>
    <t>Razova, Elena; Kotelnikov, Evgeny</t>
  </si>
  <si>
    <t>Concentration Areas of Sentiment Lexica in the Word Embedding Space</t>
  </si>
  <si>
    <t>INTERNATIONAL JOURNAL OF COGNITIVE INFORMATICS AND NATURAL INTELLIGENCE</t>
  </si>
  <si>
    <t>Kotelnikov, Evgeny/A-3606-2014; Razova, Elena/U-4097-2018</t>
  </si>
  <si>
    <t>Kotelnikov, Evgeny/0000-0001-9745-1489; Razova, Elena/0000-0001-5557-5432</t>
  </si>
  <si>
    <t>1557-3958</t>
  </si>
  <si>
    <t>1557-3966</t>
  </si>
  <si>
    <t>10.4018/IJCINI.2019040104</t>
  </si>
  <si>
    <t>WOS:000501202200004</t>
  </si>
  <si>
    <t>Romanova, IV; Ponomarenko, LN; Kibishev, AN; Susloparova, MM</t>
  </si>
  <si>
    <t>Romanova, Irina, V; Ponomarenko, Larisa N.; Kibishev, Andrey N.; Susloparova, Maria M.</t>
  </si>
  <si>
    <t>Civil Values Awareness Formation in High School Students within the Educational Process</t>
  </si>
  <si>
    <t>Романова, Ирина/ABC-3457-2020; Ponomarenko, Larisa N/L-3310-2017; Kibishev, Andrey/B-2743-2019</t>
  </si>
  <si>
    <t>Романова, Ирина/0000-0001-8448-1873; Ponomarenko, Larisa N/0000-0001-5056-5446; Kibishev, Andrey/0000-0003-0723-1728</t>
  </si>
  <si>
    <t>10.13187/ejced.2018.3.541</t>
  </si>
  <si>
    <t>WOS:000445146400009</t>
  </si>
  <si>
    <t>Kislitsyna, VV; Palkina, MV</t>
  </si>
  <si>
    <t>Solovev, DB</t>
  </si>
  <si>
    <t>Kislitsyna, V. V.; Palkina, M., V</t>
  </si>
  <si>
    <t>Development of Innovative Activities in Depressed Regions</t>
  </si>
  <si>
    <t>PROCEEDINGS OF THE INTERNATIONAL SCIENTIFIC CONFERENCE FAR EAST CON (ISCFEC 2018)</t>
  </si>
  <si>
    <t>AEBMR-Advances in Economics Business and Management Research</t>
  </si>
  <si>
    <t>International Scientific Multi-Conference on Industrial Engineering and Modern Technologies (FarEastCon)</t>
  </si>
  <si>
    <t>OCT 02-04, 2018</t>
  </si>
  <si>
    <t>Vladivostok, RUSSIA</t>
  </si>
  <si>
    <t>Far Eastern Fed Univ,NE Fed Univ,Amur State Univ Humanities &amp; Pedag,Far Eastern State Transport Univ,Komsomolsk Amur State Techn Univ,Amur State Univ,Vladivostok State Univ Econ &amp; Serv,Acad, Construct &amp; Architecture, Res Inst Bldg Phys &amp; Fencing Construct,Russian Acad Sci, Econ Res Inst Far Eastern Branch,Pacific Natl Univ,Russian Fdn Basic Res</t>
  </si>
  <si>
    <t>2352-5428</t>
  </si>
  <si>
    <t>978-94-6252-656-3</t>
  </si>
  <si>
    <t>WOS:000679066800160</t>
  </si>
  <si>
    <t>The Sampling of the z-Plane Due to the Quantization of the Digital Filter Coefficients</t>
  </si>
  <si>
    <t>Chastikov, Alexander/A-5560-2014; Naumovich, Tatyana/B-8000-2017; Chastikov, Alexander/ACX-8162-2022</t>
  </si>
  <si>
    <t xml:space="preserve">Chastikov, Alexander/0000-0002-1998-7787; Naumovich, Tatyana/0000-0002-3659-2664; </t>
  </si>
  <si>
    <t>WOS:000644432200112</t>
  </si>
  <si>
    <t>Loginov, D; Stepanyan, V</t>
  </si>
  <si>
    <t>Malinovska, L; Osadcuks, V</t>
  </si>
  <si>
    <t>Loginov, Dmitriy; Stepanyan, Vladimir</t>
  </si>
  <si>
    <t>STATE SUPPORT OF AGRICULTURE OF RUSSIA - SEARCH OF APPROACHES TO BUILD MODERN, EFFECTIVE MODEL</t>
  </si>
  <si>
    <t>17TH INTERNATIONAL SCIENTIFIC CONFERENCE: ENGINEERING FOR RURAL DEVELOPMENT</t>
  </si>
  <si>
    <t>Engineering for Rural Development</t>
  </si>
  <si>
    <t>17th International Scientific Conference on Engineering for Rural Development</t>
  </si>
  <si>
    <t>MAY 23-25, 2018</t>
  </si>
  <si>
    <t>Jelgava, LATVIA</t>
  </si>
  <si>
    <t>Latvia Univ Life Sci &amp; Technologies, Fac Engn</t>
  </si>
  <si>
    <t>Loginov, Dmitrii Alekseevic/0000-0002-2458-9978</t>
  </si>
  <si>
    <t>1691-3043</t>
  </si>
  <si>
    <t>1691-5976</t>
  </si>
  <si>
    <t>10.22616/ERDev2018.17.N241</t>
  </si>
  <si>
    <t>WOS:000805412200175</t>
  </si>
  <si>
    <t>Medvedeva, E; Karlushin, K; Kurbatova, E</t>
  </si>
  <si>
    <t>Medvedeva, Elena; Karlushin, Konstantin; Kurbatova, Ekaterina</t>
  </si>
  <si>
    <t>Motion Detection Algorithm Implemented on the ARM-based Hardware</t>
  </si>
  <si>
    <t>WOS:000644432200031</t>
  </si>
  <si>
    <t>Suvorov, DM; Suvorova, LA; Pestova, IV; Baibakova, TV</t>
  </si>
  <si>
    <t>Suvorov, D. M.; Suvorova, L. A.; Pestova, I. V.; Baibakova, T. V.</t>
  </si>
  <si>
    <t>The dynamic index of urban environment quality as a tool for sustainable urban development</t>
  </si>
  <si>
    <t>INTERNATIONAL CONFERENCE ON SUSTAINABLE CITIES, 2018</t>
  </si>
  <si>
    <t>3rd International Conference on Sustainable (ICSC)</t>
  </si>
  <si>
    <t>MAY 18, 2018</t>
  </si>
  <si>
    <t>Суворов, Дмитрий/0000-0001-7415-3868</t>
  </si>
  <si>
    <t>10.1088/1755-1315/177/1/012007</t>
  </si>
  <si>
    <t>WOS:000451502800007</t>
  </si>
  <si>
    <t>Finite element models in stresses for plane elasticity problems</t>
  </si>
  <si>
    <t>10.18720/MCE.77.3</t>
  </si>
  <si>
    <t>WOS:000431443100003</t>
  </si>
  <si>
    <t>Yungblud, V; Zboyev, A</t>
  </si>
  <si>
    <t>Yungblud, Valery; Zboyev, Artyom</t>
  </si>
  <si>
    <t>THE ACTIVITY OF AMERICAN NON-GOVERNMENTAL ORGANISATIONS IN THE POST-SOVIET STATES DURING THE 1990s</t>
  </si>
  <si>
    <t>10.15826/qr.2018.1.294</t>
  </si>
  <si>
    <t>WOS:000447487200018</t>
  </si>
  <si>
    <t>Zyryanov, IA; Pozolotin, AP; Budin, AG</t>
  </si>
  <si>
    <t>Zyryanov, I. A.; Pozolotin, A. P.; Budin, A. G.</t>
  </si>
  <si>
    <t>Electrostatic field influence on wood combustion in high-enthalpy flow</t>
  </si>
  <si>
    <t>10.1088/1742-6596/1058/1/012028</t>
  </si>
  <si>
    <t>WOS:000518798300028</t>
  </si>
  <si>
    <t>Meltsov, VY; Lesnikov, VA; Dolzhenkova, ML</t>
  </si>
  <si>
    <t>Meltsov, Vasiliy Yu.; Lesnikov, Vladislav A.; Dolzhenkova, Mary L.</t>
  </si>
  <si>
    <t>Intelligent System of Knowledge Control with the Natural Language User Interface</t>
  </si>
  <si>
    <t>PROCEEDINGS OF THE 2017 INTERNATIONAL CONFERENCE QUALITY MANAGEMENT,TRANSPORT AND INFORMATION SECURITY, INFORMATION TECHNOLOGIES (IT&amp;QM&amp;IS)</t>
  </si>
  <si>
    <t>International Conference on Quality Management,Transport and Information Security, Information Technologies (IT and QM and IS)</t>
  </si>
  <si>
    <t>SEP 23-30, 2017</t>
  </si>
  <si>
    <t>St Petersburg, RUSSIA</t>
  </si>
  <si>
    <t>Meltsov, Vasily Yurevich/P-7511-2017; Lesnikov, Vladislav A./E-9558-2011</t>
  </si>
  <si>
    <t>Meltsov, Vasily Yurevich/0000-0001-5479-9979; Lesnikov, Vladislav A./0000-0002-5034-291X</t>
  </si>
  <si>
    <t>978-1-5386-0703-9</t>
  </si>
  <si>
    <t>WOS:000425868400157</t>
  </si>
  <si>
    <t>LAPIN ADVENTURE IN THE VYATKA IN MARCH 1918</t>
  </si>
  <si>
    <t>Timkin, Yuriy/J-6513-2018</t>
  </si>
  <si>
    <t>WOS:000410460100004</t>
  </si>
  <si>
    <t>Krivosheina, N; Pogodin, D; Naymova, J; Elpasheva, H</t>
  </si>
  <si>
    <t>Krivosheina, Natalia; Pogodin, Danil; Naymova, Julia; Elpasheva, Helen</t>
  </si>
  <si>
    <t>METHODS OF INTEGRATION THE HISTORICAL ARCHITECTURAL DECORATION FROM OPOKA IN THE MODERN COMPLETE KITCHEN</t>
  </si>
  <si>
    <t>SGEM 2016, BK 4: ARTS, PERFORMING ARTS, ARCHITECTURE AND DESIGN CONFERENCE PROCEEDINGS, VOL III</t>
  </si>
  <si>
    <t>3rd International Multidisciplinary Scientific Conference on Social Sciences and Arts, SGEM 2016</t>
  </si>
  <si>
    <t>AUG 24-30, 2016</t>
  </si>
  <si>
    <t>Bulgarian Acad Sci,Acad Sci Czech Republ,Latvian Acad Sci,Polish Acad Sci,Russian Acad Sci,Serbian Acad Sci &amp; Arts,Slovak Acad Sci,Natl Acad Sci Ukraine,Natl Acad Sci Armenia,Sci Council Japan,World Acad Sci,European Acad Sci Arts &amp; Letters,Acad Fine Arts Zagreb Croatia,Croatian Acad Sci &amp; Arts,Acad Sci Moldova,Montenegrin Acad Sci &amp; Arts,Georgian Acad Sci,Acad Fine Arts &amp; Design Bratislava,Russian Acad Arts,Turkish Acad Sci,Bulgarian Cultural Inst Vienna</t>
  </si>
  <si>
    <t>Naymova, Juliа/H-9872-2017; Krivosheina, Natalia V/M-8938-2018</t>
  </si>
  <si>
    <t>Naymova, Juliа/0000-0001-8611-1702; Krivosheina, Natalia V/0000-0001-7612-5174</t>
  </si>
  <si>
    <t>978-619-7105-78-0</t>
  </si>
  <si>
    <t>WOS:000395727700049</t>
  </si>
  <si>
    <t>Classification of Structures of IIR Digital Filters</t>
  </si>
  <si>
    <t>IEEE,Kharkov Natl Univ Radioelectron,IEEE Comp Soc Test Technol Tech Council</t>
  </si>
  <si>
    <t>Lesnikov, Vladislav A./E-9558-2011; Chastikov, Alexander/A-5560-2014; Naumovich, Tatyana/B-8000-2017; Chastikov, Alexander/ACX-8162-2022</t>
  </si>
  <si>
    <t xml:space="preserve">Lesnikov, Vladislav A./0000-0002-5034-291X; Chastikov, Alexander/0000-0002-1998-7787; Naumovich, Tatyana/0000-0002-3659-2664; </t>
  </si>
  <si>
    <t>WOS:000382527700045</t>
  </si>
  <si>
    <t>On the Method for Data Streams Aggregation to Predict Shoppers Loyalty</t>
  </si>
  <si>
    <t>2015 INTERNATIONAL JOINT CONFERENCE ON NEURAL NETWORKS (IJCNN)</t>
  </si>
  <si>
    <t>IEEE International Joint Conference on Neural Networks (IJCNN)</t>
  </si>
  <si>
    <t>International Joint Conference on Neural Networks (IJCNN)</t>
  </si>
  <si>
    <t>JUL 12-17, 2015</t>
  </si>
  <si>
    <t>Killarney, IRELAND</t>
  </si>
  <si>
    <t>2161-4393</t>
  </si>
  <si>
    <t>978-1-4799-1959-8</t>
  </si>
  <si>
    <t>WOS:000370730601064</t>
  </si>
  <si>
    <t>Polish Catholic priests in the Viatka exile, 1860s-1870s</t>
  </si>
  <si>
    <t>WOS:000289763200005</t>
  </si>
  <si>
    <t>Mathematical modeling of cyclic processes</t>
  </si>
  <si>
    <t>10.1134/S0040579510040056</t>
  </si>
  <si>
    <t>WOS:000280701900005</t>
  </si>
  <si>
    <t>Belykh, NY</t>
  </si>
  <si>
    <t>Belykh, N. Yu.</t>
  </si>
  <si>
    <t>Latvian citizens in the Viatlag, 1938-1955</t>
  </si>
  <si>
    <t>WOS:000279999300006</t>
  </si>
  <si>
    <t>Bagaev, S; Medvedeva, E</t>
  </si>
  <si>
    <t>Bagaev, Stanislav; Medvedeva, Elena</t>
  </si>
  <si>
    <t>Segmentation of Satellite Images of the Earth's surface using Neural Network Technologies</t>
  </si>
  <si>
    <t>PROCEEDINGS OF THE 28TH CONFERENCE OF OPEN INNOVATIONS ASSOCIATION FRUCT</t>
  </si>
  <si>
    <t>28th IEEE Conference of Open-Innovations-Association (FRUCT)</t>
  </si>
  <si>
    <t>JAN 27-29, 2021</t>
  </si>
  <si>
    <t>IEEE,IEEE Commun Soc,Joint Sect IT Chapter Russia,IEEE Commun Soc,FRUCT Assoc,Moscow Tech Univ Commun &amp; Informat</t>
  </si>
  <si>
    <t>978-9-5269-2444-1</t>
  </si>
  <si>
    <t>WOS:000672554500002</t>
  </si>
  <si>
    <t>Laletin, V., I; Malyshev, E. N.; Prismotrov, N., I</t>
  </si>
  <si>
    <t>Stepper Electric Drive with the Function of Suppressing Resonance Phenomena</t>
  </si>
  <si>
    <t>2020 INTERNATIONAL CONFERENCE ON INDUSTRIAL ENGINEERING, APPLICATIONS AND MANUFACTURING (ICIEAM)</t>
  </si>
  <si>
    <t>MAY 18-22, 2020</t>
  </si>
  <si>
    <t>S Ural State Univ,Platov S Russian State Polytechn Univ,Moscow Polytechn Univ,Volgograd State Tech Univ,IEEE,Machines</t>
  </si>
  <si>
    <t>978-1-7281-4590-7</t>
  </si>
  <si>
    <t>WOS:000607234900037</t>
  </si>
  <si>
    <t>Sadakov, DA</t>
  </si>
  <si>
    <t>Sadakov, Denis A.</t>
  </si>
  <si>
    <t>SELECTION OF THE PLACE OF THE REPUBLIC OF KOREA IN THE PACIFIC SECURITY SYSTEM OF THE UNITED STATES ON THE EVE OF THE KOREAN WAR (1948-EARLY 1950)</t>
  </si>
  <si>
    <t>10.17223/19988613/63/12</t>
  </si>
  <si>
    <t>WOS:000517821700012</t>
  </si>
  <si>
    <t>Kadochnikova, NI; Oborin, VA; Morozova, MA</t>
  </si>
  <si>
    <t>Kadochnikova, Natalia, I; Oborin, Viktor A.; Morozova, Marina A.</t>
  </si>
  <si>
    <t>The influence of dietary supplements based on fermented wheat bran on the body composition of wrestlers</t>
  </si>
  <si>
    <t>Morozova, Marina A./AAD-1191-2019; Oborin, Vladimir/B-3478-2018</t>
  </si>
  <si>
    <t xml:space="preserve">Morozova, Marina A./0000-0003-3303-3426; </t>
  </si>
  <si>
    <t>WOS:000625435700025</t>
  </si>
  <si>
    <t>The development of speed-power qualities of schoolchildren with different typologies applying coordination training</t>
  </si>
  <si>
    <t>PEDAGOGICS PSYCHOLOGY MEDICAL-BIOLOGICAL PROBLEMS OF PHYSICAL TRAINING AND SPORTS</t>
  </si>
  <si>
    <t>2308-7269</t>
  </si>
  <si>
    <t>10.15561/18189172.2019.0107</t>
  </si>
  <si>
    <t>WOS:000459821500007</t>
  </si>
  <si>
    <t>Valova, OM; Shcherbakova, TV</t>
  </si>
  <si>
    <t>Valova, O. M.; Shcherbakova, T., V</t>
  </si>
  <si>
    <t>SYNTHESIS OF PHILOSOPHY AND ART IN O. WILD'S GOTHIC STORY THE CANTERVILLE GHOST</t>
  </si>
  <si>
    <t>PHILOLOGICAL CLASS</t>
  </si>
  <si>
    <t>Valova, Olga/AAC-4111-2019; Shcherbakova, Tatyana/ABF-3243-2020</t>
  </si>
  <si>
    <t xml:space="preserve">Valova, Olga/0000-0001-7987-5317; </t>
  </si>
  <si>
    <t>2071-2405</t>
  </si>
  <si>
    <t>10.26170/FK19-02-25</t>
  </si>
  <si>
    <t>WOS:000489097600025</t>
  </si>
  <si>
    <t>Utemov, VV; Simonova, GI; Moskvin, AS; Korotysheva, NN</t>
  </si>
  <si>
    <t>Utemov, Vyacheslav V.; Simonova, Galina I.; Moskvin, Artem S.; Korotysheva, Natalia N.</t>
  </si>
  <si>
    <t>Aspects Of Implementing Mixed Training Technology In School Education Programs</t>
  </si>
  <si>
    <t>WOS:000443674500030</t>
  </si>
  <si>
    <t>On the question of interference of USSR in the parliamentary elections in Greece in 1958</t>
  </si>
  <si>
    <t>WOS:000427548200006</t>
  </si>
  <si>
    <t>US-SOVIET DIALOGUE ON THE KOREAN SETTLEMENT IN 1943-1947: BASIC PRINCIPLES AND RESULTS</t>
  </si>
  <si>
    <t>IZVESTIYA URALSKOGO FEDERALNOGO UNIVERSITETA-SERIYA 2-GUMANITARNYE NAUKI</t>
  </si>
  <si>
    <t>Sadakov, Denis/R-9556-2018</t>
  </si>
  <si>
    <t>Sadakov, Denis/0000-0003-4308-7276</t>
  </si>
  <si>
    <t>2227-2283</t>
  </si>
  <si>
    <t>2587-6929</t>
  </si>
  <si>
    <t>10.15826/izv2.2018.20.2.022</t>
  </si>
  <si>
    <t>WOS:000468389000002</t>
  </si>
  <si>
    <t>Yurchuk-Zuliar, OA; Tulyakova, OV; Kunshin, AA</t>
  </si>
  <si>
    <t>Yurchuk-Zuliar, O. A.; Tulyakova, O. V.; Kunshin, A. A.</t>
  </si>
  <si>
    <t>Physical and sexual development of 10-year-old girls in rhythmic gymnastics and acrobatics</t>
  </si>
  <si>
    <t>Yurchuk-Zuliar, Oxana/X-3429-2018; Tulyakova, Olga/O-8534-2017; Kunshin, Alexey A./F-7920-2016</t>
  </si>
  <si>
    <t>Yurchuk-Zuliar, Oxana/0000-0003-4353-5593; Tulyakova, Olga/0000-0002-2095-4309; Kunshin, Alexey A./0000-0002-8659-0472</t>
  </si>
  <si>
    <t>1818-9172</t>
  </si>
  <si>
    <t>10.15561/18189172.2018.0108</t>
  </si>
  <si>
    <t>WOS:000431046900008</t>
  </si>
  <si>
    <t>Karanina, E; Loginov, D</t>
  </si>
  <si>
    <t>Karanina, Elena; Loginov, Dmitri</t>
  </si>
  <si>
    <t>Indicators of economic security of the region: a risk-based approach to assessing and rating</t>
  </si>
  <si>
    <t>ENERGY MANAGEMENT OF MUNICIPAL TRANSPORTATION FACILITIES AND TRANSPORT (EMMFT 2017)</t>
  </si>
  <si>
    <t>19th International Scientific Conference on Energy Management of Municipal Transportation Facilities and Transport (EMMFT)</t>
  </si>
  <si>
    <t>APR 10-13, 2017</t>
  </si>
  <si>
    <t>Far Eastern State Transport Univ, Khabarovsk, RUSSIA</t>
  </si>
  <si>
    <t>Far Eastern State Transport Univ</t>
  </si>
  <si>
    <t>10.1088/1755-1315/90/1/012087</t>
  </si>
  <si>
    <t>WOS:000419816700087</t>
  </si>
  <si>
    <t>Medvedeva, EV; Kurbatova, EE</t>
  </si>
  <si>
    <t>Medvedeva, E. V.; Kurbatova, E. E.</t>
  </si>
  <si>
    <t>Method for the Restoration of Multicomponent Images Distorted by Applicative Disturbances based on Tree-dimensional Markov Chain</t>
  </si>
  <si>
    <t>WOS:000428759500052</t>
  </si>
  <si>
    <t>Shestakov, AV; Fominykh, AA</t>
  </si>
  <si>
    <t>Shestakov, Alexander V.; Fominykh, Anton A.</t>
  </si>
  <si>
    <t>Modeling of Control Processes of the Asynchronous Motor Under Pulsating Mode with Due Regard for the Influence of Real Factors</t>
  </si>
  <si>
    <t>2017 XI INTERNATIONAL IEEE SCIENTIFIC AND TECHNICAL CONFERENCE DYNAMICS OF SYSTEMS, MECHANISMS AND MACHINES (DYNAMICS)</t>
  </si>
  <si>
    <t>11th International IEEE Scientific and Technical Conference on Dynamics of Systems, Mechanisms and Machines (Dynamics)</t>
  </si>
  <si>
    <t>Inst Elect &amp; Elect Engineers,Omsk State Tech Univ,IEEE Reg 8 Russia Siberia Sect,Tomsk IEEE Chapter &amp; Student Branch,IEEE Russia Siberia Sect, Graduates Last Decade Affin Grp,Novosibirsk State Tech Univ</t>
  </si>
  <si>
    <t>Shestakov, Alexander/0000-0001-8907-7634</t>
  </si>
  <si>
    <t>WOS:000427690500083</t>
  </si>
  <si>
    <t>Shempelev, A; Iglin, P</t>
  </si>
  <si>
    <t>Shempelev, A.; Iglin, P.</t>
  </si>
  <si>
    <t>Development of Methods for Calculating the Aggressive Gas Content in Condensate at the Output from a Steam Turbine Condenser</t>
  </si>
  <si>
    <t>Iglin, Pavel/0000-0003-3731-7864</t>
  </si>
  <si>
    <t>WOS:000403604400114</t>
  </si>
  <si>
    <t>Electroconductivity of Molten Mixtures of LiCl-KCl Eutectics with Chlorides of Rare-Earth Elements</t>
  </si>
  <si>
    <t>10.1134/S0036024411010134</t>
  </si>
  <si>
    <t>WOS:000288387800025</t>
  </si>
  <si>
    <t>The doctrine of Khrushchev vs. Eisenhower doctrine, Spring-Summer 1960</t>
  </si>
  <si>
    <t>WOS:000255228700011</t>
  </si>
  <si>
    <t>Fominykh, EG; Kalinina, LA; Shirokova, GI; Ushakova, YN; Rychkova, TI; Ananchenko, BA</t>
  </si>
  <si>
    <t>Fominykh, E. G.; Kalinina, L. A.; Shirokova, G. I.; Ushakova, Yu. N.; Rychkova, T. I.; Ananchenko, B. A.</t>
  </si>
  <si>
    <t>Sulfide-conducting solid electrolytes for preparation of nonstoichiometric compounds with controlled composition and properties</t>
  </si>
  <si>
    <t>Topical Meeting of the European-Ceramic-Society</t>
  </si>
  <si>
    <t>JUN 27-29, 2006</t>
  </si>
  <si>
    <t>European Ceram Soc</t>
  </si>
  <si>
    <t>10.1134/S1087659607040104</t>
  </si>
  <si>
    <t>WOS:000249259800010</t>
  </si>
  <si>
    <t>Yurlov, IS; Ushakova, YN; Medvedeva, OV; Kalinina, LA; Shirokova, GI; Ananchenko, BA</t>
  </si>
  <si>
    <t>Yurlov, I. S.; Ushakova, Yu N.; Medvedeva, O. V.; Kalinina, L. A.; Shirokova, G. I.; Ananchenko, B. A.</t>
  </si>
  <si>
    <t>Determination of diffusion coefficients for sulfide ions in solid electrolytes on the basis of BaSm2S4 and CaGd2S4</t>
  </si>
  <si>
    <t>10.1134/S1023193507060043</t>
  </si>
  <si>
    <t>WOS:000247977600004</t>
  </si>
  <si>
    <t>Balyberdin, IA</t>
  </si>
  <si>
    <t>Balyberdin, Iu. A.</t>
  </si>
  <si>
    <t>Public organisations of the Viatka-Kama region on the eve and during the first Russian Revolution</t>
  </si>
  <si>
    <t>WOS:000241852800011</t>
  </si>
  <si>
    <t>Karaulov, VM; Palkina, MV</t>
  </si>
  <si>
    <t>Karaulov, Vasily M.; Palkina, Marina V.</t>
  </si>
  <si>
    <t>Assessment of the Innovative Development of Depressed Regions for the Sustainable Development of Their Digital Economy</t>
  </si>
  <si>
    <t>10.1007/978-3-030-70194-9_36</t>
  </si>
  <si>
    <t>WOS:000849737100035</t>
  </si>
  <si>
    <t>Dealiasing Technique for Processing of Sub-Nyquist Sampled Bandpass Analytic Signals</t>
  </si>
  <si>
    <t>Naumovich, Tatyana/B-8000-2017; Chastikov, Alexander/ACX-8162-2022; Chastikov, Alexander/A-5560-2014; Lesnikov, Vladislav A./E-9558-2011</t>
  </si>
  <si>
    <t>Naumovich, Tatyana/0000-0002-3659-2664; Chastikov, Alexander/0000-0002-1998-7787; Lesnikov, Vladislav A./0000-0002-5034-291X</t>
  </si>
  <si>
    <t>10.1109/SIBCON50419.2021.9438931</t>
  </si>
  <si>
    <t>WOS:000680842100079</t>
  </si>
  <si>
    <t>Bandakov, MP; Sannikova, AV</t>
  </si>
  <si>
    <t>Bandakov, M. P.; Sannikova, A., V</t>
  </si>
  <si>
    <t>A METHODOLOGICAL APPROACH TO DIFFERENTIATING MEANS OF DEVELOPMENT OF COORDINATION ABILITIES IN SKI-RACERS</t>
  </si>
  <si>
    <t>Bandakov, Mikhail/U-7614-2018</t>
  </si>
  <si>
    <t>Bandakov, Mikhail/0000-0002-8605-301X</t>
  </si>
  <si>
    <t>10.14529/hsm200110</t>
  </si>
  <si>
    <t>WOS:000539044700010</t>
  </si>
  <si>
    <t>Bykova, EV; Tarasov, KN</t>
  </si>
  <si>
    <t>Bykova, Ekaterina V.; Tarasov, Konstantin N.</t>
  </si>
  <si>
    <t>OLD BELIEVER ICON PAINTING IN THE SECOND HALF OF THE 19TH - EARLY 20TH CENTURIES IN THE CONTEXT OF HISTORICAL AND CULTURAL MODERNIZATION (ON THE MATERIALS OF THE VYATKA PROVINCE)</t>
  </si>
  <si>
    <t>Bykova, Ekaterina/0000-0002-6024-5398</t>
  </si>
  <si>
    <t>10.31166/VoprosyIstorii202012Statyi19</t>
  </si>
  <si>
    <t>WOS:000618381400019</t>
  </si>
  <si>
    <t>Calculation of the circular plates' stability in stresses</t>
  </si>
  <si>
    <t>Tyukalov, Yury/P-3728-2017; Tyukalov, Yury/GPS-7157-2022; Tyukalov, Yury/AAC-1554-2021</t>
  </si>
  <si>
    <t>10.1088/1757-899X/962/2/022041</t>
  </si>
  <si>
    <t>WOS:000648432000041</t>
  </si>
  <si>
    <t>Zyryanov, IA; Pozolotin, AP; Budin, AG; Kantor, EV; Viadykin, AS</t>
  </si>
  <si>
    <t>Zyryanov, I. A.; Pozolotin, A. P.; Budin, A. G.; Kantor, E., V; Viadykin, A. S.</t>
  </si>
  <si>
    <t>The experimental investigation of the electrostatic field influence on carbon monoxide and nitric oxide exhausting during the polymer combustion</t>
  </si>
  <si>
    <t>10.25750/1995-4301-2020-4-149-154</t>
  </si>
  <si>
    <t>WOS:000597810500023</t>
  </si>
  <si>
    <t>Sozinova, AA; Nabokikh, AA; Ryattel, AV; Sanovich, MA</t>
  </si>
  <si>
    <t>Sozinova, Anastasia A.; Nabokikh, Aleksei A.; Ryattel, Aleksandra V.; Sanovich, Marina A.</t>
  </si>
  <si>
    <t>Analysis of underdevelopment whirlpools as a tool of managing the regional market of education in the conditions of Industry 4.0</t>
  </si>
  <si>
    <t>Sozinova, Anastasia/F-6298-2015; Ryattel, Alexandra/AAB-8651-2021; Nabokikh, Alekseiy/AAB-8688-2021</t>
  </si>
  <si>
    <t>Sozinova, Anastasia/0000-0001-5876-2823; Nabokikh, Alekseiy/0000-0002-9046-0523</t>
  </si>
  <si>
    <t>10.1108/OTH-07-2019-0034</t>
  </si>
  <si>
    <t>WOS:000491196500007</t>
  </si>
  <si>
    <t>Vychegzhanin, SV; Kotelnikov, EV</t>
  </si>
  <si>
    <t>Vychegzhanin, S. V.; Kotelnikov, E., V</t>
  </si>
  <si>
    <t>Stance Detection Based on Ensembles of Classifiers</t>
  </si>
  <si>
    <t>PROGRAMMING AND COMPUTER SOFTWARE</t>
  </si>
  <si>
    <t>Kotelnikov, Evgeny/0000-0001-9745-1489; Vychegzhanin, Sergey/0000-0001-6456-7856</t>
  </si>
  <si>
    <t>0361-7688</t>
  </si>
  <si>
    <t>1608-3261</t>
  </si>
  <si>
    <t>10.1134/S0361768819050074</t>
  </si>
  <si>
    <t>WOS:000510646100002</t>
  </si>
  <si>
    <t>Palesheva, N; Zonova, N; Grin, S</t>
  </si>
  <si>
    <t>Palesheva, Nadezhda; Zonova, Nadezhda; Grin, Svetlana</t>
  </si>
  <si>
    <t>Outsourcing: condition and perspectives of development of accounting services in Russia</t>
  </si>
  <si>
    <t>Zonova, Nadezhda/N-7272-2018; Karanina, Elena E.V./L-1395-2016; Palesheva, Nadezhda/AAX-3899-2020; Palesheva, Nadejda/C-7401-2017</t>
  </si>
  <si>
    <t>Zonova, Nadezhda/0000-0002-2369-1364; Karanina, Elena E.V./0000-0002-5439-5912; Palesheva, Nadejda/0000-0002-9030-6577</t>
  </si>
  <si>
    <t>10.1051/e3sconf/201911002005</t>
  </si>
  <si>
    <t>WOS:000569050000094</t>
  </si>
  <si>
    <t>Development of Short-term and Long-term Memory of School Children with Different Nervous Systems through Coordination Exercises</t>
  </si>
  <si>
    <t>WOS:000464215200015</t>
  </si>
  <si>
    <t>Tolstobrov, IV; El'kin, OV; Bushuev, AN; Kondrat'ev, DA; Kozvonin, VA</t>
  </si>
  <si>
    <t>Tolstobrov, I. V.; El'kin, O. V.; Bushuev, A. N.; Kondrat'ev, D. A.; Kozvonin, V. A.</t>
  </si>
  <si>
    <t>Synthesis of Yttrium Intermetallic Compounds on the Surface of Copper Samples in an NaCl-KCl Melt</t>
  </si>
  <si>
    <t>10.1134/S0036029518080177</t>
  </si>
  <si>
    <t>WOS:000454273600016</t>
  </si>
  <si>
    <t>Kotelnikov, EV</t>
  </si>
  <si>
    <t>Kotelnikov, E., V</t>
  </si>
  <si>
    <t>TextJSM: Text Sentiment Analysis Method</t>
  </si>
  <si>
    <t>10.3103/S0005105518010089</t>
  </si>
  <si>
    <t>WOS:000435445400003</t>
  </si>
  <si>
    <t>Method of transmission of dynamic multibit digital images from micro-unmanned aerial vehicles</t>
  </si>
  <si>
    <t>10.1088/1742-6596/944/1/012088</t>
  </si>
  <si>
    <t>WOS:000431622000088</t>
  </si>
  <si>
    <t>Shempelev, AG; Suvorov, DM; Iglin, PV</t>
  </si>
  <si>
    <t>Shempelev, A. G.; Suvorov, D. M.; Iglin, P., V</t>
  </si>
  <si>
    <t>Efficiency of Using Built-In Bundles of Cogeneration Steam Turbine Condensers for Make-up Water Heating</t>
  </si>
  <si>
    <t>Iglin, Pavel V/Q-2963-2016; Anatoly, Shempelev/AAF-5257-2021</t>
  </si>
  <si>
    <t xml:space="preserve">Iglin, Pavel V/0000-0003-3731-7864; </t>
  </si>
  <si>
    <t>10.5281/zenodo.2222335</t>
  </si>
  <si>
    <t>WOS:000453865300004</t>
  </si>
  <si>
    <t>Generation and Decomposition of Digital Filter Topology</t>
  </si>
  <si>
    <t>WOS:000426878200134</t>
  </si>
  <si>
    <t>Spoken Document Retrieval System based on Phonemic Transcribing</t>
  </si>
  <si>
    <t>WOS:000426878200109</t>
  </si>
  <si>
    <t>Kustova, E</t>
  </si>
  <si>
    <t>Kustova, Elena</t>
  </si>
  <si>
    <t>Nunneries of the Urals region in the seventeens and early eighteenth centuries</t>
  </si>
  <si>
    <t>Kustova, Elena V./K-3664-2012</t>
  </si>
  <si>
    <t>Kustova, Elena V./0000-0001-7478-4424</t>
  </si>
  <si>
    <t>MAR-APR</t>
  </si>
  <si>
    <t>WOS:000374618600005</t>
  </si>
  <si>
    <t>Lesnikov, V; Chastikov, A; Garsh, D; Naumovich, T</t>
  </si>
  <si>
    <t>Lesnikov, V.; Chastikov, A.; Garsh, D.; Naumovich, T.</t>
  </si>
  <si>
    <t>Numerically Controlled Linear Chirp Oscillator</t>
  </si>
  <si>
    <t>WOS:000387159800059</t>
  </si>
  <si>
    <t>Alpatov, S; Prentkovskis, O; Sterling, RL; Kaliampakos, D</t>
  </si>
  <si>
    <t>Loginov, Dmitry; Karanina, Elena</t>
  </si>
  <si>
    <t>Risk management the national agricultural policy in the context of the challenges of the global industrial world</t>
  </si>
  <si>
    <t>15TH INTERNATIONAL SCIENTIFIC CONFERENCE UNDERGROUND URBANISATION AS A PREREQUISITE FOR SUSTAINABLE DEVELOPMENT</t>
  </si>
  <si>
    <t>15th World Conference of the Associated Research Centers for the Urban Underground Space - Underground Urbanization as a Prerequisite for Sustainable Development (ACUUS)</t>
  </si>
  <si>
    <t>SEP 12-15, 2016</t>
  </si>
  <si>
    <t>10.1016/j.proeng.2016.11.808</t>
  </si>
  <si>
    <t>WOS:000391640800110</t>
  </si>
  <si>
    <t>Savinykh, NP</t>
  </si>
  <si>
    <t>Savinykh, N. P.</t>
  </si>
  <si>
    <t>Modularity as a basis of heterochronies and heterotopies in flowering plants</t>
  </si>
  <si>
    <t>PALEONTOLOGICAL JOURNAL</t>
  </si>
  <si>
    <t>Conference on Morphogenesis in Ontogeny and Evolution: Heterochronies, Heterotopies, and Allometry</t>
  </si>
  <si>
    <t>APR 16-18, 2015</t>
  </si>
  <si>
    <t>Borissiak Paleontol Inst, Moscow, RUSSIA</t>
  </si>
  <si>
    <t>Borissiak Paleontol Inst</t>
  </si>
  <si>
    <t>0031-0301</t>
  </si>
  <si>
    <t>1555-6174</t>
  </si>
  <si>
    <t>10.1134/S0031030115140166</t>
  </si>
  <si>
    <t>WOS:000367543100016</t>
  </si>
  <si>
    <t>Balyberdin, D; Luppov, A</t>
  </si>
  <si>
    <t>Balyberdin, D.; Luppov, A.</t>
  </si>
  <si>
    <t>Locality-aware Bootstrapping Algorithm in Integrated Multifunctional P2P Owerlay Network</t>
  </si>
  <si>
    <t>2015 INTERNATIONAL SIBERIAN CONFERENCE ON CONTROL AND COMMUNICATIONS (SIBCON)</t>
  </si>
  <si>
    <t>MAY 21-23, 2015</t>
  </si>
  <si>
    <t>Russian Fdn Basic Researches project (15-07-20227),Natl Instruments R&amp;D,Inst Elect &amp; Elect Engineers (Conf #35463),Tomsk IEEE Chapter &amp; Student Branch,IEEE Microwave Theory and Techn Soc (Tomsk IEEE Chapter),IEEE Elect Devices Soc,Omsk State Tech Univ,Russia Siberia Sect IEEE,Tomsk IEEE Chapter &amp; Student Branch,Siberian Fed Univ, Russia Siberia Sect IEEE,Natl Instruments R&amp;D,IEEE youngprofessionals, Graduates Last Decade Affinity Group IEEE Russia Siberia Sect,Natl Res Tomsk Polytechn Univ</t>
  </si>
  <si>
    <t>978-1-4799-7103-9</t>
  </si>
  <si>
    <t>WOS:000380571600167</t>
  </si>
  <si>
    <t>Vorobeva, TA</t>
  </si>
  <si>
    <t>Vorobeva, T. A.</t>
  </si>
  <si>
    <t>SYRIA IN POLITICS USA IN YEARS 1939 - 1953</t>
  </si>
  <si>
    <t>WOS:000367967600001</t>
  </si>
  <si>
    <t>Prozorov, D; Chistyakov, A</t>
  </si>
  <si>
    <t>Prozorov, Dmitriy; Chistyakov, Anton</t>
  </si>
  <si>
    <t>Nonlinear filtering of pseudonoise signals using high-order Markov chain model</t>
  </si>
  <si>
    <t>PROCEEDINGS OF IEEE EAST-WEST DESIGN &amp; TEST SYMPOSIUM (EWDTS 2013)</t>
  </si>
  <si>
    <t>SEP 27-30, 2013</t>
  </si>
  <si>
    <t>Rostov on Don, RUSSIA</t>
  </si>
  <si>
    <t>IEEE,Kharkov Natl Univ Radioelectron,IEEE Comp Soc,tttc,Synopsys,Aldec,Don State Tech Univ,Tallinn Univ Technol,Virage Log,DataArt</t>
  </si>
  <si>
    <t>Zalygin, Anton/AAC-9031-2022; Prozorov, Dmitriy E./A-3548-2014</t>
  </si>
  <si>
    <t>Zalygin, Anton/0000-0003-0132-0674; Prozorov, Dmitriy E./0000-0002-3577-8838</t>
  </si>
  <si>
    <t>978-1-4799-2095-2; 978-1-4799-2096-9</t>
  </si>
  <si>
    <t>WOS:000332042400059</t>
  </si>
  <si>
    <t>Extension of Congruences on Semirings of Continuous Functions (vol 85, pg 767, 2008)</t>
  </si>
  <si>
    <t>Vechtomov, Evgenii M./I-5421-2017</t>
  </si>
  <si>
    <t>10.1134/S0001434609070165</t>
  </si>
  <si>
    <t>WOS:000269660400016</t>
  </si>
  <si>
    <t>Fominykh, EG; Kalinina, LA; Ushakova, YN; Shirokova, GI; Rychkova, TI; Ananchenko, BA</t>
  </si>
  <si>
    <t>Fominykh, E. G.; Kalinina, L. A.; Ushakova, Yu. N.; Shirokova, G. I.; Rychkova, T. I.; Ananchenko, B. A.</t>
  </si>
  <si>
    <t>Employing sulfide-conductive solid electrolytes for the production of semiconducting sulfides with controlled composition and properties</t>
  </si>
  <si>
    <t>8th Meeting on Fundamental Problems of Solid-State Ionics</t>
  </si>
  <si>
    <t>JUN 13-16, 2006</t>
  </si>
  <si>
    <t>Russian Acad Sci, Inst Problems Chem Phys, Chernogolovka, RUSSIA</t>
  </si>
  <si>
    <t>Russian Acad Sci, Inst Problems Chem Phys</t>
  </si>
  <si>
    <t>10.1134/S1023193507050072</t>
  </si>
  <si>
    <t>WOS:000247212300007</t>
  </si>
  <si>
    <t>Dmitrienko, AA</t>
  </si>
  <si>
    <t>Dmitrienko, A. A.</t>
  </si>
  <si>
    <t>Peasants of Vyatka region and the 1st State Duma</t>
  </si>
  <si>
    <t>WOS:000241086700008</t>
  </si>
  <si>
    <t>Fuks, SL; Devyaterikova, SV; Khitrin, SV; Samara, VA</t>
  </si>
  <si>
    <t>Development of processes for utilization of by-products from production of fluoropolymers</t>
  </si>
  <si>
    <t>10.1007/s11167-005-0056-y</t>
  </si>
  <si>
    <t>WOS:000225845100017</t>
  </si>
  <si>
    <t>Comrade Kerensky. The Revolution against the Monarchy and the Formation of the Cult of 'The Leader of the People' (March-June 1917).</t>
  </si>
  <si>
    <t>MAR 16</t>
  </si>
  <si>
    <t>10.1080/09668136.2023.2181591</t>
  </si>
  <si>
    <t>WOS:000974908800008</t>
  </si>
  <si>
    <t>Voronchikhin, SG; Tuev, MA</t>
  </si>
  <si>
    <t>Voronchikhin, S. G.; Tuev, M. A.</t>
  </si>
  <si>
    <t>A Device for Warming Solutions in Transfusion-Infusion Therapy</t>
  </si>
  <si>
    <t>BIOMEDICAL ENGINEERING-MEDITSINSKAYA TEKNIKA</t>
  </si>
  <si>
    <t>0006-3398</t>
  </si>
  <si>
    <t>1573-8256</t>
  </si>
  <si>
    <t>10.1007/s10527-022-10173-8</t>
  </si>
  <si>
    <t>WOS:000917953100003</t>
  </si>
  <si>
    <t>Baykova, OV; Pugach, VN; Kazakov, AV</t>
  </si>
  <si>
    <t>Baykova, O., V; Pugach, V. N.; Kazakov, A., V</t>
  </si>
  <si>
    <t>The entrepreneurial method as a way to solve the problems of processing wood waste in a circular economy</t>
  </si>
  <si>
    <t>10.25750/1995-4301-2022-4-224-231</t>
  </si>
  <si>
    <t>WOS:000929704700030</t>
  </si>
  <si>
    <t>Moscow is Far Away: Peasant Communal Traditions in the Expulsion of Collective Farm Members in the Vyatka-Kirov Region 1932-1939</t>
  </si>
  <si>
    <t>NOV 26</t>
  </si>
  <si>
    <t>10.1080/09668136.2021.1948972</t>
  </si>
  <si>
    <t>JUL 2021</t>
  </si>
  <si>
    <t>WOS:000674798100001</t>
  </si>
  <si>
    <t>PROBABILITY OF CONFLICT IN THE BALKANS AMID THE OUTBREAK OF THE KOREAN WAR: ESTIMATES OF U.S. DIPLOMATS AND MILITARY STAFF (1950-1952)</t>
  </si>
  <si>
    <t>10.17072/2219-3111-2020-1-167-178</t>
  </si>
  <si>
    <t>WOS:000589794700015</t>
  </si>
  <si>
    <t>Mashkovtseva, Victoria V.</t>
  </si>
  <si>
    <t>Children of the old believers as an object of the confessional policy of regional authorities in the second quarter of the 19th century (based on materials from the Vyatka province)</t>
  </si>
  <si>
    <t>10.31166/VoprosyIstorii202010Statyi82</t>
  </si>
  <si>
    <t>WOS:000605445400019</t>
  </si>
  <si>
    <t>A Comparative Study of the Working Conditions of Science Teachers</t>
  </si>
  <si>
    <t>10.3897/ap.2.e2633</t>
  </si>
  <si>
    <t>WOS:000671896200205</t>
  </si>
  <si>
    <t>Development of the Ability to Adapt and Rearrange Movements in Children 8-9 Years with the help of Exercises Classic's</t>
  </si>
  <si>
    <t>WOS:000496818300132</t>
  </si>
  <si>
    <t>Bespyatykh, O; Koshkina, N</t>
  </si>
  <si>
    <t>Chova, LG; Martinez, AL; Torres, IC</t>
  </si>
  <si>
    <t>Bespyatykh, O.; Koshkina, N.</t>
  </si>
  <si>
    <t>ASSESSMENT OF PROFESSIONAL COMPETENCE OF FUTURE TEACHERS OF LIFE SAFETY IN THE INTERIM ASSESSMENT USING WORLDSKILLS RUSSIA METHODS</t>
  </si>
  <si>
    <t>EDULEARN19: 11TH INTERNATIONAL CONFERENCE ON EDUCATION AND NEW LEARNING TECHNOLOGIES</t>
  </si>
  <si>
    <t>EDULEARN Proceedings</t>
  </si>
  <si>
    <t>11th International Conference on Education and New Learning Technologies (EDULEARN)</t>
  </si>
  <si>
    <t>JUL 01-03, 2019</t>
  </si>
  <si>
    <t>Palma, SPAIN</t>
  </si>
  <si>
    <t>2340-1117</t>
  </si>
  <si>
    <t>978-84-09-12031-4</t>
  </si>
  <si>
    <t>WOS:000553304904024</t>
  </si>
  <si>
    <t>Sazanova, ML; Kadochnikova, NI; Popova, GA</t>
  </si>
  <si>
    <t>Sazanova, Maria L.; Kadochnikova, Natalia I.; Popova, Galina A.</t>
  </si>
  <si>
    <t>Development of Research Skills of Future Bachelors of Pedagogics in Studying the Basic Academic Disciplines</t>
  </si>
  <si>
    <t>Sazanova, Maria/AAS-9191-2021; Sazanova, Maria/I-4211-2016</t>
  </si>
  <si>
    <t>Sazanova, Maria/0000-0003-3492-8395; Sazanova, Maria/0000-0003-3492-8395</t>
  </si>
  <si>
    <t>10.3897/ap.1.e0545</t>
  </si>
  <si>
    <t>WOS:000520005200058</t>
  </si>
  <si>
    <t>Selivanova, O</t>
  </si>
  <si>
    <t>Soare, E; Langa, C</t>
  </si>
  <si>
    <t>Selivanova, Olga</t>
  </si>
  <si>
    <t>LEARNING TECHNOLOGIES AS A METHOD OF ORGANIZATION OF PUPIL'S EDUCATIONAL ACTIVITY</t>
  </si>
  <si>
    <t>EDU WORLD 2018 - 8TH INTERNATIONAL CONFERENCE</t>
  </si>
  <si>
    <t>Edu World 8th International Conference</t>
  </si>
  <si>
    <t>NOV 09-10, 2018</t>
  </si>
  <si>
    <t>Pilesti, ROMANIA</t>
  </si>
  <si>
    <t>Selivanova, Olga/HDL-9515-2022</t>
  </si>
  <si>
    <t>10.15405/epsbs.2019.08.03.67</t>
  </si>
  <si>
    <t>WOS:000582461100067</t>
  </si>
  <si>
    <t>Tatarinova, NV; Sushchikh, VM</t>
  </si>
  <si>
    <t>Tatarinova, N., V; Sushchikh, V. M.</t>
  </si>
  <si>
    <t>Study of Flow and Power Characteristics of the Last Compartments of Cogeneration Steam Turbines</t>
  </si>
  <si>
    <t>10.5281/zenodo.3562205</t>
  </si>
  <si>
    <t>WOS:000504406100007</t>
  </si>
  <si>
    <t>Karanina, E; Ryazanova, O; Timin, A</t>
  </si>
  <si>
    <t>Murgul, V; Popovic, Z</t>
  </si>
  <si>
    <t>Karanina, Elena; Ryazanova, Olesya; Timin, Alexander</t>
  </si>
  <si>
    <t>The Risk-Based Approach to Rating the Competitiveness of Transport Enterprises in the System of Economic Security</t>
  </si>
  <si>
    <t>INTERNATIONAL SCIENTIFIC CONFERENCE ENERGY MANAGEMENT OF MUNICIPAL TRANSPORTATION FACILITIES AND TRANSPORT, EMMFT 2017</t>
  </si>
  <si>
    <t>Karanina, Elena E.V./0000-0002-5439-5912; Timin, Alexander/0000-0002-8255-5215</t>
  </si>
  <si>
    <t>2194-5365</t>
  </si>
  <si>
    <t>978-3-319-70987-1; 978-3-319-70986-4</t>
  </si>
  <si>
    <t>10.1007/978-3-319-70987-1_34</t>
  </si>
  <si>
    <t>WOS:000436502300034</t>
  </si>
  <si>
    <t>Development of the General Coordination Abilities of School Students Taking their Nervous System into Account</t>
  </si>
  <si>
    <t>WOS:000451688700021</t>
  </si>
  <si>
    <t>Sadakov, D. A.</t>
  </si>
  <si>
    <t>FOR THE EXTREME CASE: USA, SYNGMAN RHEE AND THE EVERREADY OPERATION IN THE KOREAN WAR (1952-1953)</t>
  </si>
  <si>
    <t>10.17072/2219-3111-2018-4-40-49</t>
  </si>
  <si>
    <t>WOS:000456115100005</t>
  </si>
  <si>
    <t>On Mathematical Model of Condenser Equipped with Water-Jet Ejector</t>
  </si>
  <si>
    <t>WOS:000478963800147</t>
  </si>
  <si>
    <t>Security Threats in Mobile Cognitive Radio Networks</t>
  </si>
  <si>
    <t>WOS:000517795800124</t>
  </si>
  <si>
    <t>Chernyshova, NV</t>
  </si>
  <si>
    <t>Chernyshova, N. V.</t>
  </si>
  <si>
    <t>SANITARY-EPIDEMIOLOGICAL SITUATION IN KIROV REGION IN THE YEARS OF THE GREAT PATRIOTIC WAR</t>
  </si>
  <si>
    <t>Chernysheva, Natalia/Q-4804-2016</t>
  </si>
  <si>
    <t>Chernysheva, Natalia/0000-0002-1492-5368</t>
  </si>
  <si>
    <t>WOS:000410460100012</t>
  </si>
  <si>
    <t>Basmanov, VG; Zakalata, AA; Kholmanskikh, VM</t>
  </si>
  <si>
    <t>Basmanov, V. G.; Zakalata, A. A.; Kholmanskikh, V. M.</t>
  </si>
  <si>
    <t>On the Issue of Periodicity of Non-Destructive Examination of Urban Electric Cable Lines</t>
  </si>
  <si>
    <t>WOS:000403604400157</t>
  </si>
  <si>
    <t>Fufachev, A; Luppov, A; Sintsov, A; Marenkov, D</t>
  </si>
  <si>
    <t>Fufachev, A.; Luppov, A.; Sintsov, A.; Marenkov, D.</t>
  </si>
  <si>
    <t>Adaptive Antenna Array quality estimation based on Statistical Analysis of Phase Distribution</t>
  </si>
  <si>
    <t>WOS:000380571600294</t>
  </si>
  <si>
    <t>Modification of the Architecture of a Distributed Arithmetic</t>
  </si>
  <si>
    <t>Chastikov, Alexander/ACX-8162-2022; Lesnikov, Vladislav A./E-9558-2011; Chastikov, Alexander/A-5560-2014; Naumovich, Tatyana/B-8000-2017</t>
  </si>
  <si>
    <t>Lesnikov, Vladislav A./0000-0002-5034-291X; Chastikov, Alexander/0000-0002-1998-7787; Naumovich, Tatyana/0000-0002-3659-2664</t>
  </si>
  <si>
    <t>WOS:000382527700060</t>
  </si>
  <si>
    <t>Hybrid Recommender System for Prediction of the Yelp Users Preferences</t>
  </si>
  <si>
    <t>ADVANCES IN DATA MINING: APPLICATIONS AND THEORETICAL ASPECTS</t>
  </si>
  <si>
    <t>14th Industrial Conference on Data Mining (ICDM)</t>
  </si>
  <si>
    <t>JUL 16-20, 2014</t>
  </si>
  <si>
    <t>978-3-319-08976-8; 978-3-319-08975-1</t>
  </si>
  <si>
    <t>WOS:000353450900007</t>
  </si>
  <si>
    <t>El'kin, OV; Kovalevskii, AV</t>
  </si>
  <si>
    <t>El'kin, O. V.; Kovalevskii, A. V.</t>
  </si>
  <si>
    <t>Corrosion of Gadolinium and Ytterbium in LiCl-KCl Melt</t>
  </si>
  <si>
    <t>10.1134/S1023193511070068</t>
  </si>
  <si>
    <t>WOS:000295530300015</t>
  </si>
  <si>
    <t>Leushina, AP; Kolesnikova, LA</t>
  </si>
  <si>
    <t>Transport and conduction properties of solid electrolyte CuCl-CdCl2 in the region of solid solutions</t>
  </si>
  <si>
    <t>10.1023/A:1023816608198</t>
  </si>
  <si>
    <t>WOS:000183347900008</t>
  </si>
  <si>
    <t>Sokovnin, OM; Polovnikov, VA</t>
  </si>
  <si>
    <t>Calculation of the efficiency of entraining rodlike particles by a bubble rising in a Stokes flow</t>
  </si>
  <si>
    <t>WOS:A1996UZ60600014</t>
  </si>
  <si>
    <t>Vlasova, KV</t>
  </si>
  <si>
    <t>Vlasova, K. V.</t>
  </si>
  <si>
    <t>Istanbul Canal: Turkish Pipedream or Coming Realty?</t>
  </si>
  <si>
    <t>10.31857/S0201708322040088</t>
  </si>
  <si>
    <t>WOS:000894195500008</t>
  </si>
  <si>
    <t>Chernova, OV; Zhukovin, SV</t>
  </si>
  <si>
    <t>Chernova, O., V; Zhukovin, S., V</t>
  </si>
  <si>
    <t>Fabrication of an Ni-Pr Coating by the Application of EMF in an Equimolar NaCl-KCl Melt</t>
  </si>
  <si>
    <t>Zhukovin, Sergey/F-5488-2019</t>
  </si>
  <si>
    <t>Zhukovin, Sergey/0000-0002-0532-2303</t>
  </si>
  <si>
    <t>10.1134/S0036029522020033</t>
  </si>
  <si>
    <t>WOS:000787803600016</t>
  </si>
  <si>
    <t>Kosheleva, EV; Kalinina, LA; Ushakova, YN; Ananchenko, BA</t>
  </si>
  <si>
    <t>Kosheleva, E. V.; Kalinina, L. A.; Ushakova, Yu. N.; Ananchenko, B. A.</t>
  </si>
  <si>
    <t>Comparative evaluation of the prospects of using sulfide-conducting solid electrolytes in the composition of sensors for hydrogen sulfide and sulfur dioxide</t>
  </si>
  <si>
    <t>10.25750/1995-4301-2022-3-041-048</t>
  </si>
  <si>
    <t>WOS:000885393200005</t>
  </si>
  <si>
    <t>Kutyavina, TI; Vartan, IA; Shemyakina, EV; Timina, VV</t>
  </si>
  <si>
    <t>Kutyavina, T. I.; Vartan, I. A.; Shemyakina, E. V.; Timina, V. V.</t>
  </si>
  <si>
    <t>Hydrochemical conditions for the formation of wetland ecosystems in the Bylina State Nature Reserve</t>
  </si>
  <si>
    <t>Kutyavina, Tatyana/T-1440-2017</t>
  </si>
  <si>
    <t>Kutyavina, Tatyana/0000-0001-7957-0636; Vartan, Igor'/0000-0003-1663-385X</t>
  </si>
  <si>
    <t>10.25750/1995-4301-2022-3-103-109</t>
  </si>
  <si>
    <t>WOS:000885393200013</t>
  </si>
  <si>
    <t>Bykova, EV; Valova, OM</t>
  </si>
  <si>
    <t>Bykova, Ekaterina, V; Valova, Olga M.</t>
  </si>
  <si>
    <t>Confessional Model of Image of Person in Text of Old Believer Popular Print Two roads - Two ways</t>
  </si>
  <si>
    <t>Valova, Olga/AAC-4111-2019</t>
  </si>
  <si>
    <t>Valova, Olga/0000-0001-7987-5317; Bykova, Ekaterina/0000-0002-6024-5398</t>
  </si>
  <si>
    <t>10.24224/2227-1295-2021-11-216-234</t>
  </si>
  <si>
    <t>WOS:000726493300012</t>
  </si>
  <si>
    <t>Distant Psychological Violence: Prospects for Improvement of Criminal Legislation</t>
  </si>
  <si>
    <t>10.17759/psylaw.2021110405</t>
  </si>
  <si>
    <t>WOS:000739852400005</t>
  </si>
  <si>
    <t>Timin, AN; Baybakova, TV</t>
  </si>
  <si>
    <t>Timin, Aleksandr N.; Baybakova, Tatiana V.</t>
  </si>
  <si>
    <t>The Issues of Economic Security of the Eurasian Economic Union Countries in View of Sustainable Development of Their Digital Economy</t>
  </si>
  <si>
    <t>10.1007/978-3-030-70194-9_35</t>
  </si>
  <si>
    <t>WOS:000849737100034</t>
  </si>
  <si>
    <t>Zyryanov, IA; Budin, AG; Pozolotin, AP; Vladykin, AS</t>
  </si>
  <si>
    <t>Zyryanov, I. A.; Budin, A. G.; Pozolotin, A. P.; Vladykin, A. S.</t>
  </si>
  <si>
    <t>Ways to reduce CO and NO emissions in the installation for environmentally friendly rubber incineration</t>
  </si>
  <si>
    <t>10.25750/995-4301-2021-4-058-063</t>
  </si>
  <si>
    <t>WOS:000755154100008</t>
  </si>
  <si>
    <t>Smetanina, ZV; Ivanova, GA</t>
  </si>
  <si>
    <t>Smetanina, Zoya, V; Ivanova, Galina A.</t>
  </si>
  <si>
    <t>Variations of the Word in the Regional Dictionary of Vyatka Dialects</t>
  </si>
  <si>
    <t>10.17223/15617793/451/8</t>
  </si>
  <si>
    <t>WOS:000530049500008</t>
  </si>
  <si>
    <t>Gorbushina, AV; Korchagina, GI</t>
  </si>
  <si>
    <t>Gorbushina, A., V; Korchagina, G., I</t>
  </si>
  <si>
    <t>Patterns of Changes in Teachers' Work Motivation</t>
  </si>
  <si>
    <t>PSYCHOLOGY-JOURNAL OF THE HIGHER SCHOOL OF ECONOMICS</t>
  </si>
  <si>
    <t>1813-8918</t>
  </si>
  <si>
    <t>10.17323/1813-8918-2020-4-696-718</t>
  </si>
  <si>
    <t>WOS:000607584700007</t>
  </si>
  <si>
    <t>Shempelev, AG</t>
  </si>
  <si>
    <t>Shempelev, A. G.</t>
  </si>
  <si>
    <t>Analysis of the Energy Efficiency of Different Methods of Adding Make-up Feed Water in the Steam Turbine Cycle CHPP</t>
  </si>
  <si>
    <t>Anatoly, Shempelev/AAF-5257-2021</t>
  </si>
  <si>
    <t>10.5281/zenodo.4317048</t>
  </si>
  <si>
    <t>WOS:000599902400007</t>
  </si>
  <si>
    <t>Vesnin, RL; Alalykin, AA; Vokhmyanin, MA</t>
  </si>
  <si>
    <t>Vesnin, R. L.; Alalykin, A. A.; Vokhmyanin, M. A.</t>
  </si>
  <si>
    <t>POLYETHYLENE TEREPHTHALATE WASTE RECYCLING TECHNOLOGY TO PRODUCE TEREPHTHALIC ACID AMIDE</t>
  </si>
  <si>
    <t>10.6060/ivkkt.20206302.6055</t>
  </si>
  <si>
    <t>WOS:000518856900015</t>
  </si>
  <si>
    <t>Kalinin, SI; Toropova, SI</t>
  </si>
  <si>
    <t>Kalinin, S., I; Toropova, S., I</t>
  </si>
  <si>
    <t>Statistical methods for analyzing the correlatio between air quality and the state of children's health in the Kirov region</t>
  </si>
  <si>
    <t>Toropova, Svetlana/Y-5928-2019; Kalinin, Sergey/AAK-9738-2020</t>
  </si>
  <si>
    <t>Toropova, Svetlana/0000-0003-0533-5654; Kalinin, Sergey/0000-0001-5439-9414</t>
  </si>
  <si>
    <t>10.25750/1995-4301-2019-2-143-148</t>
  </si>
  <si>
    <t>WOS:000477826000018</t>
  </si>
  <si>
    <t>Morozova, MA; Kadochnikova, N; Sazanova, M</t>
  </si>
  <si>
    <t>Morozova, Marina A.; Kadochnikova, Natalia; Sazanova, Maria</t>
  </si>
  <si>
    <t>Analysis of morphological and functional status of children with spastic tetraparesis in the process of physical recreation and hydrorehabilitation</t>
  </si>
  <si>
    <t>Morozova, Marina A./AAD-1191-2019; Sazanova, Maria/AAS-9191-2021</t>
  </si>
  <si>
    <t>Morozova, Marina A./0000-0003-3303-3426; Sazanova, Maria/0000-0003-3492-8395</t>
  </si>
  <si>
    <t>WOS:000625435700039</t>
  </si>
  <si>
    <t>Laptev, AV; Sozinova, AA</t>
  </si>
  <si>
    <t>Laptev, Alexander V.; Sozinova, Anastasia A.</t>
  </si>
  <si>
    <t>ANALYSING UNDERDEVELOPMENT WHIRLPOOLS AS A TOOL FOR MANAGING INNOVATIONS AND THE PROCESS OF REORGANIZATION OF ENTERPRISE STRUCTURES</t>
  </si>
  <si>
    <t>WOS:000450658500001</t>
  </si>
  <si>
    <t>Mosunova, L. A.</t>
  </si>
  <si>
    <t>The Formation of the Information Culture of Students in the System of Electronic Education: A Theoretical and Experimental Study</t>
  </si>
  <si>
    <t>10.3103/S0147688218030036</t>
  </si>
  <si>
    <t>WOS:000449782000002</t>
  </si>
  <si>
    <t>Chermnykh, OV</t>
  </si>
  <si>
    <t>Chermnykh, O., V</t>
  </si>
  <si>
    <t>Functional representations of lattice-ordered semirings. II</t>
  </si>
  <si>
    <t>Chermnykh, Oksana/X-8351-2018</t>
  </si>
  <si>
    <t>Chermnykh, Oksana/0000-0003-1039-7825</t>
  </si>
  <si>
    <t>10.17377/semi.2018.15.053</t>
  </si>
  <si>
    <t>WOS:000438412200053</t>
  </si>
  <si>
    <t>Kalabin, OV; Spitsin, AP</t>
  </si>
  <si>
    <t>Kalabin, O., V; Spitsin, A. P.</t>
  </si>
  <si>
    <t>Features of the heart rate variability of powerlifters under the influence of the training process</t>
  </si>
  <si>
    <t>Kalabin, Oleg/S-2458-2018; Kalabin, Oleg/HKV-1797-2023</t>
  </si>
  <si>
    <t>Kalabin, Oleg/0000-0002-5383-5007; Kalabin, Oleg/0000-0002-5383-5007</t>
  </si>
  <si>
    <t>WOS:000432656200010</t>
  </si>
  <si>
    <t>Kotelnikov, E; Razova, E; Fishcheva, I</t>
  </si>
  <si>
    <t>Filchenkov, A; Pivovarova, L; Zizka, J</t>
  </si>
  <si>
    <t>Kotelnikov, Evgeny; Razova, Elena; Fishcheva, Irina</t>
  </si>
  <si>
    <t>A Close Look at Russian Morphological Parsers: Which One Is the Best?</t>
  </si>
  <si>
    <t>ARTIFICIAL INTELLIGENCE AND NATURAL LANGUAGE</t>
  </si>
  <si>
    <t>6th Conference on Artificial Intelligence and Natural Language (AINL)</t>
  </si>
  <si>
    <t>SEP 20-23, 2017</t>
  </si>
  <si>
    <t>NLP Seminar,ITMO Univ</t>
  </si>
  <si>
    <t>Fishcheva, Irina/T-6334-2018; Razova, Elena/U-4097-2018; Kotelnikov, Evgeny/A-3606-2014</t>
  </si>
  <si>
    <t>Fishcheva, Irina/0000-0002-6941-2009; Razova, Elena/0000-0001-5557-5432; Kotelnikov, Evgeny/0000-0001-9745-1489</t>
  </si>
  <si>
    <t>978-3-319-71746-3; 978-3-319-71745-6</t>
  </si>
  <si>
    <t>10.1007/978-3-319-71746-3_12</t>
  </si>
  <si>
    <t>WOS:000437301200012</t>
  </si>
  <si>
    <t>The Experiment. Georgia's Forgotten Revolution 1918-1921</t>
  </si>
  <si>
    <t>10.1080/09668136.2018.1503891</t>
  </si>
  <si>
    <t>WOS:000446581900017</t>
  </si>
  <si>
    <t>AMERICAN DIPLOMATS IN POST-WAR PRAGUE IN 1945</t>
  </si>
  <si>
    <t>10.15688/jvolsu4.2018.4.10</t>
  </si>
  <si>
    <t>WOS:000442951100010</t>
  </si>
  <si>
    <t>The USA and the Soviet-Czechoslovakia treaty of 1943</t>
  </si>
  <si>
    <t>WOS:000408075600011</t>
  </si>
  <si>
    <t>Isupov, K; Knyazkov, V; Kuvaev, A</t>
  </si>
  <si>
    <t>Pavlyukova, E; Uzhinskaya, L; Suroegina, Z</t>
  </si>
  <si>
    <t>Isupov, Konstantin; Knyazkov, Vladimir; Kuvaev, Alexander</t>
  </si>
  <si>
    <t>Fast Power-of-Two RNS Scaling Algorithm for Large Dynamic Ranges</t>
  </si>
  <si>
    <t>2017 FOURTH INTERNATIONAL CONFERENCE ON ENGINEERING AND TELECOMMUNICATION (EN&amp;T)</t>
  </si>
  <si>
    <t>4th International Conference on Engineering and Telecommunication (EnT)</t>
  </si>
  <si>
    <t>NOV 29-30, 2017</t>
  </si>
  <si>
    <t>IEEE AESS,Moscow Inst Phys &amp; Technol,Tsinghua Univ,Univ Crne Gore,Radiophys &amp; Satellite Commun Lab,Natl Instruments,Parallels,Acronis,Virtuozzo,OPTK,MUCT,IEEE</t>
  </si>
  <si>
    <t>978-1-5386-4547-5</t>
  </si>
  <si>
    <t>10.1109/ICEnT.2017.36</t>
  </si>
  <si>
    <t>WOS:000427144900030</t>
  </si>
  <si>
    <t>Modeling of Thermal Radiation of Combustion Products in the Gas Generator</t>
  </si>
  <si>
    <t>Shmakova, Natalia/HKE-3411-2023; Kuzmin, Vladimir A/J-6741-2017</t>
  </si>
  <si>
    <t>Shmakova, Natalia/0000-0002-7718-7681; Kuzmin, Vladimir A/0000-0002-8886-8677; Kuzmin, Vladimir/0000-0001-9979-4610</t>
  </si>
  <si>
    <t>WOS:000414282400354</t>
  </si>
  <si>
    <t>Sapozhnikova, ES; Domracheva, LP; Timin, AN; Grin, SV; Loginov, DA</t>
  </si>
  <si>
    <t>Sapozhnikova, Ekaterina S.; Domracheva, Larisa P.; Timin, Alexandr N.; Grin, Svetlana V.; Loginov, Dmitry A.</t>
  </si>
  <si>
    <t>Economic Security of Agro-Industrial Complex as a Basis of National Food Security</t>
  </si>
  <si>
    <t>10.1007/978-3-319-60696-5_4</t>
  </si>
  <si>
    <t>WOS:000426114200004</t>
  </si>
  <si>
    <t>Soboleva, O; Sozinova, A; Spengler, A; Fokina, O; Savelyeva, N</t>
  </si>
  <si>
    <t>Soboleva, Olga; Sozinova, Anastasia; Spengler, Anna; Fokina, Olga; Savelyeva, Nadezhda</t>
  </si>
  <si>
    <t>Mechanisms of Regulation of Economic Processes in a Region</t>
  </si>
  <si>
    <t>Soboleva, Olga/T-1858-2018; Saveleva, Nadezda/AAP-4493-2020; Sozinova, Anastasia/F-6298-2015</t>
  </si>
  <si>
    <t>Soboleva, Olga/0000-0001-8019-7023; Saveleva, Nadezda/0000-0002-9497-6172; Sozinova, Anastasia/0000-0001-5876-2823; Fokina, Olga/0000-0002-6697-3353</t>
  </si>
  <si>
    <t>10.1007/978-3-319-60696-5_51</t>
  </si>
  <si>
    <t>WOS:000426114200051</t>
  </si>
  <si>
    <t>Kovalevskii, AV; Kondrat'ev, DA</t>
  </si>
  <si>
    <t>Kovalevskii, A. V.; Kondrat'ev, D. A.</t>
  </si>
  <si>
    <t>Electrochemical properties of a lithium-potassium chloride molten eutectic mixture held in contact with neodymium and dysprosium</t>
  </si>
  <si>
    <t>RUSSIAN JOURNAL OF NON-FERROUS METALS</t>
  </si>
  <si>
    <t>1067-8212</t>
  </si>
  <si>
    <t>1934-970X</t>
  </si>
  <si>
    <t>10.3103/S1067821214020096</t>
  </si>
  <si>
    <t>WOS:000335735500004</t>
  </si>
  <si>
    <t>Mikhailichenko, TV; Kalinina, LA; Ushakova, YN; Shirokova, GI; Tokareva, TV</t>
  </si>
  <si>
    <t>Mikhailichenko, T. V.; Kalinina, L. A.; Ushakova, Yu N.; Shirokova, G. I.; Tokareva, T. V.</t>
  </si>
  <si>
    <t>Synthesis of Complex Sulfide Phases BaSm2S4-Tm2S3 and Studies of Their Electrolytic Properties</t>
  </si>
  <si>
    <t>10th Conference on Fundamental Problems of Solid State Ionics</t>
  </si>
  <si>
    <t>Chernogolovka, RUSSIA</t>
  </si>
  <si>
    <t>10.1134/S1023193511050089</t>
  </si>
  <si>
    <t>WOS:000292270900007</t>
  </si>
  <si>
    <t>Kalinina, LA; Ushakova, YN; Medvedeva, OV; Shirokova, GI; Fominykh, EG</t>
  </si>
  <si>
    <t>Kalinina, L. A.; Ushakova, Yu. N.; Medvedeva, O. V.; Shirokova, G. I.; Fominykh, E. G.</t>
  </si>
  <si>
    <t>The thermodynamic characteristics of formation of ternary sulfides MeLn(2)S(4) and solid solutions based on them</t>
  </si>
  <si>
    <t>15th International Conference on Chemical Thermodynamics (RCCT-2005)</t>
  </si>
  <si>
    <t>JUN 27-JUL 02, 2005</t>
  </si>
  <si>
    <t>Moscow State Univ,Russian Acad Sci,Russian Fdn Basic Res,Russian Federat, Minist Nal Resources,Federal Acgy Atomic Energy,Moscow Comm Sci &amp; Technol,Int Union Pure &amp; Appl Chem,Int Assoc Chem Thermodynam</t>
  </si>
  <si>
    <t>10.1134/S0036024406110069</t>
  </si>
  <si>
    <t>WOS:000245667100006</t>
  </si>
  <si>
    <t>Bratukhina, EA; Nagovitsyna, EV; Tusin, DS</t>
  </si>
  <si>
    <t>Bratukhina, Elena A.; Nagovitsyna, Eleonora, V; Tusin, Dmitry S.</t>
  </si>
  <si>
    <t>Company Risk Management in Export Activities</t>
  </si>
  <si>
    <t>Tusin, Dmitriy/0000-0002-1455-0391; Bratukhina, Elena/0000-0001-5163-6154</t>
  </si>
  <si>
    <t>10.1007/978-3-030-93244-2_83</t>
  </si>
  <si>
    <t>WOS:000759460600083</t>
  </si>
  <si>
    <t>Khoroshavin, VS; Grudinin, VS</t>
  </si>
  <si>
    <t>Khoroshavin, V. S.; Grudinin, V. S.</t>
  </si>
  <si>
    <t>Developing a Quasi-Optimal, in Terms of Transition Time and Energy Consumption, Closed-Loop Control System for an Electrical Installation</t>
  </si>
  <si>
    <t>10.15507/2658-4123.032.202202.279-294</t>
  </si>
  <si>
    <t>WOS:000822052400007</t>
  </si>
  <si>
    <t>The Confessional Policy of the Russian Authorities in Relation to the Old Believer Books in the Second Half of the 19th - Early 20th Centuries (On the Materials of Vyatka Province)</t>
  </si>
  <si>
    <t>10.17223/15617793/465/15</t>
  </si>
  <si>
    <t>WOS:000691270200015</t>
  </si>
  <si>
    <t>The Czechoslovak Crisis of 1948 in the Perception of American Diplomats and Media</t>
  </si>
  <si>
    <t>10.24833/2071-8160-2021-4-79-26-50</t>
  </si>
  <si>
    <t>WOS:000695496900002</t>
  </si>
  <si>
    <t>Systemic and Structural Analysis of the Component Composition of the Content of Foreign-Language Education</t>
  </si>
  <si>
    <t>10.17223/15617793/460/23</t>
  </si>
  <si>
    <t>WOS:000624428700023</t>
  </si>
  <si>
    <t>Olkova, A; Zimonina, N</t>
  </si>
  <si>
    <t>Olkova, Anna; Zimonina, Natalia</t>
  </si>
  <si>
    <t>Assessment of the Toxicity of the Natural and Technogenic Environment for Motor Activity of Daphnia magna</t>
  </si>
  <si>
    <t>10.12911/22998993/125459</t>
  </si>
  <si>
    <t>WOS:000576664500002</t>
  </si>
  <si>
    <t>Stojanovic, R; Jozwiak, L; Milutinovic, V; Lutovac, B; Jurisic, D</t>
  </si>
  <si>
    <t>Reconstruction of Undersampled Analitic Signals under First Order Aliasing</t>
  </si>
  <si>
    <t>2020 9TH MEDITERRANEAN CONFERENCE ON EMBEDDED COMPUTING (MECO)</t>
  </si>
  <si>
    <t>9th Mediterranean Conference on Embedded Computing (MECO)</t>
  </si>
  <si>
    <t>JUN 08-11, 2020</t>
  </si>
  <si>
    <t>IEEE,Mant,Meco net,FER,UCG</t>
  </si>
  <si>
    <t>Chastikov, Alexander/A-5560-2014; Lesnikov, Vladislav A./E-9558-2011; Chastikov, Alexander/ACX-8162-2022; Naumovich, Tatyana/B-8000-2017</t>
  </si>
  <si>
    <t>978-1-7281-6949-1</t>
  </si>
  <si>
    <t>WOS:000612854100118</t>
  </si>
  <si>
    <t>Bardovskaya, A; Chistyakov, G; Dolzhenkova, M; Strabykin, D</t>
  </si>
  <si>
    <t>Silhavy, R</t>
  </si>
  <si>
    <t>Bardovskaya, Anastasia; Chistyakov, Gennadiy; Dolzhenkova, Maria; Strabykin, Dmitry</t>
  </si>
  <si>
    <t>The Method of Deductive Inference of Consequences with the Scheme Construction</t>
  </si>
  <si>
    <t>ARTIFICIAL INTELLIGENCE METHODS IN INTELLIGENT ALGORITHMS</t>
  </si>
  <si>
    <t>8th Computer Science On-Line Conference (CSOC)</t>
  </si>
  <si>
    <t>APR 24-27, 2019</t>
  </si>
  <si>
    <t>CZECH REPUBLIC</t>
  </si>
  <si>
    <t>OpenPublish.eu s r o</t>
  </si>
  <si>
    <t>Strabykin, Dmitry/0000-0003-2787-3525</t>
  </si>
  <si>
    <t>978-3-030-19810-7</t>
  </si>
  <si>
    <t>10.1007/978-3-030-19810-7_1</t>
  </si>
  <si>
    <t>WOS:000503762800001</t>
  </si>
  <si>
    <t>Kharina, NL; Petrov, EP; Kladova, LV</t>
  </si>
  <si>
    <t>Kharina, N. L.; Petrov, E. P.; Kladova, L. V.</t>
  </si>
  <si>
    <t>Unmatched Filters for Autocorrelation Function Side-Lobes Suppression of Complex Radar Signals</t>
  </si>
  <si>
    <t>2019 SYSTEMS OF SIGNAL SYNCHRONIZATION, GENERATING AND PROCESSING IN TELECOMMUNICATIONS (SYNCHROINFO)</t>
  </si>
  <si>
    <t>Conference on Systems of Signal Synchronization, Generating and Processing in Telecommunications (SYNCHROINFO)</t>
  </si>
  <si>
    <t>P G Demidov Yaroslavl State Univ, RUSSIA</t>
  </si>
  <si>
    <t>IEEE Russia Sect CAS Chapter,Moscow Tech Univ Commun &amp; Informat</t>
  </si>
  <si>
    <t>P G Demidov Yaroslavl State Univ</t>
  </si>
  <si>
    <t>978-1-7281-3238-9</t>
  </si>
  <si>
    <t>WOS:000560311400085</t>
  </si>
  <si>
    <t>ISOMORPHISMS OF LATTICES OF SUBALGEBRAS OF THE SEMIFIELD OF CONTINUOUS POSITIVE FUNCTIONS WITH MAX-ADDITION</t>
  </si>
  <si>
    <t>10.33048/semi.2019.16.103</t>
  </si>
  <si>
    <t>WOS:000491071700001</t>
  </si>
  <si>
    <t>Kuklina, SS; Cheremisinova, IS</t>
  </si>
  <si>
    <t>Kuklina, S. S.; Cheremisinova, I. S.</t>
  </si>
  <si>
    <t>INTERCULTURAL FOREIGN LANGUAGE COMMUNICATIVE COMPETENCE as THE BASIS of TEACHING FOREIGN LANGUAGE COMMUNICATION IN UNIVERSITIES</t>
  </si>
  <si>
    <t>YAZYK I KULTURA-LANGUAGE AND CULTURE</t>
  </si>
  <si>
    <t>Kuklina, Svetlana/ABC-7684-2020</t>
  </si>
  <si>
    <t>Kuklina, Svetlana/0000-0002-4838-9233</t>
  </si>
  <si>
    <t>1999-6195</t>
  </si>
  <si>
    <t>2311-3235</t>
  </si>
  <si>
    <t>10.17223/19996195/41/16</t>
  </si>
  <si>
    <t>WOS:000437910300016</t>
  </si>
  <si>
    <t>Isupov, K; Kuvaev, A</t>
  </si>
  <si>
    <t>Isupov, Konstantin; Kuvaev, Alexander</t>
  </si>
  <si>
    <t>Multiple-Precision Summation on Hybrid CPU-GPU Platforms Using RNS-based Floating-Point Representation</t>
  </si>
  <si>
    <t>FIFTH INTERNATIONAL CONFERENCE ON ENGINEERING AND TELECOMMUNICATION (ENT-MIPT 2018)</t>
  </si>
  <si>
    <t>5th International Conference on Engineering and Telecommunication (EnT-MIPT)</t>
  </si>
  <si>
    <t>NOV 15-16, 2018</t>
  </si>
  <si>
    <t>978-1-7281-0431-7</t>
  </si>
  <si>
    <t>10.1109/EnT-MIPT.2018.00042</t>
  </si>
  <si>
    <t>WOS:000490858200035</t>
  </si>
  <si>
    <t>Izotov, AI; Fominykh, AA; Nikulin, SV; Prokoshev, DK; Legoti, AB; Timina, NV</t>
  </si>
  <si>
    <t>Izotov, A. I.; Fominykh, A. A.; Nikulin, S. V.; Prokoshev, D. K.; Legoti, A. B.; Timina, N. V.</t>
  </si>
  <si>
    <t>Increasing operational life of brush-contact device in the turbine generator due to using lubricating molybdenum disulphide brushes</t>
  </si>
  <si>
    <t>10.1088/1742-6596/944/1/012045</t>
  </si>
  <si>
    <t>WOS:000431622000045</t>
  </si>
  <si>
    <t>Karanina, EV; Palkina, MV</t>
  </si>
  <si>
    <t>Karanina, E., V; Palkina, M., V</t>
  </si>
  <si>
    <t>Innovative Infrastructure in Depressed Regions</t>
  </si>
  <si>
    <t>Karanina, Elena E.V./0000-0002-5439-5912</t>
  </si>
  <si>
    <t>WOS:000679066800151</t>
  </si>
  <si>
    <t>Yungblyud, VT; Zorin, AV</t>
  </si>
  <si>
    <t>Yungblyud, V. T.; Zorin, A. V.</t>
  </si>
  <si>
    <t>The Problem of Returning of American Diplomats to Liberated Czechoslovak Republic</t>
  </si>
  <si>
    <t>10.21638/11701/spbu02.2018.417</t>
  </si>
  <si>
    <t>WOS:000456948700017</t>
  </si>
  <si>
    <t>Bakulin, Vladimir, I</t>
  </si>
  <si>
    <t>The historical concept of V.N. Mironov as a subject of scientific discussion</t>
  </si>
  <si>
    <t>WOS:000396961700009</t>
  </si>
  <si>
    <t>The implementation of monetary reform and the cancellation of the card system in December 1947 in the cities of the Kirov region</t>
  </si>
  <si>
    <t>WOS:000396961700011</t>
  </si>
  <si>
    <t>Isupov, K; Kuvaev, A; Popov, M; Zaviyalov, A</t>
  </si>
  <si>
    <t>Malyshkin, V</t>
  </si>
  <si>
    <t>Isupov, Konstantin; Kuvaev, Alexander; Popov, Mikhail; Zaviyalov, Anton</t>
  </si>
  <si>
    <t>Multiple-Precision Residue-Based Arithmetic Library for Parallel CPU-GPU Architectures: Data Types and Features</t>
  </si>
  <si>
    <t>PARALLEL COMPUTING TECHNOLOGIES (PACT 2017)</t>
  </si>
  <si>
    <t>14th International Conference on Parallel Computing Technologies (PaCT)</t>
  </si>
  <si>
    <t>SEP 04-08, 2017</t>
  </si>
  <si>
    <t>Nizhny Novgorod, RUSSIA</t>
  </si>
  <si>
    <t>Russian Acad Sci, Inst Computat Math &amp; Math Geophys,Lobachevsky State Univ Nizhny Novgorod,Novosibirsk State Univ,Novosibirsk State Tech Univ,Fed Agcy Sci Org,Minist Educ &amp; Sci Russian Federat,Russian Fdn Basic Res,Adv Micro Devices Inc,RSC Technologies,Intel Corp,Russian Acad Sci, Inst Computat Math &amp; Math Geophys Siberian Branch, Supercomputer Software Dept,Russian Acad Sci</t>
  </si>
  <si>
    <t>Isupov, Konstantin/K-5843-2015; Popov, Marjan/T-9849-2019</t>
  </si>
  <si>
    <t xml:space="preserve">Isupov, Konstantin/0000-0003-0239-0404; </t>
  </si>
  <si>
    <t>978-3-319-62932-2; 978-3-319-62931-5</t>
  </si>
  <si>
    <t>10.1007/978-3-319-62932-2_18</t>
  </si>
  <si>
    <t>WOS:000444105600018</t>
  </si>
  <si>
    <t>A Combined Algorithm for Texture Regions Detection on Noisy Images</t>
  </si>
  <si>
    <t>WOS:000428759500042</t>
  </si>
  <si>
    <t>Krasnykh, AA; Krivoshein, IL; Kozlov, AL</t>
  </si>
  <si>
    <t>Krasnykh, A. A.; Krivoshein, I. L.; Kozlov, A. L.</t>
  </si>
  <si>
    <t>Single-phase Earth Fault Location in a Branched Distribution Network 6-35 kV of Overhead Lines</t>
  </si>
  <si>
    <t>WOS:000403604400117</t>
  </si>
  <si>
    <t>Sadakova, V</t>
  </si>
  <si>
    <t>Sadakova, Vera</t>
  </si>
  <si>
    <t>APPLICATION OF PRE-FUSIONS IN THE COMBINED TECHNOLOGIES FOR ART PROCESSING OF GLASS</t>
  </si>
  <si>
    <t>WOS:000357943500061</t>
  </si>
  <si>
    <t>The number and composition of the merchant estate of the Viatka region, late eighteenth early twentieth centuries</t>
  </si>
  <si>
    <t>WOS:000296675600009</t>
  </si>
  <si>
    <t>Vechtomov, EM; Starostina, OV</t>
  </si>
  <si>
    <t>Vechtomov, E. M.; Starostina, O. V.</t>
  </si>
  <si>
    <t>Structure of Abelian-regular positive semirings</t>
  </si>
  <si>
    <t>RUSSIAN MATHEMATICAL SURVEYS</t>
  </si>
  <si>
    <t>Vechtomov, Evgeniy/0000-0002-3490-2956; Vechtomov, Evgenii M./0000-0002-3490-2956</t>
  </si>
  <si>
    <t>0036-0279</t>
  </si>
  <si>
    <t>10.1070/RM2007v062n01ABEH004387</t>
  </si>
  <si>
    <t>WOS:000247727000013</t>
  </si>
  <si>
    <t>Shishkina, SV; Pechenkina, ES; Dyukov, AV</t>
  </si>
  <si>
    <t>Shishkina, S. V.; Pechenkina, E. S.; Dyukov, A. V.</t>
  </si>
  <si>
    <t>Transport properties of anion-exchange membranes: Effect of the formation of complexes</t>
  </si>
  <si>
    <t>10.1134/S102319350612007X</t>
  </si>
  <si>
    <t>WOS:000243338000007</t>
  </si>
  <si>
    <t>Nizovskikh, NA</t>
  </si>
  <si>
    <t>Psychosemantic study of value-motivational orientation of personality</t>
  </si>
  <si>
    <t>PSIKHOLOGICHESKII ZHURNAL</t>
  </si>
  <si>
    <t>Nizovskikh, Nina A./B-5858-2017</t>
  </si>
  <si>
    <t>Nizovskikh, Nina A./0000-0002-5541-5049</t>
  </si>
  <si>
    <t>0205-9592</t>
  </si>
  <si>
    <t>WOS:000229563300003</t>
  </si>
  <si>
    <t>Makhanova, EV; Ryabov, SL; Leushina, AP</t>
  </si>
  <si>
    <t>Determination of the selectivity of electrodes made of a mixture of nonstoichiometric silver and copper(I) sulfides in the analysis of sulfur-containing aqueous solutions</t>
  </si>
  <si>
    <t>JOURNAL OF ANALYTICAL CHEMISTRY</t>
  </si>
  <si>
    <t>1061-9348</t>
  </si>
  <si>
    <t>10.1023/A:1016616732627</t>
  </si>
  <si>
    <t>WOS:000168892900016</t>
  </si>
  <si>
    <t>Kotelnikova, AV; Vychegzhanin, SV; Kotelnikov, EV</t>
  </si>
  <si>
    <t>Kotelnikova, Anastasia V.; Vychegzhanin, Sergey V.; Kotelnikov, Evgeny V.</t>
  </si>
  <si>
    <t>Cross-Domain Sentiment Analysis Based on Small in-Domain Fine-Tuning</t>
  </si>
  <si>
    <t>IEEE ACCESS</t>
  </si>
  <si>
    <t>2169-3536</t>
  </si>
  <si>
    <t>10.1109/ACCESS.2023.3269720</t>
  </si>
  <si>
    <t>WOS:000981905100001</t>
  </si>
  <si>
    <t>The Life of Permafrost. A History of Frozen Earth in Russian and Soviet Science</t>
  </si>
  <si>
    <t>MAY 28</t>
  </si>
  <si>
    <t>10.1080/09668136.2022.2083309</t>
  </si>
  <si>
    <t>WOS:000814439200009</t>
  </si>
  <si>
    <t>Avdeeva, M</t>
  </si>
  <si>
    <t>Avdeeva, Marina</t>
  </si>
  <si>
    <t>Adaptation to university studies affects on functional state of freshmen</t>
  </si>
  <si>
    <t>ACTA SCIENTIARUM-HEALTH SCIENCES</t>
  </si>
  <si>
    <t>1679-9291</t>
  </si>
  <si>
    <t>1807-8648</t>
  </si>
  <si>
    <t>e56397</t>
  </si>
  <si>
    <t>10.4025/actascihealthsci.v44i1.56397</t>
  </si>
  <si>
    <t>WOS:000744117000001</t>
  </si>
  <si>
    <t>Kalinina, LV</t>
  </si>
  <si>
    <t>Kalinina, Liudmila V.</t>
  </si>
  <si>
    <t>Phraseological Units as Meansof Subjective-EvaluativeCategorization on Scale 'Confidence - Probability - Uncertainty - Approximation'</t>
  </si>
  <si>
    <t>Kalinina, Liudmila/HMV-2988-2023</t>
  </si>
  <si>
    <t>10.24224/2227-1295-2022-11-7-59-73</t>
  </si>
  <si>
    <t>WOS:000886616200004</t>
  </si>
  <si>
    <t>Graphic Satire in the Soviet Union. Krokodil's Political Cartoons</t>
  </si>
  <si>
    <t>10.1080/09668136.2021.1977037</t>
  </si>
  <si>
    <t>WOS:000734240600010</t>
  </si>
  <si>
    <t>Korchagina, G; Vepreva, J</t>
  </si>
  <si>
    <t>Korchagina, Galina; Vepreva, Julia</t>
  </si>
  <si>
    <t>PSYCHOLOGICAL STRUCTURE OF PROFESSIONAL RELIABILITY AS UNIVERSITY STUDENTS' METACOGNITIVE QUALITY</t>
  </si>
  <si>
    <t>10.15405/epsbs.2021.07.02.46</t>
  </si>
  <si>
    <t>WOS:000771919100046</t>
  </si>
  <si>
    <t>Buldakova, YV</t>
  </si>
  <si>
    <t>Buldakova, Yulia, V</t>
  </si>
  <si>
    <t>PERCEPTION OF A CLASSICAL POETIC TEXT BY FAN FICTION READERS</t>
  </si>
  <si>
    <t>10.26170/FK20-03-11</t>
  </si>
  <si>
    <t>WOS:000607937300011</t>
  </si>
  <si>
    <t>Lysova, EA; Bratukhina, EA; Sozinova, AA; Matushkina, YN</t>
  </si>
  <si>
    <t>Lysova, Elena A.; Bratukhina, Elena A.; Sozinova, Anastasia A.; Matushkina, Yulia N.</t>
  </si>
  <si>
    <t>DIGITAL MODERNIZATION OF THE REGION'S EDUCATIONAL MARKET AND ITS INFLUENCE ON QUALITY OF EDUCATION</t>
  </si>
  <si>
    <t>Sozinova, Anastasia/F-6298-2015; Andrea Simões Braga, Francisco/GRS-0157-2022; Bratukhina, Elena/AAB-6051-2022</t>
  </si>
  <si>
    <t>10.24874/IJQR14.01-16</t>
  </si>
  <si>
    <t>WOS:000518417300016</t>
  </si>
  <si>
    <t>Yungblyud, V; Ilyin, D</t>
  </si>
  <si>
    <t>Yungblyud, V; Ilyin, D.</t>
  </si>
  <si>
    <t>Jackson-Vanik Amendment and Development of Soviet-American Relations in 1972-1975</t>
  </si>
  <si>
    <t>Yungblyud, Valeriy T./J-8665-2016; Ilin, Dmitrii V./N-7521-2016</t>
  </si>
  <si>
    <t xml:space="preserve">Yungblyud, Valeriy T./0000-0002-2706-3904; </t>
  </si>
  <si>
    <t>10.24833/2071-8160-2020-2-71-7-39</t>
  </si>
  <si>
    <t>WOS:000530164600001</t>
  </si>
  <si>
    <t>The Effect of Coordination Training on Switching the Attention of Schoolchildren with Different Typologies</t>
  </si>
  <si>
    <t>WOS:000477564000021</t>
  </si>
  <si>
    <t>Shishkina, IS; Mironina, AY</t>
  </si>
  <si>
    <t>Shishkina, Irina S.; Mironina, Anna Yu</t>
  </si>
  <si>
    <t>STRUCTURAL-SEMANTIC FEATURES OF PARENTHETICAL CONSTRUCTIONS (BY MATERIAL OF MODERN ENGLISH FICTION)</t>
  </si>
  <si>
    <t>Shishkina, Irina/0000-0001-5856-398X; Mironina, Anna/0000-0003-0448-2812</t>
  </si>
  <si>
    <t>10.24224/2227-1295-2019-9-159-172</t>
  </si>
  <si>
    <t>WOS:000484392200010</t>
  </si>
  <si>
    <t>Vychegzhanin, SV; Razova, EV; Kotelnikov, EV</t>
  </si>
  <si>
    <t>Assoc Comp Machinery</t>
  </si>
  <si>
    <t>Vychegzhanin, S. V.; Razova, E. V.; Kotelnikov, E. V.</t>
  </si>
  <si>
    <t>What Number of Features is Optimal? A New Method Based on Approximation Function for Stance Detection Task</t>
  </si>
  <si>
    <t>PROCEEDINGS OF 9TH INTERNATIONAL CONFERENCE ON INFORMATION COMMUNICATION AND MANAGEMENT (ICICM 2019)</t>
  </si>
  <si>
    <t>9th International Conference on Information Communication and Management (ICICM)</t>
  </si>
  <si>
    <t>AUG 23-26, 2019</t>
  </si>
  <si>
    <t>Razova, Elena/U-4097-2018; Kotelnikov, Evgeny/A-3606-2014</t>
  </si>
  <si>
    <t>Razova, Elena/0000-0001-5557-5432; Kotelnikov, Evgeny/0000-0001-9745-1489; Vychegzhanin, Sergey/0000-0001-6456-7856</t>
  </si>
  <si>
    <t>978-1-4503-7188-9</t>
  </si>
  <si>
    <t>10.1145/3357419.3357430</t>
  </si>
  <si>
    <t>WOS:000518414100009</t>
  </si>
  <si>
    <t>THE DEVELOPMENT OF THE REACTION IN CHILDREN WHO ARE ENGAGED IN FOOTBALL TAKING INTO ACCOUNT THEIR NERVOUS SYSTEM</t>
  </si>
  <si>
    <t>WOS:000434451000017</t>
  </si>
  <si>
    <t>Toropova, Svetlana I.</t>
  </si>
  <si>
    <t>METHODS OF MATHEMATICAL STATISTICS AS A MEANS OF PROFESSIONAL COMPETENCE FORMATION OF STUDENTS-ECOLOGISTS</t>
  </si>
  <si>
    <t>Toropova, Svetlana/Y-5928-2019</t>
  </si>
  <si>
    <t>Toropova, Svetlana/0000-0003-0533-5654</t>
  </si>
  <si>
    <t>10.17853/1994-5639-2018-3-53-82</t>
  </si>
  <si>
    <t>WOS:000461120400003</t>
  </si>
  <si>
    <t>Interval Estimation of Relative Values in Residue Number System</t>
  </si>
  <si>
    <t>JOURNAL OF CIRCUITS SYSTEMS AND COMPUTERS</t>
  </si>
  <si>
    <t>Isupov, Konstantin/K-5843-2015; Knyazkov, Vladimir Sergeevich/T-4089-2018</t>
  </si>
  <si>
    <t>Isupov, Konstantin/0000-0003-0239-0404; Knyazkov, Vladimir Sergeevich/0000-0003-3820-6541</t>
  </si>
  <si>
    <t>0218-1266</t>
  </si>
  <si>
    <t>1793-6454</t>
  </si>
  <si>
    <t>10.1142/S0218126618500044</t>
  </si>
  <si>
    <t>WOS:000408205300004</t>
  </si>
  <si>
    <t>Mokrushin, SA; Khoroshavin, VS; Ohapkin, SI; Zotov, AV; Grudinin, VS</t>
  </si>
  <si>
    <t>Mokrushin, S. A.; Khoroshavin, V. S.; Ohapkin, S. I.; Zotov, A. V.; Grudinin, V. S.</t>
  </si>
  <si>
    <t>The Analysis of Controllability and Stability of an Approximate Model of Heat Transfer in an Autoclave</t>
  </si>
  <si>
    <t>MORDOVIA UNIVERSITY BULLETIN</t>
  </si>
  <si>
    <t>Grudinin, Viktor/ABA-7599-2020; Mokrushin, Sergey/G-6566-2018</t>
  </si>
  <si>
    <t>Mokrushin, Sergey/0000-0002-6319-9809</t>
  </si>
  <si>
    <t>0236-2910</t>
  </si>
  <si>
    <t>2313-0636</t>
  </si>
  <si>
    <t>10.15507/0236-2910.028.201803.416-428</t>
  </si>
  <si>
    <t>WOS:000444121400010</t>
  </si>
  <si>
    <t>The Development of the Ability to Equilibrium Football players 10-11 years with different Nervous System</t>
  </si>
  <si>
    <t>JAN-MAR</t>
  </si>
  <si>
    <t>WOS:000432248900136</t>
  </si>
  <si>
    <t>Razova, EV; Kotelnikov, EV</t>
  </si>
  <si>
    <t>Wang, Y; Kwong, S; Feldman, J; Howard, N; Sheu, P; Widrow, B</t>
  </si>
  <si>
    <t>Razova, Elena, V; Kotelnikov, Evgeny, V</t>
  </si>
  <si>
    <t>The arrangement of sentiment lexica in the space of distributed word representations</t>
  </si>
  <si>
    <t>PROCEEDINGS OF 2018 IEEE 17TH INTERNATIONAL CONFERENCE ON COGNITIVE INFORMATICS &amp; COGNITIVE COMPUTING (ICCI*CC 2018)</t>
  </si>
  <si>
    <t>17th IEEE International Conference on Cognitive Informatics and Cognitive Computing (ICCI*CC)</t>
  </si>
  <si>
    <t>JUL 16-18, 2018</t>
  </si>
  <si>
    <t>Univ Calif, Berkeley, CA</t>
  </si>
  <si>
    <t>IEEE,IEEE Comp Soc,IEEE Computat Intelligence Soc,Int Inst Cognit Informat &amp; Cognit Comp</t>
  </si>
  <si>
    <t>Univ Calif</t>
  </si>
  <si>
    <t>978-1-5386-3360-1</t>
  </si>
  <si>
    <t>WOS:000618551100040</t>
  </si>
  <si>
    <t>Zlobina, E</t>
  </si>
  <si>
    <t>Zlobina, E.</t>
  </si>
  <si>
    <t>Problems of Motivation at Studying Foreign Languages in the Master's Program of Non-Linguistic Training</t>
  </si>
  <si>
    <t>WOS:000679066800223</t>
  </si>
  <si>
    <t>Baykova, O</t>
  </si>
  <si>
    <t>Baykova, Olga</t>
  </si>
  <si>
    <t>Russian borrowings in the language of the ethnic Germans in the Kirov region as a result of linguistic and cultural contact</t>
  </si>
  <si>
    <t>RUSSIAN LINGUISTICS</t>
  </si>
  <si>
    <t>Baykova, Olga Vladimirovna/A-7435-2016</t>
  </si>
  <si>
    <t>Baykova, Olga Vladimirovna/0000-0002-4859-8553</t>
  </si>
  <si>
    <t>0304-3487</t>
  </si>
  <si>
    <t>1572-8714</t>
  </si>
  <si>
    <t>10.1007/s11185-016-9174-9</t>
  </si>
  <si>
    <t>WOS:000398165000003</t>
  </si>
  <si>
    <t>Simulation of Thermal Radiation from Heterogeneous Combustion Products of Peat Burning in Power Plants</t>
  </si>
  <si>
    <t>WOS:000414282400359</t>
  </si>
  <si>
    <t>Plotnikov, SA; Kartashevich, AN; Kuimov, EA</t>
  </si>
  <si>
    <t>Plotnikov, S. A.; Kartashevich, A. N.; Kuimov, E. A.</t>
  </si>
  <si>
    <t>Development of Diesel-Eengine Bio-fuel Supply-Line Components and Systems</t>
  </si>
  <si>
    <t>10.1016/j.proeng.2017.10.692</t>
  </si>
  <si>
    <t>WOS:000425674300266</t>
  </si>
  <si>
    <t>Vikharev, AP; Repkina, NG; Pleshkova, TA</t>
  </si>
  <si>
    <t>Vikharev, A. P.; Repkina, N. G.; Pleshkova, T. A.</t>
  </si>
  <si>
    <t>Express Analysis of Changes in Amount of Deflection of Overhead Power Lines</t>
  </si>
  <si>
    <t>WOS:000414282400167</t>
  </si>
  <si>
    <t>A Modular-Positional Computation Technique for Multiple-Precision Floating-Point Arithmetic</t>
  </si>
  <si>
    <t>PARALLEL COMPUTING TECHNOLOGIES (PACT 2015)</t>
  </si>
  <si>
    <t>13th International Conference on Parallel Computing Technologies (PaCT)</t>
  </si>
  <si>
    <t>AUG 31-SEP 04, 2015</t>
  </si>
  <si>
    <t>Petrozavodsk, RUSSIA</t>
  </si>
  <si>
    <t>Inst Computat Math &amp; Math Geophys, Supercomputer Software Dept,Novosibirsk State Univ, Russian Acad Sci, Siberian Branch,Russian Fund Basic Res,Novosibirsk State Tech Univ,Inst Appl Math Res,Russian Acad Sci, Karelian Res Ctr,Petrozavodsk State Univ,Minist Educ &amp; Sci,Russian Acad Sci</t>
  </si>
  <si>
    <t>978-3-319-21909-7; 978-3-319-21908-0</t>
  </si>
  <si>
    <t>10.1007/978-3-319-21909-7_5</t>
  </si>
  <si>
    <t>WOS:000363763200005</t>
  </si>
  <si>
    <t>Prozorov, DE; Kishmereshkin, PN</t>
  </si>
  <si>
    <t>Prozorov, D. E.; Kishmereshkin, P. N.</t>
  </si>
  <si>
    <t>ADAPTIVE JOINT FILTERING OF PARAMETERS OF THE PULSED SIGNALS</t>
  </si>
  <si>
    <t>RADIOPHYSICS AND QUANTUM ELECTRONICS</t>
  </si>
  <si>
    <t>0033-8443</t>
  </si>
  <si>
    <t>1573-9120</t>
  </si>
  <si>
    <t>10.1007/s11141-007-0030-z</t>
  </si>
  <si>
    <t>WOS:000207860900009</t>
  </si>
  <si>
    <t>Characterizing and determining particle size</t>
  </si>
  <si>
    <t>NOV-DEC</t>
  </si>
  <si>
    <t>10.1023/A:1021274019713</t>
  </si>
  <si>
    <t>WOS:000180094300016</t>
  </si>
  <si>
    <t>Olkova, A; Berezin, G</t>
  </si>
  <si>
    <t>Olkova, Anna; Berezin, Grigory</t>
  </si>
  <si>
    <t>Battery of Bioassays for Diagnostics of Toxicity of Natural Water when Pollution with Aluminum Compounds</t>
  </si>
  <si>
    <t>10.12911/22998993/131029</t>
  </si>
  <si>
    <t>WOS:000615787800022</t>
  </si>
  <si>
    <t>Udalov, A</t>
  </si>
  <si>
    <t>Udalov, Aleksander</t>
  </si>
  <si>
    <t>The Limits of Applicability of the Method of Discontinuous Solutions in the Study of Pipe Drawing Processes</t>
  </si>
  <si>
    <t>OBRABOTKA METALLOV-METAL WORKING AND MATERIAL SCIENCE</t>
  </si>
  <si>
    <t>Udalov, Aleksander/0000-0003-0210-5423</t>
  </si>
  <si>
    <t>1994-6309</t>
  </si>
  <si>
    <t>2541-819X</t>
  </si>
  <si>
    <t>10.17212/1994-6309-2020-22.4-18-30</t>
  </si>
  <si>
    <t>WOS:000598224000002</t>
  </si>
  <si>
    <t>Performance data of multiple-precision scalar and vector BLAS operations on CPU and GPU</t>
  </si>
  <si>
    <t>DATA IN BRIEF</t>
  </si>
  <si>
    <t>2352-3409</t>
  </si>
  <si>
    <t>10.1016/j.dib.2020.105506</t>
  </si>
  <si>
    <t>WOS:000541974200007</t>
  </si>
  <si>
    <t>Krivosheina, NV; Elpasheva, EV</t>
  </si>
  <si>
    <t>Krivosheina, Natalya, V; Elpasheva, Elena, V</t>
  </si>
  <si>
    <t>PLOT THE PUNISHMENT OF THE YOUTHS FOR TAUNTING PROPHET ELISHA IN THE WALL PAINTING OF NARTHEX IN ST. TRINITY CHURCH IN CHUDINOVO VILLAGE OF ORLOV DISTRICT IN VYATKA PROVINCE</t>
  </si>
  <si>
    <t>VESTNIK TOMSKOGO GOSUDARSTVENNOGO UNIVERSITETA-KULTUROLOGIYA I ISKUSSTVOVEDENIE-TOMSK STATE UNIVERSITY JOURNAL OF CULTURAL STUDIES AND ART HISTORY</t>
  </si>
  <si>
    <t>2222-0836</t>
  </si>
  <si>
    <t>2311-3685</t>
  </si>
  <si>
    <t>10.17223/22220836/38/16</t>
  </si>
  <si>
    <t>WOS:000540950700016</t>
  </si>
  <si>
    <t>Saurov, YA; Perevoshchikov, DV; Uvarova, MP</t>
  </si>
  <si>
    <t>Saurov, Yury A.; Perevoshchikov, Denis, V; Uvarova, Marina P.</t>
  </si>
  <si>
    <t>The Language of Invariants as a Tool for Constructing Methods in the Didactics of Physics</t>
  </si>
  <si>
    <t>Saurov, Yuriy/Y-8735-2018; Uvarova, Marina Pavlovna/HNS-9019-2023</t>
  </si>
  <si>
    <t>Saurov, Yuriy/0000-0002-8756-8103; Uvarova, Marina Pavlovna/0000-0002-0058-8313</t>
  </si>
  <si>
    <t>10.17223/15617793/451/23</t>
  </si>
  <si>
    <t>WOS:000530049500023</t>
  </si>
  <si>
    <t>Biblical Motifs and Images in E. I. Kostrov's Poetry</t>
  </si>
  <si>
    <t>PROBLEMY ISTORICHESKOI POETIKI</t>
  </si>
  <si>
    <t>1026-9479</t>
  </si>
  <si>
    <t>2411-4642</t>
  </si>
  <si>
    <t>10.15393/j9.art.2020.6882</t>
  </si>
  <si>
    <t>WOS:000528268000005</t>
  </si>
  <si>
    <t>Polovnikova, MY; Nemchaninova, EN</t>
  </si>
  <si>
    <t>Polovnikova, Marina Yu; Nemchaninova, Evgenia N.</t>
  </si>
  <si>
    <t>CREATION OF THE VYATKA BROTHERHOOD OF THE SAINT NICHOLAS THE MIRACLE WORKER IN THE CONTEXT OF THE INTERACTION OF THE SECULAR AND SPIRITUAL AUTHORITIES OF THE VYATKA PROVINCE</t>
  </si>
  <si>
    <t>Nemcaninova, Evgenia/0000-0001-5705-776X</t>
  </si>
  <si>
    <t>10.24224/2227-1295-2020-9-420-433</t>
  </si>
  <si>
    <t>WOS:000576831000025</t>
  </si>
  <si>
    <t>AUTOMORPHISMS OF THE SEMIRING OF POLYNOMIALS R-+(V)[x] AND LATTICES OF ITS SUBALGEBRAS</t>
  </si>
  <si>
    <t>TRUDY INSTITUTA MATEMATIKI I MEKHANIKI URO RAN</t>
  </si>
  <si>
    <t>0134-4889</t>
  </si>
  <si>
    <t>10.21538/0134-4889-2020-26-3-171-186</t>
  </si>
  <si>
    <t>WOS:000592231900015</t>
  </si>
  <si>
    <t>Method of plates stability analysis based on the moments approximations</t>
  </si>
  <si>
    <t>10.18720/MCE.95.9</t>
  </si>
  <si>
    <t>WOS:000593143400009</t>
  </si>
  <si>
    <t>Loginov, DA; Stepanyan, VK</t>
  </si>
  <si>
    <t>Mantulenko, V</t>
  </si>
  <si>
    <t>Loginov, D. A.; Stepanyan, V. K.</t>
  </si>
  <si>
    <t>RECOMMENDED RATES OF CONSUMPTION AS A DRIVER OF AGRICULTURAL DEVELOPMENT IN RUSSIA</t>
  </si>
  <si>
    <t>GCPMED 2018 - INTERNATIONAL SCIENTIFIC CONFERENCE GLOBAL CHALLENGES AND PROSPECTS OF THE MODERN ECONOMIC DEVELOPMENT</t>
  </si>
  <si>
    <t>International Scientific Conference on Global Challenges and Prospects of the Modern Economic Development (GCPMED)</t>
  </si>
  <si>
    <t>DEC 06-08, 2018</t>
  </si>
  <si>
    <t>Samara State Univ Econ, Samara, RUSSIA</t>
  </si>
  <si>
    <t>Samara State Univ Econ</t>
  </si>
  <si>
    <t>10.15405/epsbs.2019.03.73</t>
  </si>
  <si>
    <t>WOS:000471325700073</t>
  </si>
  <si>
    <t>CONFESSIONAL POLICY OF THE STATE WITH RESPECT TO THE OLD-BELIEVE GIRLS IN THE SECOND QUARTER OF THE XIX TH CENTURY (ON THE MATERIALS OF THE VYATSK PROVINCE)</t>
  </si>
  <si>
    <t>10.3116/VoprosyIstorii201912Statyi45</t>
  </si>
  <si>
    <t>WOS:000514212900023</t>
  </si>
  <si>
    <t>Pushkarev, IA; Byzov, VA</t>
  </si>
  <si>
    <t>Pushkarev, I. A.; Byzov, V. A.</t>
  </si>
  <si>
    <t>DONAGHEY'S TRANSFORMATION: CAROUSEL EFFECTS AND TAME COMPONENTS</t>
  </si>
  <si>
    <t>PRIKLADNAYA DISKRETNAYA MATEMATIKA</t>
  </si>
  <si>
    <t>Byzov, Viktor/AAA-4102-2019</t>
  </si>
  <si>
    <t>Byzov, Viktor/0000-0002-3613-5949</t>
  </si>
  <si>
    <t>2071-0410</t>
  </si>
  <si>
    <t>2311-2263</t>
  </si>
  <si>
    <t>10.17223/20710410/44/2</t>
  </si>
  <si>
    <t>WOS:000476644400002</t>
  </si>
  <si>
    <t>Sozinova, AA; Burtseva, TA; Fokina, OV; Grabar, AA; Tufyakova, ES</t>
  </si>
  <si>
    <t>Sozinova, Anastasia A.; Burtseva, Tatiana A.; Fokina, Olga V.; Grabar, Anna A.; Tufyakova, Ekaterina S.</t>
  </si>
  <si>
    <t>The Concept of Industrial Enterprises' Economic Development Amid the Global Financial and Economic Crisis</t>
  </si>
  <si>
    <t>FUTURE OF THE GLOBAL FINANCIAL SYSTEM: DOWNFALL OR HARMONY</t>
  </si>
  <si>
    <t>Conference on Future of the Global Financial System - Downfall or Harmony</t>
  </si>
  <si>
    <t>APR 13-14, 2018</t>
  </si>
  <si>
    <t>Limassol, CYPRUS</t>
  </si>
  <si>
    <t>Fokina, Olga/AAX-2743-2020; Sozinova, Anastasia/F-6298-2015</t>
  </si>
  <si>
    <t>Fokina, Olga/0000-0002-6697-3353; Sozinova, Anastasia/0000-0001-5876-2823; Burtseva, Tatyana/0000-0001-9088-1208</t>
  </si>
  <si>
    <t>978-3-030-00102-5</t>
  </si>
  <si>
    <t>10.1007/978-3-030-00102-5_114</t>
  </si>
  <si>
    <t>WOS:000460581800114</t>
  </si>
  <si>
    <t>Vorobyova, T; Yungblyud, V</t>
  </si>
  <si>
    <t>Vorobyova, T.; Yungblyud, V</t>
  </si>
  <si>
    <t>The United States Are Losing an Ally in the Middle East: J. Carter's Administration Policy towards Iran, 1977-1980</t>
  </si>
  <si>
    <t>10.18254/S207987840005469-4</t>
  </si>
  <si>
    <t>WOS:000483368500016</t>
  </si>
  <si>
    <t>Refined finite element of rods for stability calculation</t>
  </si>
  <si>
    <t>Tyukalov, Yury/AAC-1554-2021; Tyukalov, Yury/GPS-7157-2022; Tyukalov, Yury/P-3728-2017</t>
  </si>
  <si>
    <t>10.18720/MCE.79.6</t>
  </si>
  <si>
    <t>WOS:000447699900006</t>
  </si>
  <si>
    <t>Utemov, VV; Simonova, GI</t>
  </si>
  <si>
    <t>Utemov, Vyacheslav V.; Simonova, Galina I.</t>
  </si>
  <si>
    <t>INTER-SUBJECT TECHNOLOGY OF ADAPTIVE LEARNING AND TESTING IN SCHOOLS</t>
  </si>
  <si>
    <t>4TH INTERNATIONAL FORUM ON TEACHER EDUCATION (IFTE 2018)</t>
  </si>
  <si>
    <t>4th International Forum on Teacher Education (IFTE)</t>
  </si>
  <si>
    <t>MAY 22-24, 2018</t>
  </si>
  <si>
    <t>Simonova, Galina/X-5789-2018; Utemov, Vyacheslav/F-1651-2017</t>
  </si>
  <si>
    <t>Simonova, Galina/0000-0002-0721-287X; Utemov, Vyacheslav/0000-0001-8156-5916</t>
  </si>
  <si>
    <t>10.15405/epsbs.2018.09.60</t>
  </si>
  <si>
    <t>WOS:000472144400060</t>
  </si>
  <si>
    <t>Bakshaeva, NS; Suvorova, IA; Cherepanov, VV</t>
  </si>
  <si>
    <t>Bakshaeva, N. S.; Suvorova, I. A.; Cherepanov, V. V.</t>
  </si>
  <si>
    <t>Voltage Quality Improving in Power Distribution Networks with Abruptly Variable Load by Application of Reactive Power Series Compensation Devices</t>
  </si>
  <si>
    <t>WOS:000414282400174</t>
  </si>
  <si>
    <t>Kalinin, A</t>
  </si>
  <si>
    <t>Kalinin, Alexander</t>
  </si>
  <si>
    <t>The Soviet Union and the Greek Civil War (1946-1949)</t>
  </si>
  <si>
    <t>WOS:000391650700009</t>
  </si>
  <si>
    <t>Lesnikov, V; Chastikov, A; Naumovich, T; Dubovcev, D</t>
  </si>
  <si>
    <t>Lesnikov, Vladislav; Chastikov, Alexander; Naumovich, Tatiana; Dubovcev, Dmitriy</t>
  </si>
  <si>
    <t>Approximation of the Central Chi-squared Distribution for On-line Computation of the Threshold for Energy Detector</t>
  </si>
  <si>
    <t>WOS:000400700700089</t>
  </si>
  <si>
    <t>Ananchenko, BA; Kalinina, LA; Ushakova, YN; Fominykh, EG; Koshurnikova, EV</t>
  </si>
  <si>
    <t>Ananchenko, B. A.; Kalinina, L. A.; Ushakova, Yu. N.; Fominykh, E. G.; Koshurnikova, E. V.</t>
  </si>
  <si>
    <t>The nature of ionic conduction of phases based on calcium thioytterbiate</t>
  </si>
  <si>
    <t>9th Conference on Fundamental Problems of Solid-State Ionics</t>
  </si>
  <si>
    <t>JUN 24-27, 2008</t>
  </si>
  <si>
    <t>10.1134/S102319350906010X</t>
  </si>
  <si>
    <t>WOS:000267670800010</t>
  </si>
  <si>
    <t>Prokashev, AM</t>
  </si>
  <si>
    <t>Gray gleyed soils with complex organic profiles in the east of the Russian Plain</t>
  </si>
  <si>
    <t>EURASIAN SOIL SCIENCE</t>
  </si>
  <si>
    <t>Prokashev, Aleksei/ABE-7729-2020</t>
  </si>
  <si>
    <t>Prokasev, Aleksei/0000-0002-3029-8093</t>
  </si>
  <si>
    <t>1064-2293</t>
  </si>
  <si>
    <t>WOS:000184314600002</t>
  </si>
  <si>
    <t>Yungblyud, VT; Il'in, DV</t>
  </si>
  <si>
    <t>Yungblyud, Valerii T.; Il'in, Dmitrii, V</t>
  </si>
  <si>
    <t>TRADE-ECONOMIC AND SCIENTIFIC-TECHNICAL RELATIONS BETWEEN THE USA AND THE USSR DURING THE YEARS OF DETENTE (Review of Russian Studies, 1972-2022)</t>
  </si>
  <si>
    <t>MIROVAYA EKONOMIKA I MEZHDUNARODNYE OTNOSHENIYA</t>
  </si>
  <si>
    <t>Ilin, Dmitrii V./N-7521-2016; Yungblyud, Valeriy T./J-8665-2016</t>
  </si>
  <si>
    <t>0131-2227</t>
  </si>
  <si>
    <t>10.20542/0131-2227-2023-67-3-116-129</t>
  </si>
  <si>
    <t>WOS:000946882600010</t>
  </si>
  <si>
    <t>Yungblyud, Valery T.; Zorin, Artem, V</t>
  </si>
  <si>
    <t>Czech and Slovak organizations in the United States during the World War II</t>
  </si>
  <si>
    <t>10.17223/19988613/76/11</t>
  </si>
  <si>
    <t>WOS:000869093900011</t>
  </si>
  <si>
    <t>Power Consumption, Control of Properties and of Continuous Annealing Process of Copper and Brass Rolled Products in Transverse Magnetic Field</t>
  </si>
  <si>
    <t>Pevzner, Mikhail/0000-0001-9894-7523</t>
  </si>
  <si>
    <t>10.1007/s11041-022-00720-1</t>
  </si>
  <si>
    <t>FEB 2022</t>
  </si>
  <si>
    <t>WOS:000761143200002</t>
  </si>
  <si>
    <t>Evaluation of the Idle time of Single-Chain and Double-Chain Overhead Power Lines of 6-10 kV by Methods of Queuing Theory</t>
  </si>
  <si>
    <t>10.52254/1857-0070.2022.4-56.01</t>
  </si>
  <si>
    <t>WOS:000904633900001</t>
  </si>
  <si>
    <t>Kapustin, AG; Aleksandrova, OA; Kovyazina, GV</t>
  </si>
  <si>
    <t>Kapustin, A. G.; Aleksandrova, O. A.; Kovyazina, G. V.</t>
  </si>
  <si>
    <t>FEMALE MULTIFUNCTIONAL EXERCISE PROGRAM FOR A HEALTHIER SPINE</t>
  </si>
  <si>
    <t>Kovyazina, Galina/U-7579-2018</t>
  </si>
  <si>
    <t>Kovyazina, Galina/0000-0003-2319-746X</t>
  </si>
  <si>
    <t>10.14529/hsm220415</t>
  </si>
  <si>
    <t>WOS:000957611400015</t>
  </si>
  <si>
    <t>Nabokikh, AA; Ryattel, AV</t>
  </si>
  <si>
    <t>Nabokikh, Aleksei A.; Ryattel, Alexandra, V</t>
  </si>
  <si>
    <t>Game-Theoretic Modeling of Competitive Interaction Between Mushroom Farming Companies</t>
  </si>
  <si>
    <t>Nabokikh, Aleksei/AAB-8688-2021</t>
  </si>
  <si>
    <t>Nabokikh, Aleksei/0000-0002-9046-0523</t>
  </si>
  <si>
    <t>10.1007/978-3-030-93244-2_47</t>
  </si>
  <si>
    <t>WOS:000759460600047</t>
  </si>
  <si>
    <t>Mosechkin, I</t>
  </si>
  <si>
    <t>Mosechkin, Ilya</t>
  </si>
  <si>
    <t>Why Women Kill: Studying Motives for Committing Crimes</t>
  </si>
  <si>
    <t>WOMEN &amp; CRIMINAL JUSTICE</t>
  </si>
  <si>
    <t>0897-4454</t>
  </si>
  <si>
    <t>1541-0323</t>
  </si>
  <si>
    <t>MAY 4</t>
  </si>
  <si>
    <t>10.1080/08974454.2021.1980483</t>
  </si>
  <si>
    <t>SEP 2021</t>
  </si>
  <si>
    <t>WOS:000702679300001</t>
  </si>
  <si>
    <t>Ivutina, E; Shishkina, A; Beltyukova, O</t>
  </si>
  <si>
    <t>Ivutina, Elena; Shishkina, Alexandra; Beltyukova, Oksana</t>
  </si>
  <si>
    <t>REFLECTION AS AN EFFECTIVENESS FACTOR OF TEACHER'S PROFESSIONAL ACTIVITY</t>
  </si>
  <si>
    <t>Ivutina, Elena/S-2598-2018; Шишкина, Александра Николаевна/AFH-7352-2022</t>
  </si>
  <si>
    <t>Ivutina, Elena/0000-0002-8665-1546; Шишкина, Александра Николаевна/0000-0003-4952-6102</t>
  </si>
  <si>
    <t>10.15405/epsbs.2021.07.02.45</t>
  </si>
  <si>
    <t>WOS:000771919100045</t>
  </si>
  <si>
    <t>Medvedeva, E; Trubin, I</t>
  </si>
  <si>
    <t>Medvedeva, Elena; Trubin, Igor</t>
  </si>
  <si>
    <t>Improving the Quality of Reconstruction of Noisy Images in the Wavelet Region</t>
  </si>
  <si>
    <t>10.1109/SIBCON50419.2021.9438904</t>
  </si>
  <si>
    <t>WOS:000680842100054</t>
  </si>
  <si>
    <t>Obukhova, ON; Baykova, OV</t>
  </si>
  <si>
    <t>Obukhova, Olga N.; Baykova, Olga, V</t>
  </si>
  <si>
    <t>MEANS OF LANGUAGE OBJECTIFICATION OF THE GERMAN KNIGHT IMAGE IN THE ARTISTIC PICTURE OF WORLD IN MIDDLE AGES</t>
  </si>
  <si>
    <t>10.24224/2227-1295-2020-7-158-176</t>
  </si>
  <si>
    <t>WOS:000568419600010</t>
  </si>
  <si>
    <t>Valova, OM</t>
  </si>
  <si>
    <t>Valova, Olga M.</t>
  </si>
  <si>
    <t>REFLECTION OF PHILOSOPHY OF UNREAL IN TRAGEDY OF O. WILDE DUCHESS OF PADUA</t>
  </si>
  <si>
    <t>Valova, Olga/0000-0001-7987-5317</t>
  </si>
  <si>
    <t>10.24224/2227-1295-2020-7-226-240</t>
  </si>
  <si>
    <t>WOS:000568419600014</t>
  </si>
  <si>
    <t>The influence of coordination on the attention stability of children with different nervous system typologies</t>
  </si>
  <si>
    <t>PRAXIS &amp; SABER</t>
  </si>
  <si>
    <t>2216-0159</t>
  </si>
  <si>
    <t>2462-8603</t>
  </si>
  <si>
    <t>SEP-DEC</t>
  </si>
  <si>
    <t>WOS:000489760100016</t>
  </si>
  <si>
    <t>Vorobyov, AD; Pozdeev, PV; Kruglova, NV; Nogovitsyna, OS; Tokareva, PV</t>
  </si>
  <si>
    <t>Vorobyov, Anatoly Dmitriyevich; Pozdeev, Pavel Vyacheslavovich; Kruglova, Nelly Viktorovna; Nogovitsyna, Olga Sergeevna; Tokareva, Polina Viktorovna</t>
  </si>
  <si>
    <t>A Unified Methodology of Strategic Management and a Knowledge Management Model</t>
  </si>
  <si>
    <t>TEM JOURNAL-TECHNOLOGY EDUCATION MANAGEMENT INFORMATICS</t>
  </si>
  <si>
    <t>Tokareva, Polina/AAB-2658-2020</t>
  </si>
  <si>
    <t>2217-8309</t>
  </si>
  <si>
    <t>2217-8333</t>
  </si>
  <si>
    <t>10.18421/TEM82-31</t>
  </si>
  <si>
    <t>WOS:000468971700031</t>
  </si>
  <si>
    <t>Kadochnikova, NI; Sazanov, AV; Sazanova, ML</t>
  </si>
  <si>
    <t>Kadochnikova, Natalia I.; Sazanov, Alexander V.; Sazanova, Maria L.</t>
  </si>
  <si>
    <t>Peculiarities of Forming Health-Preservation Competence of Bachelors and Masters of Pedagogics</t>
  </si>
  <si>
    <t>Sazanova, Maria/I-4211-2016; Sazanova, Maria/AAS-9191-2021</t>
  </si>
  <si>
    <t>10.3897/ap.1.e0254</t>
  </si>
  <si>
    <t>WOS:000520005200027</t>
  </si>
  <si>
    <t>Filtering of the Reflected Probing PM Signals With the Rayleigh Amplitude in the Formation of High-resolution Radar Images</t>
  </si>
  <si>
    <t>WOS:000560311400076</t>
  </si>
  <si>
    <t>Soboleva, EV; Shalaginova, NV</t>
  </si>
  <si>
    <t>Soboleva, Elena, V; Shalaginova, Nadezda, V</t>
  </si>
  <si>
    <t>Simulation of artificial intelligence in a computer game</t>
  </si>
  <si>
    <t>10.1088/1742-6596/1399/3/033050</t>
  </si>
  <si>
    <t>WOS:000589557100112</t>
  </si>
  <si>
    <t>Yurkin, YV; Mansurova, IA; Belozerov, VS; Zlobina, A</t>
  </si>
  <si>
    <t>Yurkin, Yu, V; Mansurova, I. A.; Belozerov, V. S.; Zlobina, A.</t>
  </si>
  <si>
    <t>Morphological and Dynamic Mechanical Analysis of Vibration Damping Composite Material Based on Different Elastomers</t>
  </si>
  <si>
    <t>Yurkin, Yuiy/AAD-4331-2021; Belozerov, Vladislav/B-7087-2019; Yurkin, Yuriy/B-2095-2014; Mansurova, Irina Alekseevna/J-3337-2016; Zlobina, Elena/O-6650-2017</t>
  </si>
  <si>
    <t>Belozerov, Vladislav/0000-0002-9930-5458; Yurkin, Yuriy/0000-0003-4310-3379; Mansurova, Irina Alekseevna/0000-0003-1197-0339; Zlobina, Elena/0000-0002-5903-5983</t>
  </si>
  <si>
    <t>WOS:000454987400002</t>
  </si>
  <si>
    <t>Maslova, A. G.</t>
  </si>
  <si>
    <t>History of Russian Literature of the 18th Century</t>
  </si>
  <si>
    <t>10.26710/fk18-01-23</t>
  </si>
  <si>
    <t>WOS:000438455300022</t>
  </si>
  <si>
    <t>Prozorov, D; Trubin, I</t>
  </si>
  <si>
    <t>Prozorov, Dmitry; Trubin, Igor</t>
  </si>
  <si>
    <t>Detection of a Signal in the SIMO System with Spatial Correlation of Noise</t>
  </si>
  <si>
    <t>WOS:000644432200115</t>
  </si>
  <si>
    <t>Demina, N; Popova, G; Sazanova, M</t>
  </si>
  <si>
    <t>Demina, Natalia; Popova, Galina; Sazanova, Maria</t>
  </si>
  <si>
    <t>DEVELOPING THE COMPETENCE IN HEALTH PROTECTION OF PEDAGOGICAL BACHELOR STUDENTS</t>
  </si>
  <si>
    <t>Sazanova, Maria/AAS-9191-2021; Sazanova, Maria/I-4211-2016; Demina, Nataliya/GON-9869-2022</t>
  </si>
  <si>
    <t xml:space="preserve">Sazanova, Maria/0000-0003-3492-8395; Sazanova, Maria/0000-0003-3492-8395; </t>
  </si>
  <si>
    <t>10.15405/epsbs.2017.08.02.17</t>
  </si>
  <si>
    <t>WOS:000432421300017</t>
  </si>
  <si>
    <t>THE INTERIOR OF ALEXANDER NEVSKY CATHEDRAL (1839-1864) BY ARCHITECT ALEXANDER VITBERG IN VYATKA</t>
  </si>
  <si>
    <t>WOS:000395727700063</t>
  </si>
  <si>
    <t>Kostin, AA; Yungblyud, VT</t>
  </si>
  <si>
    <t>Kostin, A. A.; Yungblyud, V. T.</t>
  </si>
  <si>
    <t>Subasic and Yugoslav and US policy in 1942-1945 gg</t>
  </si>
  <si>
    <t>WOS:000335425700007</t>
  </si>
  <si>
    <t>Hydrodynamics of the motion of spherical particles, droplets, and bubbles in a non-Newtonian liquid: Analytical methods of investigation</t>
  </si>
  <si>
    <t>10.1134/S0040579512020121</t>
  </si>
  <si>
    <t>WOS:000305421400001</t>
  </si>
  <si>
    <t>Nenashev, MI</t>
  </si>
  <si>
    <t>Nenashev, M., I</t>
  </si>
  <si>
    <t>Regional news-papers: a comparison</t>
  </si>
  <si>
    <t>SOTSIOLOGICHESKIE ISSLEDOVANIYA</t>
  </si>
  <si>
    <t>0132-1625</t>
  </si>
  <si>
    <t>WOS:000287838000014</t>
  </si>
  <si>
    <t>The spetsposelentsy (deported residents) at the outbreak of the Great Patriotic War</t>
  </si>
  <si>
    <t>WOS:000246945000011</t>
  </si>
  <si>
    <t>Strabykin, DA</t>
  </si>
  <si>
    <t>Parallel computations method for abductive knowledge-based inference</t>
  </si>
  <si>
    <t>Strabykin, Dmitry/T-9196-2019</t>
  </si>
  <si>
    <t>WOS:000089912600010</t>
  </si>
  <si>
    <t>Grecu, YV</t>
  </si>
  <si>
    <t>Grecu, Yuliya Vladimirovna</t>
  </si>
  <si>
    <t>Differentiated instruction: Curriculum and resources provide a roadmap to help English teachers meet students needs</t>
  </si>
  <si>
    <t>TEACHING AND TEACHER EDUCATION</t>
  </si>
  <si>
    <t>Grecu, Yuliya/0000-0002-9791-0320</t>
  </si>
  <si>
    <t>0742-051X</t>
  </si>
  <si>
    <t>1879-2480</t>
  </si>
  <si>
    <t>10.1016/j.tate.2023.104064</t>
  </si>
  <si>
    <t>FEB 2023</t>
  </si>
  <si>
    <t>WOS:000944440600001</t>
  </si>
  <si>
    <t>The Effect of Aging Temperature on Parameters of the Amplitude Dependence of Internal Friction, Hardness, and Structure of the Zr-8.1% Nb Alloy</t>
  </si>
  <si>
    <t>10.1134/S0031918X22601251</t>
  </si>
  <si>
    <t>WOS:000931264400009</t>
  </si>
  <si>
    <t>Polyakov, OY</t>
  </si>
  <si>
    <t>Polyakov, Oleg Y.</t>
  </si>
  <si>
    <t>PATHETIC LITERARY CRITICISM IN THE ESSAYS BY JOSEPH WARTON: A COMPROMISE BETWEEN AUGUSTANISM AND PRE-ROMANTICISM</t>
  </si>
  <si>
    <t>10.51762/1FK-2021-26-04-24</t>
  </si>
  <si>
    <t>WOS:000742349400006</t>
  </si>
  <si>
    <t>Soboleva, Elena V.; Karavaev, Nikita L.</t>
  </si>
  <si>
    <t>Characteristics of the Project-Based Teamwork in the Case of Developing a Smart Application in a Digital Educational Environment</t>
  </si>
  <si>
    <t>10.13187/ejced.2020.2.417</t>
  </si>
  <si>
    <t>WOS:000542265300011</t>
  </si>
  <si>
    <t>Corn Crusade: Khrushchev's Farming Revolution in the Post-Stalin Soviet Union</t>
  </si>
  <si>
    <t>ENGLISH HISTORICAL REVIEW</t>
  </si>
  <si>
    <t>0013-8266</t>
  </si>
  <si>
    <t>1477-4534</t>
  </si>
  <si>
    <t>10.1093/ehr/cez365</t>
  </si>
  <si>
    <t>WOS:000559957200058</t>
  </si>
  <si>
    <t>Isupova, SM</t>
  </si>
  <si>
    <t>Isupova, Svetlana M.</t>
  </si>
  <si>
    <t>FORMATION OF ARTISTIC HISTORICISM IN THE EARLY WORK OF I.I. LAZHECHNIKOV</t>
  </si>
  <si>
    <t>10.24224/2227-1295-2020-10-268-279</t>
  </si>
  <si>
    <t>WOS:000586248800017</t>
  </si>
  <si>
    <t>Generating Digital Radar Images Using Nonlinear Filtering Methods for Discrete and Continuous Parameters of Return PM Signals</t>
  </si>
  <si>
    <t>WOS:000649745900031</t>
  </si>
  <si>
    <t>Grishina, EN; Lysova, EA; Lapteva, IP; Nagovitsyna, EV</t>
  </si>
  <si>
    <t>Grishina, Elena N.; Lysova, Elena A.; Lapteva, Irina P.; Nagovitsyna, Eleonora V.</t>
  </si>
  <si>
    <t>Educational platform of region's digital modernization in Industry 4.0</t>
  </si>
  <si>
    <t>10.1108/OTH-07-2019-0040</t>
  </si>
  <si>
    <t>WOS:000491196500008</t>
  </si>
  <si>
    <t>THE IMPLEMENTATION OF EMOTIONALLY-VALUABLE COMPONENT OF THE CONTENT OF FOREIGN-LANGUAGE EDUCATION (ON THE MATERIAL OF STUDY COURSE SPOTLIGHT). Part I</t>
  </si>
  <si>
    <t>Sungurova, Olga/0000-0002-2013-2997</t>
  </si>
  <si>
    <t>10.17853/1994-5639-2019-6-146-170</t>
  </si>
  <si>
    <t>WOS:000497663600007</t>
  </si>
  <si>
    <t>Izotov, A; Timoshenko, V; Izotov, S</t>
  </si>
  <si>
    <t>Izotov, Anatoly; Timoshenko, Vyacheslav; Izotov, Sergey</t>
  </si>
  <si>
    <t>Reducing Wear of Brushes in Special-Purpose Starter-Generator GS-12TOK</t>
  </si>
  <si>
    <t>2019 INTERNATIONAL CONFERENCE ON INDUSTRIAL ENGINEERING, APPLICATIONS AND MANUFACTURING (ICIEAM)</t>
  </si>
  <si>
    <t>Vyacheslav, Timoshenko/AAI-8871-2021; Izotov, Anatoliy/ABA-3776-2020</t>
  </si>
  <si>
    <t>Vyacheslav, Timoshenko/0000-0002-2711-8960; Izotov, Anatoliy/0000-0003-4943-2499</t>
  </si>
  <si>
    <t>978-1-5386-8119-0</t>
  </si>
  <si>
    <t>WOS:000607240300036</t>
  </si>
  <si>
    <t>Undersampled Spectrum Reconstruction Using Multichannel Multifrequency Sampling</t>
  </si>
  <si>
    <t>Naumovich, Tatyana/B-8000-2017; Lesnikov, Vladislav A./E-9558-2011; Chastikov, Alexander/ACX-8162-2022; Chastikov, Alexander/A-5560-2014</t>
  </si>
  <si>
    <t>Naumovich, Tatyana/0000-0002-3659-2664; Lesnikov, Vladislav A./0000-0002-5034-291X; Chastikov, Alexander/0000-0002-1998-7787</t>
  </si>
  <si>
    <t>WOS:000492146100124</t>
  </si>
  <si>
    <t>Artificial intelligence and criminal liability: problems of becoming a new type of crime subject</t>
  </si>
  <si>
    <t>10.21638/spbu14.2019.304</t>
  </si>
  <si>
    <t>WOS:000490917500004</t>
  </si>
  <si>
    <t>Sapozhnikova, E; Ryazanova, O</t>
  </si>
  <si>
    <t>Sapozhnikova, Ekaterina; Ryazanova, Olesya</t>
  </si>
  <si>
    <t>The role of small farms in ensuring food security in Russia</t>
  </si>
  <si>
    <t>10.1051/e3sconf/201911002010</t>
  </si>
  <si>
    <t>WOS:000569050000099</t>
  </si>
  <si>
    <t>Purity and Compromise in the Soviet Party-State: The Struggle for the Soul of the Party, 1941-1952</t>
  </si>
  <si>
    <t>RUSSIAN REVIEW</t>
  </si>
  <si>
    <t>0036-0341</t>
  </si>
  <si>
    <t>1467-9434</t>
  </si>
  <si>
    <t>WOS:000443708100031</t>
  </si>
  <si>
    <t>Krivoshein, IL; Suslov, AA</t>
  </si>
  <si>
    <t>Krivoshein, I. L.; Suslov, A. A.</t>
  </si>
  <si>
    <t>Improvement of Determination Accuracy of Direction Search of Single-Phase Earth Fault</t>
  </si>
  <si>
    <t>WOS:000478963800045</t>
  </si>
  <si>
    <t>Repkina, NG; Repkin, DA; Levin, MN</t>
  </si>
  <si>
    <t>Repkina, N. G.; Repkin, D. A.; Levin, M. N.</t>
  </si>
  <si>
    <t>Structural Synthesis of System of Remote Interrogation of Metering Devices</t>
  </si>
  <si>
    <t>WOS:000478963800128</t>
  </si>
  <si>
    <t>Loginov, DA; Karanina, EV; Bakhtimov, AA; Ryazanova, OA</t>
  </si>
  <si>
    <t>Loginov, Dmitry A.; Karanina, Elena V.; Bakhtimov, Alexander A.; Ryazanova, Olesya A.</t>
  </si>
  <si>
    <t>Economic Security as a Basis for National Food Sovereignty</t>
  </si>
  <si>
    <t>Karanina, Elena E.V./L-1395-2016; Bakhtimov, Alexander/AAB-8499-2021</t>
  </si>
  <si>
    <t>10.1007/978-3-319-60696-5_10</t>
  </si>
  <si>
    <t>WOS:000426114200010</t>
  </si>
  <si>
    <t>Suslov, E</t>
  </si>
  <si>
    <t>Suslov, Evgenii</t>
  </si>
  <si>
    <t>Step Voltage Signaling Device</t>
  </si>
  <si>
    <t>WOS:000414282400146</t>
  </si>
  <si>
    <t>Melyukov, VV; Repkin, DA; Zapol'skikh, SN</t>
  </si>
  <si>
    <t>Melyukov, V. V.; Repkin, D. A.; Zapol'skikh, S. N.</t>
  </si>
  <si>
    <t>Optimum Control Problem of the Hybrid Welding Process</t>
  </si>
  <si>
    <t>WOS:000403604400349</t>
  </si>
  <si>
    <t>Chemodanov, I. V.</t>
  </si>
  <si>
    <t>Vyatka peasantry during the first world war</t>
  </si>
  <si>
    <t>WOS:000354658300006</t>
  </si>
  <si>
    <t>Kalinina, LA; Ushakova, YN; Ananchenko, BA; Tikhomirova, MA; Fominykh, EG</t>
  </si>
  <si>
    <t>Kalinina, L. A.; Ushakova, Yu. N.; Ananchenko, B. A.; Tikhomirova, M. A.; Fominykh, E. G.</t>
  </si>
  <si>
    <t>Sulfide ceramic materials based on CaYb2S4 with functional electrolytic properties</t>
  </si>
  <si>
    <t>20th All-Russian Conference on Temperature-Resistant Functional Coatings</t>
  </si>
  <si>
    <t>NOV 27-28, 2007</t>
  </si>
  <si>
    <t>Tikhomirova, Maria/ISS-0168-2023; Ananchenko, Boris/AAM-5831-2020</t>
  </si>
  <si>
    <t>10.1134/S1087659609010118</t>
  </si>
  <si>
    <t>WOS:000266335300011</t>
  </si>
  <si>
    <t>Monarchist organisations of the Viatka-Kama region during the first Russian revolution</t>
  </si>
  <si>
    <t>WOS:000249387600012</t>
  </si>
  <si>
    <t>Effect of structure on the damping capacity and mechanical properties of iron alloys with magnetomechanical damping</t>
  </si>
  <si>
    <t>10.1023/B:MSAT.0000043100.72622.0e</t>
  </si>
  <si>
    <t>WOS:000226016200005</t>
  </si>
  <si>
    <t>Properties of polycarboxylic acids belonging to the class of polyethers</t>
  </si>
  <si>
    <t>POLYMER SCIENCE SERIES B</t>
  </si>
  <si>
    <t>1560-0904</t>
  </si>
  <si>
    <t>7-8</t>
  </si>
  <si>
    <t>WOS:000089082400005</t>
  </si>
  <si>
    <t>Formation of structure and internal friction in nonequilibrium alloys based on Zinc and Aluminum</t>
  </si>
  <si>
    <t>WOS:A1997WU95900016</t>
  </si>
  <si>
    <t>SKVORTSOV, AI</t>
  </si>
  <si>
    <t>MOBILITY OF DOMAIN-WALLS IN BCC IRON-ALLOYS DURING MAGNETOMECHANICAL DAMPING</t>
  </si>
  <si>
    <t>FIZIKA METALLOV I METALLOVEDENIE</t>
  </si>
  <si>
    <t>0015-3230</t>
  </si>
  <si>
    <t>WOS:A1994QA42800002</t>
  </si>
  <si>
    <t>Adamovich, TA; Olkova, AS</t>
  </si>
  <si>
    <t>Adamovich, Tatyana Anatolyevna; Olkova, Anna Sergeyevna</t>
  </si>
  <si>
    <t>Railway Urbanozems: Interrelation of Physicochemical and Integral Environmental Indicators</t>
  </si>
  <si>
    <t>PERTANIKA JOURNAL OF SCIENCE AND TECHNOLOGY</t>
  </si>
  <si>
    <t>0128-7680</t>
  </si>
  <si>
    <t>10.47836/pjst.31.3.17</t>
  </si>
  <si>
    <t>WOS:000976016100017</t>
  </si>
  <si>
    <t>Tatarinova, MN; Kuklina, SS</t>
  </si>
  <si>
    <t>Tatarinova, Maya N.; Kuklina, Svetlana S.</t>
  </si>
  <si>
    <t>THE STRUCTURE AND THE CONTENT OF THE EMOTIONAL VALUE COMPONENT AND ITS TESTING IN SCHOOL FOREIGN-LANGUAGE EDUCATION</t>
  </si>
  <si>
    <t>10.17223/19996195/60/15</t>
  </si>
  <si>
    <t>WOS:000935399800015</t>
  </si>
  <si>
    <t>Thermal emission characteristics of combustion products from rocket engines. Part 2. Investigating the influence of various factors for SPRE</t>
  </si>
  <si>
    <t>10.1134/S0869864322040096</t>
  </si>
  <si>
    <t>WOS:000889060400009</t>
  </si>
  <si>
    <t>Smetanina, ZV</t>
  </si>
  <si>
    <t>Smetanina, Zoya, V</t>
  </si>
  <si>
    <t>On the second edition of the Regional Dictionary of Vyatka Dialects: A new look and new approaches</t>
  </si>
  <si>
    <t>10.17223/22274200/23/2</t>
  </si>
  <si>
    <t>WOS:000869083300002</t>
  </si>
  <si>
    <t>Olkova, A.</t>
  </si>
  <si>
    <t>Advantages of using peat gel to reduce the toxicity of soils polluted with oil products</t>
  </si>
  <si>
    <t>INTERNATIONAL JOURNAL OF ENVIRONMENTAL SCIENCE AND TECHNOLOGY</t>
  </si>
  <si>
    <t>1735-1472</t>
  </si>
  <si>
    <t>1735-2630</t>
  </si>
  <si>
    <t>10.1007/s13762-022-03971-w</t>
  </si>
  <si>
    <t>WOS:000753334600003</t>
  </si>
  <si>
    <t>Lelekova, EV; Konovalova, IA</t>
  </si>
  <si>
    <t>Lelekova, E., V; Konovalova, I. A.</t>
  </si>
  <si>
    <t>The state of forest phytocenosis after thinning in violation of technology</t>
  </si>
  <si>
    <t>10.25750/1995-4301-2022-1-056-063</t>
  </si>
  <si>
    <t>WOS:000819811100007</t>
  </si>
  <si>
    <t>Domrachev, DG; Kirillovykh, AA; Pugach, VN</t>
  </si>
  <si>
    <t>Domrachev, D. G.; Kirillovykh, A. A.; Pugach, V. N.</t>
  </si>
  <si>
    <t>Public and municipal environmental control: problems and prospects of development in the Russian Federation</t>
  </si>
  <si>
    <t>Pugach, Valentin/V-8991-2018; Domrachev, Dmitriy/K-8370-2017; Kirillovykh, Andrey/J-7815-2016</t>
  </si>
  <si>
    <t>Pugach, Valentin/0000-0003-1220-4062; Domrachev, Dmitriy/0000-0002-7967-9129; Kirillovykh, Andrey/0000-0002-0035-9035</t>
  </si>
  <si>
    <t>10.25750/1995-4301-2020-2-187-192</t>
  </si>
  <si>
    <t>WOS:000545295600026</t>
  </si>
  <si>
    <t>The Development of Balance in School children using the Exercise Classic's</t>
  </si>
  <si>
    <t>WOS:000548170500008</t>
  </si>
  <si>
    <t>Attitude to the New Economic Policy in the RCP (B) Party Organizations of the Vyatka Gubernia in 1921-1923: Archival Materials</t>
  </si>
  <si>
    <t>10.28995/2073-0101-2020-1-169-179</t>
  </si>
  <si>
    <t>WOS:000521784200013</t>
  </si>
  <si>
    <t>Yungblud, VT</t>
  </si>
  <si>
    <t>Yungblud, V. T.</t>
  </si>
  <si>
    <t>The 1945 World Order - Process with Open Continuation</t>
  </si>
  <si>
    <t>10.24833/2071-8160-2020-4-73-52-79</t>
  </si>
  <si>
    <t>WOS:000566776900002</t>
  </si>
  <si>
    <t>Gordina, EN; Zlobin, AA; Martinson, EA; Litvinets, SG</t>
  </si>
  <si>
    <t>Gordina, E. N.; Zlobin, A. A.; Martinson, E. A.; Litvinets, S. G.</t>
  </si>
  <si>
    <t>Pectic polysaccharides of callus tissue of the stem of Heracleum sosnowskyi Manden</t>
  </si>
  <si>
    <t>Martinson, Ekaterina/AAL-5413-2020; Gordina, Elena/AAE-2301-2019; Gordina, Natalya/S-8639-2017; Litvinets, Sergey/I-8188-2013</t>
  </si>
  <si>
    <t>Gordina, Elena/0000-0002-7490-9132; Gordina, Natalya/0000-0002-1067-4688; Litvinets, Sergey/0000-0001-8583-5274</t>
  </si>
  <si>
    <t>10.25750/1995-4301-2019-1-041-046</t>
  </si>
  <si>
    <t>WOS:000468565900006</t>
  </si>
  <si>
    <t>Shestakov, AV</t>
  </si>
  <si>
    <t>Shestakov, Alexander, V</t>
  </si>
  <si>
    <t>Modeling and Experimental Analysis of Dynamic Characteristics of Asynchronous Motor</t>
  </si>
  <si>
    <t>WOS:000607240300166</t>
  </si>
  <si>
    <t>Bessolitsyn, AV; Golgovskikh, AV; Novikov, AV</t>
  </si>
  <si>
    <t>Bessolitsyn, A., V; Golgovskikh, A., V; Novikov, A., V</t>
  </si>
  <si>
    <t>Estimation of Possibility to Use Electromagnetic Relays at Frequencies Below Industrial One</t>
  </si>
  <si>
    <t>WOS:000478963800091</t>
  </si>
  <si>
    <t>Galitskih, EO; Ponomarenko, LN</t>
  </si>
  <si>
    <t>Galitskih, Elena O.; Ponomarenko, Larisa N.</t>
  </si>
  <si>
    <t>FICTION AS A SOURCE OF PEDAGOGICAL KNOWLEDGE</t>
  </si>
  <si>
    <t>10.15405/epsbs.2018.09.103</t>
  </si>
  <si>
    <t>WOS:000472144400095</t>
  </si>
  <si>
    <t>Kolesnikova, OI; Igoshina, YV; Timshin, VA</t>
  </si>
  <si>
    <t>Kolesnikova, O., I; Igoshina, Yu, V; Timshin, V. A.</t>
  </si>
  <si>
    <t>Network news and the problem of the media perception culture</t>
  </si>
  <si>
    <t>MEDIAOBRAZOVANIE-MEDIA EDUCATION</t>
  </si>
  <si>
    <t>Kolesnikova, Olga Ivanovna/I-7799-2018; Vadim, Timshin/I-7736-2018</t>
  </si>
  <si>
    <t>Kolesnikova, Olga Ivanovna/0000-0002-6159-6261; Vadim, Timshin/0000-0001-6472-6976</t>
  </si>
  <si>
    <t>1994-4195</t>
  </si>
  <si>
    <t>WOS:000435214800002</t>
  </si>
  <si>
    <t>Mashkovtcev, AA; Mashkovtceva, VV</t>
  </si>
  <si>
    <t>Mashkovtcev, Andrey A.; Mashkovtceva, Viktorya V.</t>
  </si>
  <si>
    <t>Confessional policy of the government of Nicholas I regarding the Old Believers and spiritual Christians (based on the materials of the Vyatka province)</t>
  </si>
  <si>
    <t>WOS:000452093000013</t>
  </si>
  <si>
    <t>Poperekov, VS; Buldakova, NV; Bandakov, MP; Suetina, KM; Ovsyannikova, EY</t>
  </si>
  <si>
    <t>Poperekov, V. S.; Buldakova, N., V; Bandakov, M. P.; Suetina, K. M.; Ovsyannikova, E. Yu</t>
  </si>
  <si>
    <t>APPLICATION OF STATIC AND DYNAMIC EXPERIMENTAL EXERCISES DURING PE LESSONS WITH STUDENTS FROM SPECIAL MEDICAL GROUPS</t>
  </si>
  <si>
    <t>Ovsyannikova, Elena/T-2347-2018; Bandakov, Mikhail/U-7614-2018</t>
  </si>
  <si>
    <t>Ovsyannikova, Elena/0000-0003-0046-2259; Bandakov, Mikhail/0000-0002-8605-301X</t>
  </si>
  <si>
    <t>10.14529/hsm180312</t>
  </si>
  <si>
    <t>WOS:000446135400012</t>
  </si>
  <si>
    <t>Zlobina, Elena</t>
  </si>
  <si>
    <t>MOTIVATION INCREASING TO STUDY FOREIGN LANGUAGES FOR MASTER STUDENTS OF ENGINEERING EDUCATION</t>
  </si>
  <si>
    <t>10.22616/ERDev2018.17.N217</t>
  </si>
  <si>
    <t>WOS:000805412200171</t>
  </si>
  <si>
    <t>Fufachev, AS; Sintsov, AV; Krasikov, MI; Luppov, AV</t>
  </si>
  <si>
    <t>Fufachev, A. S.; Sintsov, A., V; Krasikov, M., I; Luppov, A., V</t>
  </si>
  <si>
    <t>Data Compression Techniques for Improving of Performance and Reliability of a Multifunctional Radio Receiving Center</t>
  </si>
  <si>
    <t>WOS:000414282400252</t>
  </si>
  <si>
    <t>Isupov, K; Knyazkov, V; Kuvaev, A; Popov, M</t>
  </si>
  <si>
    <t>Voevodin, V; Sobolev, S</t>
  </si>
  <si>
    <t>Isupov, Konstantin; Knyazkov, Vladimir; Kuvaev, Alexander; Popov, Mikhail</t>
  </si>
  <si>
    <t>Parallel Computation of Normalized Legendre Polynomials Using Graphics Processors</t>
  </si>
  <si>
    <t>SUPERCOMPUTING, RUSCDAYS 2016</t>
  </si>
  <si>
    <t>2nd Russian Supercomputing Days Conference (RuSCDays)</t>
  </si>
  <si>
    <t>SEP 26-27, 2016</t>
  </si>
  <si>
    <t>Supercomputing Consortium Russian Univ,Fed Agcy Sci Org,T Platforms,RSC,Intel,NVIDIA,IBM,Mellanox,Dell EMC,Hewlett Packard Enterprise,NICEVT</t>
  </si>
  <si>
    <t>978-3-319-55668-0; 978-3-319-55669-7</t>
  </si>
  <si>
    <t>10.1007/978-3-319-55669-7_14</t>
  </si>
  <si>
    <t>WOS:000429275000014</t>
  </si>
  <si>
    <t>Kuimov, A; Plotnikov, SA</t>
  </si>
  <si>
    <t>Kuimov, A.; Plotnikov, S. A.</t>
  </si>
  <si>
    <t>Evaluation of the Economic Efficiency of Various Alternative Fuels in Transport</t>
  </si>
  <si>
    <t>2ND INTERNATIONAL CONFERENCE ON INDUSTRIAL ENGINEERING (ICIE-2016)</t>
  </si>
  <si>
    <t>2nd International Conference on Industrial Engineering (ICIE)</t>
  </si>
  <si>
    <t>S Ural State Univ,Platov S Russian State Polytechn Univ,N Caucasian Inst Mining &amp; Metallurgy,Volgograd State Univ Architecture &amp; Civil Engn,S Seifullin Kazakh AgroTech Univ,Kazakh Natl Res Tech Univ,Russian Fdn Basic Res</t>
  </si>
  <si>
    <t>10.1016/j.proeng.2016.07.237</t>
  </si>
  <si>
    <t>WOS:000387965000183</t>
  </si>
  <si>
    <t>Topography of z-plane Which is Discretized Due to Quantization of Coefficients of Digital Biquad Filters</t>
  </si>
  <si>
    <t>Lesnikov, Vladislav A./E-9558-2011; Chastikov, Alexander/ACX-8162-2022; Naumovich, Tatyana/B-8000-2017; Chastikov, Alexander/A-5560-2014</t>
  </si>
  <si>
    <t>WOS:000383090900161</t>
  </si>
  <si>
    <t>Matrix Multiplication Based on Dynamic Distributed Arithmetic</t>
  </si>
  <si>
    <t>Chastikov, Alexander/A-5560-2014; Chastikov, Alexander/ACX-8162-2022; Naumovich, Tatyana/B-8000-2017; Lesnikov, Vladislav A./E-9558-2011</t>
  </si>
  <si>
    <t>Chastikov, Alexander/0000-0002-1998-7787; Naumovich, Tatyana/0000-0002-3659-2664; Lesnikov, Vladislav A./0000-0002-5034-291X</t>
  </si>
  <si>
    <t>WOS:000380571600163</t>
  </si>
  <si>
    <t>Volodchenko, AI; Tsirkin, VI</t>
  </si>
  <si>
    <t>Volodchenko, A. I.; Tsirkin, V. I.</t>
  </si>
  <si>
    <t>Effect of Propranolol, Histidine, and Trimethylhydrazine Propionate on the Capacity of Epinephrine to Change the Rate of Erythrocyte Agglutination</t>
  </si>
  <si>
    <t>BULLETIN OF EXPERIMENTAL BIOLOGY AND MEDICINE</t>
  </si>
  <si>
    <t>Tsirkin, Victor/O-1603-2017</t>
  </si>
  <si>
    <t>Tsirkin, Viktor/0000-0003-3467-3919</t>
  </si>
  <si>
    <t>0007-4888</t>
  </si>
  <si>
    <t>1573-8221</t>
  </si>
  <si>
    <t>10.1007/s10517-014-2623-9</t>
  </si>
  <si>
    <t>WOS:000343135900015</t>
  </si>
  <si>
    <t>Shishkina, SV; Zhelonkina, EA; Kononova, TV</t>
  </si>
  <si>
    <t>Shishkina, S. V.; Zhelonkina, E. A.; Kononova, T. V.</t>
  </si>
  <si>
    <t>Effect of chromium compounds on the properties of ion-exchange membranes</t>
  </si>
  <si>
    <t>10.1134/S0965544113070165</t>
  </si>
  <si>
    <t>WOS:000327218300009</t>
  </si>
  <si>
    <t>Prokashev, A. M.</t>
  </si>
  <si>
    <t>Humus Pedorelicts in Soddy Calcareous Soils of the Vyatka-Kama Interfluve</t>
  </si>
  <si>
    <t>10.1134/S1064229312110075</t>
  </si>
  <si>
    <t>WOS:000310830000002</t>
  </si>
  <si>
    <t>Skvortsov, A. I.</t>
  </si>
  <si>
    <t>ANALYSIS OF INELASTICITY IN HIGH-DAMPING Zn-Al ALLOYS, GRAY IRONS, AND IRON ALLOYS WITH INTERNAL FRICTION OF A MAGNETOMECHANICAL NATURE</t>
  </si>
  <si>
    <t>10.1007/s11041-012-9491-6</t>
  </si>
  <si>
    <t>WOS:000314271400009</t>
  </si>
  <si>
    <t>Strabykin, DA; Tomchuk, MN</t>
  </si>
  <si>
    <t>Strabykin, D. A.; Tomchuk, M. N.</t>
  </si>
  <si>
    <t>A method of logical inference of modified conclusions</t>
  </si>
  <si>
    <t>10.1134/S1064230708020111</t>
  </si>
  <si>
    <t>WOS:000255862200011</t>
  </si>
  <si>
    <t>Kalinina, LA; Ushakova, YN; Yurlov, IS; Fominykh, EG; Rossikhina, AA</t>
  </si>
  <si>
    <t>Kalinina, L. A.; Ushakova, Yu. N.; Yurlov, I. S.; Fominykh, E. G.; Rossikhina, A. A.</t>
  </si>
  <si>
    <t>Thermodynamic properties of thiosamarates of calcium and barium and phases based on them</t>
  </si>
  <si>
    <t>10.1134/S1023193507060171</t>
  </si>
  <si>
    <t>WOS:000247977600017</t>
  </si>
  <si>
    <t>Leushina, AP; Makhanova, EV; Danilov, DN</t>
  </si>
  <si>
    <t>Leushina, A. P.; Makhanova, E. V.; Danilov, D. N.</t>
  </si>
  <si>
    <t>Selecting indium-containing systems as solid electrolytes</t>
  </si>
  <si>
    <t>10.1134/S1023193507060031</t>
  </si>
  <si>
    <t>WOS:000247977600003</t>
  </si>
  <si>
    <t>Leushina, AP; Makhanova, EV</t>
  </si>
  <si>
    <t>Electrochemical sensors for sulfur- and lead-containing gases</t>
  </si>
  <si>
    <t>WOS:000227402900013</t>
  </si>
  <si>
    <t>Shishkina, SV; Kovyazina, LI; Maslenikova, IY; Pechenkina, ES</t>
  </si>
  <si>
    <t>Interaction of organic surfactants with heterogeneous ion-exchange membranes</t>
  </si>
  <si>
    <t>International Conference on the Membrane and Sorption Processes</t>
  </si>
  <si>
    <t>OCT-NOV -, 2000</t>
  </si>
  <si>
    <t>SOCI, RUSSIA</t>
  </si>
  <si>
    <t>10.1023/A:1016822030399</t>
  </si>
  <si>
    <t>WOS:000177879100015</t>
  </si>
  <si>
    <t>Khitrin, SV; Mansurova, IA; Shilov, IB; Zlobin, AA</t>
  </si>
  <si>
    <t>Thermal transformations of copolymers based on poly(methyl methacrylate) and amino-containing compounds</t>
  </si>
  <si>
    <t>Mansurova, Irina Alekseevna/J-3337-2016; Shilov, Ivan/ABA-7069-2021; Khitrin, Sergey/AAC-9299-2019</t>
  </si>
  <si>
    <t>Mansurova, Irina Alekseevna/0000-0003-1197-0339; Khitrin, Sergey/0000-0001-6874-6018; Shilov, Ivan/0000-0002-0896-095X</t>
  </si>
  <si>
    <t>WOS:000088980400006</t>
  </si>
  <si>
    <t>Kholkin, AV; Bachurinskaya, IN</t>
  </si>
  <si>
    <t>Kholkin, Anatolii, V; Bachurinskaya, Irina N.</t>
  </si>
  <si>
    <t>Principles of Selecting Objects for Cost Accounting</t>
  </si>
  <si>
    <t>Kholkin, Anatolii/C-6964-2017</t>
  </si>
  <si>
    <t>Kholkin, Anatolii/0000-0002-2790-1314</t>
  </si>
  <si>
    <t>10.1007/978-3-030-93244-2_46</t>
  </si>
  <si>
    <t>WOS:000759460600046</t>
  </si>
  <si>
    <t>The Problem of the Reader in Tomsk and Tomsk Province in the Late 19th - Early 20th Centuries</t>
  </si>
  <si>
    <t>10.17223/23062061/27/12</t>
  </si>
  <si>
    <t>WOS:000740965900012</t>
  </si>
  <si>
    <t>High-Performance Computation in Residue Number System Using Floating-Point Arithmetic</t>
  </si>
  <si>
    <t>COMPUTATION</t>
  </si>
  <si>
    <t>2079-3197</t>
  </si>
  <si>
    <t>10.3390/computation9020009</t>
  </si>
  <si>
    <t>WOS:000622388100001</t>
  </si>
  <si>
    <t>Ilyina, EN; Sanovich, MA</t>
  </si>
  <si>
    <t>Ilyina, Ekaterina N.; Sanovich, Marina A.</t>
  </si>
  <si>
    <t>EFFECTIVENESS OF QUALITY MANAGEMENT DURING IMPLEMENATION OF INNOVATIVE PROJECTS AS THE BASIS OF COMPANY'S STRATEGIC DEVELOPMENT</t>
  </si>
  <si>
    <t>Andrea Simões Braga, Francisco/GRS-0157-2022</t>
  </si>
  <si>
    <t>10.24874/IJQR15.01-18</t>
  </si>
  <si>
    <t>WOS:000617169900018</t>
  </si>
  <si>
    <t>Development and Approbation of Methodology Aimed to Define the Reasons for Turbine Unit Capacity Limitation Based on the Specified Mathematical Model of its Condenser</t>
  </si>
  <si>
    <t>10.52254/1857-0070.2021.4-52.08</t>
  </si>
  <si>
    <t>WOS:000734088800007</t>
  </si>
  <si>
    <t>Kolesnikova, OI</t>
  </si>
  <si>
    <t>Kolesnikova, Olga, I</t>
  </si>
  <si>
    <t>The Persuasive Text of Publisher's Annotations: A Linguocultural Aspect</t>
  </si>
  <si>
    <t>Kolesnikova, Olga Ivanovna/I-7799-2018</t>
  </si>
  <si>
    <t>Kolesnikova, Olga Ivanovna/0000-0002-6159-6261</t>
  </si>
  <si>
    <t>10.17223/23062061/22/8</t>
  </si>
  <si>
    <t>WOS:000530061000008</t>
  </si>
  <si>
    <t>Gorodilova, T; Khodyreva, O</t>
  </si>
  <si>
    <t>Gorodilova, T.; Khodyreva, O.</t>
  </si>
  <si>
    <t>RELIGIOUS PROCESSION AS AN EXPERIENCE OF RELIGIOUS IDENTIFICATION</t>
  </si>
  <si>
    <t>VESTNIK PRAVOSLAVNOGO SVYATO-TIKHONOVSKOGO GUMANITARNOGO UNIVERSITETA-SERIYA I-BOGOSLOVIE-FILOSOFIYA-RELIGIOVEDENIE</t>
  </si>
  <si>
    <t>1991-640X</t>
  </si>
  <si>
    <t>2409-4692</t>
  </si>
  <si>
    <t>10.15382/sturI202089.113-128</t>
  </si>
  <si>
    <t>WOS:000546888000006</t>
  </si>
  <si>
    <t>Using Floating-Point Intervals for Non-Modular Computations in Residue Number System</t>
  </si>
  <si>
    <t>10.1109/ACCESS.2020.2982365</t>
  </si>
  <si>
    <t>WOS:000527414300001</t>
  </si>
  <si>
    <t>Study of Feasibility of Controlling Tribological Situation in Sliding Current Collection Assembly of Electric Machines</t>
  </si>
  <si>
    <t>Izotov, Anatoliy/ABA-3776-2020; Vyacheslav, Timoshenko/AAI-8871-2021</t>
  </si>
  <si>
    <t>Izotov, Anatoliy/0000-0003-4943-2499; Vyacheslav, Timoshenko/0000-0002-2711-8960</t>
  </si>
  <si>
    <t>WOS:000607234900159</t>
  </si>
  <si>
    <t>Investigatory Records from the Central State Archive of the Kirov Region as a Source for Studying State Old Believers Relations in the Second Quarter of the 19th Century</t>
  </si>
  <si>
    <t>10.28995/2073-0101-2020-4-1007-1019</t>
  </si>
  <si>
    <t>WOS:000613509300004</t>
  </si>
  <si>
    <t>Meltsov, VY; Strabykin, DA; Kuvaev, AS</t>
  </si>
  <si>
    <t>Kovalev, S; Tarassov, V; Snasel, V; Sukhanov, A</t>
  </si>
  <si>
    <t>Meltsov, Vasily Yu; Strabykin, Dmitry A.; Kuvaev, Alexey S.</t>
  </si>
  <si>
    <t>Model of the Operating Device with a Tunable Structure for the Implementation of the Accelerated Deductive Inference Method</t>
  </si>
  <si>
    <t>PROCEEDINGS OF THE FOURTH INTERNATIONAL SCIENTIFIC CONFERENCE INTELLIGENT INFORMATION TECHNOLOGIES FOR INDUSTRY (IITI'19)</t>
  </si>
  <si>
    <t>4th International Scientific Conference on Intelligent Information Technologies for Industry (IITI)</t>
  </si>
  <si>
    <t>DEC 02-07, 2019</t>
  </si>
  <si>
    <t>Rostov State Transport Univ,Tech Univ Ostrava</t>
  </si>
  <si>
    <t>Kuvaev, Alexey/H-9867-2017; Meltsov, Vasily Yurevich/P-7511-2017</t>
  </si>
  <si>
    <t>Kuvaev, Alexey/0000-0003-1342-9861; Meltsov, Vasily Yurevich/0000-0001-5479-9979</t>
  </si>
  <si>
    <t>978-3-030-50097-9</t>
  </si>
  <si>
    <t>10.1007/978-3-030-50097-9_16</t>
  </si>
  <si>
    <t>WOS:000590145400016</t>
  </si>
  <si>
    <t>Bakshaeva, NS; Walz, IA</t>
  </si>
  <si>
    <t>Bakshaeva, N. S.; Walz, I. A.</t>
  </si>
  <si>
    <t>Analysis of Voltage Fluctuations in Power Supply Systems with Consumers with the Rapidly Changing Load</t>
  </si>
  <si>
    <t>10.5281/zenodo.3562179</t>
  </si>
  <si>
    <t>WOS:000504406100001</t>
  </si>
  <si>
    <t>Sarapul Ascension Brotherhood and Its Activities in the Late XIX - Early XX Centuries</t>
  </si>
  <si>
    <t>10.24224/2227-1295-2019-11-418-432</t>
  </si>
  <si>
    <t>WOS:000498897100031</t>
  </si>
  <si>
    <t>Strelnikowa, IV; Polevoy, GG</t>
  </si>
  <si>
    <t>Strelnikowa, I., V; Polevoy, G. G.</t>
  </si>
  <si>
    <t>The influence of circuit training on the development of strength and speed-power abilities in basketball players of 18-19 years old</t>
  </si>
  <si>
    <t>10.15561/20755279.2019.0206</t>
  </si>
  <si>
    <t>WOS:000465309700006</t>
  </si>
  <si>
    <t>THE PRINCIPLE OF ERGONOMICS AS A FACTOR OF BOOK CULTURE CONSERVATION IN THE ELECTRONIC ENVIRONMENT</t>
  </si>
  <si>
    <t>10.17223/23062061/16/6</t>
  </si>
  <si>
    <t>WOS:000451192400006</t>
  </si>
  <si>
    <t>Finite element models in stresses for bending plates</t>
  </si>
  <si>
    <t>10.18720/MCE.82.16</t>
  </si>
  <si>
    <t>WOS:000457172600016</t>
  </si>
  <si>
    <t>Shilov, IB; Sedlova, NG; Mansurova, IA; Kozulin, DA</t>
  </si>
  <si>
    <t>Shilov, I. B.; Sedlova, N. G.; Mansurova, I. A.; Kozulin, D. A.</t>
  </si>
  <si>
    <t>Effect Exerted on Properties of Rubber Blends and Vulcanizates by Modification of the Silicic Acid Filler with the Product of the Reaction of Methacrylic Acid with Trimethylolpropane Triglycidyl Ether</t>
  </si>
  <si>
    <t>Shilov, Ivan/ABA-7069-2021; Mansurova, Irina Alekseevna/J-3337-2016; Kozulin, Denis/T-7435-2019</t>
  </si>
  <si>
    <t>Mansurova, Irina Alekseevna/0000-0003-1197-0339; Shilov, Ivan/0000-0002-0896-095X; Sedlova, Natalia/0000-0002-8074-5445; Kozulin, Denis/0000-0001-6071-0707</t>
  </si>
  <si>
    <t>10.1134/S1070427217040152</t>
  </si>
  <si>
    <t>WOS:000406398900015</t>
  </si>
  <si>
    <t>Ozhegov, AN; Derendyaeva, LV; Dubovtseva, LV</t>
  </si>
  <si>
    <t>Ozhegov, A. N.; Derendyaeva, L., V; Dubovtseva, L., V</t>
  </si>
  <si>
    <t>Application of Diakoptics Method for Industrial Enterprise's Electrical Circuitry Decomposition by Communications Nodes in the Mode Calculation of Higher Harmonics</t>
  </si>
  <si>
    <t>WOS:000403604400155</t>
  </si>
  <si>
    <t>Kuzmin, VA; Maratkanova, EI; Zagray, IA; Rukavishnikova, RV</t>
  </si>
  <si>
    <t>Kuzmin, V. A.; Maratkanova, E. I.; Zagray, I. A.; Rukavishnikova, R. V.</t>
  </si>
  <si>
    <t>Thermal radiation of heterogeneous combustion products in the model rocket engine plume</t>
  </si>
  <si>
    <t>Zagrai, Iraida/J-6671-2017; Kuzmin, Vladimir A/J-6741-2017</t>
  </si>
  <si>
    <t>Zagrai, Iraida/0000-0002-8886-8677; Kuzmin, Vladimir A/0000-0002-8886-8677; Kuzmin, Vladimir/0000-0001-9979-4610</t>
  </si>
  <si>
    <t>10.1134/S0869864315030129</t>
  </si>
  <si>
    <t>WOS:000360647500012</t>
  </si>
  <si>
    <t>SPECIFIC THEMES AND SUBJECTS OF CHURCH PAINTING IN VYATKA</t>
  </si>
  <si>
    <t>SGEM 2015, BOOK 4: ARTS, PERFORMING ARTS, ARCHITECTURE AND DESIGN</t>
  </si>
  <si>
    <t>2nd International Multidisciplinary Scientific Conference on Social Sciences and Arts (SGEM 2015)</t>
  </si>
  <si>
    <t>AUG 26-SEP 01, 2015</t>
  </si>
  <si>
    <t>Bulgarian Acad Sci,Acad Sci Czech Republ,Latvian Acad Sci,Polish Acad Sci,Russian Acad Sci,Serbian Acad Sci &amp; Arts,Slovak Acad Sci,Natl Acad Sci Ukraine,Natl Acad Sci Armenia,Sci Council Japan,World Acad Sci,European Acad Sci, Arts &amp; Lett,Acad Fine Arts Zagreb, Croatia,Croatian Acad Sci &amp; Arts,Acad Sci Moldova,Montenegrin Acad Sci &amp; Arts,Georgian Acad Sci,Acad Fine Arts &amp; Design Bratislava,Russian Acad Arts,Turkish Acad Sci</t>
  </si>
  <si>
    <t>978-619-7105-50-6</t>
  </si>
  <si>
    <t>WOS:000378098500003</t>
  </si>
  <si>
    <t>Pakhomov, MM; Borodatyi, IL</t>
  </si>
  <si>
    <t>Pakhomov, M. M.; Borodatyi, I. L.</t>
  </si>
  <si>
    <t>Palynostratigraphy of the Pliocene-Quaternary beds in Vyatka-Kama Cisuralia based on the Upper Kama Upland</t>
  </si>
  <si>
    <t>STRATIGRAPHY AND GEOLOGICAL CORRELATION</t>
  </si>
  <si>
    <t>0869-5938</t>
  </si>
  <si>
    <t>1555-6263</t>
  </si>
  <si>
    <t>10.1134/S0869593814070053</t>
  </si>
  <si>
    <t>WOS:000346415800004</t>
  </si>
  <si>
    <t>The Formulation of Criteria of BIBO Stability of 3rd-order IIR Digital Filters in Space of Coefficients of a Denominator of Transfer Function</t>
  </si>
  <si>
    <t>2014 IEEE EAST-WEST DESIGN &amp; TEST SYMPOSIUM (EWDTS)</t>
  </si>
  <si>
    <t>Proceedings of IEEE East West Design and Test Symposium ( EWDTS 2014)</t>
  </si>
  <si>
    <t>SEP 26-29, 2014</t>
  </si>
  <si>
    <t>kiev, UKRAINE</t>
  </si>
  <si>
    <t>IEEE Comp Soc,IEEE,tttc,Synopsys,Design Verificat Comp,European Urban Regional Dev Fund,Increasing Your Future,Tempus,TTU 1918</t>
  </si>
  <si>
    <t>Lesnikov, Vladislav A./E-9558-2011; Naumovich, Tatyana/B-8000-2017; Chastikov, Alexander/A-5560-2014; Chastikov, Alexander/ACX-8162-2022</t>
  </si>
  <si>
    <t xml:space="preserve">Lesnikov, Vladislav A./0000-0002-5034-291X; Naumovich, Tatyana/0000-0002-3659-2664; Chastikov, Alexander/0000-0002-1998-7787; </t>
  </si>
  <si>
    <t>978-1-4799-7630-0</t>
  </si>
  <si>
    <t>WOS:000380470800042</t>
  </si>
  <si>
    <t>Peretyagina, AV</t>
  </si>
  <si>
    <t>Peretyagina, A. V.</t>
  </si>
  <si>
    <t>Everyday life of the French POW in the Viatica province, 1812-1814</t>
  </si>
  <si>
    <t>WOS:000311018500012</t>
  </si>
  <si>
    <t>Efficiency of the entrainment of rodlike particles by rising bubbles</t>
  </si>
  <si>
    <t>10.1023/A:1010410711855</t>
  </si>
  <si>
    <t>WOS:000169595300014</t>
  </si>
  <si>
    <t>PETROV, EP; CHASTIKOV, AV</t>
  </si>
  <si>
    <t>ANALYSIS OF THE POTENTIAL OF PROGRAMMABLE DIGITAL-FILTERS USING DIGITAL SIGNAL PROCESSORS</t>
  </si>
  <si>
    <t>IZVESTIYA VYSSHIKH UCHEBNYKH ZAVEDENII RADIOELEKTRONIKA</t>
  </si>
  <si>
    <t>Chastikov, Alexander/ACX-8162-2022; Chastikov, Alexander/A-5560-2014</t>
  </si>
  <si>
    <t>Chastikov, Alexander/0000-0002-1998-7787</t>
  </si>
  <si>
    <t>0021-3470</t>
  </si>
  <si>
    <t>A63</t>
  </si>
  <si>
    <t>A65</t>
  </si>
  <si>
    <t>WOS:A1995RQ36400016</t>
  </si>
  <si>
    <t>Bushuev, A; El'kin, O; Tolstobrov, I; Chetvertnykh, Y; Bobro, M; Saetova, N; Kuzmin, A</t>
  </si>
  <si>
    <t>Bushuev, Andrey; El'kin, Oleg; Tolstobrov, Ivan; Chetvertnykh, Yulia; Bobro, Mark; Saetova, Nailya; Kuzmin, Anton</t>
  </si>
  <si>
    <t>Development of SOFC Interconnects Based on Industrial Steels with Oxide Coating</t>
  </si>
  <si>
    <t>ENERGIES</t>
  </si>
  <si>
    <t>Kuzmin, Anton/O-4057-2014; Chetvertnykh, Yulia/HLX-7837-2023</t>
  </si>
  <si>
    <t>Kuzmin, Anton/0000-0002-0700-662X; Chetvertnykh, Yulia/0000-0001-9399-5198</t>
  </si>
  <si>
    <t>1996-1073</t>
  </si>
  <si>
    <t>10.3390/en16031237</t>
  </si>
  <si>
    <t>WOS:000930351400001</t>
  </si>
  <si>
    <t>Thermal emission characteristics of combustion products from rocket engines. Part 1. Investigating the nature and level of emission for model LPRE and SPRE</t>
  </si>
  <si>
    <t>Shmakova, Natalia/0000-0002-7718-7681; Kuzmin, Vladimir A/0000-0002-8886-8677</t>
  </si>
  <si>
    <t>10.1134/S0869864322030118</t>
  </si>
  <si>
    <t>WOS:000868305900011</t>
  </si>
  <si>
    <t>Suvorov, DM; Tatarinova, NV</t>
  </si>
  <si>
    <t>Suvorov, D. M.; Tatarinova, N. V.</t>
  </si>
  <si>
    <t>Efficiency of CHPP Operation in Heat-Supply Systems when the Transition to Lowered and Extended Schedules of Heating Regulation</t>
  </si>
  <si>
    <t>10.52254/1857-0070.2022.3-55.06</t>
  </si>
  <si>
    <t>WOS:000892787700010</t>
  </si>
  <si>
    <t>Bykova, Ekaterina, V; Tarasov, Konstantin N.</t>
  </si>
  <si>
    <t>The Problem of the Old Believers in Russian Journalism in the second half of the 19th - early 20th centuries: the Question of Preserving Traditional Values and the Historical Memory of the Russian People</t>
  </si>
  <si>
    <t>SEP 1</t>
  </si>
  <si>
    <t>10.13187/bg.2021.3.1203</t>
  </si>
  <si>
    <t>WOS:000695383200016</t>
  </si>
  <si>
    <t>Sozinova, AA; Lysova, EA</t>
  </si>
  <si>
    <t>Sozinova, Anastasiya A.; Lysova, Elena A.</t>
  </si>
  <si>
    <t>THE MARKETING APPROACH TO MANAGING THE QUALITY OF COMPANY'S PRODUCTS BASED ON INDUSTRIAL AND MANUFACTURING ENGINEERING IN THE CONDITIONS OF TRANSNATIONAL CAPITAL TRANSFORMATION</t>
  </si>
  <si>
    <t>10.24874/IJQR15.04-05</t>
  </si>
  <si>
    <t>WOS:000720953800005</t>
  </si>
  <si>
    <t>Kalinin, S., I; Pankratova, L., V</t>
  </si>
  <si>
    <t>VARIATIVE COMPONENTS OF THE UNIVERSITY COURSE OF MATHEMATICAL ANALYSIS: THE EXPERIENCE OF INTRODUCTION INTO THE PRACTICE OF TEACHING</t>
  </si>
  <si>
    <t>Kalinin, Sergey/AAK-9738-2020; Pankratova, Lyudmila/AAE-5326-2021</t>
  </si>
  <si>
    <t>Kalinin, Sergey/0000-0001-5439-9414; Pankratova, Larisa Valer'evna/0000-0002-1242-3807</t>
  </si>
  <si>
    <t>JAN 20</t>
  </si>
  <si>
    <t>10.17853/1994-5639-2020-1-113-145</t>
  </si>
  <si>
    <t>WOS:000512879700005</t>
  </si>
  <si>
    <t>Cheglakova, LS; Devetyarova, IP; Agalakova, OS; Kolesova, YA</t>
  </si>
  <si>
    <t>Cheglakova, Larisa S.; Devetyarova, Irina P.; Agalakova, Oksana S.; Kolesova, Yulia A.</t>
  </si>
  <si>
    <t>MARKETING STRATEGY OF QUALITY MANAGEMENT DURING REORGANIZATION OF REGIONAL UNIVERSITIES IN THE PROCESS OF MODERNIZATION OF EDUCATION IN THE CONDITIONS OF REGION'S TRANSITION TO INDUSTRY 4.0</t>
  </si>
  <si>
    <t>10.24874/IJQR14.01-03</t>
  </si>
  <si>
    <t>WOS:000518417300003</t>
  </si>
  <si>
    <t>Kuklina, S. S.; Shevchenko, A., I</t>
  </si>
  <si>
    <t>FORMATION OF INTERCULTURAL COMPETENCE IN THE PROFESSIONALLY ORIENTED INFORMATION EDUCATIONAL ENVIRONMENT OF A UNIVERSITY</t>
  </si>
  <si>
    <t>Shevchenko, Anna/ABB-5863-2020; Kuklina, Svetlana/ABC-7684-2020</t>
  </si>
  <si>
    <t>10.17223/19996195/47/11</t>
  </si>
  <si>
    <t>WOS:000507408400011</t>
  </si>
  <si>
    <t>Isomorphisms of Lattices of Subalgebras of Semifields of Positive Continuous Functions</t>
  </si>
  <si>
    <t>SIBERIAN MATHEMATICAL JOURNAL</t>
  </si>
  <si>
    <t>0037-4466</t>
  </si>
  <si>
    <t>1573-9260</t>
  </si>
  <si>
    <t>10.1134/S0037446619030157</t>
  </si>
  <si>
    <t>WOS:000471617300015</t>
  </si>
  <si>
    <t>Basmanov, VG; Kholmanskikh, VM; Cherepanov, VV; Ozhegov, AN; Zakalata, AA</t>
  </si>
  <si>
    <t>Basmanov, V. G.; Kholmanskikh, V. M.; Cherepanov, V. V.; Ozhegov, A. N.; Zakalata, A. A.</t>
  </si>
  <si>
    <t>Calculation of the Exchange Fund of Electrical Equipment of Industrial Enterprises</t>
  </si>
  <si>
    <t>10.5281/zenodo.2650407</t>
  </si>
  <si>
    <t>WOS:000465587600001</t>
  </si>
  <si>
    <t>FORMATION OF REALISM AS A WAY OF ARTISTIC COMPREHENSION OF REALITY IN LAZHECHNIKOV'S PROSE OF 1840-1860s</t>
  </si>
  <si>
    <t>10.24224/2227-1295-2019-11-144-154</t>
  </si>
  <si>
    <t>WOS:000498897100011</t>
  </si>
  <si>
    <t>Karanina, E; Kartavyh, K</t>
  </si>
  <si>
    <t>Karanina, Elena; Kartavyh, Ksenia</t>
  </si>
  <si>
    <t>Risk-based assessment model of the state and municipal procurement system</t>
  </si>
  <si>
    <t>10.1051/e3sconf/201911002090</t>
  </si>
  <si>
    <t>WOS:000569050000179</t>
  </si>
  <si>
    <t>Kuvaev, AS; Meltsov, VY; Lesnikov, VA</t>
  </si>
  <si>
    <t>Kuvaev, Alexey S.; Meltsov, Vasiliy Yu.; Lesnikov, Vladislav A.</t>
  </si>
  <si>
    <t>Features of the Design Operating Unit Inference Engine and Its Implementation on FPGA</t>
  </si>
  <si>
    <t>Meltsov, Vasily Yurevich/P-7511-2017; Kuvaev, Alexey/H-9867-2017; Lesnikov, Vladislav A./E-9558-2011</t>
  </si>
  <si>
    <t>Meltsov, Vasily Yurevich/0000-0001-5479-9979; Kuvaev, Alexey/0000-0003-1342-9861; Lesnikov, Vladislav A./0000-0002-5034-291X</t>
  </si>
  <si>
    <t>WOS:000469452600026</t>
  </si>
  <si>
    <t>Sadakov, D; Yungblyud, V</t>
  </si>
  <si>
    <t>Sadakov, D.; Yungblyud, V.</t>
  </si>
  <si>
    <t>US Policy of Appeasement towards Syngman Rhee in the Run-up to the 1954 Geneva Conference</t>
  </si>
  <si>
    <t>10.18254/S207987840008095-3</t>
  </si>
  <si>
    <t>WOS:000506663000033</t>
  </si>
  <si>
    <t>Evolution of the Life Forms of Flowering Plants in a Biodiversity Formation</t>
  </si>
  <si>
    <t>10.1134/S1062359019010114</t>
  </si>
  <si>
    <t>WOS:000467048800009</t>
  </si>
  <si>
    <t>Baykova, OV; Kazakov, AV; Obukhova, ON</t>
  </si>
  <si>
    <t>Baykova, Olga, V; Kazakov, Andrey, V; Obukhova, Olga N.</t>
  </si>
  <si>
    <t>METHODS OF DETERMINING AND ANALYZING COMPLETE AND INCOMPLETE INTONATION PHRASES IN SPONTANEOUS SPEECH (ON THE EXAMPLE OF STUDYING GERMAN INSULAR DIALECTS)</t>
  </si>
  <si>
    <t>Obukhova, Olga/V-4993-2018; Baykova, Olga Vladimirovna/A-7435-2016; Казаков, Андрей/AAT-4280-2020</t>
  </si>
  <si>
    <t xml:space="preserve">Baykova, Olga Vladimirovna/0000-0002-4859-8553; </t>
  </si>
  <si>
    <t>10.17223/19986645/54/1</t>
  </si>
  <si>
    <t>WOS:000448064100001</t>
  </si>
  <si>
    <t>Ilin, I; Kalinina, O</t>
  </si>
  <si>
    <t>Economic security of modern Russia: the current state and prospects</t>
  </si>
  <si>
    <t>INTERNATIONAL SCIENCE CONFERENCE SPBWOSCE-2017 BUSINESS TECHNOLOGIES FOR SUSTAINABLE URBAN DEVELOPMENT</t>
  </si>
  <si>
    <t>DEC 20-22, 2017</t>
  </si>
  <si>
    <t>Peter Great Saint Petersburg Polytechn Univ, Inst Ind Management Econ &amp; Tr, St Petersburg, RUSSIA</t>
  </si>
  <si>
    <t>Peter Great Saint Petersburg Polytechn Univ, Inst Ind Management Econ &amp; Tr</t>
  </si>
  <si>
    <t>10.1051/matecconf/201817001003</t>
  </si>
  <si>
    <t>WOS:000449660800003</t>
  </si>
  <si>
    <t>Plotnikov, S; Lanskikh, Y; Smol'nikov, M</t>
  </si>
  <si>
    <t>Plotnikov, Sergey; Lanskikh, Yury; Smol'nikov, Mikhail</t>
  </si>
  <si>
    <t>Methods of assessment of modernization of the tractor Belarus 922 to work on ethanol-containing fuel</t>
  </si>
  <si>
    <t>IX INTERNATIONAL MULTIDISCIPLINARY SCIENTIFIC AND RESEARCH CONFERENCE MODERN ISSUES IN SCIENCE AND TECHNOLOGY / WORKSHOP ADVANCED TECHNOLOGIES IN AEROSPACE, MECHANICAL AND AUTOMATION ENGINEERING</t>
  </si>
  <si>
    <t>International Workshop on Advanced Technologies in Aerospace, Mechanical and Automation Engineering - Modern Issues in Science and Technology (MIST) - Aerospace</t>
  </si>
  <si>
    <t>OCT 20, 2018</t>
  </si>
  <si>
    <t>RUSSIA</t>
  </si>
  <si>
    <t>Int &amp; Russian Union Sci &amp; Engn Assoc,Krasnoyarsk Reg Union Sci &amp; Engn Assoc,Krasnoyarsk Sci &amp; Technol City Hall,JSC Academician M F Reshetnev Informat Satellite Syst,JSC Cent Construct Bur Geofizika</t>
  </si>
  <si>
    <t>Lanskikh, Yury V./B-3801-2017; Plotnikov, Sergej A/R-8491-2016</t>
  </si>
  <si>
    <t>Lanskikh, Yury V./0000-0002-0922-1200; Plotnikov, Sergej A/0000-0002-8887-4591</t>
  </si>
  <si>
    <t>10.1088/1757-899X/450/3/032034</t>
  </si>
  <si>
    <t>WOS:000462356300069</t>
  </si>
  <si>
    <t>Karanina, E; Sapozhnikova, E; Goryachikh, S; Adamaytis, L; Petukhova, A</t>
  </si>
  <si>
    <t>Karanina, Elena; Sapozhnikova, Ekaterina; Goryachikh, Svetlana; Adamaytis, Lyudmila; Petukhova, Anastasia</t>
  </si>
  <si>
    <t>Modern Aspects of Evaluation of Russia's Food Security</t>
  </si>
  <si>
    <t>Goryachikh, Svetlana/F-2583-2019; Adamaitis, Lyudmila/N-6780-2018; Karanina, Elena E.V./L-1395-2016</t>
  </si>
  <si>
    <t>Goryachikh, Svetlana/0000-0003-0186-5308; Adamaitis, Lyudmila/0000-0002-6571-9193; Karanina, Elena E.V./0000-0002-5439-5912</t>
  </si>
  <si>
    <t>WOS:000426114200050</t>
  </si>
  <si>
    <t>Grapheme-to-Phoneme Conversion based on High-order Markov Chain for Spoken Term Detection by text query</t>
  </si>
  <si>
    <t>WOS:000426878200031</t>
  </si>
  <si>
    <t>Sozinova, AA; Fokina, OV; Shchinova, RA</t>
  </si>
  <si>
    <t>Sozinova, Amastasia A.; Fokina, Olga V.; Shchinova, Raisa A.</t>
  </si>
  <si>
    <t>Marketing Tools for Increasing Company's Reorganization Effectiveness</t>
  </si>
  <si>
    <t>10.1007/978-3-319-60696-5_40</t>
  </si>
  <si>
    <t>WOS:000426114200040</t>
  </si>
  <si>
    <t>Fuks, SL; Devyaterikova, SV; Khitrin, SV</t>
  </si>
  <si>
    <t>Fuks, S. L.; Devyaterikova, S. V.; Khitrin, S. V.</t>
  </si>
  <si>
    <t>Composite electrochemical coatings with a carbon-containing dispersed phase or polytetrafluoroethylene</t>
  </si>
  <si>
    <t>10.1134/S1070427213060116</t>
  </si>
  <si>
    <t>WOS:000322156700011</t>
  </si>
  <si>
    <t>Lesnikov, VA; Naumovich, TV; Chastikov, AV</t>
  </si>
  <si>
    <t>Lesnikov, Vladislav A.; Naumovich, Tatiana V.; Chastikov, Aleksandr V.</t>
  </si>
  <si>
    <t>SYNTHESIS OF NEW CANONIC STRUCTURES FOR A SECOND-ORDER IIR DIGITAL FILTERS</t>
  </si>
  <si>
    <t>EUROCON 2009: INTERNATIONAL IEEE CONFERENCE DEVOTED TO THE 150 ANNIVERSARY OF ALEXANDER S. POPOV, VOLS 1- 4, PROCEEDINGS</t>
  </si>
  <si>
    <t>International IEEE Conference Devoted to the 150-Anniversary of Alexander S Popov</t>
  </si>
  <si>
    <t>MAY 18-23, 2009</t>
  </si>
  <si>
    <t>978-1-4244-3967-6</t>
  </si>
  <si>
    <t>10.1109/EURCON.2009.5167811</t>
  </si>
  <si>
    <t>WOS:000272589500216</t>
  </si>
  <si>
    <t>Voznesenskaya, YI</t>
  </si>
  <si>
    <t>Voznesenskaya, Y. I.</t>
  </si>
  <si>
    <t>Communal organization of Viatka peasantry in the first years of Soviet regime, 1917-1922</t>
  </si>
  <si>
    <t>WOS:000253186900013</t>
  </si>
  <si>
    <t>Ponomarev, YN; Mikhailenko, SN; Sinitsa, LN</t>
  </si>
  <si>
    <t>About invariance of the potential function in Cartesian coordinates according to the isotope substitution - art. no. 65800B</t>
  </si>
  <si>
    <t>15th Symposium on High-Resolution Molecular Spectroscopy</t>
  </si>
  <si>
    <t>PROCEEDINGS OF THE SOCIETY OF PHOTO-OPTICAL INSTRUMENTATION ENGINEERS (SPIE)</t>
  </si>
  <si>
    <t>JUL 18-21, 2006</t>
  </si>
  <si>
    <t>Opt Soc Amer,SPIE Russia Chapter,Russian Fdn Basic Res,Bruker Ltd,Russian Acad Sci, Inst Appl Phys,Russian Acad Sci, Inst Atmospher Opt,Russian Radiat Commiss</t>
  </si>
  <si>
    <t>978-0-8194-6702-7</t>
  </si>
  <si>
    <t>B5800</t>
  </si>
  <si>
    <t>65800B</t>
  </si>
  <si>
    <t>10.1117/12.724894</t>
  </si>
  <si>
    <t>WOS:000245102200011</t>
  </si>
  <si>
    <t>Surface properties of molten binary mixtures of chlorides of alkali and rare-earth metals</t>
  </si>
  <si>
    <t>WOS:000225664900020</t>
  </si>
  <si>
    <t>Leushina, AP; Makhanova, EV; Ryabov, SL</t>
  </si>
  <si>
    <t>Possibility of using solid-electrolyte transducers to study sulfur- and lead-containing vapors</t>
  </si>
  <si>
    <t>WOS:000165979500021</t>
  </si>
  <si>
    <t>Vechtomov, EM</t>
  </si>
  <si>
    <t>Vechtomov, E. M.</t>
  </si>
  <si>
    <t>Isomorphisms of semirings of continuous binary relations on topological spaces</t>
  </si>
  <si>
    <t>SEMIGROUP FORUM</t>
  </si>
  <si>
    <t>0037-1912</t>
  </si>
  <si>
    <t>1432-2137</t>
  </si>
  <si>
    <t>10.1007/s00233-022-10327-w</t>
  </si>
  <si>
    <t>DEC 2022</t>
  </si>
  <si>
    <t>WOS:000894407100001</t>
  </si>
  <si>
    <t>Karanina, EV; Karaulov, VM; Kartavykh, KE</t>
  </si>
  <si>
    <t>Karanina, E., V; Karaulov, V. M.; Kartavykh, K. E.</t>
  </si>
  <si>
    <t>A conceptual approach to diagnosing the ecological and economic security of the region</t>
  </si>
  <si>
    <t>; Karanina, Elena/L-1395-2016</t>
  </si>
  <si>
    <t>Karaulov, Vasily/0000-0002-9599-3740; Karanina, Elena/0000-0002-5439-5912</t>
  </si>
  <si>
    <t>10.25750/1995-4301-2022-4-214-223</t>
  </si>
  <si>
    <t>WOS:000929704700029</t>
  </si>
  <si>
    <t>Pomelov, VB</t>
  </si>
  <si>
    <t>Pomelov, Vladimir Borissovich</t>
  </si>
  <si>
    <t>S. Makarenko: the father of the Soviet pedagogy</t>
  </si>
  <si>
    <t>HISTORY OF EDUCATION &amp; CHILDRENS LITERATURE</t>
  </si>
  <si>
    <t>1971-1093</t>
  </si>
  <si>
    <t>1971-1131</t>
  </si>
  <si>
    <t>WOS:000805642800025</t>
  </si>
  <si>
    <t>Yungblud, VT; Bakshaev, MV</t>
  </si>
  <si>
    <t>Yungblud, V. T.; Bakshaev, M., V</t>
  </si>
  <si>
    <t>We Will Not Change Our Attitude towards You until You Change Your Attitude towards Us. How Washingto Considered the Reaction of Western European Communist Parties to the Events In Afghanistan, 1978-1985</t>
  </si>
  <si>
    <t>10.24833/2071-8160-2022-4-85-7-42</t>
  </si>
  <si>
    <t>WOS:000874742700001</t>
  </si>
  <si>
    <t>DYNAMICS OF PHYSICAL DEVELOPMENT, FUNCTIONAL STATUS, SPEED-STRENGTH AND STRENGTH QUALITIES OF STUDENTS DURING THE FIRST YEAR OF STUDY</t>
  </si>
  <si>
    <t>10.14529/hsm210413</t>
  </si>
  <si>
    <t>WOS:000762279000013</t>
  </si>
  <si>
    <t>Chaplygin, VG; Karanina, EV; Moroz, VN</t>
  </si>
  <si>
    <t>Chaplygin, Vladimir G.; Karanina, Elena, V; Moroz, Vadim N.</t>
  </si>
  <si>
    <t>The impact of technology transfer on the implementation of innovative projects in the innovative industrial cluster (on the example of United Shipbuilding Corporation JSC)</t>
  </si>
  <si>
    <t>MARINE INTELLECTUAL TECHNOLOGIES</t>
  </si>
  <si>
    <t>2073-7173</t>
  </si>
  <si>
    <t>10.37220/MIT.2021.52.2.023</t>
  </si>
  <si>
    <t>WOS:000664516800022</t>
  </si>
  <si>
    <t>Gubernia Control Commission of the RCP (B) Fighting the Disintegration of Party Organizations in 1921-23: Archival Materials of the Vyatka Gubernia</t>
  </si>
  <si>
    <t>10.28995/2073-0101-2021-2-482-495</t>
  </si>
  <si>
    <t>WOS:000698603400013</t>
  </si>
  <si>
    <t>Savinykh, NP; Konovalova, IA; Shakleina, MN; Lelekova, EV</t>
  </si>
  <si>
    <t>Savinykh, N. P.; Konovalova, I. A.; Shakleina, M. N.; Lelekova, E., V</t>
  </si>
  <si>
    <t>Structural Organization ofNelumbo nucifera(Nelumbonaceae) Plants on the Northern Border of Their Geographic Range</t>
  </si>
  <si>
    <t>INLAND WATER BIOLOGY</t>
  </si>
  <si>
    <t>1995-0829</t>
  </si>
  <si>
    <t>1995-0837</t>
  </si>
  <si>
    <t>10.1134/S1995082920020297</t>
  </si>
  <si>
    <t>WOS:000545314100010</t>
  </si>
  <si>
    <t>Konovalova, I; Savinykh, N</t>
  </si>
  <si>
    <t>Konovalova, Irina; Savinykh, Natalya</t>
  </si>
  <si>
    <t>Biomorphs Solanum dulcamara L. and their contribution in seasonal climate grasses origin</t>
  </si>
  <si>
    <t>10.1051/bioconf/20202400039</t>
  </si>
  <si>
    <t>WOS:000624287900039</t>
  </si>
  <si>
    <t>The activities of the educators in Russia in the first half of the XVIII Century (the case of the Vyatka Province)</t>
  </si>
  <si>
    <t>Pomelov, Vladimir/AAS-2608-2020</t>
  </si>
  <si>
    <t>Pomelov, Vladimir/0000-0002-3813-7745</t>
  </si>
  <si>
    <t>WOS:000536400400017</t>
  </si>
  <si>
    <t>Zhebin, AZ; Asmolov, KV; Zakharova, LV; Un, KE; Osetrova, MY; Polenova, AL; Samsonova, VG; Suslina, SS</t>
  </si>
  <si>
    <t>Republic of Korea in the US security system in North-East Asia in the 1940s and early 1950s</t>
  </si>
  <si>
    <t>KOREYSKIY POLUOSTROV: ISTORIYA I SOVREMENNOST'</t>
  </si>
  <si>
    <t>978-5-8381-0370-3</t>
  </si>
  <si>
    <t>WOS:000588252000019</t>
  </si>
  <si>
    <t>US INTELLIGENCE ESTIMATES ON THE SOVIET, CHINESE, AND NORTH KOREAN PROPAGANDA CAMPAIGNS DURING THE KOREAN WAR</t>
  </si>
  <si>
    <t>10.15826/qr.2020.1.453</t>
  </si>
  <si>
    <t>WOS:000579426800010</t>
  </si>
  <si>
    <t>Mosechkin, IN; Krukovskiy, VY</t>
  </si>
  <si>
    <t>Mosechkin, Ilya N.; Krukovskiy, Vladimir Y.</t>
  </si>
  <si>
    <t>Victimological Measures for Preventing School Shootings: Expert View</t>
  </si>
  <si>
    <t>INTERNATIONAL JOURNAL OF CRIMINAL JUSTICE SCIENCES</t>
  </si>
  <si>
    <t>0973-5089</t>
  </si>
  <si>
    <t>JUL-DEC</t>
  </si>
  <si>
    <t>10.5281/zenodo.3722888</t>
  </si>
  <si>
    <t>WOS:000522670600013</t>
  </si>
  <si>
    <t>Lelekova, EV; Savinykh, NP</t>
  </si>
  <si>
    <t>Lelekova, E. V.; Savinykh, N. P.</t>
  </si>
  <si>
    <t>Shoot Formation of Persicaria amphibia (L.) Delarbre from Positions of Modular Organization</t>
  </si>
  <si>
    <t>10.1134/S1995082919050134</t>
  </si>
  <si>
    <t>WOS:000483728400002</t>
  </si>
  <si>
    <t>THE EFFECT OF ARTISTIC GYMNASTICS AND STEP AEROBICS ON PHYSICAL PERFORMANCE IN FIRST-YEAR FEMALE UNIVERSITY STUDENTS NOT RELATED TO SPORT</t>
  </si>
  <si>
    <t>Avdeeva, Marina S./J-9840-2018; Беличева, Татьяна/AAX-2260-2020</t>
  </si>
  <si>
    <t>Avdeeva, Marina S./0000-0002-6760-7347; Беличева, Татьяна/0000-0003-2096-8513</t>
  </si>
  <si>
    <t>10.14529/hsm190308</t>
  </si>
  <si>
    <t>WOS:000502010700008</t>
  </si>
  <si>
    <t>Traditions of Art of Old Believers of the Volga and Vyatka Region at the turn of the 19th - 20th centuries in the Historical and Cultural Context of Modernization</t>
  </si>
  <si>
    <t>Tarasov, Konstantin/AAH-8945-2019; Bykova, Ekaterina V/I-6317-2016</t>
  </si>
  <si>
    <t xml:space="preserve">Tarasov, Konstantin/0000-0002-3050-0239; </t>
  </si>
  <si>
    <t>10.13187/bg.2019.4.1811</t>
  </si>
  <si>
    <t>WOS:000501567300041</t>
  </si>
  <si>
    <t>Aspects of party and state leadership in the Kirov region in the early post-war years</t>
  </si>
  <si>
    <t>10.31166/VoprosyIstorii201908Statyil6</t>
  </si>
  <si>
    <t>WOS:000484656400012</t>
  </si>
  <si>
    <t>Kurbatova, EE; Laylina, VA</t>
  </si>
  <si>
    <t>Kurbatova, E. E.; Laylina, V. A.</t>
  </si>
  <si>
    <t>Detection of Roads from Images Based on Edge Segmentation and Morphological Operations</t>
  </si>
  <si>
    <t>WOS:000492146100097</t>
  </si>
  <si>
    <t>Ovsiannikova, EY; Koviazina, GV; Poperekov, VS; Buldakova, NV</t>
  </si>
  <si>
    <t>Ovsiannikova, E. Yu.; Koviazina, G. V.; Poperekov, V. S.; Buldakova, N. V.</t>
  </si>
  <si>
    <t>EXPERIMENTAL APPLICATION OF HIPPOTHERAPY AGAINST PROBLEMS OF SENSOR INTEGRATION IN PRESCHOOL CHILDREN WITH AUTISM SPECTRUM DISORDERS</t>
  </si>
  <si>
    <t>10.14529/hsm19s215</t>
  </si>
  <si>
    <t>WOS:000521649200015</t>
  </si>
  <si>
    <t>Determinability of Semirings of Continuous Nonnegative Functions with Max-Plus by the Lattices of Their Subalgebras</t>
  </si>
  <si>
    <t>10.1134/S1995080219010128</t>
  </si>
  <si>
    <t>WOS:000464212300011</t>
  </si>
  <si>
    <t>Vorobyova, T; Yungblud, V</t>
  </si>
  <si>
    <t>Vorobyova, T.; Yungblud, V.</t>
  </si>
  <si>
    <t>RELATIONS WITHIN TRIANGLE USA - USSR - PRC AT THE END OF DETENTE PERIOD (1977-1980)</t>
  </si>
  <si>
    <t>10.24833/2071-8160-2019-1-64-59-82</t>
  </si>
  <si>
    <t>WOS:000473744600005</t>
  </si>
  <si>
    <t>Pozolotina, NV; Darmov, IV; Marakulin, IV; Pozolotin, AP</t>
  </si>
  <si>
    <t>Pozolotina, N. V.; Darmov, I. V.; Marakulin, I. V.; Pozolotin, A. P.</t>
  </si>
  <si>
    <t>Influence of the Level of Adhesive Activity of Lactobacillus paracasei B-11821 Bacteria on the Effectiveness of the Probiotic Preparation for Use in Pig Breeding</t>
  </si>
  <si>
    <t>UCHENYE ZAPISKI KAZANSKOGO UNIVERSITETA-SERIYA ESTESTVENNYE NAUKI</t>
  </si>
  <si>
    <t>2542-064X</t>
  </si>
  <si>
    <t>2500-218X</t>
  </si>
  <si>
    <t>WOS:000438854600005</t>
  </si>
  <si>
    <t>Tulyakova, OV; Avdeeva, MS</t>
  </si>
  <si>
    <t>Tulyakova, O. V.; Avdeeva, M. S.</t>
  </si>
  <si>
    <t>Informative indices of physical and functional state of young men during the process of adaptation to learning</t>
  </si>
  <si>
    <t>Tulyakova, Olga/O-8534-2017; Avdeeva, Marina S./J-9840-2018</t>
  </si>
  <si>
    <t>Tulyakova, Olga/0000-0002-2095-4309; Avdeeva, Marina S./0000-0002-6760-7347</t>
  </si>
  <si>
    <t>10.15561/18189172.2018.0106</t>
  </si>
  <si>
    <t>WOS:000431046900006</t>
  </si>
  <si>
    <t>Research of Single-Phase Faults in 6-35 KV Branched Overhead Distribution Network</t>
  </si>
  <si>
    <t>WOS:000414282400145</t>
  </si>
  <si>
    <t>Reshetnikov, SM; Zyryanov, IA; Pozolotin, AP; Budin, AG</t>
  </si>
  <si>
    <t>Reshetnikov, S. M.; Zyryanov, I. A.; Pozolotin, A. P.; Budin, A. G.</t>
  </si>
  <si>
    <t>The distribution of excess charges in the diffusion flame of hydrocarbons</t>
  </si>
  <si>
    <t>VII CONFERENCE ON LOW TEMPERATURE PLASMA IN THE PROCESSES OF FUNCTIONAL COATING PREPARATION</t>
  </si>
  <si>
    <t>7th Conference on Low Temperature Plasma in the Processes of Functional Coating Preparation</t>
  </si>
  <si>
    <t>NOV 04-07, 2015</t>
  </si>
  <si>
    <t>Republic Tatarstan, Acad Sci, Kazan, RUSSIA</t>
  </si>
  <si>
    <t>Republic Tatarstan, Acad Sci</t>
  </si>
  <si>
    <t>10.1088/1742-6596/669/1/012040</t>
  </si>
  <si>
    <t>WOS:000371617600040</t>
  </si>
  <si>
    <t>Sadakova, V; Kladova, I</t>
  </si>
  <si>
    <t>Sadakova, Vera; Kladova, Irina</t>
  </si>
  <si>
    <t>MODERN STATUS OF ARTISTIC GLASSMAKING IN RUSSIA AND ABROAD</t>
  </si>
  <si>
    <t>Bulgarian Acad Sci,Acad Sci Czech Republ,Latvian Acad Sci,Polish Acad Sci,Russian Acad Sci,Serbian Acad Sci &amp; Arts,Slovak Acad Sci,Natl Acad Sci Ukraine,Natl Acad Sci Armenia,Sci Council Japan,World Acad Sci,European Acad Sci, Arts &amp; Letters,Acad Fine Arts Zagreb Croatia,Croatian Acad Sci &amp; Arts,Acad Sci Moldova,Montenegrin Acad Sci &amp; Arts,Georgian Acad Sci,Acad Fine Arts &amp; Design Bratislava,Russian Acad Arts,Turkish Acad Sci,Bulgarian Cultural Inst Vienna</t>
  </si>
  <si>
    <t>WOS:000395727700051</t>
  </si>
  <si>
    <t>Definability of semifields of continuous positive functions by the lattices of their subalgebras</t>
  </si>
  <si>
    <t>SBORNIK MATHEMATICS</t>
  </si>
  <si>
    <t>1064-5616</t>
  </si>
  <si>
    <t>1468-4802</t>
  </si>
  <si>
    <t>10.1070/SM8609</t>
  </si>
  <si>
    <t>WOS:000391848300004</t>
  </si>
  <si>
    <t>Fuks, SL; Khitrin, SV; Vologzhanina, YV; Pinaeva, LN; Mikhalitsyna, YS; Devyaterikova, SV</t>
  </si>
  <si>
    <t>Fuks, S. L.; Khitrin, S. V.; Vologzhanina, Yu. V.; Pinaeva, L. N.; Mikhalitsyna, Yu. S.; Devyaterikova, S. V.</t>
  </si>
  <si>
    <t>Cloused cycle of production of ulltrafine polytetrafluoroethylene and new areas of use of fluoropolymer manufacture waste</t>
  </si>
  <si>
    <t>10.1134/S10704272150110105</t>
  </si>
  <si>
    <t>WOS:000370279700010</t>
  </si>
  <si>
    <t>Strabykin, D. A.</t>
  </si>
  <si>
    <t>Logical method for predicting situation development based on abductive inference</t>
  </si>
  <si>
    <t>10.1134/S1064230713050122</t>
  </si>
  <si>
    <t>WOS:000325636200009</t>
  </si>
  <si>
    <t>Hydrodynamics of motion of spherical particles, drops, and bubbles in non-Newtonian liquid: Experimental studies</t>
  </si>
  <si>
    <t>1608-3431</t>
  </si>
  <si>
    <t>10.1134/S0040579513020103</t>
  </si>
  <si>
    <t>WOS:000323369900008</t>
  </si>
  <si>
    <t>Goreva, TV; Khranilov, YP</t>
  </si>
  <si>
    <t>Goreva, T. V.; Khranilov, Yu. P.</t>
  </si>
  <si>
    <t>Theoretical foundations and technology of electrochemical production of lead chrome pigment from electroplating waste</t>
  </si>
  <si>
    <t>10.1134/S1070427207010120</t>
  </si>
  <si>
    <t>WOS:000244828900012</t>
  </si>
  <si>
    <t>Mechanism of strong internal friction in iron-based alloys containing lamellar graphite</t>
  </si>
  <si>
    <t>WOS:000189119800014</t>
  </si>
  <si>
    <t>Rodnikov, SN</t>
  </si>
  <si>
    <t>Distinctive features of hydrogenation in the processes of electrolytic zinc plating of copper and cadmium plating of steel</t>
  </si>
  <si>
    <t>MATERIALS SCIENCE</t>
  </si>
  <si>
    <t>1068-820X</t>
  </si>
  <si>
    <t>10.1007/BF02537553</t>
  </si>
  <si>
    <t>WOS:000075783700017</t>
  </si>
  <si>
    <t>Vokhmyanin, M; Vesnin, R; Avdonin, V</t>
  </si>
  <si>
    <t>Vokhmyanin, Mikhail; Vesnin, Roman; Avdonin, Valery</t>
  </si>
  <si>
    <t>The Use of Products of Microwave Aminolytic Destruction of Polyethylene Terephthalate in Vibration-absorbing Polymer Composite Materials</t>
  </si>
  <si>
    <t>10.37358/MP.22.1.5555</t>
  </si>
  <si>
    <t>WOS:000783749900001</t>
  </si>
  <si>
    <t>Domrachev, DG; Kirillovyh, AA</t>
  </si>
  <si>
    <t>Domrachev, D. G.; Kirillovyh, A. A.</t>
  </si>
  <si>
    <t>The legal regime for limiting greenhouse gas emissions as a climate protection tool</t>
  </si>
  <si>
    <t>Domrachev, Dmitriy/K-8370-2017; Kirillovykh, Andrey/J-7815-2016</t>
  </si>
  <si>
    <t>Domrachev, Dmitriy/0000-0002-7967-9129; Kirillovykh, Andrey/0000-0002-0035-9035</t>
  </si>
  <si>
    <t>10.25750/1995-4301-2022-1-191-197</t>
  </si>
  <si>
    <t>WOS:000819811100027</t>
  </si>
  <si>
    <t>Shirokova, ES; Sozinov, PA; Cherepanova, VA; El'kin, OV; Fomin, SV; Kozulin, DA; Bushuev, AN; Tolstobrov, IV; Kraeva, IS</t>
  </si>
  <si>
    <t>Shirokova, E. S.; Sozinov, P. A.; Cherepanova, V. A.; El'kin, O. V.; Fomin, S. V.; Kozulin, D. A.; Bushuev, A. N.; Tolstobrov, I. V.; Kraeva, I. S.</t>
  </si>
  <si>
    <t>Green fabrication of poly(vinylidene fluoride) membranes for microfiltration</t>
  </si>
  <si>
    <t>Tolstobrov, Ivan/T-7734-2019; Shirokova, Evgeniya/L-2195-2017</t>
  </si>
  <si>
    <t>Tolstobrov, Ivan/0000-0002-0133-6150; Sergey, Fomin/0000-0003-0393-5613; Shirokova, Evgeniya/0000-0001-5735-3489; El'kin, Oleg/0000-0002-4540-7483</t>
  </si>
  <si>
    <t>10.25750/1995-4301-2021-4-064-070</t>
  </si>
  <si>
    <t>WOS:000755154100009</t>
  </si>
  <si>
    <t>The Development of Reaction in School children using the Exercise Classic's</t>
  </si>
  <si>
    <t>WOS:000619393300195</t>
  </si>
  <si>
    <t>The Development of Reaction in School Children Using the Exercise Classic's</t>
  </si>
  <si>
    <t>WOS:000532483500140</t>
  </si>
  <si>
    <t>DEVELOPMENT OF KINES THETIC DIFFERENTIATION OF PARAMETERS OF FOOTBALL PLAYER'S MOVEMENTS USING EXERCISES CLASSIC'S</t>
  </si>
  <si>
    <t>JAN-APR</t>
  </si>
  <si>
    <t>WOS:000563081500010</t>
  </si>
  <si>
    <t>Zorin, Artyom Viktorovich</t>
  </si>
  <si>
    <t>PROBLEM OF COMPENSATION FOR AMERICAN PROPERTY IN CZECHOSLOVAKIA IN 1945-1948</t>
  </si>
  <si>
    <t>10.15826/izv2.2020.22.4.072</t>
  </si>
  <si>
    <t>WOS:000604183000013</t>
  </si>
  <si>
    <t>Isupova, SM; Zonova, EV</t>
  </si>
  <si>
    <t>Isupova, Svetlana M.; Zonova, Elena, V</t>
  </si>
  <si>
    <t>Lexico-grammatical means of expressing comparison in the lyrical texts of I.A. Bunin</t>
  </si>
  <si>
    <t>FILOLOGICHESKIE NAUKI-NAUCHNYE DOKLADY VYSSHEI SHKOLY-PHILOLOGICAL SCIENCES-SCIENTIFIC ESSAYS OF HIGHER EDUCATION</t>
  </si>
  <si>
    <t>2310-4287</t>
  </si>
  <si>
    <t>10.20339/PhS.4-19.003</t>
  </si>
  <si>
    <t>WOS:000476942200001</t>
  </si>
  <si>
    <t>Tatarinova, MN; Kuklina, SS; Gulyaev, VS; Cheremisinova, RA; Shvetsova, MG; Shamova, NV</t>
  </si>
  <si>
    <t>Tatarinova, Maya N.; Kuklina, Svetlana S.; Gulyaev, Valentina S.; Cheremisinova, Rimma A.; Shvetsova, Marina G.; Shamova, Nina V.</t>
  </si>
  <si>
    <t>Foreign language texts of emotionally-valuable content for teaching speaking in a primary school</t>
  </si>
  <si>
    <t>DILEMAS CONTEMPORANEOS-EDUCACION POLITICA Y VALORES</t>
  </si>
  <si>
    <t>Shvetsova, Marina/AAX-1048-2020; Kuklina, Svetlana/ABC-7684-2020</t>
  </si>
  <si>
    <t>Shvetsova, Marina/0000-0002-3960-0658; Kuklina, Svetlana/0000-0002-4838-9233</t>
  </si>
  <si>
    <t>2007-7890</t>
  </si>
  <si>
    <t>WOS:000470308600018</t>
  </si>
  <si>
    <t>The Topography of a Third Order IIR Digital Filter Zeros and Poles in the z-Plane Discretized due to the Quantization of the Direct Form Coefficients</t>
  </si>
  <si>
    <t>WOS:000492146100091</t>
  </si>
  <si>
    <t>Morozova, MA; Svinar, EV</t>
  </si>
  <si>
    <t>Morozova, Marina A.; Svinar, Elena V.</t>
  </si>
  <si>
    <t>Necessity to Research Risks of Education Digitalization for Successful Training of Future Teachers</t>
  </si>
  <si>
    <t>Morozova, Marina A./AAD-1191-2019; Svinar, Elena/AAT-9070-2020</t>
  </si>
  <si>
    <t>Morozova, Marina A./0000-0003-3303-3426; Svinar, Elena/0000-0001-7987-6993</t>
  </si>
  <si>
    <t>10.3897/ap.1.e0422</t>
  </si>
  <si>
    <t>WOS:000520005200045</t>
  </si>
  <si>
    <t>GRAND DUKE SERGEY ALEXANDROVICH AND THE DEVELOPMENT OF RELIGIOUS AND EDUCATIONAL ACTIVITIES IN THE VYATKA PROVINCE IN THE LATE XIX - EARLY XX CENTURIES</t>
  </si>
  <si>
    <t>10.24224/2227-1295-2019-10-434-451</t>
  </si>
  <si>
    <t>WOS:000493393100027</t>
  </si>
  <si>
    <t>Rubleva, O</t>
  </si>
  <si>
    <t>Rubleva, Olga</t>
  </si>
  <si>
    <t>STRUCTURAL CHANGES OF SCOTS PINE WOOD CAUSED BY LOCAL PRESSING IN THE LONGITUDINAL DIRECTION</t>
  </si>
  <si>
    <t>DREWNO</t>
  </si>
  <si>
    <t>Rubleva, Olga A./Q-7239-2017</t>
  </si>
  <si>
    <t>Rubleva, Olga A./0000-0003-0756-6130</t>
  </si>
  <si>
    <t>1644-3985</t>
  </si>
  <si>
    <t>10.12841/wood.1644-3985.268.06</t>
  </si>
  <si>
    <t>WOS:000500693100002</t>
  </si>
  <si>
    <t>Popkova, EG; Ragulina, YV; Bogoviz, AV</t>
  </si>
  <si>
    <t>Causal Connections of Formation of Industry 4.0 from the Positions of the Global Economy</t>
  </si>
  <si>
    <t>INDUSTRY 4.0: INDUSTRIAL REVOLUTION OF THE 21ST CENTURY</t>
  </si>
  <si>
    <t>Studies in Systems, Decision and Control</t>
  </si>
  <si>
    <t>2198-4182</t>
  </si>
  <si>
    <t>2198-4190</t>
  </si>
  <si>
    <t>978-3-319-94310-7; 978-3-319-94309-1</t>
  </si>
  <si>
    <t>10.1007/978-3-319-94310-7_13</t>
  </si>
  <si>
    <t>10.1007/978-3-319-94310-7</t>
  </si>
  <si>
    <t>WOS:000555691800014</t>
  </si>
  <si>
    <t>Zyryanov, IA; Pozolotin, AP; Budin, AG; Kantor, EV</t>
  </si>
  <si>
    <t>Zyryanov, I. A.; Pozolotin, A. P.; Budin, A. G.; Kantor, E., V</t>
  </si>
  <si>
    <t>The possibility of reducing the toxicity of gaseous emissions of power plants by the effect of an electrostatic field on the organic fuel combustion zone</t>
  </si>
  <si>
    <t>10.25750/1995-4301-2019-1-088-093</t>
  </si>
  <si>
    <t>WOS:000468565900013</t>
  </si>
  <si>
    <t>Soboleva, EV; Karavaev, NL; Shalaginova, NV; Perevozchikova, MS</t>
  </si>
  <si>
    <t>Soboleva, Elena V.; Karavaev, Nikita L.; Shalaginova, Nadezhda V.; Perevozchikova, Marina S.</t>
  </si>
  <si>
    <t>Improvement of the Robotics Cross-Cutting Course for Training of Specialists in Professions of the Future</t>
  </si>
  <si>
    <t>Shalaginova, Nadejda/HSF-3769-2023</t>
  </si>
  <si>
    <t>10.13187/ejced.2018.4.845</t>
  </si>
  <si>
    <t>WOS:000453622300017</t>
  </si>
  <si>
    <t>Prokashev, AM; Soboleva, ES; Imenitova, AS; Vartan, IA; Matushkin, AS; Okhorzin, ND; Mokrushin, SL; Borodatyi, IL</t>
  </si>
  <si>
    <t>Prokashev, A. M.; Soboleva, E. S.; Imenitova, A. S.; Vartan, I. A.; Matushkin, A. S.; Okhorzin, N. D.; Mokrushin, S. L.; Borodatyi, I. L.</t>
  </si>
  <si>
    <t>Soddy-Podzolic Soils with a Complex Organic Profile in the Right-Bank Part of the Lower Vyatka River Basin</t>
  </si>
  <si>
    <t>Prokashev, Aleksei/ABE-7729-2020; Vartan, Igor/AAR-6107-2021</t>
  </si>
  <si>
    <t>Vartan, Igor/0000-0003-1663-385X</t>
  </si>
  <si>
    <t>1556-195X</t>
  </si>
  <si>
    <t>10.1134/S1064229318070074</t>
  </si>
  <si>
    <t>WOS:000441009400003</t>
  </si>
  <si>
    <t>Poperekov, VS; Buldakova, NV; Bandakov, MP; Zhilina, NO; Solgalov, VS</t>
  </si>
  <si>
    <t>Poperekov, V. S.; Buldakova, N., V; Bandakov, M. P.; Zhilina, N. O.; Solgalov, V. S.</t>
  </si>
  <si>
    <t>FOCUSED DEVELOPMENT OF JUMPING ABILITY IN YOUNG BASKETBALL PLAYERS BY MEANS OF CIRCUIT TRAINING</t>
  </si>
  <si>
    <t>10.14529/hsm180415</t>
  </si>
  <si>
    <t>WOS:000458656200002</t>
  </si>
  <si>
    <t>The 'March Bolsheviks': The Emergence of the Uezd Organizations of the RCP(b) in the Vyatka Gubernia in the Spring - Autumn 1918: From Archival Materials</t>
  </si>
  <si>
    <t>10.28995/2073-0101-2018-2-455-462</t>
  </si>
  <si>
    <t>WOS:000452895600011</t>
  </si>
  <si>
    <t>Method for the Restoration of Multicomponent Images Distorted by Applicative Disturbances</t>
  </si>
  <si>
    <t>2017 INTERNATIONAL SIBERIAN CONFERENCE ON CONTROL AND COMMUNICATIONS (SIBCON) PROCEEDINGS</t>
  </si>
  <si>
    <t>INTERNATIONAL SIBERIAN CONFERENCE ON CONTROL AND COMMUNICATIONS</t>
  </si>
  <si>
    <t>JUN 29-30, 2017</t>
  </si>
  <si>
    <t>Astana, KAZAKHSTAN</t>
  </si>
  <si>
    <t>S. Seifullin Kazakh Agrotechnical Univ,Tomsk IEEE Chapter &amp; Student Branch,Siberian Federal Univ,Nat Instruments R&amp;D,IEEE Young Professionals,Russia Siberia Sect IEEE,Natl Instruments,IEEE Inst Electrical &amp; Elect Engineers,IEEE Electron Devices Soc</t>
  </si>
  <si>
    <t>978-1-5090-1081-3</t>
  </si>
  <si>
    <t>WOS:000426785900169</t>
  </si>
  <si>
    <t>Peshnina, I; Sinitsina, O</t>
  </si>
  <si>
    <t>Peshnina, I.; Sinitsina, O.</t>
  </si>
  <si>
    <t>Analysis of Latest Experience in Design of Industrial Buildings Reconstruction by Constructing Additional Interfloor Overlaps</t>
  </si>
  <si>
    <t>10.1088/1757-899X/262/1/012052</t>
  </si>
  <si>
    <t>WOS:000423728200052</t>
  </si>
  <si>
    <t>Skutnev, A., V</t>
  </si>
  <si>
    <t>Ideals and installation of the clergy in the XIX - early XX century</t>
  </si>
  <si>
    <t>Skutnev, Alexey/0000-0003-3016-6805</t>
  </si>
  <si>
    <t>WOS:000430880200012</t>
  </si>
  <si>
    <t>Results of social-economic development of the agricultural sector Vyatka region at the end of 1920s</t>
  </si>
  <si>
    <t>WOS:000386421700003</t>
  </si>
  <si>
    <t>Ryazantseva, EA; Fuks, SL; Khitrin, SV</t>
  </si>
  <si>
    <t>Ryazantseva, E. A.; Fuks, S. L.; Khitrin, S. V.</t>
  </si>
  <si>
    <t>A study of the effect of waste from production of fluoropolymers on properties of zinc-fluoropolymer composite electrochemical coatings</t>
  </si>
  <si>
    <t>10.1134/S1070427212040143</t>
  </si>
  <si>
    <t>WOS:000304155200014</t>
  </si>
  <si>
    <t>Ushakova, YN; Kalinina, LA; Medvedeva, OV; Yurlov, IS; Baiderina, TV</t>
  </si>
  <si>
    <t>Ushakova, Yu. N.; Kalinina, L. A.; Medvedeva, O. V.; Yurlov, I. S.; Baiderina, T. V.</t>
  </si>
  <si>
    <t>Preparation of sulfide ceramic materials based on BaSm(2)S(4)and CaGd2S4 with the use of sol-gel and cryochemical technologies</t>
  </si>
  <si>
    <t>10.1134/S108765960903016X</t>
  </si>
  <si>
    <t>WOS:000267486100016</t>
  </si>
  <si>
    <t>Kochurova, TI</t>
  </si>
  <si>
    <t>Kochurova, T. I.</t>
  </si>
  <si>
    <t>The bottom invertebrates of small rivers in an area where pesticides were buried</t>
  </si>
  <si>
    <t>10.1134/S1995082908030139</t>
  </si>
  <si>
    <t>WOS:000259462900013</t>
  </si>
  <si>
    <t>Yungbliud, VT</t>
  </si>
  <si>
    <t>Yungbliud, V. T.</t>
  </si>
  <si>
    <t>Foreigners in the structure of St. Petersburg business in the second half of the 19th and the 20th centuries</t>
  </si>
  <si>
    <t>WOS:000245904600016</t>
  </si>
  <si>
    <t>Dyukov, AV; Shishkina, SV; Zhelonkina, EA; Ananchenko, BA</t>
  </si>
  <si>
    <t>Dyukov, A. V.; Shishkina, S. V.; Zhelonkina, E. A.; Ananchenko, B. A.</t>
  </si>
  <si>
    <t>The effect of complex formation on the sorption and transport of mercury(II) ions in ion-exchange membranes</t>
  </si>
  <si>
    <t>10.1134/S0965544114080040</t>
  </si>
  <si>
    <t>WOS:000347556300007</t>
  </si>
  <si>
    <t>Kuklina, SS; Vladimirova, EN</t>
  </si>
  <si>
    <t>Kuklina, Svetlana S.; Vladimirova, Elena N.</t>
  </si>
  <si>
    <t>Audio text as a content basis for teaching foreign language listening comprehension to school students</t>
  </si>
  <si>
    <t>10.17223/15617793/484/18</t>
  </si>
  <si>
    <t>WOS:000952852900018</t>
  </si>
  <si>
    <t>A Unit for Local Cryotherapy Based on the Ranque-Hilsch Vortex Effect</t>
  </si>
  <si>
    <t>10.1007/s10527-020-09947-9</t>
  </si>
  <si>
    <t>WOS:000748254500002</t>
  </si>
  <si>
    <t>Sabanina, VN; Buldakova, NV; Anfilatova, OV; Mikryukova, MG; Karavaeva, TL; Vavilov, AL</t>
  </si>
  <si>
    <t>Sabanina, V. N.; Buldakova, N. V.; Anfilatova, O. V.; Mikryukova, M. G.; Karavaeva, T. L.; Vavilov, A. L.</t>
  </si>
  <si>
    <t>GYMNASTIC ELEMENTS AS A MEANS OF PHYSICAL EDUCATION FOR CHILDREN AGED 7-8 WITH AUTISM SPECTRUM DISORDERS</t>
  </si>
  <si>
    <t>Karavaeva, Tatyana/B-2672-2019; Anfilatova, Olga/V-1741-2018</t>
  </si>
  <si>
    <t>Karavaeva, Tatyana/0000-0001-9232-5352; Anfilatova, Olga/0000-0002-0412-2553</t>
  </si>
  <si>
    <t>10.14529/hsm180314</t>
  </si>
  <si>
    <t>WOS:000454315400002</t>
  </si>
  <si>
    <t>Egorov, SG; Trushkov, SA; Thegleev, EA</t>
  </si>
  <si>
    <t>Egorov, Sergey G.; Trushkov, Sergey A.; Thegleev, Edward A.</t>
  </si>
  <si>
    <t>Elections of peoples courts in the Kirov Region in 1948</t>
  </si>
  <si>
    <t>10.31166/VoprosyIstorii202108Statyi20</t>
  </si>
  <si>
    <t>WOS:000729816800022</t>
  </si>
  <si>
    <t>Bakulin, MK; Zakharov, VY; Chebotarev, EV</t>
  </si>
  <si>
    <t>Intensification of microbial degradation of crude oil and oil products in the presence of perfluorodecalin</t>
  </si>
  <si>
    <t>10.1023/B:ABIM.0000025950.07659.92</t>
  </si>
  <si>
    <t>WOS:000221647800010</t>
  </si>
  <si>
    <t>Prokashev, AM; Matushkin, AS</t>
  </si>
  <si>
    <t>Prokashev, A. M.; Matushkin, A. S.</t>
  </si>
  <si>
    <t>Theoretical and Methodological Approaches to Compiling the Red Data Soil Book of Kirov Oblast</t>
  </si>
  <si>
    <t>10.1134/S106422932105015X</t>
  </si>
  <si>
    <t>WOS:000654172900015</t>
  </si>
  <si>
    <t>Gladkikh, VI; Mosechkin, IN</t>
  </si>
  <si>
    <t>Gladkikh, Viktor, I; Mosechkin, Ilya N.</t>
  </si>
  <si>
    <t>PROBLEMS OF IMPROVING CRIMINAL LAW MEASURES OF COUNTERACTING CRIMES IN THE SPHERE OF COMPUTER INFORMATION</t>
  </si>
  <si>
    <t>10.17150/2500-4255.2021.15(2).229-237</t>
  </si>
  <si>
    <t>WOS:000646592300008</t>
  </si>
  <si>
    <t>Pevzner, MZ; Smertin, SA; Khayutin, SG</t>
  </si>
  <si>
    <t>Pevzner, M. Z.; Smertin, S. A.; Khayutin, S. G.</t>
  </si>
  <si>
    <t>Relation Between Texture and Quality Characteristics of Rolled Stock and Control of Continuous Plastic Deformation</t>
  </si>
  <si>
    <t>Smertin, Stanislav/AAC-5097-2020; Pevzner, Mikhail/AAE-1321-2019</t>
  </si>
  <si>
    <t>Smertin, Stanislav/0000-0002-6883-500X; Pevzner, Mikhail/0000-0001-9894-7523</t>
  </si>
  <si>
    <t>10.1007/s11041-019-00410-5</t>
  </si>
  <si>
    <t>OCT 2019</t>
  </si>
  <si>
    <t>WOS:000492180000001</t>
  </si>
  <si>
    <t>Buldakova, NV; Nikitina, EL; Velkova, IP</t>
  </si>
  <si>
    <t>Buldakova, Natalya, V; Nikitina, Ekaterina L.; Velkova, Irina P.</t>
  </si>
  <si>
    <t>Project Management for Professional Self-Determination of Students with Intellectual Disabilities</t>
  </si>
  <si>
    <t>10.3897/ap.2.e0323</t>
  </si>
  <si>
    <t>WOS:000671896200024</t>
  </si>
  <si>
    <t>Pyatin, AA; Suvorov, DM</t>
  </si>
  <si>
    <t>Pyatin, A. A.; Suvorov, D. M.</t>
  </si>
  <si>
    <t>Extended Schedule of Heating Regulation: Assessment of the Impact on the Efficiency of Steam Turbine CHP Plants</t>
  </si>
  <si>
    <t>10.5281/zenodo.4018949</t>
  </si>
  <si>
    <t>WOS:000573617200005</t>
  </si>
  <si>
    <t>Sakharova, LG; Sakharov, VA</t>
  </si>
  <si>
    <t>Sakharova, Lyudmila G.; Sakharov, Vasiliy A.</t>
  </si>
  <si>
    <t>Upbringing of Interreligious Communication Culture as a Component of Students' Professional Training in Modem Conditions of Higher Education Development in Russia</t>
  </si>
  <si>
    <t>Sakharov, Vasily/AAG-8166-2021</t>
  </si>
  <si>
    <t>10.3897/ap.1.e0526</t>
  </si>
  <si>
    <t>WOS:000520005200056</t>
  </si>
  <si>
    <t>Leushina, AP; Danilov, DN; Zyablitseva, EV</t>
  </si>
  <si>
    <t>Leushina, A. P.; Danilov, D. N.; Zyablitseva, E. V.</t>
  </si>
  <si>
    <t>Introduction of microdoses of germanium and indium dopants into the bulk and surface layers of semiconductor materials</t>
  </si>
  <si>
    <t>10.1134/S1087659608060096</t>
  </si>
  <si>
    <t>WOS:000261789200009</t>
  </si>
  <si>
    <t>Kuzmin, VA; Zagrai, IA; Desiatkov, IA</t>
  </si>
  <si>
    <t>Kuzmin, V. A.; Zagrai, I. A.; Desiatkov, I. A.</t>
  </si>
  <si>
    <t>Investigation of emission characteristics and temperature of furnace gases in BKZ-210-140F steam boiler: milled peat combustion and support flaming with natural gas</t>
  </si>
  <si>
    <t>Kuzmin, Vladimir A/0000-0002-8886-8677</t>
  </si>
  <si>
    <t>10.1134/S0869864321020116</t>
  </si>
  <si>
    <t>WOS:000675572800011</t>
  </si>
  <si>
    <t>Shirokikh, IG; Nazarova, YI; Bakulina, AV; Abubakirova, RI</t>
  </si>
  <si>
    <t>Shirokikh, I. G.; Nazarova, Ya, I; Bakulina, A., V; Abubakirova, R., I</t>
  </si>
  <si>
    <t>New Streptomyces strains as promising biofungicides</t>
  </si>
  <si>
    <t>Nazarova, Anina/0000-0002-2945-5282; Bakulina, Anna/0000-0002-5171-2476</t>
  </si>
  <si>
    <t>10.25750/1995-4301-2021-1-172-180</t>
  </si>
  <si>
    <t>WOS:000632219100033</t>
  </si>
  <si>
    <t>Skvortsov, AI; Polev, VV</t>
  </si>
  <si>
    <t>Skvortsov, A. I.; Polev, V. V.</t>
  </si>
  <si>
    <t>Softening and Hardening of Alloys of the Al - Zn System Under Plastic Deformation</t>
  </si>
  <si>
    <t>10.1007/s11041-017-0179-9</t>
  </si>
  <si>
    <t>WOS:000415952700018</t>
  </si>
  <si>
    <t>Prozorov, DE; Chistyakov, AV; Metelyov, AP; Romanov, SV</t>
  </si>
  <si>
    <t>Prozorov, D. E.; Chistyakov, A. V.; Metelyov, A. P.; Romanov, S. V.</t>
  </si>
  <si>
    <t>Simulation of a hierarchical routing protocol for MANET</t>
  </si>
  <si>
    <t>Prozorov, Dmitriy E./A-3548-2014; Metelyov, Alexander/A-3580-2014</t>
  </si>
  <si>
    <t>Prozorov, Dmitriy E./0000-0002-3577-8838; Metelyov, Alexander/0000-0001-7246-9156</t>
  </si>
  <si>
    <t>WOS:000400700700060</t>
  </si>
  <si>
    <t>Buldakova, YV; Diner, EV</t>
  </si>
  <si>
    <t>Buldakova, Yulia, V; Diner, Elena, V</t>
  </si>
  <si>
    <t>THE TEXT OF READERS' COMMENTS ON WORKS OF LITERATURE AS A SOURCE OF STUDYING THE NATIONAL CULTURAL CODE</t>
  </si>
  <si>
    <t>10.17223/23062061/30/6</t>
  </si>
  <si>
    <t>WOS:000906501300006</t>
  </si>
  <si>
    <t>Sit, ML; Juravliov, AA; Suvorov, DM; Suvorova, LA</t>
  </si>
  <si>
    <t>Sit, M. L.; Juravliov, A. A.; Suvorov, D. M.; Suvorova, L. A.</t>
  </si>
  <si>
    <t>Combined District Heating System CHP-Local Heat Pumps. Part II</t>
  </si>
  <si>
    <t>Sit, Mikhail L./D-3801-2016</t>
  </si>
  <si>
    <t>Sit, Mikhail L./0000-0003-0456-7437</t>
  </si>
  <si>
    <t>10.5281/zenodo.3898322</t>
  </si>
  <si>
    <t>WOS:000543394200010</t>
  </si>
  <si>
    <t>Simonov, M; Burkov, A; Mokiyev, V</t>
  </si>
  <si>
    <t>Simonov, Maksim; Burkov, Aleksandr; Mokiyev, Valentin</t>
  </si>
  <si>
    <t>OPTIMISATION DESIGN AND TECHNOLOGICAL PARAMETERS OF CLOVER THRESHER K-0.3</t>
  </si>
  <si>
    <t>18TH INTERNATIONAL SCIENTIFIC CONFERENCE ENGINEERING FOR RURAL DEVELOPMENT</t>
  </si>
  <si>
    <t>18th International Scientific Conference on Engineering for Rural Development (ERD)</t>
  </si>
  <si>
    <t>MAY 22-24, 2019</t>
  </si>
  <si>
    <t>Latvia Univ Life Sci &amp; Technologies, Fac Engn,Latvian Acad Agr &amp; Forestry Sci</t>
  </si>
  <si>
    <t>Simonov, Maksim/F-7895-2018</t>
  </si>
  <si>
    <t>Simonov, Maksim/0000-0003-3805-9246</t>
  </si>
  <si>
    <t>10.22616/ERDev2019.18.N053</t>
  </si>
  <si>
    <t>WOS:000482103500009</t>
  </si>
  <si>
    <t>Kochurova, TI; Kantor, GY</t>
  </si>
  <si>
    <t>Kochurova, T. I.; Kantor, G. Ya</t>
  </si>
  <si>
    <t>Macrozoobenthos in the middle course of the Vyatka River in the area of a Chemical-Weapons Destruction Facility</t>
  </si>
  <si>
    <t>Kantor, Grigory/O-1192-2015</t>
  </si>
  <si>
    <t>Kantor, Grigory/0000-0002-6462-6702</t>
  </si>
  <si>
    <t>10.1134/S199508291304010X</t>
  </si>
  <si>
    <t>WOS:000330971500009</t>
  </si>
  <si>
    <t>Sozinova, AA; Popkova, EG</t>
  </si>
  <si>
    <t>Sozinova, Anastasiya A.; Popkova, Elena G.</t>
  </si>
  <si>
    <t>Dataset Analysis of Pandemic Risks and Risk Management Prospects Based on Management and Marketing in Conditions of COVID-19 Recession</t>
  </si>
  <si>
    <t>RISKS</t>
  </si>
  <si>
    <t>Sozinova, Anastasia/0000-0001-5876-2823; Popkova, Elena/0000-0003-2136-2767</t>
  </si>
  <si>
    <t>2227-9091</t>
  </si>
  <si>
    <t>10.3390/risks11020037</t>
  </si>
  <si>
    <t>WOS:000940113100001</t>
  </si>
  <si>
    <t>Shilov, IB; Khaziev, AI; Burkov, AA; Kutyavina, LY; Vokhmyanin, MA</t>
  </si>
  <si>
    <t>Shilov, I. B.; Khaziev, A., I; Burkov, A. A.; Kutyavina, L. Yu; Vokhmyanin, M. A.</t>
  </si>
  <si>
    <t>Reaction of Phosphorous Acid with tert-Butylphenyl Glycidyl Ether and Evaluation of the Product as a Rubber Antiaging Agent</t>
  </si>
  <si>
    <t>Shilov, Ivan/ABA-7069-2021</t>
  </si>
  <si>
    <t>10.1134/S1070427221120053</t>
  </si>
  <si>
    <t>WOS:000770333700005</t>
  </si>
  <si>
    <t>Mishchenko, NV; Svinar, EV; Makarov, AV</t>
  </si>
  <si>
    <t>Mishchenko, N., V; Svinar, E., V; Makarov, A., V</t>
  </si>
  <si>
    <t>FEATURES OF PHYSICAL ADAPTATION OF FIRST-YEAR UNIVERSITY STUDENTS TO AN URBANIZED ENVIRONMENT</t>
  </si>
  <si>
    <t>Svinar, Elena/AAT-9070-2020</t>
  </si>
  <si>
    <t>Svinar, Elena/0000-0001-7987-6993</t>
  </si>
  <si>
    <t>10.14529/hsm200102</t>
  </si>
  <si>
    <t>WOS:000539044700002</t>
  </si>
  <si>
    <t>Voroshilova, SV; Tatarinova, EP</t>
  </si>
  <si>
    <t>Voroshilova, Svetlana V.; Tatarinova, Elena P.</t>
  </si>
  <si>
    <t>Women's suffrage in the Russian Empire</t>
  </si>
  <si>
    <t>TATARINOVA, ELENA/0000-0002-2066-0618</t>
  </si>
  <si>
    <t>WOS:000438631600002</t>
  </si>
  <si>
    <t>Bukharov, VM; Baikova, OV</t>
  </si>
  <si>
    <t>Bukharov, V. M.; Baikova, O., V</t>
  </si>
  <si>
    <t>Acoustic Structure and Phonological Status of Vowel Phonemes of German Island Dialects of Villages of Sozimsky and Chernigovsky, Kirov Region</t>
  </si>
  <si>
    <t>10.24224/2227-1295-2021-11-28-49</t>
  </si>
  <si>
    <t>WOS:000726493300002</t>
  </si>
  <si>
    <t>Palkina, M; Kislitsyna, V; Chernyshev, K</t>
  </si>
  <si>
    <t>Palkina, Marina; Kislitsyna, Valentina; Chernyshev, Konstantin</t>
  </si>
  <si>
    <t>ANALYSIS OF THE RELATIONSHIP OF INVESTMENT AND DEMOGRAPHIC FACTORS IN THE DEVELOPMENT OF DEPRESSED REGIONS</t>
  </si>
  <si>
    <t>JOURNAL OF URBAN AND REGIONAL ANALYSIS</t>
  </si>
  <si>
    <t>Chernyshev, Konstantin A/H-6630-2016</t>
  </si>
  <si>
    <t>Chernyshev, Konstantin A/0000-0003-3543-4776</t>
  </si>
  <si>
    <t>2067-4082</t>
  </si>
  <si>
    <t>2068-9969</t>
  </si>
  <si>
    <t>10.37043/JURA.2021.13.1.7</t>
  </si>
  <si>
    <t>WOS:000625366100007</t>
  </si>
  <si>
    <t>Plotnikov, SA; Buzikov, SV; Taustyka, VS; Cheremisinov, PN</t>
  </si>
  <si>
    <t>Plotnikov, S. A.; Buzikov, S. V.; Taustyka, V. S.; Cheremisinov, P. N.</t>
  </si>
  <si>
    <t>Determination of Operational Parameters for Belarus 922 Tractor Running on Mixed Fuel</t>
  </si>
  <si>
    <t>Buzikov, Shamil V/I-3817-2017; Plotnikov, Sergej A/R-8491-2016</t>
  </si>
  <si>
    <t>Buzikov, Shamil V/0000-0003-3769-3253; Plotnikov, Sergej A/0000-0002-8887-4591</t>
  </si>
  <si>
    <t>10.15507/0236-2910.028.201803.445-459</t>
  </si>
  <si>
    <t>WOS:000444121400012</t>
  </si>
  <si>
    <t>Shilov, MA; Maslov, LB; Korolev, PV</t>
  </si>
  <si>
    <t>Shilov, M. A.; Maslov, L. B.; Korolev, P. V.</t>
  </si>
  <si>
    <t>STUDY OF WEAR RESISTANCE OF NANOSTRUCTURED ELASTOMERS USED AS PROTECTORS IN PNEUMATIC TYRES</t>
  </si>
  <si>
    <t>LIQUID CRYSTALS AND THEIR APPLICATION</t>
  </si>
  <si>
    <t>Korolev, Pavel/P-1306-2019; Maslov, Leonid/C-9219-2019; Shilov, Mikhail Aleksandrovich/D-9621-2017</t>
  </si>
  <si>
    <t>Korolev, Pavel/0000-0003-2196-8136; Maslov, Leonid/0000-0002-7423-3996; Shilov, Mikhail Aleksandrovich/0000-0002-6445-3303</t>
  </si>
  <si>
    <t>1991-3966</t>
  </si>
  <si>
    <t>10.18083/LCAppl.2018.1.73</t>
  </si>
  <si>
    <t>WOS:000428106400009</t>
  </si>
  <si>
    <t>Khitrin, KS; Fuks, SL; Khitrin, SV; Kazienkov, SA; Meteleva, DS</t>
  </si>
  <si>
    <t>Khitrin, K. S.; Fuks, S. L.; Khitrin, S. V.; Kazienkov, S. A.; Meteleva, D. S.</t>
  </si>
  <si>
    <t>Lignin utilization options and methods</t>
  </si>
  <si>
    <t>RUSSIAN JOURNAL OF GENERAL CHEMISTRY</t>
  </si>
  <si>
    <t>1070-3632</t>
  </si>
  <si>
    <t>1608-3350</t>
  </si>
  <si>
    <t>10.1134/S1070363212050313</t>
  </si>
  <si>
    <t>WOS:000305479400031</t>
  </si>
  <si>
    <t>Kolesnikova, OI; Kozlova, EA</t>
  </si>
  <si>
    <t>Kolesnikova, Olga I.; Kozlova, Elena A.</t>
  </si>
  <si>
    <t>THE DISCURSIVE PERSONALITY OF THE LEADER AND ITS VALUES IN THE EMOTIOGENIC REPRESENTATION</t>
  </si>
  <si>
    <t>VESTNIK VOLGOGRADSKOGO GOSUDARSTVENNOGO UNIVERSITETA-SERIYA 2-YAZYKOZNANIE</t>
  </si>
  <si>
    <t>Kolesnikova, Ol'ga/0000-0002-6159-6261</t>
  </si>
  <si>
    <t>1998-9911</t>
  </si>
  <si>
    <t>2409-1979</t>
  </si>
  <si>
    <t>10.15688/jvolsu2.2023.1.13</t>
  </si>
  <si>
    <t>WOS:000961036800002</t>
  </si>
  <si>
    <t>Loginova, M; Druzhinina, S; Smirnova, D; Paramonov, I</t>
  </si>
  <si>
    <t>Loginova, Maria; Druzhinina, Svetlana; Smirnova, Daria; Paramonov, Igor</t>
  </si>
  <si>
    <t>Recognition of an HLA-DQB1*06:319 variant, HLA-DQB1*06:319:02, in an hematopoietic stem cell donor</t>
  </si>
  <si>
    <t>HLA</t>
  </si>
  <si>
    <t>Loginova, M./Q-5438-2019</t>
  </si>
  <si>
    <t>Loginova, M./0000-0001-7088-3986</t>
  </si>
  <si>
    <t>2059-2302</t>
  </si>
  <si>
    <t>2059-2310</t>
  </si>
  <si>
    <t>10.1111/tan.14644</t>
  </si>
  <si>
    <t>MAY 2022</t>
  </si>
  <si>
    <t>WOS:000791529900001</t>
  </si>
  <si>
    <t>Kolesnikova, OI; Vakhrushev, VA</t>
  </si>
  <si>
    <t>Kolesnikova, Olga, I; Vakhrushev, Vladimir A.</t>
  </si>
  <si>
    <t>PARALINGUISTIC MEANS IN THE INFORMATION-ANALYTICAL DISCOURSE: THE PERCEPTIVE ASPECT</t>
  </si>
  <si>
    <t>VESTNIK MOSKOVSKOGO UNIVERSITETA. SERIYA 10. ZHURNALISTIKA</t>
  </si>
  <si>
    <t>0320-8079</t>
  </si>
  <si>
    <t>10.30547/vestnik.journ.3.2021.102120</t>
  </si>
  <si>
    <t>WOS:000670636000005</t>
  </si>
  <si>
    <t>An Extended Heating Regulation Schedule: Definition and Assessment of Its Efficiency in Heat-Supply Systems</t>
  </si>
  <si>
    <t>10.1134/S0040601521040066</t>
  </si>
  <si>
    <t>WOS:000755789400007</t>
  </si>
  <si>
    <t>Saurov, YA; Nizovskikh, NA</t>
  </si>
  <si>
    <t>Saurov, Yu. A.; Nizovskikh, N. A.</t>
  </si>
  <si>
    <t>PSYCHOSEMANTICS OF THE ART</t>
  </si>
  <si>
    <t>Saurov, Yuriy/Y-8735-2018; Nizovskikh, Nina A./B-5858-2017</t>
  </si>
  <si>
    <t>Saurov, Yuriy/0000-0002-8756-8103; Nizovskikh, Nina A./0000-0002-5541-5049</t>
  </si>
  <si>
    <t>WOS:000372373900016</t>
  </si>
  <si>
    <t>Loginova, M; Smirnova, D; Paramonov, I</t>
  </si>
  <si>
    <t>Loginova, Maria; Smirnova, Daria; Paramonov, Igor</t>
  </si>
  <si>
    <t>The novel HLA-DQB1 allele, DQB1*06:443</t>
  </si>
  <si>
    <t>10.1111/tan.14799</t>
  </si>
  <si>
    <t>SEP 2022</t>
  </si>
  <si>
    <t>WOS:000853294700001</t>
  </si>
  <si>
    <t>Shikhov, DV</t>
  </si>
  <si>
    <t>Shikhov, Dmitrii, V</t>
  </si>
  <si>
    <t>POST-BREXIT BRITAIN'S MILITARY STRATEGY</t>
  </si>
  <si>
    <t>10.20542/0131-2227-2021-65-2-37-44</t>
  </si>
  <si>
    <t>WOS:000628793100004</t>
  </si>
  <si>
    <t>A Vortex Insufflator Based on the Ranque-Hilsch Energy Separation Effect</t>
  </si>
  <si>
    <t>10.1007/s10527-021-10028-8</t>
  </si>
  <si>
    <t>WOS:000748264500003</t>
  </si>
  <si>
    <t>Fuks, SL; Filatov, VY; Khitrin, SV; Devyaterikova, SV</t>
  </si>
  <si>
    <t>Fuks, S. L.; Filatov, V. Y.; Khitrin, S., V; Devyaterikova, S., V</t>
  </si>
  <si>
    <t>Study of the possibility of reducing mercury contamination of the soil layer at the industrial zone of the chemical enterprise</t>
  </si>
  <si>
    <t>10.25750/1995-4301-2020-4-055-060</t>
  </si>
  <si>
    <t>WOS:000597810500008</t>
  </si>
  <si>
    <t>Vavilov, AL; Anfilatova, OV; Laptev, AV; Sirakovskaya, YV</t>
  </si>
  <si>
    <t>Vavilov, A. L.; Anfilatova, O. V.; Laptev, A. V.; Sirakovskaya, Ya. V.</t>
  </si>
  <si>
    <t>IDENTIFICATION OF PHYSICAL FITNESS TESTS FOR BASKETBALL PLAYERS</t>
  </si>
  <si>
    <t>10.14529/hsm20s106</t>
  </si>
  <si>
    <t>WOS:000581820600006</t>
  </si>
  <si>
    <t>Sysuev, VA; Aleshkin, AV; Sychugov, EV; Isupov, AY</t>
  </si>
  <si>
    <t>Sysuev, V. A.; Aleshkin, A., V; Sychugov, E., V; Isupov, A. Y.</t>
  </si>
  <si>
    <t>Combined calculation schemes in mathematical models the fractionation of grain</t>
  </si>
  <si>
    <t>Aleshkin, Aleksey/ABA-6228-2020; Sysuev, Vasilii/B-8519-2019</t>
  </si>
  <si>
    <t>Aleshkin, Aleksey/0000-0002-6949-1480; Sysuev, Vasilii/0000-0002-1172-005X; Isupov, Aleksei/0000-0002-3399-5089</t>
  </si>
  <si>
    <t>10.25750/1995-4301-2018-4-024-030</t>
  </si>
  <si>
    <t>WOS:000468565300003</t>
  </si>
  <si>
    <t>Petukhov, DV; Izmest'ev, ES; Sazanov, AV; Zaitsev, MA; Tovstik, EV</t>
  </si>
  <si>
    <t>Petukhov, D., V; Izmest'ev, E. S.; Sazanov, A., V; Zaitsev, M. A.; Tovstik, E., V</t>
  </si>
  <si>
    <t>The use of amino acids and their chelate complexes with trace elements in plant nutrition (review)</t>
  </si>
  <si>
    <t>Izmest'ev, Evgeny S./S-2021-2016; Tovstik, Evgeniya/P-1350-2017</t>
  </si>
  <si>
    <t>Tovstik, Evgeniya/0000-0003-1861-6076; Sazanov, Alexander/0000-0002-6934-3330; Petukhov, Dmitriy/0000-0002-7733-5250; Izmest'ev, Evgeniy/0000-0001-5698-6292</t>
  </si>
  <si>
    <t>10.25750/1995-4301-2022-1-167-174</t>
  </si>
  <si>
    <t>WOS:000819811100024</t>
  </si>
  <si>
    <t>Lesnikov, VA; Naumovich, TV; Chastikov, AV; Armishev, SV</t>
  </si>
  <si>
    <t>Lesnikov, Vladislav A.; Naumovich, Tatiana V.; Chastikov, Alexander V.; Armishev, Sergey V.</t>
  </si>
  <si>
    <t>Universal technique of the analysis of round-off noise in digital filters with arbitrary structure described by topological matrixes</t>
  </si>
  <si>
    <t>WOS:000332042400121</t>
  </si>
  <si>
    <t>Estimation of structural complexity of IIR digital filters</t>
  </si>
  <si>
    <t>WOS:000332042400065</t>
  </si>
  <si>
    <t>Karanina, EV; Sozinova, AA; Bunkovsky, DV</t>
  </si>
  <si>
    <t>Karanina, Elena V.; Sozinova, Anastasia A.; Bunkovsky, Dmitry V.</t>
  </si>
  <si>
    <t>QUALITY MANAGEMENT IN INDUSTRY 4.0 IN THE POST-COVID-19 PERIOD FOR ECONOMIC SECURITY AND SUSTAINABLE DEVELOPMENT</t>
  </si>
  <si>
    <t>Andrea Simões Braga, Francisco/GRS-0157-2022; Sozinova, Anastasia/F-6298-2015</t>
  </si>
  <si>
    <t>10.24874/IJQR16.03-15</t>
  </si>
  <si>
    <t>WOS:000885425500001</t>
  </si>
  <si>
    <t>Syrchina, NV; Pilip, LV</t>
  </si>
  <si>
    <t>Syrchina, N. V.; Pilip, L. V.</t>
  </si>
  <si>
    <t>Production of pigments for concrete based on iron-containing industrial waste</t>
  </si>
  <si>
    <t>Syrchina, Nadezhda/ABF-2311-2020</t>
  </si>
  <si>
    <t>Syrchina, Nadezhda/0000-0001-8049-6760</t>
  </si>
  <si>
    <t>10.25750/1995-4301-2021-4-050-057</t>
  </si>
  <si>
    <t>WOS:000755154100007</t>
  </si>
  <si>
    <t>Drovosekov, SE; Ivutina, EP; Rudnitskaya, EE; Vturina, TA; Ershova, NN; Klimenko, VS</t>
  </si>
  <si>
    <t>Drovosekov, Sergey E.; Ivutina, Elena P.; Rudnitskaya, Elena E.; Vturina, Tatyana A.; Ershova, Nina N.; Klimenko, Veronika S.</t>
  </si>
  <si>
    <t>Psychological Structure Of The Corruption Act (By The Example Of The Convicted Person)</t>
  </si>
  <si>
    <t>Ivutina, Elena/S-2598-2018</t>
  </si>
  <si>
    <t>Ivutina, Elena/0000-0002-8665-1546</t>
  </si>
  <si>
    <t>WOS:000451687200005</t>
  </si>
  <si>
    <t>Shirokikh, IG; Liskova, IV; Nazarova, YI; Gradoboeva, TP; Pislegina, SS; Bokov, NA; Abubakirova, RI</t>
  </si>
  <si>
    <t>Shirokikh, I. G.; Liskova, I. V.; Nazarova, Ya. I.; Gradoboeva, T. P.; Pislegina, S. S.; Bokov, N. A.; Abubakirova, R. I.</t>
  </si>
  <si>
    <t>Local strains of actinobacteria protect peas (Pisum sativum L.) from harmful infections</t>
  </si>
  <si>
    <t>Nazarova, Anina/0000-0002-2945-5282; Lyskova, Irina/0000-0002-1079-3513</t>
  </si>
  <si>
    <t>10.25750/1995-4301-2022-2-173-182</t>
  </si>
  <si>
    <t>WOS:000820802000022</t>
  </si>
  <si>
    <t>Terentieva, NP; Galitskikh, EO</t>
  </si>
  <si>
    <t>Terentieva, Nina P.; Galitskikh, Elena O.</t>
  </si>
  <si>
    <t>METHODS RESOURCES FOR E-LEARNING STUDENTS OF PHILOLOGY</t>
  </si>
  <si>
    <t>Terentyeva, Nina/0000-0002-1386-6116</t>
  </si>
  <si>
    <t>10.51762/1FK-2022-27-03-12</t>
  </si>
  <si>
    <t>WOS:000899445600012</t>
  </si>
  <si>
    <t>Ananchenko, BA; Litvinets, SG; Martinson, EA; Nikolaeva, AV; Troshin, MA</t>
  </si>
  <si>
    <t>Ananchenko, B. A.; Litvinets, S. G.; Martinson, E. A.; Nikolaeva, A., V; Troshin, M. A.</t>
  </si>
  <si>
    <t>Laboratory methods for assessing the effectiveness of dispersants used in various countries for oil spill response in offshore conditions</t>
  </si>
  <si>
    <t>Ananchenko, Boris/AAM-5831-2020; Litvinets, Sergey/I-8188-2013</t>
  </si>
  <si>
    <t>Ananchenko, Boris/0000-0002-7975-7828; Litvinets, Sergey/0000-0001-8583-5274</t>
  </si>
  <si>
    <t>10.25750/1995-4301-2021-1-040-052</t>
  </si>
  <si>
    <t>WOS:000632219100005</t>
  </si>
  <si>
    <t>Galitskikh, EO; Terentyeva, NP</t>
  </si>
  <si>
    <t>Galitskikh, Elena O.; Terentyeva, Nina P.</t>
  </si>
  <si>
    <t>A Digital Model of the Organization of Individual Reading for Students Studying Pedagogy</t>
  </si>
  <si>
    <t>10.3897/ap.2.e0661</t>
  </si>
  <si>
    <t>WOS:000671896200051</t>
  </si>
  <si>
    <t>Sit, ML; Juravliov, AA; Suvorov, DM; Sushchikh, VM</t>
  </si>
  <si>
    <t>Sit, M. L.; Juravliov, A. A.; Suvorov, D. M.; Sushchikh, V. M.</t>
  </si>
  <si>
    <t>Combined District Heating System CHP-Local HP</t>
  </si>
  <si>
    <t>10.5281/zenodo.3713430</t>
  </si>
  <si>
    <t>WOS:000521937900008</t>
  </si>
  <si>
    <t>Buldakova, NV; Shklyaeva, AL; Nikitina, EL</t>
  </si>
  <si>
    <t>Buldakova, Natalya V.; Shklyaeva, Anna L.; Nikitina, Ekaterina L.</t>
  </si>
  <si>
    <t>Project management on adaptation of young teachers in the general education organization</t>
  </si>
  <si>
    <t>10.3897/ap.1.e0040</t>
  </si>
  <si>
    <t>WOS:000520005200005</t>
  </si>
  <si>
    <t>Pevzner, MZ; Khayutin, SG</t>
  </si>
  <si>
    <t>Pevzner, M. Z.; Khayutin, S. G.</t>
  </si>
  <si>
    <t>VARIATION OF TEXTURE PARAMETERS IN TREATMENT OF STRIP OF ALUMINUM AND COPPER ALLOYS AND RELATIONSHIP BETWEEN TEXTURE PARAMETERS AND PHYSICAL PROPERTIES</t>
  </si>
  <si>
    <t>10.1007/s11041-011-9384-0</t>
  </si>
  <si>
    <t>WOS:000296795300017</t>
  </si>
  <si>
    <t>Demina, NL; Tsirkin, VI; Tarlovskaya, EI; Kashin, RY</t>
  </si>
  <si>
    <t>Demina, N. L.; Tsirkin, V. I.; Tarlovskaya, E. I.; Kashin, R. Yu.</t>
  </si>
  <si>
    <t>Alpha- and beta-adreno-, M-cholinomodulating and myocyte-stimulating serum activity in arterial hypertension</t>
  </si>
  <si>
    <t>CARDIOVASCULAR THERAPY AND PREVENTION</t>
  </si>
  <si>
    <t>Tarlovskaya, Ekaterina/AAN-1142-2020; Tsirkin, Victor/O-1603-2017</t>
  </si>
  <si>
    <t xml:space="preserve">Tarlovskaya, Ekaterina/0000-0002-9659-7010; </t>
  </si>
  <si>
    <t>1728-8800</t>
  </si>
  <si>
    <t>WOS:000254501900003</t>
  </si>
  <si>
    <t>Trushkova, IY; Titova, EI; Sapozhnikova, VV</t>
  </si>
  <si>
    <t>Trushkova, Irina Y.; Titova, Elena I.; Sapozhnikova, Vera V.</t>
  </si>
  <si>
    <t>The problems of reproduction of traditional culture in Russian regions in the XX century on the example of the Kirov region</t>
  </si>
  <si>
    <t>Trushkova, Irina/C-5994-2019; Трушкова, Ирина Юрьевна/AAB-4826-2022; Titova, Elena/ABG-9460-2021</t>
  </si>
  <si>
    <t>10.34069/AI/2020.27.03.29</t>
  </si>
  <si>
    <t>WOS:000521637500030</t>
  </si>
  <si>
    <t>Tereshchenko, OL; Likhachev, VA; Izotov, MV</t>
  </si>
  <si>
    <t>Influence of the composition of chloride-containing solutions on the corrosion of 12Cr18Ni10Ti steel</t>
  </si>
  <si>
    <t>10.1023/A:1019513029761</t>
  </si>
  <si>
    <t>WOS:000177753100015</t>
  </si>
  <si>
    <t>Avdonin, VV; Yurkin, YV; Shirokova, ES; Varankina, DA; Rogozhkin, RS</t>
  </si>
  <si>
    <t>Avdonin, V. V.; Yurkin, Yu. V.; Shirokova, E. S.; Varankina, D. A.; Rogozhkin, R. S.</t>
  </si>
  <si>
    <t>Effect of plasticizers on the mechanical and technological properties of styrene-isoprene block copolymer composites under cyclic loading</t>
  </si>
  <si>
    <t>MATERIALS PHYSICS AND MECHANICS</t>
  </si>
  <si>
    <t>Rogozhkin, Roman/ADV-7199-2022; Varankina, Darya/HKM-7941-2023</t>
  </si>
  <si>
    <t>Rogozhkin, Roman/0000-0003-3966-232X; Varankina, Darya/0000-0002-1651-5098</t>
  </si>
  <si>
    <t>1605-2730</t>
  </si>
  <si>
    <t>1605-8119</t>
  </si>
  <si>
    <t>10.18149/MPM.5022022_14</t>
  </si>
  <si>
    <t>WOS:000915249500014</t>
  </si>
  <si>
    <t>Koval, E; Olkova, A</t>
  </si>
  <si>
    <t>Koval, Ekaterina; Olkova, Anna</t>
  </si>
  <si>
    <t>Determination of the Sensitivity of Cyanobacteria to Rare Earth Elements La and Ce</t>
  </si>
  <si>
    <t>POLISH JOURNAL OF ENVIRONMENTAL STUDIES</t>
  </si>
  <si>
    <t>Koval, Ekaterina Viktorovna/ACK-0817-2022</t>
  </si>
  <si>
    <t>Koval, Ekaterina Viktorovna/0000-0003-3179-1557</t>
  </si>
  <si>
    <t>1230-1485</t>
  </si>
  <si>
    <t>2083-5906</t>
  </si>
  <si>
    <t>10.15244/pjoes/139375</t>
  </si>
  <si>
    <t>WOS:000799779000042</t>
  </si>
  <si>
    <t>Petukhov, DV; Tovstik, EV; Bakulina, AV; Sazanova, ML; Burkov, AA</t>
  </si>
  <si>
    <t>Petukhov, D., V; Tovstik, E., V; Bakulina, A., V; Sazanova, M. L.; Burkov, A. A.</t>
  </si>
  <si>
    <t>Soil Streptomyces sp. strain 2K1: phylogenetic position, effect on Fusarium proliferatum growth</t>
  </si>
  <si>
    <t>Sazanova, Maria/AAS-9191-2021; Burkov, Andrey/ABB-8219-2021; Tovstik, Evgeniya/P-1350-2017; Burkov, Andrei/N-5302-2016; Bakulina, Anna/AAH-3534-2019; Petukhov, Dmitry/AAX-5896-2020</t>
  </si>
  <si>
    <t>Sazanova, Maria/0000-0003-3492-8395; Tovstik, Evgeniya/0000-0003-1861-6076; Burkov, Andrei/0000-0002-3627-1262; Bakulina, Anna/0000-0002-5171-2476; Petukhov, Dmitriy/0000-0002-7733-5250</t>
  </si>
  <si>
    <t>10.25750/1995-4301-2020-2-111-116</t>
  </si>
  <si>
    <t>WOS:000545295600015</t>
  </si>
  <si>
    <t>Filatov, VY; Murin, AV; Kazienkov, SA; Khitrin, SV; Fuks, SL</t>
  </si>
  <si>
    <t>Filatov, V. Yu.; Murin, A. V.; Kazienkov, S. A.; Khitrin, S. V.; Fuks, S. L.</t>
  </si>
  <si>
    <t>Depolymerization of polytetrafluoroethylene in the presence of water vapor or fluorine-transfer agent</t>
  </si>
  <si>
    <t>10.1134/S1070427211010265</t>
  </si>
  <si>
    <t>WOS:000287500700026</t>
  </si>
  <si>
    <t>Burkov, A; Simonov, M; Mokiyev, V; Lazykin, V</t>
  </si>
  <si>
    <t>Burkov, Aleksandr; Simonov, Maksim; Mokiyev, Valentin; Lazykin, Viktor</t>
  </si>
  <si>
    <t>TESTING CS-0.2 CLOVER THRESHER AND SCARIFIER FEATURING IMPROVED DRUM DESIGN</t>
  </si>
  <si>
    <t>19TH INTERNATIONAL SCIENTIFIC CONFERENCE ENGINEERING FOR RURAL DEVELOPMENT</t>
  </si>
  <si>
    <t>19th International Scientific Conference on Engineering for Rural Development</t>
  </si>
  <si>
    <t>MAY 20-22, 2020</t>
  </si>
  <si>
    <t>10.22616/ERDev.2020.19.TF157</t>
  </si>
  <si>
    <t>WOS:000815085500095</t>
  </si>
  <si>
    <t>Shempelev, AG; Suvorov, DM; Gutorov, VF; Iglin, PV</t>
  </si>
  <si>
    <t>Shempelev, A. G.; Suvorov, D. M.; Gutorov, V. F.; Iglin, P., V</t>
  </si>
  <si>
    <t>Make-up Water Heating Capability, Conditions, and Efficiency in Built in Bundles when Cooling Water Is Concurrently Piped through the Main Condenser Bundles</t>
  </si>
  <si>
    <t>Суворов, Дмитрий/S-9053-2019; Iglin, Pavel/Q-2963-2016</t>
  </si>
  <si>
    <t>Суворов, Дмитрий/0000-0001-7415-3868; Iglin, Pavel/0000-0003-3731-7864</t>
  </si>
  <si>
    <t>10.1134/S0040601519020071</t>
  </si>
  <si>
    <t>WOS:000755490600005</t>
  </si>
  <si>
    <t>Musikhina, TA; Iurlov, AA; Zemtsova, EA; Filatov, VY</t>
  </si>
  <si>
    <t>Musikhina, T. A.; Iurlov, A. A.; Zemtsova, E. A.; Filatov, V. Yu.</t>
  </si>
  <si>
    <t>Comprehensive assessment of the toxicity of river and waste waters, formed on the territory contaminated by industrial waste</t>
  </si>
  <si>
    <t>10.25750/1995-4301-2021-4-133-139</t>
  </si>
  <si>
    <t>WOS:000755154100019</t>
  </si>
  <si>
    <t>Pevzner, MZ</t>
  </si>
  <si>
    <t>Pevzner, M. Z.</t>
  </si>
  <si>
    <t>Advancing the process of production of brass strips using continuous induction heat treatment in transverse magnetic field</t>
  </si>
  <si>
    <t>10.1007/s11041-012-9478-3</t>
  </si>
  <si>
    <t>WOS:000312342200016</t>
  </si>
  <si>
    <t>Karanina, EV; Selivanova, MA; Skudnova, IA</t>
  </si>
  <si>
    <t>Karanina, Elena, V; Selivanova, Marina A.; Skudnova, Irina A.</t>
  </si>
  <si>
    <t>DIAGNOSTICS OF ECONOMIC SECURITY RISKS AS A MANIFESTATION OF MANAGEMENT QUALITY IN THE GLOBAL FINANCIAL MARKETS: FACTORS, THREATS, CRITERIA AND INDICATORS OF INDUSTRIAL AND MANUFACTURING ENGINEERING</t>
  </si>
  <si>
    <t>10.24874/IJQR15.03-16</t>
  </si>
  <si>
    <t>WOS:000686366800016</t>
  </si>
  <si>
    <t>Bogacheva, NV; Pozolotina, NV; Savinykh, NP; Konovalova, IA</t>
  </si>
  <si>
    <t>Bogacheva, N., V; Pozolotina, N., V; Savinykh, N. P.; Konovalova, I. A.</t>
  </si>
  <si>
    <t>Checkout of methods for isolation and preparation of basidiomycete cultures for mycorrhization of soil</t>
  </si>
  <si>
    <t>10.25750/1995-4301-2020-3-046-051</t>
  </si>
  <si>
    <t>WOS:000580337700007</t>
  </si>
  <si>
    <t>The identification of two novel HLA alleles, HLA-C*06:02:103 and HLA-DRB1*01:139 in two Russian individuals</t>
  </si>
  <si>
    <t>10.1111/tan.14848</t>
  </si>
  <si>
    <t>OCT 2022</t>
  </si>
  <si>
    <t>WOS:000869708600001</t>
  </si>
  <si>
    <t>Tsirkin, VI; Nozdrachev, AD; Sizova, EN; Mal'chikova, SV; Gulyaeva, SF</t>
  </si>
  <si>
    <t>Effect of physical training on blood level of endogenous modulators of beta-adreno- and m-cholinoreactivity in patients with a history of myocardial infarction</t>
  </si>
  <si>
    <t>Nozdrachev, Aleksandr/P-2667-2017; Tsirkin, Victor/O-1603-2017</t>
  </si>
  <si>
    <t>Nozdrachev, Aleksandr/0000-0003-0753-5633; Tsirkin, Viktor/0000-0003-3467-3919</t>
  </si>
  <si>
    <t>10.1023/A:1026068208764</t>
  </si>
  <si>
    <t>WOS:000187861200004</t>
  </si>
  <si>
    <t>Strelnikova, AI; Tsirkin, VI; Krysova, AV; Hlybova, SV; Dmitrieva, SL</t>
  </si>
  <si>
    <t>Strelnikova, A. I.; Tsirkin, V. I.; Krysova, A. V.; Hlybova, S. V.; Dmitrieva, S. L.</t>
  </si>
  <si>
    <t>M-Cholinoreactivity of Erythrocytes of Non-Pregnant and Pregnant Women Evaluated by Changes in the Rate of Erythrocyte Agglutination under the Influence of Acetylcholine</t>
  </si>
  <si>
    <t>10.1007/s10517-012-1905-3</t>
  </si>
  <si>
    <t>WOS:000312334000002</t>
  </si>
  <si>
    <t>Lisovskii, VA; Lisovskaya, OB; Kochetkova, LP; Favstov, YK</t>
  </si>
  <si>
    <t>Lisovskii, V. A.; Lisovskaya, O. B.; Kochetkova, L. P.; Favstov, Yu. K.</t>
  </si>
  <si>
    <t>Sparingly alloyed bell bronzes with elevated parameters of mechanical properties</t>
  </si>
  <si>
    <t>Лисовский, Виталий/ABC-4782-2020</t>
  </si>
  <si>
    <t>Лисовский, Виталий/0000-0001-8429-7638</t>
  </si>
  <si>
    <t>10.1007/s11041-007-0041-6</t>
  </si>
  <si>
    <t>WOS:000251500300004</t>
  </si>
  <si>
    <t>A Mobile Medical Thermostatic Unit Based on the Ranque-Hilsch Vortex Effect</t>
  </si>
  <si>
    <t>10.1007/s10527-019-09848-6</t>
  </si>
  <si>
    <t>WOS:000748252900016</t>
  </si>
  <si>
    <t>Influence of Speed-Power Abilities on Memory in Children with Different Strength of the Nervous System</t>
  </si>
  <si>
    <t>INTERNATIONAL JOURNAL OF PEDIATRICS-MASHHAD</t>
  </si>
  <si>
    <t>2345-5047</t>
  </si>
  <si>
    <t>2345-5055</t>
  </si>
  <si>
    <t>10.22038/ijp.2021.57107.4477</t>
  </si>
  <si>
    <t>WOS:000643937900010</t>
  </si>
  <si>
    <t>Monitoring the formation of nitrogen oxides in the furnace of a steam boiler for protection of atmospheric air from pollution</t>
  </si>
  <si>
    <t>10.25750/1995-4301-2021-3-126-132</t>
  </si>
  <si>
    <t>WOS:000700413300017</t>
  </si>
  <si>
    <t>Formation of Structure, Texture and Properties and Control of Continuous Induction Heat Treatment of Brass Strips</t>
  </si>
  <si>
    <t>10.1007/s11041-020-00598-x</t>
  </si>
  <si>
    <t>NOV 2020</t>
  </si>
  <si>
    <t>WOS:000591585000003</t>
  </si>
  <si>
    <t>Plotnikov, SA; Kartashevich, AN; Zabolotskikh, GE</t>
  </si>
  <si>
    <t>Plotnikov, S. A.; Kartashevich, A. N.; Zabolotskikh, G. E.</t>
  </si>
  <si>
    <t>Original The Study of Compositions and Methods of Supplying New Fuels with Additives of Brassica Rapa Oil to the Diesel</t>
  </si>
  <si>
    <t>10.15507/2658-4123.033.202301.100-113</t>
  </si>
  <si>
    <t>WOS:000994427200005</t>
  </si>
  <si>
    <t>Benavent-Climent, A; Escolano-Margarit, D; Yurkin, Y; Ponce-Parra, H; Arcos-Espada, J</t>
  </si>
  <si>
    <t>Benavent-Climent, Amadeo; Escolano-Margarit, David; Yurkin, Yuriy; Ponce-Parra, Hermes; Arcos-Espada, Julio</t>
  </si>
  <si>
    <t>Shake table tests on a reinforced concrete waffle-flat plate structure with new hybrid energy dissipation devices</t>
  </si>
  <si>
    <t>EARTHQUAKE ENGINEERING &amp; STRUCTURAL DYNAMICS</t>
  </si>
  <si>
    <t>Benavent-Climent, Amadeo/M-1033-2014</t>
  </si>
  <si>
    <t>Benavent-Climent, Amadeo/0000-0002-9406-6726; Ponce-Parra, Hermes/0000-0002-0069-5792; Escolano Margarit, David/0000-0001-9324-0799; Arcos Espada, Julio/0000-0003-0902-9718</t>
  </si>
  <si>
    <t>0098-8847</t>
  </si>
  <si>
    <t>1096-9845</t>
  </si>
  <si>
    <t>10.1002/eqe.3785</t>
  </si>
  <si>
    <t>WOS:000892774100001</t>
  </si>
  <si>
    <t>Baykova, O; Kazakov, A; Kryukova, N</t>
  </si>
  <si>
    <t>Baykova, Olga; Kazakov, Andrey; Kryukova, Nataliya</t>
  </si>
  <si>
    <t>Socio-demographic parameters and speech behavior of russian germans in foreign-language environment (as exemplified by the ethnic german minority in the Kirov region)</t>
  </si>
  <si>
    <t>Baykova, Olga Vladimirovna/A-7435-2016; Казаков, Андрей/AAT-4280-2020</t>
  </si>
  <si>
    <t>WOS:000493331800025</t>
  </si>
  <si>
    <t>Vavilov, AL; Anfilatova, OV; Vavilova, SA</t>
  </si>
  <si>
    <t>Vavilov, Aleksey Leonidovich; Anfilatova, Olga Viktorovna; Vavilova, S. A.</t>
  </si>
  <si>
    <t>FACTOR ANALYSIS OF TESTS FOR TECHNICAL PREPAREDNESS IN BASKETBALL PLAYERS</t>
  </si>
  <si>
    <t>Anfilatova, Olga/V-1741-2018</t>
  </si>
  <si>
    <t>Anfilatova, Olga/0000-0002-0412-2553</t>
  </si>
  <si>
    <t>10.14529/hsm190207</t>
  </si>
  <si>
    <t>WOS:000475456800007</t>
  </si>
  <si>
    <t>Baibakova, T; Epinina, V; Korobova, S</t>
  </si>
  <si>
    <t>Russkova, EG</t>
  </si>
  <si>
    <t>Baibakova, Tatiana; Epinina, Veronica; Korobova, Svetlana</t>
  </si>
  <si>
    <t>Evaluating Product Competitiveness of the Regional Dairy Product Subcomplex (using Kirov region as an example)</t>
  </si>
  <si>
    <t>PROCEEDINGS OF THE INTERNATIONAL SCIENTIFIC CONFERENCE COMPETITIVE, SUSTAINABLE AND SECURE DEVELOPMENT OF THE REGIONAL ECONOMY: RESPONSE TO GLOBAL CHALLENGES (CSSDRE 2018)</t>
  </si>
  <si>
    <t>International Scientific Conference on Competitive, Sustainable and Secure Development of the Regional Economy - Response to Global Challenges (CSSDRE)</t>
  </si>
  <si>
    <t>APR 18-20, 2018</t>
  </si>
  <si>
    <t>Volgograd State Univ, Volgograd, RUSSIA</t>
  </si>
  <si>
    <t>Volgograd State Univ</t>
  </si>
  <si>
    <t>978-94-6252-514-6</t>
  </si>
  <si>
    <t>WOS:000515721900080</t>
  </si>
  <si>
    <t>Shilova, ZV; Sibgatullina, TV</t>
  </si>
  <si>
    <t>Shilova, Zoia V.; Sibgatullina, Tatiana V.</t>
  </si>
  <si>
    <t>Methodology Features of Teaching Stochastics to University Students of the Biology Specialization</t>
  </si>
  <si>
    <t>EURASIA JOURNAL OF MATHEMATICS SCIENCE AND TECHNOLOGY EDUCATION</t>
  </si>
  <si>
    <t>Sibgatullina, Tatiana/N-1132-2013; Shilova, Zoia V/G-3073-2017</t>
  </si>
  <si>
    <t>Shilova, Zoia V/0000-0003-1715-2513</t>
  </si>
  <si>
    <t>1305-8215</t>
  </si>
  <si>
    <t>1305-8223</t>
  </si>
  <si>
    <t>10.12973/eurasia.2017.00960a</t>
  </si>
  <si>
    <t>WOS:000409067500025</t>
  </si>
  <si>
    <t>Improving the functional capabilities of the body of children with respiratory diseases</t>
  </si>
  <si>
    <t>MEDICAL SCIENCE</t>
  </si>
  <si>
    <t>R, Seenivasagam/ITR-8742-2023</t>
  </si>
  <si>
    <t>2321-7359</t>
  </si>
  <si>
    <t>2321-7367</t>
  </si>
  <si>
    <t>10.54905/disssi/v27i134/e200ms3017</t>
  </si>
  <si>
    <t>WOS:000994185800011</t>
  </si>
  <si>
    <t>Ganebnykh, E; Mottaeva, A; Larinina, T; Petrova, E</t>
  </si>
  <si>
    <t>Ganebnykh, Elena; Mottaeva, Asiiat; Larinina, Tatyana; Petrova, Elena</t>
  </si>
  <si>
    <t>Franchising technologies for sustainable economic development</t>
  </si>
  <si>
    <t>Ganebnykh, Elena/I-2839-2017; Petrova, Elena/V-1011-2018</t>
  </si>
  <si>
    <t>Ganebnykh, Elena/0000-0003-0669-8318; Petrova, Elena/0000-0002-5094-3694; Mottaeva, Asiiat/0000-0001-5854-6944; Mottaeva, Angela/0000-0001-8904-4154</t>
  </si>
  <si>
    <t>10.1051/matecconf/201817001044</t>
  </si>
  <si>
    <t>WOS:000449660800044</t>
  </si>
  <si>
    <t>Savel'eva, N; Prokopenko, L; Zueva, N; Kuklin, A; Yanov, I</t>
  </si>
  <si>
    <t>Savel'eva, Nadezhda; Prokopenko, Lyudmila; Zueva, Nadezhda; Kuklin, Andrey; Yanov, Ilia</t>
  </si>
  <si>
    <t>Method of determining the efficiency of price and non-price competition in service sector</t>
  </si>
  <si>
    <t>10.1051/matecconf/201710608084</t>
  </si>
  <si>
    <t>WOS:000426426600269</t>
  </si>
  <si>
    <t>Sergeev, AV; Bratukhina, EV; Kushova, IA; Ovsyukov, DA</t>
  </si>
  <si>
    <t>Sergeev, Alexander V.; Bratukhina, Ekaterina V.; Kushova, Irina A.; Ovsyukov, Dmitriy A.</t>
  </si>
  <si>
    <t>Liability of minors in Russian criminal law practice XVIII - first half of XIX century</t>
  </si>
  <si>
    <t>10.31166/VoprosyIstorii202012Statyi70</t>
  </si>
  <si>
    <t>WOS:000611219500022</t>
  </si>
  <si>
    <t>Shilov, MA; Korolev, PV; Fomin, SV; Maslov, LB</t>
  </si>
  <si>
    <t>Shilov, M. A.; Korolev, P., V; Fomin, S., V; Maslov, L. B.</t>
  </si>
  <si>
    <t>ROLLING WEAR OF NANOSTRUCTURED ELASTOMERS FOR PNEUMATIC TIRES</t>
  </si>
  <si>
    <t>Shilov, Mikhail Aleksandrovich/D-9621-2017; Maslov, Leonid/C-9219-2019</t>
  </si>
  <si>
    <t>Shilov, Mikhail Aleksandrovich/0000-0002-6445-3303; Maslov, Leonid/0000-0002-7423-3996</t>
  </si>
  <si>
    <t>10.18083/LCAppl.2019.2.85</t>
  </si>
  <si>
    <t>WOS:000472958800010</t>
  </si>
  <si>
    <t>Grebnev, IA</t>
  </si>
  <si>
    <t>Grebnev, I. A.</t>
  </si>
  <si>
    <t>Problems of state regulation of the organization of protection zones for hunting resources</t>
  </si>
  <si>
    <t>Grebnev, Ivan/0000-0002-8028-0713</t>
  </si>
  <si>
    <t>10.25750/1995-4301-2019-1-122-128</t>
  </si>
  <si>
    <t>WOS:000468565900018</t>
  </si>
  <si>
    <t>Korzhavina, AS; Knyazkov, VS</t>
  </si>
  <si>
    <t>Korzhavina, Anastasia S.; Knyazkov, Vladimir S.</t>
  </si>
  <si>
    <t>The Multiplication Method with Scaling the Result for High-Precision Residue Positional Interval Logarithmic Computations</t>
  </si>
  <si>
    <t>Knyazkov, Vladimir Sergeevich/T-4089-2018; Korzhavina, Anastasia S/S-1877-2018</t>
  </si>
  <si>
    <t>Knyazkov, Vladimir Sergeevich/0000-0003-3820-6541; Korzhavina, Anastasia S/0000-0001-8270-2097</t>
  </si>
  <si>
    <t>10.15507/2658-4123.029.201902.187-204</t>
  </si>
  <si>
    <t>WOS:000487855200003</t>
  </si>
  <si>
    <t>Petrov, I; Zemtsov, M; Butyrin, A</t>
  </si>
  <si>
    <t>Petrov, Igor; Zemtsov, Maxim; Butyrin, Andrey</t>
  </si>
  <si>
    <t>Digital transformation method for value mapping in public management</t>
  </si>
  <si>
    <t>Butyrin, Andrey/AAE-9126-2022</t>
  </si>
  <si>
    <t>10.1051/e3sconf/201911002151</t>
  </si>
  <si>
    <t>WOS:000569050000240</t>
  </si>
  <si>
    <t>Udalov, A; Parshin, S; Udalov, A</t>
  </si>
  <si>
    <t>Udalov, Andrei; Parshin, Sergei; Udalov, Aleksandr</t>
  </si>
  <si>
    <t>Indentation size effect during measuring the hardness of materials by pyramidal indenter</t>
  </si>
  <si>
    <t>SEP 09-13, 2019</t>
  </si>
  <si>
    <t>Udalov, Aleksander/0000-0003-0210-5423; Udalov, Andrey/0000-0003-0886-3014</t>
  </si>
  <si>
    <t>10.1016/j.matpr.2019.07.068</t>
  </si>
  <si>
    <t>WOS:000507473500050</t>
  </si>
  <si>
    <t>Leushina, AP; Makhanova, EV; Orzhaeva, OP; Zlomanov, VP</t>
  </si>
  <si>
    <t>Development of methods for the production of electrodes of nonstoichiometric compositions for solid-electrolyte sensors with predictable sensitivity</t>
  </si>
  <si>
    <t>10.1007/s11175-005-0118-8</t>
  </si>
  <si>
    <t>WOS:000230551900008</t>
  </si>
  <si>
    <t>Loginova, M; Smirnova, D; Druzhinina, S; Paramonov, I</t>
  </si>
  <si>
    <t>Loginova, Maria; Smirnova, Daria; Druzhinina, Svetlana; Paramonov, Igor</t>
  </si>
  <si>
    <t>Genomic full-length sequence of the HLA-B*44:348 allele was identified by next generation sequencing</t>
  </si>
  <si>
    <t>10.1111/tan.14615</t>
  </si>
  <si>
    <t>WOS:000776605400001</t>
  </si>
  <si>
    <t>Loginova, M; Smirnova, D; Druzhinina, S; Kashin, K; Paramonov, I</t>
  </si>
  <si>
    <t>Loginova, Maria; Smirnova, Daria; Druzhinina, Svetlana; Kashin, Konstantin; Paramonov, Igor</t>
  </si>
  <si>
    <t>Characterization of the novel HLA-DRB113:03:12 allele by two next-generation sequencing methods</t>
  </si>
  <si>
    <t>Loginova, M./0000-0001-7088-3986; Kashin, Konstantin/0000-0003-4694-3904</t>
  </si>
  <si>
    <t>10.1111/tan.14610</t>
  </si>
  <si>
    <t>WOS:000780680000001</t>
  </si>
  <si>
    <t>Trudonoshyn, O; Randelzhofer, P; Korner, C</t>
  </si>
  <si>
    <t>Trudonoshyn, O.; Randelzhofer, P.; Koerner, C.</t>
  </si>
  <si>
    <t>Heat treatment of high-pressure die casting Al-Mg-Si-Mn-Zn alloys</t>
  </si>
  <si>
    <t>JOURNAL OF ALLOYS AND COMPOUNDS</t>
  </si>
  <si>
    <t>0925-8388</t>
  </si>
  <si>
    <t>1873-4669</t>
  </si>
  <si>
    <t>AUG 15</t>
  </si>
  <si>
    <t>10.1016/j.jallcom.2021.159692</t>
  </si>
  <si>
    <t>APR 2021</t>
  </si>
  <si>
    <t>WOS:000647674900002</t>
  </si>
  <si>
    <t>Elsebaie, N; Ganebnykh, E; Lunyakov, M</t>
  </si>
  <si>
    <t>Elsebaie, Nazeeh; Ganebnykh, Elena; Lunyakov, Mikhail</t>
  </si>
  <si>
    <t>Mumpreneurship for urban development</t>
  </si>
  <si>
    <t>Ganebnykh, Elena/I-2839-2017; Lunyakov, Mikhail/ABG-9701-2021</t>
  </si>
  <si>
    <t>Ganebnykh, Elena/0000-0003-0669-8318; Lunyakov, Mikhail/0000-0001-7093-3779</t>
  </si>
  <si>
    <t>10.1051/e3sconf/201911002155</t>
  </si>
  <si>
    <t>WOS:000569050000244</t>
  </si>
  <si>
    <t>Kozlova, EA; Kolesnikova, OI</t>
  </si>
  <si>
    <t>Kozlova, E. A.; Kolesnikova, O., I</t>
  </si>
  <si>
    <t>RHETORICAL LACUNES: CAUSES, IMPLICATIONS, WARNING</t>
  </si>
  <si>
    <t>10.26170/FK19-02-15</t>
  </si>
  <si>
    <t>WOS:000489097600015</t>
  </si>
  <si>
    <t>Danilov, DN; Leushina, AP; Zlomanov, VP</t>
  </si>
  <si>
    <t>Danilov, D. N.; Leushina, A. P.; Zlomanov, V. P.</t>
  </si>
  <si>
    <t>T-x diagram and transport properties of the GeSe-GeI2 solid electrolyte</t>
  </si>
  <si>
    <t>10.1134/S0036024406110288</t>
  </si>
  <si>
    <t>WOS:000245667100028</t>
  </si>
  <si>
    <t>Gavrilov, G; Bratuhin, A; Marinin, E</t>
  </si>
  <si>
    <t>Gavrilov, Gennady; Bratuhin, Anatoly; Marinin, Evgeny</t>
  </si>
  <si>
    <t>Laser-thermal Hardening of the Tools Set for Cold-forming Fasteners</t>
  </si>
  <si>
    <t>International Conference on Modern Trends in Manufacturing Technologies and Equipment (ICMTMTE) - Materials Science</t>
  </si>
  <si>
    <t>SEP 10-14, 2018</t>
  </si>
  <si>
    <t>Gavrilov, Gennadiy/0000-0002-8306-2965; Marinin, Evgeny/0000-0003-0676-9438</t>
  </si>
  <si>
    <t>10.1016/j.matpr.2018.12.154</t>
  </si>
  <si>
    <t>WOS:000463193400058</t>
  </si>
  <si>
    <t>Komlev, V; Barmina, E; Feoktistova, O</t>
  </si>
  <si>
    <t>Komlev, Vitaliy; Barmina, Elena; Feoktistova, Oksana</t>
  </si>
  <si>
    <t>Digitalization of labor market parameters to improve the efficiency of the enterprise's personnel policy</t>
  </si>
  <si>
    <t>Komlev, Vitaliy/0000-0001-8198-6331; Barmina, Elena/0000-0001-8296-6498</t>
  </si>
  <si>
    <t>10.1051/e3sconf/201911002150</t>
  </si>
  <si>
    <t>WOS:000569050000239</t>
  </si>
  <si>
    <t>Medvedeva, OV; Kalinina, LA; Metlin, YG; Ushakova, YN</t>
  </si>
  <si>
    <t>Synthesis and electrolytic properties of phases based on calcium thiogadolinate as a function of method of the precursor synthesis</t>
  </si>
  <si>
    <t>7th Meeting on Fundamental Problems of Solid-State Ionics</t>
  </si>
  <si>
    <t>JUN 16-18, 2004</t>
  </si>
  <si>
    <t>Russian Acad Sci, Inst Problems Chem Phys, Moscow, RUSSIA</t>
  </si>
  <si>
    <t>10.1007/s11175-005-0105-0</t>
  </si>
  <si>
    <t>WOS:000229725000018</t>
  </si>
  <si>
    <t>Recognition of the HLA-C*07:1047 allele in a Russian bone marrow donor</t>
  </si>
  <si>
    <t>10.1111/tan.14952</t>
  </si>
  <si>
    <t>WOS:000905834100001</t>
  </si>
  <si>
    <t>Efficient GPU Implementation of Multiple-Precision Addition based on Residue Arithmetic</t>
  </si>
  <si>
    <t>INTERNATIONAL JOURNAL OF ADVANCED COMPUTER SCIENCE AND APPLICATIONS</t>
  </si>
  <si>
    <t>2158-107X</t>
  </si>
  <si>
    <t>2156-5570</t>
  </si>
  <si>
    <t>WOS:000592987700002</t>
  </si>
  <si>
    <t>Sychugova, LP; Belozerova, AV; Lepikhova, LY; Akinshina, NV; Sukhanova, YS</t>
  </si>
  <si>
    <t>Cindori, S; Larouk, O; Malushko, EYU; Rebrina, LN; Shamne, NL</t>
  </si>
  <si>
    <t>Sychugova, L. P.; Belozerova, A., V; Lepikhova, L. Y.; Akinshina, N., V; Sukhanova, Y. S.</t>
  </si>
  <si>
    <t>Synergetic basis of author's educational cognitive dictionaries</t>
  </si>
  <si>
    <t>INTERNATIONAL SCIENTIFIC AND PRACTICAL CONFERENCE CURRENT ISSUES OF LINGUISTICS AND DIDACTICS: THE INTERDISCIPLINARY APPROACH IN HUMANITIES AND SOCIAL SCIENCES (CILDIAH-2019)</t>
  </si>
  <si>
    <t>SHS Web of Conferences</t>
  </si>
  <si>
    <t>International Scientific and Practical Conference on Current Issues of Linguistics and Didactics - The Interdisciplinary Approach in Humanities and Social Sciences (CILDIAH)</t>
  </si>
  <si>
    <t>APR 23-28, 2019</t>
  </si>
  <si>
    <t>2261-2424</t>
  </si>
  <si>
    <t>10.1051/shsconf/20196900017</t>
  </si>
  <si>
    <t>WOS:000543686000016</t>
  </si>
  <si>
    <t>Vychegzhanin, S; Razova, E; Kotelnikov, E; Milov, V</t>
  </si>
  <si>
    <t>Vychegzhanin, Sergey; Razova, Elena; Kotelnikov, Evgeny; Milov, Vladimir</t>
  </si>
  <si>
    <t>Selecting an Optimal Feature Set for Stance Detection</t>
  </si>
  <si>
    <t>Kotelnikov, Evgeny/0000-0001-9745-1489; Razova, Elena/0000-0001-5557-5432; Vychegzhanin, Sergey/0000-0001-6456-7856</t>
  </si>
  <si>
    <t>10.1007/978-3-030-37334-4_22</t>
  </si>
  <si>
    <t>WOS:000611787800022</t>
  </si>
  <si>
    <t>Udalov, AA; Parshin, SV; Udalov, AV</t>
  </si>
  <si>
    <t>Udalov, Andrey A.; Parshin, Sergey V.; Udalov, Aleksandr V.</t>
  </si>
  <si>
    <t>Theoretical investigation of the effect of the taper angle of the deforming roller on the limiting degrees of deformation in the process of flow forming</t>
  </si>
  <si>
    <t>INTERNATIONAL CONFERENCE ON MODERN TRENDS IN MANUFACTURING TECHNOLOGIES AND EQUIPMENT (ICMTMTE 2018)</t>
  </si>
  <si>
    <t>Sevastopol State Univ,Natl Univ Sci &amp; Technol MISIS,Polzunov Altai State Tech Univ,Inlink Ltd,Int Union Machine Builders</t>
  </si>
  <si>
    <t>10.1051/matecconf/201822401040</t>
  </si>
  <si>
    <t>WOS:000476933600040</t>
  </si>
  <si>
    <t>Savinykh, NP; Shabalkina, SV; Maltseya, TA</t>
  </si>
  <si>
    <t>Savinykh, Natalya P.; Shabalkina, Svetlana V.; Maltseya, Tatyana A.</t>
  </si>
  <si>
    <t>Structural organization of semi-rosette hygrohelophytes</t>
  </si>
  <si>
    <t>WULFENIA</t>
  </si>
  <si>
    <t>1561-882X</t>
  </si>
  <si>
    <t>WOS:000417887400021</t>
  </si>
  <si>
    <t>Favstov, YK; Zhuravel, LV; Kochetkova, LP</t>
  </si>
  <si>
    <t>Structure and damping capacity of Br022 bell bronze</t>
  </si>
  <si>
    <t>10.1023/B:MSAT.0000019201.56753.34</t>
  </si>
  <si>
    <t>WOS:000221016500011</t>
  </si>
  <si>
    <t>The Development of Endurance Through Prolonged Running and Its Effect on the Attention of 9-10-Year-Olds</t>
  </si>
  <si>
    <t>ENTOMOLOGY AND APPLIED SCIENCE LETTERS</t>
  </si>
  <si>
    <t>2349-2864</t>
  </si>
  <si>
    <t>10.51847/2GXBEcgNwL</t>
  </si>
  <si>
    <t>WOS:000971992100003</t>
  </si>
  <si>
    <t>Three novel alleles, HLA-A*03:446, HLA-C*02:213, and HLA-C*02:214, identified by next-generation sequencing</t>
  </si>
  <si>
    <t>Loginova, M./0000-0001-7088-3986; Paramonov, Igor/0000-0002-7205-912X</t>
  </si>
  <si>
    <t>10.1111/tan.14748</t>
  </si>
  <si>
    <t>AUG 2022</t>
  </si>
  <si>
    <t>WOS:000837478000001</t>
  </si>
  <si>
    <t>Okhapkina, E; Tarasov, A; Okhapkin, V</t>
  </si>
  <si>
    <t>Okhapkina, Elena; Tarasov, Alexander; Okhapkin, Valentine</t>
  </si>
  <si>
    <t>Problem of identifying destructive informational influence in social networks</t>
  </si>
  <si>
    <t>2016 THIRD INTERNATIONAL CONFERENCE ON DIGITAL INFORMATION PROCESSING, DATA MINING, AND WIRELESS COMMUNICATIONS (DIPDMWC)</t>
  </si>
  <si>
    <t>3rd International Conference on Digital Information Processing, Data Mining, and Wireless Communications (DIPDMWC)</t>
  </si>
  <si>
    <t>JUL 06-08, 2016</t>
  </si>
  <si>
    <t>Okhapkin, Valentin/N-8058-2017; Okhapkina, Elena P/N-8013-2017</t>
  </si>
  <si>
    <t>Okhapkin, Valentin/0000-0002-3592-8699; Okhapkina, Elena P/0000-0002-2382-0891</t>
  </si>
  <si>
    <t>978-1-4673-9379-9</t>
  </si>
  <si>
    <t>WOS:000382516300009</t>
  </si>
  <si>
    <t>Paimushin, V; Firsov, V; Gunal, I; Shishkin, V</t>
  </si>
  <si>
    <t>Crocker, MJ; Pawelczyk, M; Pedrielli, F; Carletti, E; Luzzi, S</t>
  </si>
  <si>
    <t>Paimushin, Vitaliy; Firsov, Vyacheslav; Gunal, Ibrahim; Shishkin, Victor</t>
  </si>
  <si>
    <t>THEORETICAL-EXPERIMENTAL METHOD FOR INVESTIGATING THE DAMPING PROPERTIES OF MATERIALS</t>
  </si>
  <si>
    <t>PROCEEDINGS OF THE 22ND INTERNATIONAL CONGRESS ON SOUND AND VIBRATION: MAJOR CHALLENGES IN ACOUSTICS, NOISE AND VIBRATION RESEARCH, 2015</t>
  </si>
  <si>
    <t>22nd International Congress on Sound and Vibration (ICSV)</t>
  </si>
  <si>
    <t>JUL 12-16, 2015</t>
  </si>
  <si>
    <t>Florence, ITALY</t>
  </si>
  <si>
    <t>Gunal, Ibrahim/A-2110-2011</t>
  </si>
  <si>
    <t>Gunal, Ibrahim/0000-0001-6478-8579</t>
  </si>
  <si>
    <t>978-88-88942-48-3</t>
  </si>
  <si>
    <t>WOS:000398997004110</t>
  </si>
  <si>
    <t>Ushakova, YN; Kalinina, LA; Yurlov, IS; Fominykh, EG; Ananchenko, BA; Rossikhina, AA; Murin, IV</t>
  </si>
  <si>
    <t>Ushakova, Yu. N.; Kalinina, L. A.; Yurlov, I. S.; Fominykh, E. G.; Ananchenko, B. A.; Rossikhina, A. A.; Murin, I. V.</t>
  </si>
  <si>
    <t>Transport properties of solid electrolytes based on MeSm2S4</t>
  </si>
  <si>
    <t>Ananchenko, Boris/AAM-5831-2020; Murin, Igor V/L-6482-2013</t>
  </si>
  <si>
    <t>Ananchenko, Boris/0000-0002-7975-7828; Murin, Igor V/0000-0003-1869-7590; Kalinina, Ludmila/0000-0001-9471-2778</t>
  </si>
  <si>
    <t>10.1134/S1087659607040116</t>
  </si>
  <si>
    <t>WOS:000249259800011</t>
  </si>
  <si>
    <t>Babenko, MV; Chermnykh, VV</t>
  </si>
  <si>
    <t>Babenko, Marina Vladimirovna; Chermnykh, Vasiliy Vladimirovich</t>
  </si>
  <si>
    <t>Hilbert's basis theorem for a semiring of skew polynomials.</t>
  </si>
  <si>
    <t>10.21538/0134-4889-2022-28-2-56-65</t>
  </si>
  <si>
    <t>WOS:000905209900004</t>
  </si>
  <si>
    <t>The Influence of speed-power abilities on the intellectual abilities of school children with different strength of the nervous system</t>
  </si>
  <si>
    <t>10.53350/pjmhs211562072</t>
  </si>
  <si>
    <t>WOS:000691814600100</t>
  </si>
  <si>
    <t>Ushakova, YN; Kalinina, LA; Fominykh, EG; Yurlov, IS; Murin, IV</t>
  </si>
  <si>
    <t>Electrochemical methods for studying transport properties and the type of ionic conduction in solid electrolytes based on CaPr2S4 and Ca(Ba)SM2S4</t>
  </si>
  <si>
    <t>10.1007/s11175-005-0115-y</t>
  </si>
  <si>
    <t>WOS:000230551900005</t>
  </si>
  <si>
    <t>Rykova, TS; Turkina, EY</t>
  </si>
  <si>
    <t>Transport properties of glasses in the silver-germanium-selenium system</t>
  </si>
  <si>
    <t>WOS:000089046200011</t>
  </si>
  <si>
    <t>Aleshkin, AV; Bulatov, SY; Nechaev, VN; Nizovtsev, SL</t>
  </si>
  <si>
    <t>V. Aleshkin, A.; Bulatov, S. Yu.; Nechaev, V. N.; Nizovtsev, S. L.</t>
  </si>
  <si>
    <t>Influence of Suction Hole Diameter of Precision Seed Machine on the Characteristics of Feeding Corn and Sunflower Seeds</t>
  </si>
  <si>
    <t>10.15507/2658-4123.033.202301.037-051</t>
  </si>
  <si>
    <t>WOS:000994427200002</t>
  </si>
  <si>
    <t>Pentin, MA; Kalinina, LA; Kosheleva, EV; Ushakova, YN; Murin, IV</t>
  </si>
  <si>
    <t>Pentin, M. A.; Kalinina, L. A.; Kosheleva, E., V; Ushakova, Yu N.; Murin, I., V</t>
  </si>
  <si>
    <t>Research of Composite Materials BaSm2S4-ZrS2, CaY2S4-ZrS2</t>
  </si>
  <si>
    <t>10.1134/S1023193521070107</t>
  </si>
  <si>
    <t>WOS:000694843300004</t>
  </si>
  <si>
    <t>Babenko, M. V.; Chermnykh, V. V.</t>
  </si>
  <si>
    <t>Pierce stalks of semirings of skew polynomials</t>
  </si>
  <si>
    <t>Vasiliy, Chermnykh/AIC-7495-2022</t>
  </si>
  <si>
    <t>10.21538/0134-4889-2021-27-4-48-60</t>
  </si>
  <si>
    <t>WOS:000756004700004</t>
  </si>
  <si>
    <t>Vychegzhanin, S; Kotelnikov, E</t>
  </si>
  <si>
    <t>Vychegzhanin, Sergey; Kotelnikov, Evgeny</t>
  </si>
  <si>
    <t>A New Method for Stance Detection Based on Feature Selection Techniques and Ensembles of Classifiers</t>
  </si>
  <si>
    <t>10.1109/ACCESS.2021.3116657</t>
  </si>
  <si>
    <t>WOS:000704104400001</t>
  </si>
  <si>
    <t>Dmitriev, A; Ziganshin, B; Khaliullin, D; Aleshkin, A</t>
  </si>
  <si>
    <t>Dmitriev, Andrey; Ziganshin, Bulat; Khaliullin, Damir; Aleshkin, Alexey</t>
  </si>
  <si>
    <t>STUDY OF EFFICIENCY OF PEELING MACHINE WITH VARIABLE DECK</t>
  </si>
  <si>
    <t>Ziganshin, Bulat/U-8784-2017; Халиуллин, Дамир Т/F-7177-2018; Aleshkin, Aleksey/ABA-6228-2020</t>
  </si>
  <si>
    <t>Халиуллин, Дамир Т/0000-0002-1941-0013; Aleshkin, Aleksey/0000-0002-6949-1480</t>
  </si>
  <si>
    <t>10.22616/ERDev.2020.19.TF249</t>
  </si>
  <si>
    <t>WOS:000815085500148</t>
  </si>
  <si>
    <t>Gorev, PM; Masalimova, AR</t>
  </si>
  <si>
    <t>Gorev, Pavel M.; Masalimova, Alfiya R.</t>
  </si>
  <si>
    <t>Development of Meta-subject Competencies of the 7-9 Grades Basic School Students through the Implementation of Interdisciplinary Mathematical Courses</t>
  </si>
  <si>
    <t>Masalimova, Alfiya/K-3840-2015</t>
  </si>
  <si>
    <t>Masalimova, Alfiya/0000-0003-3711-2527; Gorev, Pavel/0000-0002-0640-8184</t>
  </si>
  <si>
    <t>10.12973/eurasia.2017.00764a</t>
  </si>
  <si>
    <t>WOS:000404607800063</t>
  </si>
  <si>
    <t>Loginova, M; Smirnova, D; Druzhinina, S; Yaroshenko, K; Paramonov, I</t>
  </si>
  <si>
    <t>Loginova, Maria; Smirnova, Daria; Druzhinina, Svetlana; Yaroshenko, Kristina; Paramonov, Igor</t>
  </si>
  <si>
    <t>Detection of the HLA-A*68:99:02 allele in a Russian unrelated hematopoietic cell donor</t>
  </si>
  <si>
    <t>10.1111/tan.14552</t>
  </si>
  <si>
    <t>WOS:000762015700001</t>
  </si>
  <si>
    <t>Elikov, AV; Tsapok, PI; Karpova, EM; Loktev, DB; Kozvonin, VA; Shmakova, LN</t>
  </si>
  <si>
    <t>Elikov, A. V.; Tsapok, P. I.; Karpova, E. M.; Loktev, D. B.; Kozvonin, V. A.; Shmakova, L. N.</t>
  </si>
  <si>
    <t>The effect of dried blueberries and food products enriched with them on metabolic parameters of carbon tetrachloride intoxication</t>
  </si>
  <si>
    <t>Kozvonin, Valeriy/0000-0002-2447-6949; Karpova, Evgeniya/0000-0002-4160-9440</t>
  </si>
  <si>
    <t>10.25750/1995-4301-2022-2-070-076</t>
  </si>
  <si>
    <t>WOS:000820802000009</t>
  </si>
  <si>
    <t>Development of Kinesthetic Differentiation of Movement Parameters of Children Aged 8-9 Years Using a Gymnastic Stick</t>
  </si>
  <si>
    <t>10.51847/zTI27OVMot</t>
  </si>
  <si>
    <t>WOS:000899150500009</t>
  </si>
  <si>
    <t>Meltsov, VY; Lapitsky, AA; Zhukova, NA; Vodyaho, AI</t>
  </si>
  <si>
    <t>Meltsov, Vasily Yu; Lapitsky, Alexey A.; Zhukova, Nataly A.; Vodyaho, Alexander, I</t>
  </si>
  <si>
    <t>Unit of One-Clock SRC Error Correction for transponder on FPGA</t>
  </si>
  <si>
    <t>PROCEEDINGS OF THE 2021 IEEE CONFERENCE OF RUSSIAN YOUNG RESEARCHERS IN ELECTRICAL AND ELECTRONIC ENGINEERING (ELCONRUS)</t>
  </si>
  <si>
    <t>IEEE Conference of Russian Young Researchers in Electrical and Electronic Engineering (ElConRus)</t>
  </si>
  <si>
    <t>JAN 26-28, 2021</t>
  </si>
  <si>
    <t>Saint Petersburg Electrotechn Univ, RUSSIA</t>
  </si>
  <si>
    <t>Saint Petersburg Electrotechn Univ</t>
  </si>
  <si>
    <t>Meltsov, Vasily Yurevich/P-7511-2017</t>
  </si>
  <si>
    <t>Meltsov, Vasily Yurevich/0000-0001-5479-9979</t>
  </si>
  <si>
    <t>978-1-6654-0476-1</t>
  </si>
  <si>
    <t>10.1109/ElConRus51938.2021.9396681</t>
  </si>
  <si>
    <t>WOS:000669709800035</t>
  </si>
  <si>
    <t>Rudenko, LG; Goryachikh, SP</t>
  </si>
  <si>
    <t>Rudenko, L. G.; Goryachikh, S. P.</t>
  </si>
  <si>
    <t>The Mechanism of Infrastructure Support for Development of Small Youth Entrepreneurship</t>
  </si>
  <si>
    <t>PROCEEDINGS OF THE INTERNATIONAL SCIENTIFIC CONFERENCE - FAR EAST CON (ISCFEC 2020)</t>
  </si>
  <si>
    <t>International Scientific Conference on Far East Con (ISCFEC)</t>
  </si>
  <si>
    <t>OCT 01-04, 2019</t>
  </si>
  <si>
    <t>Rudenko, Lyudmila/P-7868-2015; Goryachikh, Svetlana/F-2583-2019</t>
  </si>
  <si>
    <t>Rudenko, Lyudmila/0000-0001-7059-0198; Goryachikh, Svetlana/0000-0003-0186-5308</t>
  </si>
  <si>
    <t>978-94-6252-929-8</t>
  </si>
  <si>
    <t>WOS:000701397800051</t>
  </si>
  <si>
    <t>Paimushin, VN; Firsov, VA; Gyunal, I; Shishkin, VM</t>
  </si>
  <si>
    <t>Paimushin, V. N.; Firsov, V. A.; Gyunal, I.; Shishkin, V. M.</t>
  </si>
  <si>
    <t>Theoretical-Experimental Method for Evaluating the Elastic and Damping Characteristics of Soft Materials Based on Studying the Resonance Flexural Vibrations of Test Specimens</t>
  </si>
  <si>
    <t>MECHANICS OF COMPOSITE MATERIALS</t>
  </si>
  <si>
    <t>Gunal, Ibrahim/A-2110-2011; Shishkin, Viktor/U-2323-2018</t>
  </si>
  <si>
    <t>Gunal, Ibrahim/0000-0001-6478-8579; Shishkin, Viktor/0000-0002-1237-2309; Vyacheslav, Firsov/0000-0002-8948-1570</t>
  </si>
  <si>
    <t>0191-5665</t>
  </si>
  <si>
    <t>1573-8922</t>
  </si>
  <si>
    <t>10.1007/s11029-016-9608-x</t>
  </si>
  <si>
    <t>WOS:000389992300001</t>
  </si>
  <si>
    <t>Leushina, AP; Makhanova, EV; Zlomanov, VP</t>
  </si>
  <si>
    <t>Leushina, A. P.; Makhanova, E. V.; Zlomanov, V. P.</t>
  </si>
  <si>
    <t>Influence of the nature and density of defects on the thermodynamic and electrical properties of semiconductor materials</t>
  </si>
  <si>
    <t>INORGANIC MATERIALS</t>
  </si>
  <si>
    <t>0020-1685</t>
  </si>
  <si>
    <t>10.1134/S0020168510030118</t>
  </si>
  <si>
    <t>WOS:000275748500011</t>
  </si>
  <si>
    <t>Stakhov, AI; Landerson, NV; Domrachev, DG</t>
  </si>
  <si>
    <t>Stakhov, Alexander I.; Landerson, Natalia, V; Domrachev, Dmitry G.</t>
  </si>
  <si>
    <t>PUBLIC ADMINISTRATION IN RUSSIA AS A SUBJECT OF ADMINISTRATIVE PROCEDURE</t>
  </si>
  <si>
    <t>PRAVOPRIMENENIE-LAW ENFORCEMENT REVIEW</t>
  </si>
  <si>
    <t>Domrachev, Dmitriy/K-8370-2017</t>
  </si>
  <si>
    <t>Domrachev, Dmitriy/0000-0002-7967-9129</t>
  </si>
  <si>
    <t>2542-1514</t>
  </si>
  <si>
    <t>2658-4050</t>
  </si>
  <si>
    <t>10.52468/2542-1514.2021.5(4).55-77</t>
  </si>
  <si>
    <t>WOS:000744098400005</t>
  </si>
  <si>
    <t>Andryushchenko, IA; Berezina, YV; Skurikhina, OV</t>
  </si>
  <si>
    <t>Andryushchenko, I. A.; Berezina, Yu, V; Skurikhina, O., V</t>
  </si>
  <si>
    <t>PECULIARITIES OF THE LANGUAGE OF CRIMEAN BULGARIANS (BASED ON THE POPULATION CENSUS AND INTERVIEWS OF NATIVE BULGARIAN SPEAKERS IN CRIMEA)</t>
  </si>
  <si>
    <t>Andryushchenko, Irina/HDN-9865-2022</t>
  </si>
  <si>
    <t>Andryushchenko, Irina/0000-0002-6160-6052</t>
  </si>
  <si>
    <t>WOS:000572971200043</t>
  </si>
  <si>
    <t>Baykova, O; Bukharov, V; Porchesku, G</t>
  </si>
  <si>
    <t>Baykova, Olga; Bukharov, Valeriy; Porchesku, Galina</t>
  </si>
  <si>
    <t>LINGUISTIC INTERFERENCE IN CONTACTING LANGUAGES OF GERMAN-RUSSIAN BILINGUALS</t>
  </si>
  <si>
    <t>Baykova, Olga Vladimirovna/A-7435-2016; Porchesku, Galina/AAZ-8186-2020</t>
  </si>
  <si>
    <t>Baykova, Olga Vladimirovna/0000-0002-4859-8553; Porchesku, Galina/0000-0003-1423-3510</t>
  </si>
  <si>
    <t>WOS:000572971200002</t>
  </si>
  <si>
    <t>Trudonoshyn, O</t>
  </si>
  <si>
    <t>Trudonoshyn, O.</t>
  </si>
  <si>
    <t>Studying the Structure of Al-Mg-Si Casting Alloys Doped by Lithium</t>
  </si>
  <si>
    <t>10.1134/S0031918X2007011X</t>
  </si>
  <si>
    <t>WOS:000565173800011</t>
  </si>
  <si>
    <t>Domnina, EA; Ogorodnikova, SY; Pestov, SV; Ashikhmina, TY</t>
  </si>
  <si>
    <t>Domnina, E. A.; Ogorodnikova, S. Yu; Pestov, S., V; Ashikhmina, T. Ya</t>
  </si>
  <si>
    <t>Lichenoindication methods for assessing atmospheric air pollution by phosphorus compounds</t>
  </si>
  <si>
    <t>Pestov, Sergey V./N-2018-2013; Ashikhmina, Tamara/O-1326-2015</t>
  </si>
  <si>
    <t>Pestov, Sergey V./0000-0003-4919-0047; Ashikhmina, Tamara/0000-0003-4919-0047</t>
  </si>
  <si>
    <t>10.25750/1995-4301-2019-4-037-044</t>
  </si>
  <si>
    <t>WOS:000504049400005</t>
  </si>
  <si>
    <t>Paimushin, VN; Shishkin, VM</t>
  </si>
  <si>
    <t>Paimushin, V. N.; Shishkin, V. M.</t>
  </si>
  <si>
    <t>MODELING THE ELASTIC AND DAMPING PROPERTIES OF THE MULTILAYERED TORSION BAR-BLADE STRUCTURE OF ROTORS OF LIGHT HELICOPTERS OF THE NEW GENERATION 2. FINITE-ELEMENT APPROXIMATION OF BLADES AND A MODEL OF COUPLING OF THE TORSION BAR WITH THE BLADES</t>
  </si>
  <si>
    <t>Shishkin, Viktor/U-2323-2018; Paimusin, Vitalii/J-4458-2013</t>
  </si>
  <si>
    <t>Shishkin, Viktor/0000-0002-1237-2309; Paimusin, Vitalii/0000-0003-4070-2579</t>
  </si>
  <si>
    <t>10.1007/s11029-016-9548-5</t>
  </si>
  <si>
    <t>WOS:000368729200010</t>
  </si>
  <si>
    <t>Seledkin, EM; Kukhar, VD; Tsepin, MA; Apatov, KY</t>
  </si>
  <si>
    <t>Seledkin, E. M.; Kukhar', V. D.; Tsepin, M. A.; Apatov, K. Yu.</t>
  </si>
  <si>
    <t>Calculation of Reversible Gas Formation of Hollow Shells from the Sheet</t>
  </si>
  <si>
    <t>Kukhar, Vladimir D./L-7559-2016</t>
  </si>
  <si>
    <t>Kukhar, Vladimir D./0000-0001-6991-3041</t>
  </si>
  <si>
    <t>10.3103/S1067821210040103</t>
  </si>
  <si>
    <t>WOS:000282068400010</t>
  </si>
  <si>
    <t>Development of Vestibular Stability of Children in Physical Education Lessons</t>
  </si>
  <si>
    <t>INTERNATIONAL JOURNAL OF LIFE SCIENCE AND PHARMA RESEARCH</t>
  </si>
  <si>
    <t>2250-0480</t>
  </si>
  <si>
    <t>L104</t>
  </si>
  <si>
    <t>L108</t>
  </si>
  <si>
    <t>10.22376/ijlpr.2023.13.1.L104-108</t>
  </si>
  <si>
    <t>WOS:000912047300001</t>
  </si>
  <si>
    <t>Development of Spatial Orientation of Children Aged 8-9 Years Using a Gymnastic Stick</t>
  </si>
  <si>
    <t>INTERNATIONAL JOURNAL OF PHARMACEUTICAL RESEARCH AND ALLIED SCIENCES</t>
  </si>
  <si>
    <t>2277-3657</t>
  </si>
  <si>
    <t>10.51847/bvPSNlJliW</t>
  </si>
  <si>
    <t>WOS:000904502200001</t>
  </si>
  <si>
    <t>Udalov, AV; Udalov, AA</t>
  </si>
  <si>
    <t>Udalov, Aleksandr Viktorovich; Udalov, Andrey Aleksandrovich</t>
  </si>
  <si>
    <t>Investigation of Changes in the Resistance to Deformation of Low-Carbon Steel in the Process of Flow Forming</t>
  </si>
  <si>
    <t>Udalov, Aleksander/AAA-2488-2019</t>
  </si>
  <si>
    <t>10.17212/1994-6309-2019-21.3-59-71</t>
  </si>
  <si>
    <t>WOS:000485750300005</t>
  </si>
  <si>
    <t>Fufacheva, LA; Lepeshkin, SM; Fokina, OV; Sozinova, AA; Shchinova, RA</t>
  </si>
  <si>
    <t>Fufacheva, Lyudmila A.; Lepeshkin, Sergey M.; Fokina, Olga V.; Sozinova, Anastasia A.; Shchinova, Raisa A.</t>
  </si>
  <si>
    <t>Improvement of the Mechanism of Provision of Food Security of Russia Within Management of Risk System of Entrepreneurship</t>
  </si>
  <si>
    <t>Fokina, Olga/0000-0002-6697-3353; Sozinova, Anastasia/0000-0001-5876-2823</t>
  </si>
  <si>
    <t>10.1007/978-3-319-60696-5_2</t>
  </si>
  <si>
    <t>WOS:000426114200002</t>
  </si>
  <si>
    <t>Shelikhov, ES; Chernousova, AM; Vasilevykh, SL</t>
  </si>
  <si>
    <t>Shelikhov, E. S.; Chernousova, A. M.; Vasilevykh, S. L.</t>
  </si>
  <si>
    <t>Automatic Correction Control Program Method Realization of the CNC Machine Tool under Industrial Conditions</t>
  </si>
  <si>
    <t>WOS:000414282400059</t>
  </si>
  <si>
    <t>Domracheva, LI; Dabakh, EV; Kondakova, LV; Varaksina, AI</t>
  </si>
  <si>
    <t>Domracheva, L. I.; Dabakh, E. V.; Kondakova, L. V.; Varaksina, A. I.</t>
  </si>
  <si>
    <t>Algal-mycological complexes in soils upon their chemical pollution</t>
  </si>
  <si>
    <t>Ashikhmina, Tamara/O-1326-2015</t>
  </si>
  <si>
    <t>Ashikhmina, Tamara/0000-0003-4919-0047</t>
  </si>
  <si>
    <t>S91</t>
  </si>
  <si>
    <t>S97</t>
  </si>
  <si>
    <t>10.1134/S1064229306130151</t>
  </si>
  <si>
    <t>WOS:000245221500014</t>
  </si>
  <si>
    <t>Loginova, M; Repnicyna, K; Paramonov, I</t>
  </si>
  <si>
    <t>Loginova, Maria; Repnicyna, Kristina; Paramonov, Igor</t>
  </si>
  <si>
    <t>Next-generation sequencing identifies two novel HLA-DRB1 alleles, HLA-DRB1*04:362 and HLA-DRB1*07:148</t>
  </si>
  <si>
    <t>10.1111/tan.15037</t>
  </si>
  <si>
    <t>MAR 2023</t>
  </si>
  <si>
    <t>WOS:000955109100001</t>
  </si>
  <si>
    <t>Development to Adapt and Rebuild Motor Actions of Children Aged 8-9 Years Using a Coordination Ladder</t>
  </si>
  <si>
    <t>ARCHIVES OF PHARMACY PRACTICE</t>
  </si>
  <si>
    <t>2320-5210</t>
  </si>
  <si>
    <t>2045-080X</t>
  </si>
  <si>
    <t>10.51847/yDF12GeLiV</t>
  </si>
  <si>
    <t>WOS:000906730900003</t>
  </si>
  <si>
    <t>Litvinets, SG; Martinson, EA; Kuznetsov, SM; Zadorina, EO; Novikova, OA; Komosko, VG; Nikolaeva, AV; Troshin, MA; Gaysin, MT</t>
  </si>
  <si>
    <t>Litvinets, S. G.; Martinson, E. A.; Kuznetsov, S. M.; Zadorina, E. O.; Novikova, O. A.; Komosko, V. G.; Nikolaeva, A., V; Troshin, M. A.; Gaysin, M. T.</t>
  </si>
  <si>
    <t>Comparative evaluation of the efficiency of solid and liquid dispersants in simulation of oil and oil product spills</t>
  </si>
  <si>
    <t>Litvinets, Sergey/I-8188-2013</t>
  </si>
  <si>
    <t>Litvinets, Sergey/0000-0001-8583-5274; Zadorina, Elena/0000-0002-2509-8193</t>
  </si>
  <si>
    <t>10.25750/1995-4301-2022-1-115-123</t>
  </si>
  <si>
    <t>WOS:000819811100016</t>
  </si>
  <si>
    <t>Milchik, IV; Grishina, EN; Nagovitsyna, EV</t>
  </si>
  <si>
    <t>Milchik, Irina, V; Grishina, Elena N.; Nagovitsyna, Eleonora, V</t>
  </si>
  <si>
    <t>INVESTMENTS IN THE INNOVATIVE DEVELOPMENT OF REGIONAL ECONOMY: CONSEQUENCES FOR QUALITY OF REGIONAL ENTREPRENEURSHIP'S PRODUCTS</t>
  </si>
  <si>
    <t>10.24874/IJQR15.04-08</t>
  </si>
  <si>
    <t>WOS:000720953800008</t>
  </si>
  <si>
    <t>Petrov, I; Zemtsov, M; Bokareva, D; Ivashchenko, A</t>
  </si>
  <si>
    <t>Rudoy, D; Olshevskaya, A; Kankhva, V</t>
  </si>
  <si>
    <t>Petrov, Igor; Zemtsov, Maxim; Bokareva, Daria; Ivashchenko, Andrey</t>
  </si>
  <si>
    <t>Individual adaptation of targeted advertising to digital environment</t>
  </si>
  <si>
    <t>INNOVATIVE TECHNOLOGIES IN SCIENCE AND EDUCATION (ITSE-2020)</t>
  </si>
  <si>
    <t>8th Annual International Scientific and Practical Conference on Innovative Technologies in Science and Education (ITSE)</t>
  </si>
  <si>
    <t>AUG 19-30, 2020</t>
  </si>
  <si>
    <t>Don State Tech Univ, Fac Agribusiness, Divnomorskoe, RUSSIA</t>
  </si>
  <si>
    <t>Don State Tech Univ, Fac Agribusiness</t>
  </si>
  <si>
    <t>10.1051/e3sconf/202021013037</t>
  </si>
  <si>
    <t>WOS:000659867301086</t>
  </si>
  <si>
    <t>Komlev, V; Cheglakova, L; Timin, A; Kubrak, I</t>
  </si>
  <si>
    <t>Komlev, Vitaliy; Cheglakova, Larisa; Timin, Alexander; Kubrak, Irina</t>
  </si>
  <si>
    <t>Trends and priorities for sustainable development antirecession Russian business</t>
  </si>
  <si>
    <t>Cheglakova, Larisa/0000-0003-4128-0451; Komlev, Vitaliy/0000-0001-8198-6331</t>
  </si>
  <si>
    <t>10.1051/matecconf/201710608088</t>
  </si>
  <si>
    <t>WOS:000426426600273</t>
  </si>
  <si>
    <t>DEVELOPMENT OF AN IMPROVED TECHNIQUE FOR IDENTIFICATION OF THE DAMPING PROPERTIES OF ORTHOGONALLY REINFORCED COMPOSITES IN SHEAR</t>
  </si>
  <si>
    <t>Paimusin, Vitalii/0000-0003-4070-2579; Shishkin, Viktor/0000-0002-1237-2309; Vyacheslav, Firsov/0000-0002-8948-1570</t>
  </si>
  <si>
    <t>10.1007/s11029-016-9566-3</t>
  </si>
  <si>
    <t>WOS:000376306600001</t>
  </si>
  <si>
    <t>Loginova, M; Smirnova, D; Paramonov, I; Belyaev, A</t>
  </si>
  <si>
    <t>Loginova, Maria; Smirnova, Daria; Paramonov, Igor; Belyaev, Andrey</t>
  </si>
  <si>
    <t>Identification of two novel HLA alleles, HLA-A*03:344:02 and-DQB1*04:02:24 in Russian individuals</t>
  </si>
  <si>
    <t>10.1111/tan.14944</t>
  </si>
  <si>
    <t>WOS:000903700500001</t>
  </si>
  <si>
    <t>Vlasova, KV; Timchenko, VA</t>
  </si>
  <si>
    <t>Vlasova, Ksenia V.; Timchenko, Vladislav A.</t>
  </si>
  <si>
    <t>UN reform and its impact on the contemporary international relations system</t>
  </si>
  <si>
    <t>10.17223/15617793/476/13</t>
  </si>
  <si>
    <t>WOS:000868947100013</t>
  </si>
  <si>
    <t>Shilov, MA; Fomin, SV; Britova, AA; Korolev, PV</t>
  </si>
  <si>
    <t>Shilov, M. A.; Fomin, S., V; Britova, A. A.; Korolev, P., V</t>
  </si>
  <si>
    <t>INVESTIGATION OF PHYSICAL AND MECHANICAL PROPERTIES OF RUBBERS REINFORCED BY CARBON NANOSTRUCTURED COMPONENTS</t>
  </si>
  <si>
    <t>Shilov, Mikhail Aleksandrovich/D-9621-2017</t>
  </si>
  <si>
    <t>Shilov, Mikhail Aleksandrovich/0000-0002-6445-3303</t>
  </si>
  <si>
    <t>10.18083/LCAppl.2020.4.93</t>
  </si>
  <si>
    <t>WOS:000604530500010</t>
  </si>
  <si>
    <t>Kuznetsov, SM; Alalykin, AA; Lobanova, EO; Novikova, OA; Komosko, VG; Litvinets, SG; Martinson, EA; Nikolaeva, AV; Troshin, MA</t>
  </si>
  <si>
    <t>Kuznetsov, S. M.; Alalykin, A. A.; Lobanova, E. O.; Novikova, O. A.; Komosko, V. G.; Litvinets, S. G.; Martinson, E. A.; Nikolaeva, A., V; Troshin, M. A.</t>
  </si>
  <si>
    <t>The ability of certain oil destructive bacteria to produce biosurfactants</t>
  </si>
  <si>
    <t>Litvinets, Sergey/0000-0001-8583-5274</t>
  </si>
  <si>
    <t>10.25750/1995-4301-2020-2-130-135</t>
  </si>
  <si>
    <t>WOS:000545295600018</t>
  </si>
  <si>
    <t>Makarov, AN; Kirichuk, EV</t>
  </si>
  <si>
    <t>Makarov, Arkadii N.; Kirichuk, Elena, V</t>
  </si>
  <si>
    <t>IMAGE OF MARY STUART IN TRAGEDIES OF C.H. SPIESS AND F. SCHILLER</t>
  </si>
  <si>
    <t>Kirichuk, Elena/Y-1095-2018; Makarov, Arkadii/ABC-1625-2020</t>
  </si>
  <si>
    <t xml:space="preserve">Kirichuk, Elena/0000-0003-2907-5439; </t>
  </si>
  <si>
    <t>10.24224/2227-1295-2020-7-266-283</t>
  </si>
  <si>
    <t>WOS:000568419600017</t>
  </si>
  <si>
    <t>Udalov, AA; Udalov, AV; Vasilevykh, SL</t>
  </si>
  <si>
    <t>Udalov, A. A.; Udalov, A., V; Vasilevykh, S. L.</t>
  </si>
  <si>
    <t>Strength Parameters of Hardening Cylindrical Workpieces by Tapered Roller</t>
  </si>
  <si>
    <t>PROCEEDINGS OF THE 5TH INTERNATIONAL CONFERENCE ON INDUSTRIAL ENGINEERING, ICIE 2019, VOL II</t>
  </si>
  <si>
    <t>Udalov, Andrey/0000-0003-0886-3014; Udalov, Aleksander/0000-0003-0210-5423</t>
  </si>
  <si>
    <t>978-3-030-22063-1; 978-3-030-22062-4</t>
  </si>
  <si>
    <t>10.1007/978-3-030-22063-1_37</t>
  </si>
  <si>
    <t>WOS:000613005500037</t>
  </si>
  <si>
    <t>Shilov, MA; Korolev, PV; Maslov, LB; Shirokova, ES</t>
  </si>
  <si>
    <t>Shilov, M. A.; Korolev, P. V.; Maslov, L. B.; Shirokova, E. S.</t>
  </si>
  <si>
    <t>Modelling of quasistatic rolling of pneumatic tyre in Abaqus program complex</t>
  </si>
  <si>
    <t>INTERNATIONAL CONFERENCE OF YOUNG SCIENTISTS AND STUDENTS: TOPICAL PROBLEMS OF MECHANICAL ENGINEERING 2018</t>
  </si>
  <si>
    <t>30th International Conference of Young Scientists and Students - Topical Problems of Mechanical Engineering (TopME)</t>
  </si>
  <si>
    <t>NOV 20-23, 2018</t>
  </si>
  <si>
    <t>Russian Acad Sci, Blagonravov Mech Engn Res Inst</t>
  </si>
  <si>
    <t>Maslov, Leonid/C-9219-2019; Korolev, Pavel/P-1306-2019; E.S., Shirokova/L-2195-2017; Shilov, Mikhail Aleksandrovich/D-9621-2017</t>
  </si>
  <si>
    <t>Maslov, Leonid/0000-0002-7423-3996; Korolev, Pavel/0000-0003-2196-8136; E.S., Shirokova/0000-0001-5735-3489; Shilov, Mikhail Aleksandrovich/0000-0002-6445-3303</t>
  </si>
  <si>
    <t>10.1088/1757-899X/489/1/012030</t>
  </si>
  <si>
    <t>WOS:000471174700030</t>
  </si>
  <si>
    <t>Khodyreva, EA; Youngblood, VT</t>
  </si>
  <si>
    <t>Khodyreva, Elena A.; Youngblood, Valery T.</t>
  </si>
  <si>
    <t>QUALITY OF PSYCHO-PEDAGOGICAL TRAINING OF PROSPECTIVE TEACHERS: THE EMPLOYER'S PERSPECTIVE</t>
  </si>
  <si>
    <t>Yungblyud, Valeriy T./J-8665-2016; Khodyreva, Elena/AAE-3535-2019</t>
  </si>
  <si>
    <t>10.15405/epsbs.2018.09.2</t>
  </si>
  <si>
    <t>WOS:000472144400002</t>
  </si>
  <si>
    <t>Karanina, E; Ilysheva, N; Krylov, S</t>
  </si>
  <si>
    <t>Loster, T; Pavelka, T</t>
  </si>
  <si>
    <t>Karanina, Elena; Ilysheva, Nina; Krylov, Sergey</t>
  </si>
  <si>
    <t>CONCEPTUAL AND ANALYTICAL ASPECTS OF THE RISK SYSTEM IN A REGIONAL ECONOMY</t>
  </si>
  <si>
    <t>11TH INTERNATIONAL DAYS OF STATISTICS AND ECONOMICS</t>
  </si>
  <si>
    <t>11th International Days of Statistics and Economics</t>
  </si>
  <si>
    <t>SEP 14-16, 2017</t>
  </si>
  <si>
    <t>Univ Econ, Dept Microecon,Dept Stat &amp; Probabil,Tech Univ Kosice, Fac Econ,Ton Duc Thung Univ,Vysoka Skola Ekonomicka Praze</t>
  </si>
  <si>
    <t>Karanina, Elena E.V./L-1395-2016; Krylov, Sergey Ivanovich/C-1814-2013</t>
  </si>
  <si>
    <t>Karanina, Elena E.V./0000-0002-5439-5912; Krylov, Sergey Ivanovich/0000-0001-6750-085X</t>
  </si>
  <si>
    <t>978-80-87990-12-4</t>
  </si>
  <si>
    <t>WOS:000455325300065</t>
  </si>
  <si>
    <t>IDENTIFICATION OF THE ELASTICITY AND DAMPING CHARACTERISTICS OF A FIBERGLASS BASED ON A STUDY OF DYING FLEXURAL VIBRATIONS OF TEST SAMPLES</t>
  </si>
  <si>
    <t>Gunal, Ibrahim/A-2110-2011; Shishkin, Viktor/U-2323-2018; Paimusin, Vitalii/J-4458-2013</t>
  </si>
  <si>
    <t>Gunal, Ibrahim/0000-0001-6478-8579; Shishkin, Viktor/0000-0002-1237-2309; Vyacheslav, Firsov/0000-0002-8948-1570; Paimusin, Vitalii/0000-0003-4070-2579</t>
  </si>
  <si>
    <t>10.1007/s11029-015-9500-0</t>
  </si>
  <si>
    <t>WOS:000360935200003</t>
  </si>
  <si>
    <t>Ushakova, YN; Kalinina, LA; Yurlov, IS; Bayderina, TV; Murin, IV</t>
  </si>
  <si>
    <t>Ushakova, Yu. N.; Kalinina, L. A.; Yurlov, I. S.; Bayderina, T. V.; Murin, I. V.</t>
  </si>
  <si>
    <t>Electrochemical properties of solid electrolytes based on BaSm2S4</t>
  </si>
  <si>
    <t>10.1134/S1023193509060093</t>
  </si>
  <si>
    <t>WOS:000267670800009</t>
  </si>
  <si>
    <t>Kalinina, LA; Shirokova, GI; Murin, IV; Ushakova, YN; Fominykh, EG; Lyalina, MY</t>
  </si>
  <si>
    <t>Sulfide-conducting solid electrolytes</t>
  </si>
  <si>
    <t>WOS:000166725200018</t>
  </si>
  <si>
    <t>Design and implementation of multiple-precision BLAS Level 1 functions for graphics processing units</t>
  </si>
  <si>
    <t>JOURNAL OF PARALLEL AND DISTRIBUTED COMPUTING</t>
  </si>
  <si>
    <t>0743-7315</t>
  </si>
  <si>
    <t>1096-0848</t>
  </si>
  <si>
    <t>10.1016/j.jpdc.2020.02.006</t>
  </si>
  <si>
    <t>WOS:000527288900003</t>
  </si>
  <si>
    <t>Cherkasov, V; Avdonin, V; Yurkin, Y; Suntsov, D</t>
  </si>
  <si>
    <t>Cherkasov, Vasiliy; Avdonin, Valeriy; Yurkin, Yuriy; Suntsov, Dmitrii</t>
  </si>
  <si>
    <t>PREDICTION OF RADIATION SHIELDING PROPERTIES OF SELF ADHESIVE ELASTIC COATING</t>
  </si>
  <si>
    <t>10.18720/MPM.4262019_14</t>
  </si>
  <si>
    <t>WOS:000504843000014</t>
  </si>
  <si>
    <t>Vasilevykh, S; Udalov, A; Shelikhov, E</t>
  </si>
  <si>
    <t>Vasilevykh, Sergey; Udalov, Alexander; Shelikhov, Evgeny</t>
  </si>
  <si>
    <t>The study of the dynamics of the cutting process of longitudinal turning of non-rigid shafts</t>
  </si>
  <si>
    <t>10.1016/j.matpr.2019.07.680</t>
  </si>
  <si>
    <t>WOS:000507473500119</t>
  </si>
  <si>
    <t>Huang, TH; Nikulin, V; Chen, LB</t>
  </si>
  <si>
    <t>Matsuo, T; Kanzaki, A; Komoda, N; Hiramatsu, A</t>
  </si>
  <si>
    <t>Huang, Tian-Hsiang; Nikulin, Vladimir; Chen, Liang-Bi</t>
  </si>
  <si>
    <t>Detection of Abnormalities in Driving Style Based on Moving Object Trajectories without Labels</t>
  </si>
  <si>
    <t>PROCEEDINGS 2016 5TH IIAI INTERNATIONAL CONGRESS ON ADVANCED APPLIED INFORMATICS IIAI-AAI 2016</t>
  </si>
  <si>
    <t>5th IIAI International Congress on Advanced Applied Informatics (IIAI-AAI)</t>
  </si>
  <si>
    <t>JUL 10-14, 2016</t>
  </si>
  <si>
    <t>Kumamoto, JAPAN</t>
  </si>
  <si>
    <t>Int Inst Appl Informat</t>
  </si>
  <si>
    <t>Chen, Liang-Bi/I-7928-2019; Huang, Tian-Hsiang/AAC-7389-2019</t>
  </si>
  <si>
    <t>Chen, Liang-Bi/0000-0003-3181-4480; Huang, Tian-Hsiang/0000-0001-6114-0144</t>
  </si>
  <si>
    <t>978-1-4673-8985-3</t>
  </si>
  <si>
    <t>10.1109/IIAI-AAI.2016.92</t>
  </si>
  <si>
    <t>WOS:000389501300131</t>
  </si>
  <si>
    <t>Kalinina, LA; Shirokova, GI; Ushakova, YN; Fominykh, EG; Medvedeva, OV; Murin, IV</t>
  </si>
  <si>
    <t>Utilizing sulfide-selective membranes with regenerated properties in sensors of sulfur-containing gases</t>
  </si>
  <si>
    <t>10.1007/s11175-005-0116-x</t>
  </si>
  <si>
    <t>WOS:000230551900006</t>
  </si>
  <si>
    <t>Oliferova, LA; Statkus, MA; Tikhomirova, TI; Baskin, ZL; Tsizin, GI</t>
  </si>
  <si>
    <t>Preconcentration of naphthalene, biphenyl, and acenaphthene on fluoroplastic sorbents</t>
  </si>
  <si>
    <t>Tikhomirova, Tatyana/D-1376-2015; Tsysin, Grigoriy I/E-2034-2012; Statkus, Mikhail/E-2011-2012</t>
  </si>
  <si>
    <t>Statkus, Mikhail/0000-0003-3175-9338</t>
  </si>
  <si>
    <t>1608-3199</t>
  </si>
  <si>
    <t>10.1023/B:JANC.0000040698.44884.ad</t>
  </si>
  <si>
    <t>WOS:000224141700006</t>
  </si>
  <si>
    <t>Loginova, M.; Smirnova, D.; Druzhinina, S.; Paramonov, I.</t>
  </si>
  <si>
    <t>Description of two new alleles: HLA-B*50:79 and HLA-DRB1*04:332</t>
  </si>
  <si>
    <t>10.1111/tan.14558</t>
  </si>
  <si>
    <t>WOS:000749250800001</t>
  </si>
  <si>
    <t>Buldakova, YV; Shishkin, DA</t>
  </si>
  <si>
    <t>Buldakova, Yulia, V; Shishkin, Dmitry A.</t>
  </si>
  <si>
    <t>Comics in Russia: Transmedia Narrative and Publishing Strategies</t>
  </si>
  <si>
    <t>Yulia, Buldakova/AAD-1856-2021</t>
  </si>
  <si>
    <t>Yulia, Buldakova/0000-0001-5391-5333</t>
  </si>
  <si>
    <t>10.17223/23062061/23/7</t>
  </si>
  <si>
    <t>WOS:000574371400007</t>
  </si>
  <si>
    <t>Rozhentsova, I; Mottaeva, A</t>
  </si>
  <si>
    <t>Rozhentsova, Irina; Mottaeva, Angela</t>
  </si>
  <si>
    <t>Terms of orientation on customer needs in the housing sector</t>
  </si>
  <si>
    <t>Mottaeva, Angela/AAD-2189-2022</t>
  </si>
  <si>
    <t>Mottaeva, Angela/0000-0001-8904-4154</t>
  </si>
  <si>
    <t>10.1051/matecconf/201710608076</t>
  </si>
  <si>
    <t>WOS:000426426600261</t>
  </si>
  <si>
    <t>T-x phase diagrams of the GeSe-GeI2 and NaI-GeI2 systems</t>
  </si>
  <si>
    <t>10.1134/S0020168506050049</t>
  </si>
  <si>
    <t>WOS:000237676000004</t>
  </si>
  <si>
    <t>Development to Coordinate (Connect-Unit) Movements of Children Aged 8-9 Years Using a Coordination Ladder</t>
  </si>
  <si>
    <t>10.51847/h2jlKTkM26</t>
  </si>
  <si>
    <t>WOS:000899154600008</t>
  </si>
  <si>
    <t>Rubleva, OA; Gorokhovsky, AG</t>
  </si>
  <si>
    <t>Rubleva, O. A.; Gorokhovsky, A. G.</t>
  </si>
  <si>
    <t>EXPERIMENTAL EVALUATION OF STRENGTH OF END JOINTS WITH RECTANGULAR PRESSED FINGERS</t>
  </si>
  <si>
    <t>LESNOY ZHURNAL-FORESTRY JOURNAL</t>
  </si>
  <si>
    <t>0536-1036</t>
  </si>
  <si>
    <t>10.37482/0536-1036-2020-3-128-142</t>
  </si>
  <si>
    <t>WOS:000540068900010</t>
  </si>
  <si>
    <t>Kondakova, LV; Bezdenezhnykh, KA; Ashikhmina, TY</t>
  </si>
  <si>
    <t>Kondakova, L., V; Bezdenezhnykh, K. A.; Ashikhmina, T. Ya</t>
  </si>
  <si>
    <t>Algological analysis of soil state in the vicinity of the plant Maradykovskiy after it finished functioning</t>
  </si>
  <si>
    <t>10.25750/1995-4301-2019-1-023-029</t>
  </si>
  <si>
    <t>WOS:000468565900003</t>
  </si>
  <si>
    <t>Cherkasov, VD; Avdonin, VV; Suntsov, DL</t>
  </si>
  <si>
    <t>Cherkasov, V. D.; Avdonin, V. V.; Suntsov, D. L.</t>
  </si>
  <si>
    <t>Influence of filler content on adhesive properties of radiation-protective sheeting</t>
  </si>
  <si>
    <t>10.1088/1757-899X/451/1/012205</t>
  </si>
  <si>
    <t>WOS:000648426900205</t>
  </si>
  <si>
    <t>Mottaeva, A; Gritsuk, N</t>
  </si>
  <si>
    <t>Mottaeva, Asiiat; Gritsuk, Natalia</t>
  </si>
  <si>
    <t>Development of infrastructure of support of small and medium business</t>
  </si>
  <si>
    <t>Mottaeva, Angela/0000-0001-8904-4154; Mottaeva, Asiiat/0000-0001-5854-6944</t>
  </si>
  <si>
    <t>10.1051/matecconf/201710608083</t>
  </si>
  <si>
    <t>WOS:000426426600268</t>
  </si>
  <si>
    <t>Savel'eva, N; Lapteva, I; Araslanova, O; Matushkina, Y; Koykova, T; Graboyy, K</t>
  </si>
  <si>
    <t>Savel'eva, Nadezhda; Lapteva, Irina; Araslanova, Olga; Matushkina, Yulia; Koykova, Tatyana; Graboyy, Kirill</t>
  </si>
  <si>
    <t>Integrated assessment technology in management of competition efficiency in business corporations</t>
  </si>
  <si>
    <t>Saveleva, Nadezda/0000-0002-9497-6172; Koikova, Tatyana/0000-0003-1729-5880</t>
  </si>
  <si>
    <t>10.1051/matecconf/201710608086</t>
  </si>
  <si>
    <t>WOS:000426426600271</t>
  </si>
  <si>
    <t>Sadakova, V; Safin, R</t>
  </si>
  <si>
    <t>Sadakova, Vera; Safin, Ruslan</t>
  </si>
  <si>
    <t>METHODS OF CREATION SO-CALLED CHAOTIC PATTERNS ON A SURFACE AND IN A VOLUME OF A GLASS SAMPLE</t>
  </si>
  <si>
    <t>Safin, Ruslan R/O-9355-2015</t>
  </si>
  <si>
    <t>Safin, Ruslan R/0000-0002-0226-4232</t>
  </si>
  <si>
    <t>WOS:000378098500062</t>
  </si>
  <si>
    <t>Dyatlov, VA; Grebeneva, TA; Rustamov, IR; Koledenkov, AA; Kolotilova, NV; Kireev, VV; Prudskov, BM</t>
  </si>
  <si>
    <t>Dyatlov, V. A.; Grebeneva, T. A.; Rustamov, I. R.; Koledenkov, A. A.; Kolotilova, N. V.; Kireev, V. V.; Prudskov, B. M.</t>
  </si>
  <si>
    <t>Hydrolysis of polyacrylonitrile in aqueous solution of sodium carbonate</t>
  </si>
  <si>
    <t>Kireev, Vjacheslav/D-8447-2014</t>
  </si>
  <si>
    <t>Kireev, Vyacheslav/0000-0001-8543-6353</t>
  </si>
  <si>
    <t>1555-6123</t>
  </si>
  <si>
    <t>10.1134/S1560090412030050</t>
  </si>
  <si>
    <t>WOS:000303357200005</t>
  </si>
  <si>
    <t>Loginova, M; Druzhinina, S; Paramonov, I</t>
  </si>
  <si>
    <t>Loginova, Maria; Druzhinina, Svetlana; Paramonov, Igor</t>
  </si>
  <si>
    <t>Characterization of two new HLA class I alleles: HLAA*02:1065 and HLA-C*02:216N</t>
  </si>
  <si>
    <t>10.1111/tan.14802</t>
  </si>
  <si>
    <t>WOS:000853301800001</t>
  </si>
  <si>
    <t>Characterization of the novel HLA-C*03:598 allele</t>
  </si>
  <si>
    <t>10.1111/tan.14683</t>
  </si>
  <si>
    <t>JUN 2022</t>
  </si>
  <si>
    <t>WOS:000807523600001</t>
  </si>
  <si>
    <t>The Effect of Speed and Strength Training on the Indicators of Attention Stability of Children Aged 13-14 Years with different Typologies</t>
  </si>
  <si>
    <t>10.22038/IJP.2021.56526.4442</t>
  </si>
  <si>
    <t>WOS:000641158200005</t>
  </si>
  <si>
    <t>Ilysheva, NN; Karanina, EV; Kyzyurov, MS</t>
  </si>
  <si>
    <t>Ilysheva, Nina N.; Karanina, Elena, V; Kyzyurov, Mihail S.</t>
  </si>
  <si>
    <t>Diagnostics of Threats to Regional Fiscal Security</t>
  </si>
  <si>
    <t>EKONOMIKA REGIONA-ECONOMY OF REGION</t>
  </si>
  <si>
    <t>2072-6414</t>
  </si>
  <si>
    <t>2411-1406</t>
  </si>
  <si>
    <t>10.17059/ekon.reg.2021-4-22</t>
  </si>
  <si>
    <t>WOS:000753139500022</t>
  </si>
  <si>
    <t>Pirogova, O; Makarevich, M; Khareva, V; Saveleva, N</t>
  </si>
  <si>
    <t>Pirogova, Oksana; Makarevich, Marina; Khareva, Victoria; Saveleva, Nadezhda</t>
  </si>
  <si>
    <t>Improving the use effectiveness of trading enterprises intellectual capital at the stages of the life cycle in the context of digitalization</t>
  </si>
  <si>
    <t>INTERNATIONAL SCIENTIFIC CONFERENCE DIGITAL TRANSFORMATION ON MANUFACTURING, INFRASTRUCTURE AND SERVICE</t>
  </si>
  <si>
    <t>International Scientific Conference on Digital Transformation on Manufacturing, Infrastructure and Service (DTMIS)</t>
  </si>
  <si>
    <t>NOV 21-22, 2019</t>
  </si>
  <si>
    <t>St. Petersburg, RUSSIA</t>
  </si>
  <si>
    <t>10.1088/1757-899X/940/1/012053</t>
  </si>
  <si>
    <t>WOS:000632620800053</t>
  </si>
  <si>
    <t>Huang, TH; Nikulin, V</t>
  </si>
  <si>
    <t>Peng, WC; Wang, H; Bailey, J; Tseng, VS; Ho, TB; Zhou, ZH; Chen, ALP</t>
  </si>
  <si>
    <t>Huang, Tian-Hsiang; Nikulin, Vladimir</t>
  </si>
  <si>
    <t>Two Algorithms Under Stochastic Gradient Descent Framework for Recommender Systems</t>
  </si>
  <si>
    <t>TRENDS AND APPLICATIONS IN KNOWLEDGE DISCOVERY AND DATA MINING</t>
  </si>
  <si>
    <t>18th Pacific-Asia Conference on Knowledge Discovery and Data Mining (PAKDD)</t>
  </si>
  <si>
    <t>MAY 13-16, 2014</t>
  </si>
  <si>
    <t>Tainan, TAIWAN</t>
  </si>
  <si>
    <t>Huang, Tian-Hsiang/AAC-7389-2019</t>
  </si>
  <si>
    <t>Huang, Tian-Hsiang/0000-0001-6114-0144</t>
  </si>
  <si>
    <t>978-3-319-13186-3; 978-3-319-13185-6</t>
  </si>
  <si>
    <t>10.1007/978-3-319-13186-3_21</t>
  </si>
  <si>
    <t>WOS:000354705300021</t>
  </si>
  <si>
    <t>Vechtomov, EM; Chermnykh, VV</t>
  </si>
  <si>
    <t>Vechtomov, E. M.; Chermnykh, V. V.</t>
  </si>
  <si>
    <t>Lambek Functional Representation of Generalized Symmetric Semirings</t>
  </si>
  <si>
    <t>RUSSIAN MATHEMATICS</t>
  </si>
  <si>
    <t>1066-369X</t>
  </si>
  <si>
    <t>1934-810X</t>
  </si>
  <si>
    <t>10.3103/S1066369X2302007X</t>
  </si>
  <si>
    <t>WOS:000998928200002</t>
  </si>
  <si>
    <t>A novel HLA-B57 allele, HLA-B57:163, was identified by next generation sequencing typing</t>
  </si>
  <si>
    <t>10.1111/tan.14838</t>
  </si>
  <si>
    <t>WOS:000865644000001</t>
  </si>
  <si>
    <t>Raskovalov, AA; Saetova, NS; Vlasov, MI; Antonov, BD</t>
  </si>
  <si>
    <t>Raskovalov, A. A.; Saetova, N. S.; Vlasov, M. I.; Antonov, B. D.</t>
  </si>
  <si>
    <t>Electric Conductivity of Glasses in the MgO-V2O5-P2O5 System</t>
  </si>
  <si>
    <t>Vlasov, Maxim/M-1739-2016</t>
  </si>
  <si>
    <t>Vlasov, Maxim/0000-0002-7814-7489</t>
  </si>
  <si>
    <t>10.1134/S1023193521090056</t>
  </si>
  <si>
    <t>WOS:000702661000003</t>
  </si>
  <si>
    <t>Kalinin, AA; Davidyuk, DS; Bokov, NA; Abubalarova, RI; Shirokikh, AA</t>
  </si>
  <si>
    <t>Kalinin, A. A.; Davidyuk, D. S.; Bokov, N. A.; Abubalarova, R., I; Shirokikh, A. A.</t>
  </si>
  <si>
    <t>Effect of the new biological product created on the basis of Trichoderma on soil microorganisms and plants of different taxons</t>
  </si>
  <si>
    <t>; Shirokikh, Alexandr/X-1684-2018</t>
  </si>
  <si>
    <t>daviduk, dmitrii/0000-0002-4014-9673; Shirokikh, Alexandr/0000-0002-7808-0376</t>
  </si>
  <si>
    <t>10.25750/1995-4301-2021-2-115-121</t>
  </si>
  <si>
    <t>WOS:000667025400016</t>
  </si>
  <si>
    <t>Domrachev, DG; KirillovYkh, AA; Pugach, VN; Gordeeva, YM</t>
  </si>
  <si>
    <t>Domrachev, D. G.; KirillovYkh, A. A.; Pugach, V. N.; Gordeeva, Y. M.</t>
  </si>
  <si>
    <t>Environmental safety of consumer products: legal and regulatory issues</t>
  </si>
  <si>
    <t>Gordeeva, Yelena M./AAD-1740-2019; Pugach, Valentin/V-8991-2018; Kirillovykh, Andrey/J-7815-2016; Domrachev, Dmitriy/K-8370-2017</t>
  </si>
  <si>
    <t>Gordeeva, Yelena M./0000-0003-4337-6721; Pugach, Valentin/0000-0003-1220-4062; Kirillovykh, Andrey/0000-0002-0035-9035; Domrachev, Dmitriy/0000-0002-7967-9129</t>
  </si>
  <si>
    <t>10.25750/1995-4301-2019-2-131-136</t>
  </si>
  <si>
    <t>WOS:000477826000016</t>
  </si>
  <si>
    <t>Snigireva, EA; Lebedeva, OV</t>
  </si>
  <si>
    <t>Snigireva, E. A.; Lebedeva, O., V</t>
  </si>
  <si>
    <t>Y Forming Future Economists' Competitiveness as a Qualitative Indicator of Human Capital</t>
  </si>
  <si>
    <t>WOS:000679066800117</t>
  </si>
  <si>
    <t>Utemov, VV; Masalimova, AR</t>
  </si>
  <si>
    <t>Utemov, Vyacheslav V.; Masalimova, Alfiya R.</t>
  </si>
  <si>
    <t>Differentiation of Creative Mathematical Problems for Primary School Students</t>
  </si>
  <si>
    <t>Utemov, Vyacheslav V/F-1651-2017; Masalimova, Alfiya/K-3840-2015</t>
  </si>
  <si>
    <t>Utemov, Vyacheslav V/0000-0001-8156-5916; Masalimova, Alfiya/0000-0003-3711-2527</t>
  </si>
  <si>
    <t>10.12973/eurasia.2017.00931a</t>
  </si>
  <si>
    <t>WOS:000409067500002</t>
  </si>
  <si>
    <t>Modeling the Elastic and Damping Properties of the Multilayered Torsion Bar-Blade Structure of Rotors of Light Helicopters of the New Generation. 1. Finite-Element Approximation of the Torsion Bar</t>
  </si>
  <si>
    <t>10.1007/s11029-015-9531-6</t>
  </si>
  <si>
    <t>WOS:000365271200007</t>
  </si>
  <si>
    <t>Nikulin, V; Huang, TH; Lu, JD</t>
  </si>
  <si>
    <t>Nikulin, Vladimir; Huang, Tian-Hsiang; Lu, Jian-De</t>
  </si>
  <si>
    <t>Mining Shoppers Data Streams to Predict Customers Loyalty</t>
  </si>
  <si>
    <t>2015 10TH INTERNATIONAL CONFERENCE ON INTELLIGENT SYSTEMS AND KNOWLEDGE ENGINEERING (ISKE)</t>
  </si>
  <si>
    <t>International Conference on Knowledge and Systems Engineering</t>
  </si>
  <si>
    <t>10th International Conference on Intelligent Systems and Knowledge Engineering (ISKE)</t>
  </si>
  <si>
    <t>NOV 24-27, 2015</t>
  </si>
  <si>
    <t>Taipei, TAIWAN</t>
  </si>
  <si>
    <t>Natl Taiwan Univ Sci &amp; Technol,SW Jiaotong Univ,Taiwan Tech,IEEE Taipei Sect,Minist Sci &amp; Technol,Univ Technol Sydney,IEEE Comp Soc</t>
  </si>
  <si>
    <t>2164-2508</t>
  </si>
  <si>
    <t>978-1-4673-9323-2</t>
  </si>
  <si>
    <t>10.1109/ISKE.2015.28</t>
  </si>
  <si>
    <t>WOS:000380396100006</t>
  </si>
  <si>
    <t>Use of sulfide-selective membranes in sensors for sulfur-containing gasses</t>
  </si>
  <si>
    <t>Meeting of the European-Ceramic-Society</t>
  </si>
  <si>
    <t>JUL 05-07, 2004</t>
  </si>
  <si>
    <t>10.1007/s10720-005-0067-z</t>
  </si>
  <si>
    <t>WOS:000230552700013</t>
  </si>
  <si>
    <t>Leushina, AP; Danilov, DN; Zlomanov, VP</t>
  </si>
  <si>
    <t>Dependences on the composition and a comparison of electrolytic properties of some germanium-containing quasi-binary salt systems</t>
  </si>
  <si>
    <t>10.1007/s11175-005-0102-3</t>
  </si>
  <si>
    <t>WOS:000229725000015</t>
  </si>
  <si>
    <t>Perevozchikova, MS; Sokolova, AN; Gavrilovskaya, NV; Benin, DM</t>
  </si>
  <si>
    <t>Perevozchikova, Marina S.; Sokolova, Anna N.; Gavrilovskaya, Nadezhda V.; Benin, Dmitrii M.</t>
  </si>
  <si>
    <t>Research of the Possibilities of Interactive Simulators in Intercultural Communication for the Formation of Students' Algorithmic Thinking</t>
  </si>
  <si>
    <t>Sokolova, Anna Nikolaevna/G-9341-2017</t>
  </si>
  <si>
    <t>Sokolova, Anna Nikolaevna/0000-0002-7619-0627</t>
  </si>
  <si>
    <t>10.13187/ejced.2023.1.173</t>
  </si>
  <si>
    <t>WOS:000961369300014</t>
  </si>
  <si>
    <t>Olkova, AS; Mahanova, EV</t>
  </si>
  <si>
    <t>Olkova, A. S.; Mahanova, E., V</t>
  </si>
  <si>
    <t>Comparative analysis of the ecological state of soils near waste landfills of different periods of operation</t>
  </si>
  <si>
    <t>Mahanova, Elena/0000-0002-6611-8349</t>
  </si>
  <si>
    <t>10.25750/1995-4301-2020-4-035-042</t>
  </si>
  <si>
    <t>WOS:000597810500005</t>
  </si>
  <si>
    <t>Baibakova, TV; Suvorova, LA; Epinina, VS; Azmina, YM</t>
  </si>
  <si>
    <t>Karpov, AY; Martyushev, N</t>
  </si>
  <si>
    <t>Baibakova, T., V; Suvorova, L. A.; Epinina, V. S.; Azmina, Y. M.</t>
  </si>
  <si>
    <t>Methodical Aspects of Economic Evaluation of Functioning Efficiency for Vertically-integrated Associations of Enterprises</t>
  </si>
  <si>
    <t>PROCEEDINGS OF THE INTERNATIONAL CONFERENCE ON TRENDS OF TECHNOLOGIES AND INNOVATIONS IN ECONOMIC AND SOCIAL STUDIES 2017</t>
  </si>
  <si>
    <t>International Conference on Trends of Technologies and Innovations in Economic and Social Studies (TTIESS)</t>
  </si>
  <si>
    <t>JUN 28-30, 2017</t>
  </si>
  <si>
    <t>Suvorova, Larisa/H-4616-2016; Epinina, Veronika/AFN-5350-2022; Baibakova, Tatiana/J-7342-2017</t>
  </si>
  <si>
    <t>Suvorova, Larisa/0000-0001-6611-4906; Epinina, Veronika/0000-0002-8771-3198; Baibakova, Tatiana/0000-0003-4503-3001</t>
  </si>
  <si>
    <t>978-94-6252-408-8</t>
  </si>
  <si>
    <t>WOS:000416099600006</t>
  </si>
  <si>
    <t>Vasilevykh, S; Buravlev, V; Shelihov, E</t>
  </si>
  <si>
    <t>Vasilevykh, S.; Buravlev, V.; Shelihov, E.</t>
  </si>
  <si>
    <t>Method of Mathematical Model Development to Study Vibration Resistance of Non-Rigid Shaft Linear Turning</t>
  </si>
  <si>
    <t>10.1016/j.proeng.2017.10.488</t>
  </si>
  <si>
    <t>WOS:000425674300061</t>
  </si>
  <si>
    <t>Nizovskih, NA; Maralov, VG; Kirilova, EP</t>
  </si>
  <si>
    <t>Nizovskih, N. A.; Maralov, V. G.; Kirilova, E. P.</t>
  </si>
  <si>
    <t>IV All Russian scientific conference with international participation Psychology of person's self-development</t>
  </si>
  <si>
    <t>Maralov, Vladimir/X-5925-2018; Nizovskikh, Nina A./B-5858-2017</t>
  </si>
  <si>
    <t>Maralov, Vladimir/0000-0002-9627-2304; Nizovskikh, Nina A./0000-0002-5541-5049</t>
  </si>
  <si>
    <t>WOS:000357702500014</t>
  </si>
  <si>
    <t>Kuklina, SS; Vladimirova, YN</t>
  </si>
  <si>
    <t>Kuklina, S. S.; Vladimirova, Ye N.</t>
  </si>
  <si>
    <t>THE SYSTEM OF MULTIFUNCTIONAL EXERCISES FOR TEACHING SCHOOL STUDENTS FOREIGN LANGUAGE LISTENING COMPREHENSION</t>
  </si>
  <si>
    <t>10.17223/19996195/53/14</t>
  </si>
  <si>
    <t>WOS:000654299500014</t>
  </si>
  <si>
    <t>Ananchenko, BA; Myakishev, AO; Kalinina, LA; Kosheleva, EV; Murin, IV</t>
  </si>
  <si>
    <t>Ananchenko, B. A.; Myakishev, A. O.; Kalinina, L. A.; Kosheleva, E. V.; Murin, I. V.</t>
  </si>
  <si>
    <t>Effect of composition on character of defect formation and ion transport in (1-x)[Ca1-y Yb (y) (2+) ]Yb (2) (3+) S4-delta-xYb(2)S(3) phases</t>
  </si>
  <si>
    <t>Kalinina, Ludmila/AAB-8217-2020; Murin, Igor V/L-6482-2013; Ananchenko, Boris/AAM-5831-2020</t>
  </si>
  <si>
    <t>Murin, Igor V/0000-0003-1869-7590; Ananchenko, Boris/0000-0002-7975-7828; Kalinina, Ludmila/0000-0001-9471-2778</t>
  </si>
  <si>
    <t>10.1134/S102319351708002X</t>
  </si>
  <si>
    <t>WOS:000409010200001</t>
  </si>
  <si>
    <t>Karanina, E; Sapozhnikova, E; Loginov, D; Holkin, A; Sergievskaya, E; Zurakhovskii, A</t>
  </si>
  <si>
    <t>Karanina, Elena; Sapozhnikova, Ekaterina; Loginov, Dmitry; Holkin, Anatoly; Sergievskaya, Elena; Zurakhovskii, Andrew</t>
  </si>
  <si>
    <t>National aspects of food security of Russia</t>
  </si>
  <si>
    <t>Karanina, Elena E.V./L-1395-2016; Kholkin, Anatolii/C-6964-2017</t>
  </si>
  <si>
    <t>Karanina, Elena E.V./0000-0002-5439-5912; Kholkin, Anatolii/0000-0002-2790-1314; Zhurakhovsky, Andrey/0000-0001-7184-7549; Loginov, Dmitrii Alekseevic/0000-0002-2458-9978</t>
  </si>
  <si>
    <t>10.1051/matecconf/201710608079</t>
  </si>
  <si>
    <t>WOS:000426426600264</t>
  </si>
  <si>
    <t>Petrov, EP; Medvedeva, EV; Kharina, NL; Tchobanou, MK</t>
  </si>
  <si>
    <t>Petrov, E. P.; Medvedeva, E. V.; Kharina, N. L.; Tchobanou, M. K.</t>
  </si>
  <si>
    <t>Intra frame compression and video restoration based on conditional markov processes theory</t>
  </si>
  <si>
    <t>MULTIDIMENSIONAL SYSTEMS AND SIGNAL PROCESSING</t>
  </si>
  <si>
    <t>Medvedeva, Elena V./A-5714-2014; TCHOBANOU, MIKHAIL K/D-4962-2014</t>
  </si>
  <si>
    <t xml:space="preserve">Medvedeva, Elena V./0000-0002-0677-1418; </t>
  </si>
  <si>
    <t>0923-6082</t>
  </si>
  <si>
    <t>1573-0824</t>
  </si>
  <si>
    <t>10.1007/s11045-016-0394-3</t>
  </si>
  <si>
    <t>WOS:000374691700006</t>
  </si>
  <si>
    <t>Balanov, M; Prozorov, D</t>
  </si>
  <si>
    <t>Balanov, Michael; Prozorov, Dmitriy</t>
  </si>
  <si>
    <t>Extended Recursive Soft Sequential Estimation of m-sequences</t>
  </si>
  <si>
    <t>Balanov, Michael/G-5543-2018; Prozorov, Dmitriy E./A-3548-2014</t>
  </si>
  <si>
    <t>Prozorov, Dmitriy E./0000-0002-3577-8838; Balanov, Michael/0000-0001-7085-4149</t>
  </si>
  <si>
    <t>WOS:000380404000079</t>
  </si>
  <si>
    <t>Mikhailichenko, TV; Kalinina, LA; Ushakova, YN; Murin, IV</t>
  </si>
  <si>
    <t>Mikhailichenko, T. V.; Kalinina, L. A.; Ushakova, Yu N.; Murin, I. V.</t>
  </si>
  <si>
    <t>Ion conductivity type and thermodynamics of dissolution of binary sulfides Sm2S3 and Tm2S3 in BaSm2S4</t>
  </si>
  <si>
    <t>10.1134/S1023193513080132</t>
  </si>
  <si>
    <t>WOS:000323258500008</t>
  </si>
  <si>
    <t>Genomic sequence of the HLA-B*13:177, HLA-C*06:02:104, and HLA-C*07:1062N alleles identified in bone marrow donors</t>
  </si>
  <si>
    <t>10.1111/tan.15042</t>
  </si>
  <si>
    <t>WOS:000955626700001</t>
  </si>
  <si>
    <t>Babenko, M., V; Chermnykh, V. V.</t>
  </si>
  <si>
    <t>On the Semiring of Skew Polynomials over a Bezout Semiring</t>
  </si>
  <si>
    <t>10.1134/S0001434622030014</t>
  </si>
  <si>
    <t>WOS:000787851100001</t>
  </si>
  <si>
    <t>Bazhenov, EI; Mokrushin, SA; Okhapkin, SI</t>
  </si>
  <si>
    <t>Bazhenov, E., I; Mokrushin, S. A.; Okhapkin, S., I</t>
  </si>
  <si>
    <t>SOFTWARE FOR THE MOBILE ROBOT SPATIAL ORIENTATION SYSTEM</t>
  </si>
  <si>
    <t>BULLETIN OF THE SOUTH URAL STATE UNIVERSITY SERIES-MATHEMATICAL MODELLING PROGRAMMING &amp; COMPUTER SOFTWARE</t>
  </si>
  <si>
    <t>Mokrushin, Sergey/G-6566-2018</t>
  </si>
  <si>
    <t>Mokrushin, Sergey/0000-0002-6319-9809; Bazenov, Evgenii/0009-0007-2607-5894</t>
  </si>
  <si>
    <t>2071-0216</t>
  </si>
  <si>
    <t>2308-0256</t>
  </si>
  <si>
    <t>10.14529/mmp210206</t>
  </si>
  <si>
    <t>WOS:000657624800006</t>
  </si>
  <si>
    <t>Onoshko, V; Kryukova, N; Murashkina, E</t>
  </si>
  <si>
    <t>Onoshko, Viacheslav; Kryukova, Natalya; Murashkina, Elvira</t>
  </si>
  <si>
    <t>THE USE OF BLOG TECHNOLOGY TO DEVELOP SOCIOCULTURAL SKILLS OF UNIVERSITY STUDENTS AT THE GERMAN LESSONS</t>
  </si>
  <si>
    <t>WOS:000572971200050</t>
  </si>
  <si>
    <t>Marinin, E; Gavrilov, G; Chirkov, A</t>
  </si>
  <si>
    <t>Marinin, Evgeny; Gavrilov, Gennady; Chirkov, Anatoly</t>
  </si>
  <si>
    <t>The Increasing of the Operational Stability of Wood-Working tools by the laser cementation</t>
  </si>
  <si>
    <t>10.1016/j.matpr.2018.12.138</t>
  </si>
  <si>
    <t>WOS:000463193400042</t>
  </si>
  <si>
    <t>Nekrasova, GN; Novikova, NN</t>
  </si>
  <si>
    <t>Nekrasova, Galina N.; Novikova, Natalya N.</t>
  </si>
  <si>
    <t>Preparing Technology Teachers for Professional Activities in the Information Space of Technological Education</t>
  </si>
  <si>
    <t>10.3897/ap.1.e0448</t>
  </si>
  <si>
    <t>WOS:000520005200048</t>
  </si>
  <si>
    <t>Zolotova, TA; Pozdeev, VA</t>
  </si>
  <si>
    <t>Zolotova, Tat'iana A.; Pozdeev, Viacheslav A.</t>
  </si>
  <si>
    <t>OBJECT REALITIES AS GENRE INDICATORS OF RITUAL TEXTS IN THE VOLGA REGION (SAMOLENA/POZLASHCHENA BORODA AND SVINYE NOZHKI)</t>
  </si>
  <si>
    <t>Pozdeev, Vijacheslav A/Q-2451-2017</t>
  </si>
  <si>
    <t>Pozdeev, Viacheslav/0000-0002-2880-8162</t>
  </si>
  <si>
    <t>10.17223/19986645/54/4</t>
  </si>
  <si>
    <t>WOS:000448064100004</t>
  </si>
  <si>
    <t>Kotelnikov, EV; Milov, VR</t>
  </si>
  <si>
    <t>Kotelnikov, E. V.; Milov, V. R.</t>
  </si>
  <si>
    <t>Comparison of rule induction, decision trees and formal concept analysis approaches for classification</t>
  </si>
  <si>
    <t>Kotelnikov, Evgeny/A-3606-2014; Milov, Vladimir R/D-7365-2014</t>
  </si>
  <si>
    <t>Kotelnikov, Evgeny/0000-0001-9745-1489; Milov, Vladimir R/0000-0002-8746-0100</t>
  </si>
  <si>
    <t>10.1088/1742-6596/1015/3/032068</t>
  </si>
  <si>
    <t>WOS:000446952000087</t>
  </si>
  <si>
    <t>Ganebnykh, E; Fokina, O; Burtseva, T; Yanov, I</t>
  </si>
  <si>
    <t>Ganebnykh, Elena; Fokina, Olga; Burtseva, Tatyana; Yanov, Ilia</t>
  </si>
  <si>
    <t>Evaluating the effectiveness of franchise in tourism</t>
  </si>
  <si>
    <t>Fokina, Olga/AAX-2743-2020; Burtseva, Tatyana/AAH-4039-2019; Ganebnykh, Elena/I-2839-2017</t>
  </si>
  <si>
    <t>Fokina, Olga/0000-0002-6697-3353; Burtseva, Tatyana/0000-0001-9088-1208; Ganebnykh, Elena/0000-0003-0669-8318</t>
  </si>
  <si>
    <t>10.1051/matecconf/201710608082</t>
  </si>
  <si>
    <t>WOS:000426426600267</t>
  </si>
  <si>
    <t>Improved Recursive Soft Sequental Estimation Algorithm for m-sequence Acquisition</t>
  </si>
  <si>
    <t>Prozorov, Dmitriy E./A-3548-2014; Balanov, Michael/G-5543-2018</t>
  </si>
  <si>
    <t>WOS:000380571600028</t>
  </si>
  <si>
    <t>Vlasova, Ksenia V.</t>
  </si>
  <si>
    <t>GREECE AND NORTH MACEDONIA: BREAKTHROUGH IN BILATERAL RELATIONS</t>
  </si>
  <si>
    <t>10.20542/0131-2227-2020-64-8-91-100</t>
  </si>
  <si>
    <t>WOS:000569062500010</t>
  </si>
  <si>
    <t>Zinnatullina, Z; Khabibullina, L; Polyakov, OY</t>
  </si>
  <si>
    <t>Zinnatullina, Zulfiya; Khabibullina, Liliya; Polyakov, Oleg Yurievich</t>
  </si>
  <si>
    <t>Analysing the Linguistic Aspects and the Image of the Hermitage in A. Burgess's Novels Honey for the Bears and Any Old Iron</t>
  </si>
  <si>
    <t>JOURNAL OF RESEARCH IN APPLIED LINGUISTICS</t>
  </si>
  <si>
    <t>7th International Conference on Applied Linguistics Issues (ALI)</t>
  </si>
  <si>
    <t>JUN 13-14, 2020</t>
  </si>
  <si>
    <t>Zinnatullina, Zulfiya R./D-3531-2015</t>
  </si>
  <si>
    <t>2345-3303</t>
  </si>
  <si>
    <t>2588-3887</t>
  </si>
  <si>
    <t>SUM-FAL</t>
  </si>
  <si>
    <t>10.22055/RALS.2020.16291</t>
  </si>
  <si>
    <t>WOS:000611609000013</t>
  </si>
  <si>
    <t>Gladkikh, VI; Konovalova, AB; Mosechkin, IN; Redikultseva, EN</t>
  </si>
  <si>
    <t>Gladkikh, Viktor I.; Konovalova, Alla B.; Mosechkin, Ilya N.; Redikultseva, Elena N.</t>
  </si>
  <si>
    <t>ON IMPROVING CRIMINAL LAW NORMS THAT ESTABLISH LIABILITY FOR THE POLLUTION OF MARINE ENVIRONMENT (ART. 252 OF THE CRIMINAL CODE OF THE RUSSIAN FEDERATION)</t>
  </si>
  <si>
    <t>Mosechkin, Elya Nikolaevich/I-8772-2017; Редикульцева, Елена/GSX-0043-2022</t>
  </si>
  <si>
    <t xml:space="preserve">Mosechkin, Elya Nikolaevich/0000-0002-9724-9552; </t>
  </si>
  <si>
    <t>10.17150/2500-4255.2019.13(3).489-497</t>
  </si>
  <si>
    <t>WOS:000474306700012</t>
  </si>
  <si>
    <t>Prediction model for the pressing process in an innovative forming joints technology for woodworking</t>
  </si>
  <si>
    <t>INTERNATIONAL WORKSHOP ADVANCED TECHNOLOGIES IN MATERIAL SCIENCE, MECHANICAL AND AUTOMATION ENGINEERING - MIP: ENGINEERING - 2019</t>
  </si>
  <si>
    <t>International Workshop on Advanced Technologies in Material Science, Mechanical and Automation Engineering (MIP) - Engineering</t>
  </si>
  <si>
    <t>APR 04-06, 2019</t>
  </si>
  <si>
    <t>Krasnoyarsk, RUSSIA</t>
  </si>
  <si>
    <t>JSC Verder Sci</t>
  </si>
  <si>
    <t>10.1088/1757-899X/537/2/022064</t>
  </si>
  <si>
    <t>WOS:000561105300065</t>
  </si>
  <si>
    <t>Vasilevykh, SL; Udalov, AV; Shelihov, ES</t>
  </si>
  <si>
    <t>Vasilevykh, Sergey L.; Udalov, Alexandr V.; Shelihov, Evgeniy S.</t>
  </si>
  <si>
    <t>Method for constructing an equivalent mechanical model of an elastic system of a machine with various technological equipment</t>
  </si>
  <si>
    <t>10.1051/matecconf/201822402008</t>
  </si>
  <si>
    <t>WOS:000476933600146</t>
  </si>
  <si>
    <t>Zelenina, NA; Khuziakhmetov, AN</t>
  </si>
  <si>
    <t>Zelenina, Natalia A.; Khuziakhmetov, Anvar N.</t>
  </si>
  <si>
    <t>Formation of Schoolchildren's Creative Activity on the Final Stage of Solving a Mathematical Problem</t>
  </si>
  <si>
    <t>Zelenina, Natalia Alekseevna/G-9824-2017; Khuziakhmetov, Anvar Nuriakhmetovic/M-8936-2013</t>
  </si>
  <si>
    <t>Zelenina, Natalia Alekseevna/0000-0003-4238-6282; Khuziakhmetov, Anvar Nuriakhmetovic/0000-0003-2842-4289</t>
  </si>
  <si>
    <t>10.12973/eurasia.2017.00934a</t>
  </si>
  <si>
    <t>WOS:000409067500005</t>
  </si>
  <si>
    <t>Nurutdinova, AN; Lushavina, AA; Argunova, VN</t>
  </si>
  <si>
    <t>Nurutdinova, Aida Nailevna; Lushavina, Alina Aleksandrovna; Argunova, Vera Nikolaevna</t>
  </si>
  <si>
    <t>EDUCATION AND SOCIAL TRUST CASE STUDY: ANTI-VACCINATION PRACTICES IN RUSSIA</t>
  </si>
  <si>
    <t>REVISTA ON LINE DE POLITICA E GESTAO EDUCACIONAL</t>
  </si>
  <si>
    <t>1519-9029</t>
  </si>
  <si>
    <t>WOS:000759318000002</t>
  </si>
  <si>
    <t>Identification of the Elastic and Damping Characteristics of Soft Materials Based on the Analysis of Damped Flexural Vibrations of Test Specimens</t>
  </si>
  <si>
    <t>Shishkin, Viktor/U-2323-2018</t>
  </si>
  <si>
    <t>Vyacheslav, Firsov/0000-0002-8948-1570; Shishkin, Viktor/0000-0002-1237-2309</t>
  </si>
  <si>
    <t>10.1007/s11029-016-9596-x</t>
  </si>
  <si>
    <t>WOS:000384347800001</t>
  </si>
  <si>
    <t>Kalinina, L; Ushakova, J; Fominykh, H; Shirokova, G; Murin, I; Medvedeva, O</t>
  </si>
  <si>
    <t>Kalinina, L.; Ushakova, Ju.; Fominykh, H.; Shirokova, G.; Murin, I.; Medvedeva, O.</t>
  </si>
  <si>
    <t>Sulphur conductive solid electrolytes in MeS-Ln(2)S(3) systems</t>
  </si>
  <si>
    <t>CURRENT APPLIED PHYSICS</t>
  </si>
  <si>
    <t>1567-1739</t>
  </si>
  <si>
    <t>10.1016/j.cap.2007.04.013</t>
  </si>
  <si>
    <t>WOS:000251159400020</t>
  </si>
  <si>
    <t>Chermnykh, VV; Chermnykh, OV</t>
  </si>
  <si>
    <t>Chermnykh, V. V.; Chermnykh, O., V</t>
  </si>
  <si>
    <t>FUNCTIONAL REPRESENTATIONS OF LATTICE-ORDERED SEMIRINGS. III</t>
  </si>
  <si>
    <t>10.21538/0134-4889-2020-26-3-235-248</t>
  </si>
  <si>
    <t>WOS:000592231900020</t>
  </si>
  <si>
    <t>Yukhneva, N; Mokerova, O; Kukhtin, P</t>
  </si>
  <si>
    <t>Yukhneva, Nina; Mokerova, Olga; Kukhtin, Peter</t>
  </si>
  <si>
    <t>The regulatory role of the state strategic management in the development of the regional entrepreneurial sphere</t>
  </si>
  <si>
    <t>10.1051/matecconf/201710608089</t>
  </si>
  <si>
    <t>WOS:000426426600274</t>
  </si>
  <si>
    <t>Efremova, VA; Dabakh, EV; Kondakova, LV</t>
  </si>
  <si>
    <t>Efremova, V. A.; Dabakh, E. V.; Kondakova, L. V.</t>
  </si>
  <si>
    <t>A chemical and biological assessment of the state of urban soils</t>
  </si>
  <si>
    <t>10.1134/S1995425513050028</t>
  </si>
  <si>
    <t>WOS:000325009100015</t>
  </si>
  <si>
    <t>Leushina, AP; Kolesnikova, LA; Makhanova, EV; Zlomanov, VP</t>
  </si>
  <si>
    <t>Thermodynamics of binary and ternary copper-, cadmium, and indium-containing semiconducting phases: An electrochemical study</t>
  </si>
  <si>
    <t>10.1007/s11175-005-0117-9</t>
  </si>
  <si>
    <t>WOS:000230551900007</t>
  </si>
  <si>
    <t>Pankratova, EM; Borodina, NV; Reznik, EN</t>
  </si>
  <si>
    <t>Nitrogen fixation by the nonheterocystous cyanobacterium Phormidium inundatum</t>
  </si>
  <si>
    <t>WOS:000077638900005</t>
  </si>
  <si>
    <t>Identification of three new HLA alleles, HLA-A68:298, HLA-C07:1054N and HLA-DRB115:216</t>
  </si>
  <si>
    <t>10.1111/tan.14969</t>
  </si>
  <si>
    <t>JAN 2023</t>
  </si>
  <si>
    <t>WOS:000919397900001</t>
  </si>
  <si>
    <t>Bugaychuk, T; Koryakovtseva, O; Rubleva, O; Burakova, G</t>
  </si>
  <si>
    <t>Lubkina, V; Indriksons, A</t>
  </si>
  <si>
    <t>Bugaychuk, Tatyana; Koryakovtseva, Olga; Rubleva, Olga; Burakova, Galina</t>
  </si>
  <si>
    <t>PROFESSIONAL SELF-CONSCIOUSNESS OF STUDENTS OF A PEDAGOGICAL UNIVERSITY: RESULTS OF THE RESEARCH</t>
  </si>
  <si>
    <t>SOCIETY. INTEGRATION. EDUCATION, VOL. I: HIGHER EDUCATION</t>
  </si>
  <si>
    <t>Sabiedriba Integracija Izglitiba-Society Integration Education</t>
  </si>
  <si>
    <t>International Scientific Conference on Society, Integration, Education</t>
  </si>
  <si>
    <t>MAY 22-23, 2020</t>
  </si>
  <si>
    <t>Rezekne Acad Technologies, Rezekne, LATVIA</t>
  </si>
  <si>
    <t>Rezekne Acad Technologies, Fac Educ, Language &amp; Design,Klaipeda Univ,Rigan Stradina Univ,Politechnika Bialostocka,Inst Pedag Neas Ukraine,European Union, European Reg Dev Fund,Natl Dev Plan 2020</t>
  </si>
  <si>
    <t>Rezekne Acad Technologies</t>
  </si>
  <si>
    <t>Koryakovtseva, Olga/V-8232-2018</t>
  </si>
  <si>
    <t>1691-5887</t>
  </si>
  <si>
    <t>10.17770/sie2020vol1.5079</t>
  </si>
  <si>
    <t>WOS:000835616400005</t>
  </si>
  <si>
    <t>Krasnopeeva, TO; Shevchenko, AI; Gural, SK</t>
  </si>
  <si>
    <t>Krasnopeeva, T. O.; Shevchenko, A., I; Gural, S. K.</t>
  </si>
  <si>
    <t>DESIGN OF INDIVIDUAL EDUCATIONAL TRAJECTORIES IN THE INFORMATION EDUCATIONAL ENVIRONMENT</t>
  </si>
  <si>
    <t>Gural, Svetlana K/A-7176-2016; Shevchenko, Anna/ABB-5863-2020</t>
  </si>
  <si>
    <t>10.17223/19996195/51/8</t>
  </si>
  <si>
    <t>WOS:000581055000008</t>
  </si>
  <si>
    <t>Isupov, K; Kuvaev, A; Knyazkov, V</t>
  </si>
  <si>
    <t>Isupov, Konstantin; Kuvaev, Alexander; Knyazkov, Vladimir</t>
  </si>
  <si>
    <t>Data-Parallel High-Precision Multiplication on Graphics Processing Units</t>
  </si>
  <si>
    <t>SUPERCOMPUTING (RUSCDAYS 2019)</t>
  </si>
  <si>
    <t>5th Russian Supercomputing Days Conference (RuSCDays)</t>
  </si>
  <si>
    <t>SEP 23-24, 2019</t>
  </si>
  <si>
    <t>Supercomputing Consortium Russian Univ,NVIDIA,Russian Acad Sci,T Platforms,Lenovo,Mellanox,Xilinx,AMD,RSC,Intel,Dell,NEC,EAS,DDN</t>
  </si>
  <si>
    <t>978-3-030-36592-9; 978-3-030-36591-2</t>
  </si>
  <si>
    <t>10.1007/978-3-030-36592-9_2</t>
  </si>
  <si>
    <t>WOS:000651202100002</t>
  </si>
  <si>
    <t>Leushina, A. P.; Danilov, D. N.; Zlomanov, V. P.</t>
  </si>
  <si>
    <t>Use of solid electrolyte GeSe-GeI2 for electrochemical doping with germanium</t>
  </si>
  <si>
    <t>8th International Meeting on Fundamental Problems of Solid-State Ionics</t>
  </si>
  <si>
    <t>10.1134/S1023193507040179</t>
  </si>
  <si>
    <t>WOS:000246338500017</t>
  </si>
  <si>
    <t>Medvedeva, OV; Kalinina, LA; Ushakova, YN; Metlin, YG</t>
  </si>
  <si>
    <t>Synthesis of sulfide-conducting solid electrolytes with different precursor prehistories</t>
  </si>
  <si>
    <t>10.1007/s10720-005-0066-0</t>
  </si>
  <si>
    <t>WOS:000230552700012</t>
  </si>
  <si>
    <t>Characterization of three novel HLA alleles: HLA-B44:481:02, HLA-DQB103:338N, and HLA-DQB106:467</t>
  </si>
  <si>
    <t>10.1111/tan.15034</t>
  </si>
  <si>
    <t>WOS:000956066600001</t>
  </si>
  <si>
    <t>Bukharov, V; Baykova, O; Obukhova, O</t>
  </si>
  <si>
    <t>Bukharov, Valeriy; Baykova, Olga; Obukhova, Olga</t>
  </si>
  <si>
    <t>THE SWABIAN DIALECT IN THE GERMAN LANGUAGE ISLAND IN RUSSIA</t>
  </si>
  <si>
    <t>WOS:000583783100022</t>
  </si>
  <si>
    <t>Cherkasov, V; Yurkin, Y; Avdonin, V; Suntsov, D</t>
  </si>
  <si>
    <t>Cherkasov, Vasiliy; Yurkin, Yuiy; Avdonin, Valeriy; Suntsov, Dmitriy</t>
  </si>
  <si>
    <t>Self-adhesion X-ray Shielding Composite Material of EPDM Rubber with Barite: Mechanical Properties</t>
  </si>
  <si>
    <t>10.37358/mp.20.1.5309</t>
  </si>
  <si>
    <t>WOS:000528195000005</t>
  </si>
  <si>
    <t>Plotnikov, SA; Kantor, PY; Kozlov, IS; Vtyurina, MN</t>
  </si>
  <si>
    <t>Plotnikov, S. A.; Kantor, P. Ya; Kozlov, I. S.; Vtyurina, M. N.</t>
  </si>
  <si>
    <t>Estimating Ecological Properties of Rapeseed Oils for Using as Agricultural Tractor Motor Fuel</t>
  </si>
  <si>
    <t>Plotnikov, Sergej A/0000-0002-8887-4591; Kantor, Pavel/0000-0002-3033-6512</t>
  </si>
  <si>
    <t>10.15507/2658-4123.030.202001.043-059</t>
  </si>
  <si>
    <t>WOS:000520879000003</t>
  </si>
  <si>
    <t>Udalov, AA; Parshin, SV; Udalov, AV; Vasilevykh, SL</t>
  </si>
  <si>
    <t>Udalov, A. A.; Parshin, S. V.; Udalov, A. V.; Vasilevykh, S. L.</t>
  </si>
  <si>
    <t>Power parameters of the process of hardening of cylindrical parts by a toroidal roller by the method of surface plastic deformation</t>
  </si>
  <si>
    <t>XII INTERNATIONAL SCIENTIFIC AND TECHNICAL CONFERENCE APPLIED MECHANICS AND SYSTEMS DYNAMICS</t>
  </si>
  <si>
    <t>12th International Scientific and Technical Conference on Applied Mechanics and Systems Dynamics</t>
  </si>
  <si>
    <t>NOV 13-15, 2018</t>
  </si>
  <si>
    <t>Parshin, Sergey/M-8063-2019</t>
  </si>
  <si>
    <t>10.1088/1742-6596/1210/1/012150</t>
  </si>
  <si>
    <t>WOS:000481604500150</t>
  </si>
  <si>
    <t>Voroshilova, SV; Sergeev, AV; Tatarinova, EP</t>
  </si>
  <si>
    <t>Voroshilova, Svetlana V.; Sergeev, Alexander, V; Tatarinova, Elena P.</t>
  </si>
  <si>
    <t>A woman and a court in the Russian Empire: the protection of the property</t>
  </si>
  <si>
    <t>Voroshilova, Svetlana/CAG-0664-2022; Tatarinova, Elena/AAU-3047-2021</t>
  </si>
  <si>
    <t>10.31166/VoprosyIstorii201911Statyi01</t>
  </si>
  <si>
    <t>WOS:000504079400001</t>
  </si>
  <si>
    <t>Bakharia, A; Nikulin, V</t>
  </si>
  <si>
    <t>Bakharia, Aneesha; Nikulin, Vladimir</t>
  </si>
  <si>
    <t>A nonparametric criterion for the selection of the number of factors and nonnegative extension for gradient-based matrix factorization</t>
  </si>
  <si>
    <t>2012 INTERNATIONAL JOINT CONFERENCE ON NEURAL NETWORKS (IJCNN)</t>
  </si>
  <si>
    <t>JUN 10-15, 2012</t>
  </si>
  <si>
    <t>Brisbane, AUSTRALIA</t>
  </si>
  <si>
    <t>978-1-4673-1490-9</t>
  </si>
  <si>
    <t>WOS:000309341303039</t>
  </si>
  <si>
    <t>Endurance development using long running at school and its impact on children's memory</t>
  </si>
  <si>
    <t>e191ms2989</t>
  </si>
  <si>
    <t>10.54905/disssi/v27i134/e191ms2989</t>
  </si>
  <si>
    <t>WOS:000994185800021</t>
  </si>
  <si>
    <t>Two new HLA alleles, HLA-B*58:140 and -DRB*107:145, detected in inhabitants from Russia</t>
  </si>
  <si>
    <t>10.1111/tan.14946</t>
  </si>
  <si>
    <t>WOS:000904767800001</t>
  </si>
  <si>
    <t>Elistratov, VE; Khabibullina, LF; Polyakov, OY</t>
  </si>
  <si>
    <t>Elistratov, Vladislav E.; Khabibullina, Liliya F.; Polyakov, Oleg Y.</t>
  </si>
  <si>
    <t>Medical Case as a Plot-Basing Element of Sybil by Flora Rheta Schreiber</t>
  </si>
  <si>
    <t>10.22055/RALS.2019.15172</t>
  </si>
  <si>
    <t>WOS:000520842700066</t>
  </si>
  <si>
    <t>Konysheva, AV; Ibragimova, EN</t>
  </si>
  <si>
    <t>Konysheva, Aliya V.; Ibragimova, Elena N.</t>
  </si>
  <si>
    <t>Training of Engineers in Mathematics at University on the Basis of the Information Cybernetic Approach</t>
  </si>
  <si>
    <t>10.12973/eurasia.2017.00933a</t>
  </si>
  <si>
    <t>WOS:000409067500004</t>
  </si>
  <si>
    <t>Gorev, PM; Kalimullin, AM</t>
  </si>
  <si>
    <t>Gorev, Pavel M.; Kalimullin, Aydar M.</t>
  </si>
  <si>
    <t>Structure and Maintenance of a Mathematical Creative Lesson as a Mean of Pupils' Meta-Subject Results Achievement</t>
  </si>
  <si>
    <t>Kalimullin, Aydar/N-1528-2013</t>
  </si>
  <si>
    <t>Kalimullin, Aydar/0000-0001-7788-7728; Gorev, Pavel/0000-0002-0640-8184</t>
  </si>
  <si>
    <t>10.12973/eurasia.2017.01248a</t>
  </si>
  <si>
    <t>WOS:000404604700062</t>
  </si>
  <si>
    <t>Akhmetov, LG; Merzon, EE; Nekrasova, GN</t>
  </si>
  <si>
    <t>Akhmetov, Linar G.; Merzon, Elena E.; Nekrasova, Galina N.</t>
  </si>
  <si>
    <t>EARLY PROFESSIONALIZATION OF GIFTED SCHOOLCHILDREN IN THE CONTEXT OF EXTENDED EDUCATION</t>
  </si>
  <si>
    <t>Merzon, Elena/Y-3541-2018; Akhmetov, Linar/AAD-2724-2020</t>
  </si>
  <si>
    <t>Merzon, Elena/0000-0001-7708-2946; Akhmetov, Linar/0000-0002-5442-8489</t>
  </si>
  <si>
    <t>10.15405/epsbs.2017.08.02.4</t>
  </si>
  <si>
    <t>WOS:000432421300004</t>
  </si>
  <si>
    <t>Cherkasov, VD; Yurkin, YV; Avdonin, VV</t>
  </si>
  <si>
    <t>Cherkasov, V. D.; Yurkin, Yu V.; Avdonin, V. V.</t>
  </si>
  <si>
    <t>Damping Properties of Sandwich Beams with Viscoelastic Layer</t>
  </si>
  <si>
    <t>Yurkin, Yuiy/AAD-4331-2021; Yurkin, Yuriy/B-2095-2014; Avdonin, Valeriy V. V./N-3233-2016</t>
  </si>
  <si>
    <t>Yurkin, Yuriy/0000-0003-4310-3379; Avdonin, Valeriy V. V./0000-0002-1069-2413</t>
  </si>
  <si>
    <t>10.1088/1757-899X/262/1/012024</t>
  </si>
  <si>
    <t>WOS:000423728200024</t>
  </si>
  <si>
    <t>Kataeva, N; Berezina, E; Sysolyatin, A; Meshcheryakova, T; Zurakhovskaya, I; Sholotonova, E</t>
  </si>
  <si>
    <t>Kataeva, Natalya; Berezina, Ekaterina; Sysolyatin, Alexey; Meshcheryakova, Tatyana; Zurakhovskaya, Irina; Sholotonova, Ekaterina</t>
  </si>
  <si>
    <t>A proposed assessment method for image of regional educational institutions</t>
  </si>
  <si>
    <t>Berezina, Ekaterina Alexandrovna/H-4087-2017; Катаева, Наталья Николаевна/AAB-5555-2022</t>
  </si>
  <si>
    <t>Berezina, Ekaterina Alexandrovna/0000-0001-7877-7205; Катаева, Наталья Николаевна/0000-0002-4695-1536; Meshcheryakova, Tatiana/0000-0001-5610-6179</t>
  </si>
  <si>
    <t>10.1051/matecconf/201710608078</t>
  </si>
  <si>
    <t>WOS:000426426600263</t>
  </si>
  <si>
    <t>Sadakova, Vera; Safin, RusIan</t>
  </si>
  <si>
    <t>TECHNOLOGY OF A GLASS MOSAIC WITH USE OF TACK FUSING</t>
  </si>
  <si>
    <t>WOS:000378098500079</t>
  </si>
  <si>
    <t>Pentin, MA; Ananchenko, BA; Kalinina, LA; Kosheleva, EV; Ushakova, YN; Murin, IV</t>
  </si>
  <si>
    <t>Pentin, M. A.; Ananchenko, B. A.; Kalinina, L. A.; Kosheleva, E., V; Ushakova, Yu N.; Murin, I., V</t>
  </si>
  <si>
    <t>Sulfide-Conducting Ionic Conductors with the CaFe2O4 and Yb3S4 Structure Doped with Zirconium Disulfide</t>
  </si>
  <si>
    <t>Kalinina, Ludmila/AAB-8217-2020; Ananchenko, Boris/AAM-5831-2020</t>
  </si>
  <si>
    <t>10.1134/S1023193519080111</t>
  </si>
  <si>
    <t>WOS:000487550800008</t>
  </si>
  <si>
    <t>Bushmeleva, NA; Baklashova, TA</t>
  </si>
  <si>
    <t>Bushmeleva, Natalya A.; Baklashova, Tatiana A.</t>
  </si>
  <si>
    <t>Methodological Teaching System of Mathematical Foundations of Formal Languages as a Means of Fundamentalization of Education</t>
  </si>
  <si>
    <t>Baklashova, Tatiana/L-3436-2013; A., Bushmeleva Natalia/AAQ-6397-2020</t>
  </si>
  <si>
    <t>Baklashova, Tatiana/0000-0002-3038-6990; A., Bushmeleva Natalia/0000-0002-9709-1804</t>
  </si>
  <si>
    <t>10.12973/eurasia.2017.00989a</t>
  </si>
  <si>
    <t>WOS:000409067500057</t>
  </si>
  <si>
    <t>Gyunal, I; Paimushin, VN; Firsov, VA; Shishkin, VM</t>
  </si>
  <si>
    <t>Gyunal, I.; Paimushin, V. N.; Firsov, V. A.; Shishkin, V. M.</t>
  </si>
  <si>
    <t>Identification of the Damping Properties of Rigid Isotropic Materials by Studying the Damping Flexural Vibrations of Test Specimens</t>
  </si>
  <si>
    <t>MECHANICS OF SOLIDS</t>
  </si>
  <si>
    <t>Gunal, Ibrahim/0000-0001-6478-8579; Vyacheslav, Firsov/0000-0002-8948-1570; Shishkin, Viktor/0000-0002-1237-2309</t>
  </si>
  <si>
    <t>0025-6544</t>
  </si>
  <si>
    <t>1934-7936</t>
  </si>
  <si>
    <t>10.3103/S0025654417020108</t>
  </si>
  <si>
    <t>WOS:000405488900010</t>
  </si>
  <si>
    <t>Vasilevykh, SL; Shelihov, ES</t>
  </si>
  <si>
    <t>Vasilevykh, Sergey L.; Shelihov, Evgeniy S.</t>
  </si>
  <si>
    <t>Research of vibration resistance of non-rigid shafts turning with various technological set-ups</t>
  </si>
  <si>
    <t>10.1051/matecconf/201712901023</t>
  </si>
  <si>
    <t>WOS:000426431000023</t>
  </si>
  <si>
    <t>Paimushin, VN; Firsov, VA; Gunal, I; Shishkin, VM</t>
  </si>
  <si>
    <t>Sverbilov, V; Plummer, AR</t>
  </si>
  <si>
    <t>Paimushin, V. N.; Firsov, V. A.; Gunal, I.; Shishkin, V. M.</t>
  </si>
  <si>
    <t>Theoretical-experimental method for determining the material damping properties based on the damped flexural vibrations of test samples</t>
  </si>
  <si>
    <t>PROCEEDINGS OF THE 2ND INTERNATIONAL CONFERENCE ON DYNAMICS AND VIBROACOUSTICS OF MACHINES (DVM2014)</t>
  </si>
  <si>
    <t>2nd International Conference on Dynamics and Vibroacoustics of Machines (DVM)</t>
  </si>
  <si>
    <t>SEP 15-20, 2015</t>
  </si>
  <si>
    <t>Samara State Aerosp Univ</t>
  </si>
  <si>
    <t>Gunal, Ibrahim/0000-0001-6478-8579; Vyacheslav, Firsov/0000-0002-8948-1570; Shishkin, Viktor/0000-0002-1237-2309; Paimusin, Vitalii/0000-0003-4070-2579</t>
  </si>
  <si>
    <t>10.1016/j.proeng.2015.06.029</t>
  </si>
  <si>
    <t>WOS:000381100700028</t>
  </si>
  <si>
    <t>Koshurnikova, EV; Kalinina, LA; Ushakova, YN; P'yankova, MV; Murin, IV</t>
  </si>
  <si>
    <t>Koshurnikova, E. V.; Kalinina, L. A.; Ushakova, Yu N.; P'yankova, M. V.; Murin, I. V.</t>
  </si>
  <si>
    <t>Synthesis, structure, and physico-chemical properties of sulfide ceramics CaY2S4-Yb2S3</t>
  </si>
  <si>
    <t>10.1134/S1023193513080107</t>
  </si>
  <si>
    <t>WOS:000323258500007</t>
  </si>
  <si>
    <t>Korotaeva, KN; Tsirkin, VI; Vyaznikov, VA</t>
  </si>
  <si>
    <t>Korotaeva, K. N.; Tsirkin, V. I.; Vyaznikov, V. A.</t>
  </si>
  <si>
    <t>Positive Inotropic Effect of Tyrosine, Histidine, and Tryptophan in Experiments on Isolated Human Myocardium</t>
  </si>
  <si>
    <t>10.1007/s10517-012-1640-9</t>
  </si>
  <si>
    <t>WOS:000305517000014</t>
  </si>
  <si>
    <t>Loginova, M; Druzhinina, S; Paramonov, I; Zarubin, M</t>
  </si>
  <si>
    <t>Loginova, Maria; Druzhinina, Svetlana; Paramonov, Igor; Zarubin, Maksim</t>
  </si>
  <si>
    <t>Discovery of the novel HLA-DQB106:02:01:32 allele, a variant of HLA-DQB106:02:01:01, in a Russian individual</t>
  </si>
  <si>
    <t>10.1111/tan.15032</t>
  </si>
  <si>
    <t>WOS:000955728700001</t>
  </si>
  <si>
    <t>Kalabin, OV; Molchanov, SA; Soitsin, AP</t>
  </si>
  <si>
    <t>Kalabin, O. V.; Molchanov, S. A.; Soitsin, A. P.</t>
  </si>
  <si>
    <t>DYNAMIC CONTROL OF FUNCTIONAL FITNESS OF VOLLEYBALL PLAYERS THROUGH HEART RATE VARIABILITY ANALYSIS</t>
  </si>
  <si>
    <t>Kalabin, Oleg/HKV-1797-2023</t>
  </si>
  <si>
    <t>Kalabin, Oleg/0000-0002-5383-5007</t>
  </si>
  <si>
    <t>10.14529/hsm220106</t>
  </si>
  <si>
    <t>WOS:000795506200006</t>
  </si>
  <si>
    <t>Meltsov, V; Novokshonov, P; Repkin, D; Nechaev, A; Zhukova, N</t>
  </si>
  <si>
    <t>Meltsov, Vasily; Novokshonov, Pavel; Repkin, Dmitry; Nechaev, Alexander; Zhukova, Nataly</t>
  </si>
  <si>
    <t>Development of an Intelligent Module for Monitoring and Analysis of Client's Bank Transactions</t>
  </si>
  <si>
    <t>Nechaev, Alexander/ABE-9128-2021; Meltsov, Vasily Yurevich/P-7511-2017; Repkin, Dmitry A/Y-9184-2018</t>
  </si>
  <si>
    <t>Nechaev, Alexander/0000-0002-0464-9961; Meltsov, Vasily Yurevich/0000-0001-5479-9979; Repkin, Dmitry A/0000-0003-4161-3527; Zhukova, Nataly/0000-0001-5877-4461</t>
  </si>
  <si>
    <t>WOS:000469999300036</t>
  </si>
  <si>
    <t>Piligrimova, EG; Kazantseva, OA; Nikulin, NA; Shadrin, AM</t>
  </si>
  <si>
    <t>Piligrimova, Emma G.; Kazantseva, Olesya A.; Nikulin, Nikita A.; Shadrin, Andrey M.</t>
  </si>
  <si>
    <t>Bacillus Phage vB_BtS_B83 Previously Designated as a Plasmid May Represent a New Siphoviridae Genus</t>
  </si>
  <si>
    <t>VIRUSES-BASEL</t>
  </si>
  <si>
    <t>Shadrin, Andrey/J-5025-2012; Kazantseva, Olesya/AAQ-5702-2021; nikulin, nikita/AAU-7995-2020</t>
  </si>
  <si>
    <t>Shadrin, Andrey/0000-0002-2957-4003; Kazantseva, Olesya/0000-0002-5199-7387; Nikulin, Nikita/0000-0002-6024-1725</t>
  </si>
  <si>
    <t>1999-4915</t>
  </si>
  <si>
    <t>10.3390/v11070624</t>
  </si>
  <si>
    <t>WOS:000478667800002</t>
  </si>
  <si>
    <t>Mansurova, IA; Burkov, AA; Shilov, IB; Dolgiy, EO; Belozerov, VS; Khousainov, AD</t>
  </si>
  <si>
    <t>Mansurova, I. A.; Burkov, A. A.; Shilov, I. B.; Dolgiy, E. O.; Belozerov, V. S.; Khousainov, A. D.</t>
  </si>
  <si>
    <t>EFFECT OF HYBRID CARBON BLACK/CARBON NANOTUBES FILLER ON VULCANIZATES RELAXATION BEHAVIOR</t>
  </si>
  <si>
    <t>Belozerov, Vladislav/B-7087-2019; Burkov, Andrey/ABB-8219-2021; Shilov, Ivan/ABA-7069-2021</t>
  </si>
  <si>
    <t>Belozerov, Vladislav/0000-0002-9930-5458; Shilov, Ivan/0000-0002-0896-095X; Burkov, Andrey/0000-0002-3627-1262</t>
  </si>
  <si>
    <t>10.6060/ivkkt.20196211.5979</t>
  </si>
  <si>
    <t>WOS:000497988300011</t>
  </si>
  <si>
    <t>Tsirkin, VI; DVoryanskii, SA; Nozdrachev, AD; Bratukhina, SV; Morozova, MA; Sizova, EN; Osokina, AA; Tumanova, TV; Shushkanova, EG; Vidyakina, GY</t>
  </si>
  <si>
    <t>Adrenomodulate effects of human blood, liquor, urine, saliva and amniotic fluid</t>
  </si>
  <si>
    <t>DOKLADY AKADEMII NAUK</t>
  </si>
  <si>
    <t>Morozova, Marina A./AAD-1191-2019; Nozdrachev, Aleksandr/P-2667-2017; Morozova, Margarita Alekseevna/D-9098-2015; Tsirkin, Victor/O-1603-2017; Polezhaeva, Tatyana/J-8109-2018</t>
  </si>
  <si>
    <t>Morozova, Marina A./0000-0003-3303-3426; Nozdrachev, Aleksandr/0000-0003-0753-5633; Morozova, Margarita Alekseevna/0000-0002-7847-2716; Tsirkin, Viktor/0000-0003-3467-3919; Polezhaeva, Tatyana/0000-0003-4999-3077; Shushkanova, Elena/0000-0002-4588-604X</t>
  </si>
  <si>
    <t>0869-5652</t>
  </si>
  <si>
    <t>WOS:A1997WP64600032</t>
  </si>
  <si>
    <t>Ratmanov, VA; Gavrilov, GN; Marinin, EA; Beltukov, AS; Razheva, KV</t>
  </si>
  <si>
    <t>Ratmanov, V. A.; Gavrilov, G. N.; Marinin, E. A.; Beltukov, A. S.; Razheva, K., V</t>
  </si>
  <si>
    <t>The use of laser radiation for cutting of blind grooves and small-sized through cuts in thin-walled cylindrical bodies</t>
  </si>
  <si>
    <t>Gavrilov, Gennadiy/0000-0002-8306-2965</t>
  </si>
  <si>
    <t>10.1088/1757-899X/971/2/022047</t>
  </si>
  <si>
    <t>WOS:000646359100047</t>
  </si>
  <si>
    <t>Burkov, A; Kraev, A; Grishin, M; Vesnin, R; Fomin, S; Iordanskii, A</t>
  </si>
  <si>
    <t>Burkov, Andrey; Kraev, Alexander; Grishin, Maxim; Vesnin, Roman; Fomin, Sergey; Iordanskii, Alexey</t>
  </si>
  <si>
    <t>Structural Features and Properties' Characterization of Polylactic Acid/Natural Rubber Blends with Epoxidized Soybean Oil</t>
  </si>
  <si>
    <t>POLYMERS</t>
  </si>
  <si>
    <t>Burkov, Andrei/N-5302-2016; Burkov, Andrey/ABB-8219-2021</t>
  </si>
  <si>
    <t>Burkov, Andrei/0000-0002-3627-1262; Iordanskii, Alexey/0000-0003-0771-0825; Kraev, Alexander/0000-0002-9086-347X</t>
  </si>
  <si>
    <t>2073-4360</t>
  </si>
  <si>
    <t>10.3390/polym13071101</t>
  </si>
  <si>
    <t>WOS:000638769200001</t>
  </si>
  <si>
    <t>Kostyunina, NY; Latypova, LA; Luchinina, AO; Grudeva, MI</t>
  </si>
  <si>
    <t>Kostyunina, Nadezhda Yu.; Latypova, Liliia A.; Luchinina, Anastasiya O.; Grudeva, Marinela I.</t>
  </si>
  <si>
    <t>Students' Victim Behavior on The Internet: Motives and Features</t>
  </si>
  <si>
    <t>10.3897/ap.1.e1014</t>
  </si>
  <si>
    <t>WOS:000520005200105</t>
  </si>
  <si>
    <t>Khramchenkova, R; Sitdikov, A; Kaisin, A</t>
  </si>
  <si>
    <t>Khramchenkova, Rezida; Sitdikov, Airat; Kaisin, Alexei</t>
  </si>
  <si>
    <t>POST-MEDIEVAL GLASS WORKSHOP FROM THE EXCAVATION IN THE KAZAN KREMLIN</t>
  </si>
  <si>
    <t>SGEM 2016, BK 3: ANTHROPOLOGY, ARCHAEOLOGY, HISTORY &amp; PHILOSOPHY CONFERENCE PROCEEDINGS, VOL II</t>
  </si>
  <si>
    <t>Sitdikov, Ayrat G/M-2592-2013; Sitdikov, Ayrat/L-6509-2017; Rezida, Khramchenkova/H-8881-2017</t>
  </si>
  <si>
    <t>Sitdikov, Ayrat G/0000-0001-6314-3568; Rezida, Khramchenkova/0000-0001-9598-2024</t>
  </si>
  <si>
    <t>978-619-7105-77-3</t>
  </si>
  <si>
    <t>WOS:000395727400036</t>
  </si>
  <si>
    <t>Verbitsky, AA; Iliazova, MD; Ainalieva, AR; Shilova, ZV</t>
  </si>
  <si>
    <t>Shipunova, OD; Bylieva, DS</t>
  </si>
  <si>
    <t>Verbitsky, Andrey A.; Iliazova, Mariam D.; Ainalieva, Ailida R.; Shilova, Zoia, V</t>
  </si>
  <si>
    <t>STUDENTS' MULTICULTURAL TOLERANCE CORRELATES: STUDY GROUP MOSAICITY AND DEVELOPMENTAL LEVEL</t>
  </si>
  <si>
    <t>PROFESSIONAL CULTURE OF THE SPECIALIST OF THE FUTURE &amp; COMMUNICATIVE STRATEGIES OF INFORMATION SOCIETY</t>
  </si>
  <si>
    <t>20th Conference on Professional Culture of the Specialist of the Future (PCSF)</t>
  </si>
  <si>
    <t>NOV 26-27, 2020</t>
  </si>
  <si>
    <t>Peter Great St Petersburg Polytechn Univ, St Petersburg, RUSSIA</t>
  </si>
  <si>
    <t>Peter Great St Petersburg Polytechn Univ</t>
  </si>
  <si>
    <t>Shilova, Zoia V/G-3073-2017</t>
  </si>
  <si>
    <t>10.15405/epsbs.2020.12.03.36</t>
  </si>
  <si>
    <t>WOS:000758194100036</t>
  </si>
  <si>
    <t>Cheranev, V; Smirnova, D; Jankevic, T; Loginova, M; Rebrikov, D</t>
  </si>
  <si>
    <t>Cheranev, Valery; Smirnova, Daria; Jankevic, Tatiana; Loginova, Maria; Rebrikov, Denis</t>
  </si>
  <si>
    <t>Description of the novel HLA-C allele, HLA-C12:376, identified in a deceased COVID-19 patient</t>
  </si>
  <si>
    <t>10.1111/tan.14967</t>
  </si>
  <si>
    <t>WOS:000913829400001</t>
  </si>
  <si>
    <t>Tsyrkin, VI; Dvoryanskii, SA; Nozdrachev, AD; Zaugolnikov, VS; Sizova, EN</t>
  </si>
  <si>
    <t>beta-adrenoreactivity increase of coronary arteries by blood serum</t>
  </si>
  <si>
    <t>Nozdrachev, Aleksandr/P-2667-2017</t>
  </si>
  <si>
    <t>Nozdrachev, Aleksandr/0000-0003-0753-5633</t>
  </si>
  <si>
    <t>WOS:A1996WM80200035</t>
  </si>
  <si>
    <t>Krivosheina, NV; Golynets, GV</t>
  </si>
  <si>
    <t>Krivosheina, Natalia V.; Golynets, Galina V.</t>
  </si>
  <si>
    <t>MONUMENTAL PAINTING OF ALTARS OF VYATKA CHURCHES BETWEEN THE 19th AND EARLY 20th CENTURIES</t>
  </si>
  <si>
    <t>Golynets, Galina/ABG-4228-2021; Krivosheina, Natalia V/M-8938-2018</t>
  </si>
  <si>
    <t>Golynets, Galina/0000-0001-8939-0153; Krivosheina, Natalia V/0000-0001-7612-5174</t>
  </si>
  <si>
    <t>10.15826/izv2.2020.22.2.038</t>
  </si>
  <si>
    <t>WOS:000545469200019</t>
  </si>
  <si>
    <t>Fokina, OV; Sozinova, AA; Glebova, AG; Nikonova, NV</t>
  </si>
  <si>
    <t>Fokina, Olga Vasilyevna; Sozinova, Anastasia Andreevna; Glebova, Anna Gennadyevna; Nikonova, Natalia Valeryevna</t>
  </si>
  <si>
    <t>Improving the quality of project management at energytech through marketing in support of sustainable and environmental development of energy economics</t>
  </si>
  <si>
    <t>FRONTIERS IN ENERGY RESEARCH</t>
  </si>
  <si>
    <t>2296-598X</t>
  </si>
  <si>
    <t>AUG 4</t>
  </si>
  <si>
    <t>10.3389/fenrg.2022.943447</t>
  </si>
  <si>
    <t>WOS:000843654400001</t>
  </si>
  <si>
    <t>The influence of speed and strength training at school on the indicators of attention switching in children aged 13-14 years with different typologies</t>
  </si>
  <si>
    <t>JOURNAL OF EDUCATION AND HEALTH PROMOTION</t>
  </si>
  <si>
    <t>2277-9531</t>
  </si>
  <si>
    <t>2319-6440</t>
  </si>
  <si>
    <t>10.4103/jehp.jehp_413_21</t>
  </si>
  <si>
    <t>WOS:000766948600023</t>
  </si>
  <si>
    <t>Savinyh, P; Nechaev, V; Nechaeva, M; Ivanovs, S</t>
  </si>
  <si>
    <t>Savinyh, Peter; Nechaev, Vladimir; Nechaeva, Marina; Ivanovs, Semjons</t>
  </si>
  <si>
    <t>MOTION OF GRAIN PARTICLE ALONG BLADE OF ROTOR FAN OF HAMMER CRUSHER</t>
  </si>
  <si>
    <t>15TH INTERNATIONAL SCIENTIFIC CONFERENCE: ENGINEERING FOR RURAL DEVELOPMENT</t>
  </si>
  <si>
    <t>15th International Scientific Conference on Engineering for Rural Development</t>
  </si>
  <si>
    <t>MAY 25-27, 2016</t>
  </si>
  <si>
    <t>Latvia Univ Agr, Fac Engn,Latvian Acad Agr &amp; Forestry Sci,Fortum,Silja,LLU TF LTI UZC</t>
  </si>
  <si>
    <t>Ivanovs, Semjons/AAD-7303-2022</t>
  </si>
  <si>
    <t>Ivanovs, Semjons/0000-0002-9072-1340</t>
  </si>
  <si>
    <t>WOS:000390059500167</t>
  </si>
  <si>
    <t>Nikolenko, NV; Samchilev, IS; Kalashnikova, AN; Ananchenko, BA</t>
  </si>
  <si>
    <t>Nikolenko, N. V.; Samchilev, I. S.; Kalashnikova, A. N.; Ananchenko, B. A.</t>
  </si>
  <si>
    <t>Thermodynamic and kinetic analyses of the decomposition of iron molybdate with soda ash solutions</t>
  </si>
  <si>
    <t>Ananchenko, Boris/AAM-5831-2020; Nikolenko, Mykola/C-8093-2019</t>
  </si>
  <si>
    <t>Ananchenko, Boris/0000-0002-7975-7828; Nikolenko, Mykola/0000-0001-9289-2680</t>
  </si>
  <si>
    <t>10.1134/S1070427215020044</t>
  </si>
  <si>
    <t>WOS:000355184300004</t>
  </si>
  <si>
    <t>Saetova, NS; Shirokova, ES; Krainova, DA; Chebykin, NS; Ananchenko, BA; Tolstobrov, IV; Belozerov, KS; Kuzmin, AV</t>
  </si>
  <si>
    <t>Saetova, N. S.; Shirokova, E. S.; Krainova, D. A.; Chebykin, N. S.; Ananchenko, B. A.; Tolstobrov, I., V; Belozerov, K. S.; Kuzmin, A., V</t>
  </si>
  <si>
    <t>The development of 3D technology for the creation of glass sealants for tubular oxide fuel cells</t>
  </si>
  <si>
    <t>INTERNATIONAL JOURNAL OF APPLIED GLASS SCIENCE</t>
  </si>
  <si>
    <t>Kuzmin, Anton/O-4057-2014; Tolstobrov, Ivan/T-7734-2019; Shirokova, Evgeniya/L-2195-2017</t>
  </si>
  <si>
    <t>Kuzmin, Anton/0000-0002-0700-662X; Tolstobrov, Ivan/0000-0002-0133-6150; Shirokova, Evgeniya/0000-0001-5735-3489</t>
  </si>
  <si>
    <t>2041-1286</t>
  </si>
  <si>
    <t>2041-1294</t>
  </si>
  <si>
    <t>10.1111/ijag.16578</t>
  </si>
  <si>
    <t>WOS:000780783500001</t>
  </si>
  <si>
    <t>Buldakova, N; Ignateva, E; Korshunova, O</t>
  </si>
  <si>
    <t>Buldakova, Natalya; Ignateva, Elena; Korshunova, Olga</t>
  </si>
  <si>
    <t>PEDAGOGICAL SEMIOTICS: NEW GUIDELINES IN PERSONALITY DEVELOPMENT</t>
  </si>
  <si>
    <t>10.15405/epsbs.2021.07.02.43</t>
  </si>
  <si>
    <t>WOS:000771919100043</t>
  </si>
  <si>
    <t>Zlobin, AA; Martinson, EA; Ovechkina, IA; Durnev, EA; Ovodova, RG; Litvinets, SG</t>
  </si>
  <si>
    <t>Zlobin, A. A.; Martinson, E. A.; Ovechkina, I. A.; Durnev, E. A.; Ovodova, R. G.; Litvinets, S. G.</t>
  </si>
  <si>
    <t>Composition and properties of pectin polysaccharides of St. John's wort Hypericum Perforatum L.</t>
  </si>
  <si>
    <t>RUSSIAN JOURNAL OF BIOORGANIC CHEMISTRY</t>
  </si>
  <si>
    <t>Litvinets, Sergey G./I-8188-2013</t>
  </si>
  <si>
    <t>Litvinets, Sergey G./0000-0001-8583-5274</t>
  </si>
  <si>
    <t>1068-1620</t>
  </si>
  <si>
    <t>1608-330X</t>
  </si>
  <si>
    <t>10.1134/S1068162012070230</t>
  </si>
  <si>
    <t>WOS:000312062700003</t>
  </si>
  <si>
    <t>Loginova, M; Druzhinina, S; Ivan, O; Paramonov, I; Zarubin, M</t>
  </si>
  <si>
    <t>Loginova, Maria; Druzhinina, Svetlana; Ivan, Obukhov; Paramonov, Igor; Zarubin, Maksim</t>
  </si>
  <si>
    <t>The HLA-C*15:250 allele identified in a volunteer bone marrow donor</t>
  </si>
  <si>
    <t>10.1111/tan.14639</t>
  </si>
  <si>
    <t>WOS:000785894900001</t>
  </si>
  <si>
    <t>Grinshkun, AV; Perevozchikova, MS; Razova, EV; Khlobystova, IY</t>
  </si>
  <si>
    <t>Grinshkun, Aleksandr, V; Perevozchikova, Marina S.; Razova, Elena, V; Khlobystova, Irina Yu</t>
  </si>
  <si>
    <t>Using Methods and Means of the Augmented Reality Technology When Training Future Teachers of the Digital School</t>
  </si>
  <si>
    <t>Khlobystova, Irina/0000-0001-7672-0838</t>
  </si>
  <si>
    <t>10.13187/ejced.2021.2.358</t>
  </si>
  <si>
    <t>WOS:000669658200007</t>
  </si>
  <si>
    <t>Krainova, DA; Saetova, NS; Farlenkov, AS; Belyakov, SA; Kuz'min, AV</t>
  </si>
  <si>
    <t>Krainova, D. A.; Saetova, N. S.; Farlenkov, A. S.; Belyakov, S. A.; Kuz'min, A., V</t>
  </si>
  <si>
    <t>Effect of Chromium Oxide Additions on the Stability of Glass Ceramic Sealants for Solid Oxide Fuel Cells</t>
  </si>
  <si>
    <t>Belyakov, Semyon/L-5930-2017; Kuzmin, Anton/O-4057-2014</t>
  </si>
  <si>
    <t>Kuzmin, Anton/0000-0002-0700-662X; Belyakov, Semyon/0000-0001-9237-8307</t>
  </si>
  <si>
    <t>10.1134/S1070427221030083</t>
  </si>
  <si>
    <t>WOS:000653905200008</t>
  </si>
  <si>
    <t>Trushkova, IY; Grachev, SP; Flaksman, AL; Prigarin, AA</t>
  </si>
  <si>
    <t>Trushkova, I. Yu; Grachev, S. P.; Flaksman, A. L.; Prigarin, A. A.</t>
  </si>
  <si>
    <t>Expanding the field of applied research of CAD / CAM / CAE technologies through ethnographic museology</t>
  </si>
  <si>
    <t>Trushkova, Irina/C-5994-2019; Трушкова, Ирина Юрьевна/AAB-4826-2022</t>
  </si>
  <si>
    <t>10.1088/1757-899X/971/3/032059</t>
  </si>
  <si>
    <t>WOS:000646359100160</t>
  </si>
  <si>
    <t>Recognition of the novel HLA-DQB1*05:02:01:15 allele in a Russian bone marrow donor</t>
  </si>
  <si>
    <t>10.1111/tan.14968</t>
  </si>
  <si>
    <t>WOS:000914027400001</t>
  </si>
  <si>
    <t>Khranilov, YP; Zakharov, AV; Kovalenko, VL; Kotok, VA</t>
  </si>
  <si>
    <t>Khranilov, Yu P.; Zakharov, A., V; Kovalenko, V. L.; Kotok, V. A.</t>
  </si>
  <si>
    <t>Electrochemical utilization of disperse copper-iron waste</t>
  </si>
  <si>
    <t>Kotok, Valerii/P-2977-2016; Kovalenko, Vadym/C-5386-2019</t>
  </si>
  <si>
    <t>Kotok, Valerii/0000-0001-8879-7189; Kovalenko, Vadym/0000-0002-8012-6732</t>
  </si>
  <si>
    <t>10.25750/1995-4301-2020-1-136-143</t>
  </si>
  <si>
    <t>WOS:000522789400020</t>
  </si>
  <si>
    <t>Bykova, EV; Klyaus, MP</t>
  </si>
  <si>
    <t>Bykova, Ekaterina V.; Klyaus, Marina P.</t>
  </si>
  <si>
    <t>NATIONALANDINTERNATIONAL IN ORGANIZING OF THE SPACE OF BULGARIAN SETTLEMENTSIN THE KOMI REPUBLIC</t>
  </si>
  <si>
    <t>VESTNIK SLAVIANSKIKH KULTUR-BULLETIN OF SLAVIC CULTURES-SCIENTIFIC AND INFORMATIONAL JOURNAL</t>
  </si>
  <si>
    <t>2073-9567</t>
  </si>
  <si>
    <t>10.37816/2073-9567-2023-67-277-292</t>
  </si>
  <si>
    <t>WOS:000996372300018</t>
  </si>
  <si>
    <t>Egorova, NY; Suleymanova, VN; Ryabova, EV</t>
  </si>
  <si>
    <t>Egorova, N. Y.; Suleymanova, V. N.; Ryabova, E. V.</t>
  </si>
  <si>
    <t>Ecological and demographic characteristics of Cypripedium calceolus L. coenopopulations in the Kirov region</t>
  </si>
  <si>
    <t>10.25750/1995-4301-2022-3-166-174</t>
  </si>
  <si>
    <t>WOS:000885393200021</t>
  </si>
  <si>
    <t>The Influence of Speed-Strength Training on the Vestibular Stability of Children Aged 13-14 Years with Different Strengths of the Nervous System</t>
  </si>
  <si>
    <t>10.22038/IJP.2021.58495.4571</t>
  </si>
  <si>
    <t>WOS:000733418900013</t>
  </si>
  <si>
    <t>Abramova, IV; Shilova, ZV; Varankina, VI; Rubanova, IV</t>
  </si>
  <si>
    <t>Abramova, Irina, V; Shilova, Zoya, V; Varankina, Vera, I; Rubanova, Irina, V</t>
  </si>
  <si>
    <t>Pedagogical Model of Integrative-Modular Training in Professional Preparation of Students</t>
  </si>
  <si>
    <t>Varankina, Vera I./G-9891-2017</t>
  </si>
  <si>
    <t>Varankina, Vera I./0000-0003-4166-1182; Abramova, Irina/0000-0001-6570-4007</t>
  </si>
  <si>
    <t>10.13187/ejced.2019.1.187</t>
  </si>
  <si>
    <t>WOS:000462498700014</t>
  </si>
  <si>
    <t>Sitnikova, EL; Chernysheva, NV</t>
  </si>
  <si>
    <t>Sitnikova, Evgenia L.; Chernysheva, Natalia, V</t>
  </si>
  <si>
    <t>Retrospective memory of Leningraders on the evacuation and life on the Home Front: A historical and sociological analysis</t>
  </si>
  <si>
    <t>Sitnikova, Evgenia/AAV-1364-2020; Chernysheva, Natalia/Q-4804-2016</t>
  </si>
  <si>
    <t>Sitnikova, Evgenia/0000-0002-4774-5689; Chernysheva, Natalia/0000-0002-1492-5368</t>
  </si>
  <si>
    <t>10.31166/VoprosyIstorii202206Statyi23</t>
  </si>
  <si>
    <t>WOS:000814316500021</t>
  </si>
  <si>
    <t>Measures against Illegal Migration in Greece</t>
  </si>
  <si>
    <t>10.15211/soveurope62019161171</t>
  </si>
  <si>
    <t>WOS:000553160200016</t>
  </si>
  <si>
    <t>Belova, K; Dushina, E; Popov, S; Zlobin, A; Martinson, E; Vityazev, F; Litvinets, S</t>
  </si>
  <si>
    <t>Belova, Kseniya; Dushina, Elena; Popov, Sergey; Zlobin, Andrey; Martinson, Ekaterina; Vityazev, Fedor; Litvinets, Sergey</t>
  </si>
  <si>
    <t>Enrichment of 3D-Printed k-Carrageenan Food Gel with Callus Tissue of Narrow-Leaved Lupin Lupinus angustifolius</t>
  </si>
  <si>
    <t>GELS</t>
  </si>
  <si>
    <t>Dushina, Elena/HMV-1878-2023; Belova, Kseniya/HMV-4528-2023; Litvinets, Sergey/I-8188-2013; Popov, Sergey/F-7627-2016</t>
  </si>
  <si>
    <t>Dushina, Elena/0000-0003-2846-4993; Belova, Kseniya/0000-0003-2823-2316; Litvinets, Sergey/0000-0001-8583-5274; Popov, Sergey/0000-0003-1763-8898</t>
  </si>
  <si>
    <t>2310-2861</t>
  </si>
  <si>
    <t>10.3390/gels9010045</t>
  </si>
  <si>
    <t>WOS:000917468800001</t>
  </si>
  <si>
    <t>Kotok, VA; Kovalenko, VL</t>
  </si>
  <si>
    <t>Kotok, V. A.; Kovalenko, V. L.</t>
  </si>
  <si>
    <t>General information on the recycling of chemical power sources. Complex recycling of lead-acid batteries</t>
  </si>
  <si>
    <t>10.25750/1995-4301-2020-4-022-029</t>
  </si>
  <si>
    <t>WOS:000597810500003</t>
  </si>
  <si>
    <t>Sofiina, EV</t>
  </si>
  <si>
    <t>Sofiina, Elena, V</t>
  </si>
  <si>
    <t>MODERN SYSTEMWIDE PROCESSES OF QUALITY MANAGEMENT IN AGRICULTURAL TENURE AT THE REGIONAL LEVEL</t>
  </si>
  <si>
    <t>Sof'ina, Elena/AAZ-6148-2020</t>
  </si>
  <si>
    <t>Sof'ina, Elena/0000-0002-4265-530X</t>
  </si>
  <si>
    <t>10.24874/IJQR14.02-08</t>
  </si>
  <si>
    <t>WOS:000531047700008</t>
  </si>
  <si>
    <t>Soboleva, EV; Suvorova, TN; Chuprakov, DV; Khlobystova, IY</t>
  </si>
  <si>
    <t>Soboleva, Elena, V; Suvorova, Tatiana N.; Chuprakov, Dmitriy, V; Khlobystova, Irina Yu.</t>
  </si>
  <si>
    <t>Formation of Teamwork Skills in Future Teachers when Creating Didactic Games with Traditional and Digital Components</t>
  </si>
  <si>
    <t>Suvorova, Tatiana/0000-0003-3628-129X</t>
  </si>
  <si>
    <t>10.13187/ejced.2023.1.188</t>
  </si>
  <si>
    <t>WOS:000961369300015</t>
  </si>
  <si>
    <t>Mamaeva, EA; Grinshkun, AV; Masharova, TV; Shunina, LA</t>
  </si>
  <si>
    <t>Mamaeva, Ekaterina A.; Grinshkun, Aleksandr, V; Masharova, Tatyana, V; Shunina, Liubov A.</t>
  </si>
  <si>
    <t>Augmented Reality Technology as a Means of Forming Master's Degree Students' Multicultural Competence</t>
  </si>
  <si>
    <t>Mamaeva, Ekaterina/0000-0002-7721-8820</t>
  </si>
  <si>
    <t>10.13187/ejced.2022.4.1147</t>
  </si>
  <si>
    <t>WOS:000914876300009</t>
  </si>
  <si>
    <t>Soboleva, EV; Suvorova, TN; Grinshkun, AV; Bocharov, MI</t>
  </si>
  <si>
    <t>Soboleva, Elena, V; Suvorova, Tatyana N.; Grinshkun, Aleksandr, V; Bocharov, Mikhail, I</t>
  </si>
  <si>
    <t>Applying Gamification in Learning the Basics of Algorithmization and Programming to Improve the Quality of Students' Educational Results</t>
  </si>
  <si>
    <t>10.13187/ejced.2021.4.987</t>
  </si>
  <si>
    <t>WOS:000739150200013</t>
  </si>
  <si>
    <t>Rossinskii, AP; Adalykin, AA; Chagaev, SV; Kimel'blat, VI; Makhotin, AA</t>
  </si>
  <si>
    <t>Rossinskii, A. P.; Adalykin, A. A.; Chagaev, S. V.; Kimel'blat, V. I.; Makhotin, A. A.</t>
  </si>
  <si>
    <t>AP-U resin as modifying additive for polymeric formulations</t>
  </si>
  <si>
    <t>10.1134/S1070427210100290</t>
  </si>
  <si>
    <t>WOS:000284652000029</t>
  </si>
  <si>
    <t>Baykova, O; Obukhova, O; Berezina, Y; Porchesku, G; Kryukova, N</t>
  </si>
  <si>
    <t>Baykova, Olga; Obukhova, Olga; Berezina, Yulia; Porchesku, Galina; Kryukova, Natalia</t>
  </si>
  <si>
    <t>LANGUAGE AS A CONSOLIDATING FACTOR OF ETHNIC IDENTITY OF THE RUSSIAN GERMANS</t>
  </si>
  <si>
    <t>REVISTA ENTRELINGUAS</t>
  </si>
  <si>
    <t>Porchesku, Galina/AAZ-8186-2020; Baykova, Olga Vladimirovna/A-7435-2016</t>
  </si>
  <si>
    <t>Porchesku, Galina/0000-0003-1423-3510; Baykova, Olga Vladimirovna/0000-0002-4859-8553; Olga, Obukhova/0000-0002-8658-6000</t>
  </si>
  <si>
    <t>2447-4045</t>
  </si>
  <si>
    <t>2447-3529</t>
  </si>
  <si>
    <t>e021024</t>
  </si>
  <si>
    <t>10.29051/el.v7iesp.2.15150</t>
  </si>
  <si>
    <t>WOS:000659373500022</t>
  </si>
  <si>
    <t>Demina, NL; Tsirkin, VI; Tarlovskaya, EI; Kostyaev, AA</t>
  </si>
  <si>
    <t>Demina, N. L.; Tsirkin, V., I; Tarlovskaya, E., I; Kostyaev, A. A.</t>
  </si>
  <si>
    <t>Serum alpha-adrenomodulating activity in arterial hypertension</t>
  </si>
  <si>
    <t>RUSSIAN JOURNAL OF CARDIOLOGY</t>
  </si>
  <si>
    <t>Tarlovskaya, Ekaterina/AAN-1142-2020; Tsirkin, Victor/O-1603-2017; Gorodilova, Elena/H-3682-2017</t>
  </si>
  <si>
    <t>Tarlovskaya, Ekaterina/0000-0002-9659-7010; Gorodilova, Elena/0000-0002-5714-2785</t>
  </si>
  <si>
    <t>1560-4071</t>
  </si>
  <si>
    <t>WOS:000254496200012</t>
  </si>
  <si>
    <t>Smirnova, D; Loginova, M; Druzhinina, S; Paramonov, I; Abramova, A; Simakova, T</t>
  </si>
  <si>
    <t>Smirnova, Daria; Loginova, Maria; Druzhinina, Svetlana; Paramonov, Igor; Abramova, Anna; Simakova, Tamara</t>
  </si>
  <si>
    <t>Distributions of HLA-A, -B, -C,-DRB1 and-DQB1 alleles typed by next generation sequencing in Russian volunteer donors</t>
  </si>
  <si>
    <t>Loginova, M./0000-0001-7088-3986; Simakova, Tamara/0000-0001-9023-4852; Paramonov, Igor/0000-0002-7205-912X; Druzhinina, Svetlana/0000-0002-2371-4044</t>
  </si>
  <si>
    <t>10.1111/tan.15007</t>
  </si>
  <si>
    <t>WOS:000943276600001</t>
  </si>
  <si>
    <t>Kalabin, OV; Litvin, FB; Bruk, TM; Bykova, IV; Udovenko, EV</t>
  </si>
  <si>
    <t>Kalabin, O., V; Litvin, F. B.; Bruk, T. M.; Bykova, I., V; Udovenko, E., V</t>
  </si>
  <si>
    <t>Influence of radioecological pollution on heart rate variability in young men of different somatotypes</t>
  </si>
  <si>
    <t>10.25750/1995-4301-2022-4-232-239</t>
  </si>
  <si>
    <t>WOS:000929704700031</t>
  </si>
  <si>
    <t>Chernysheva, NV; Svintsova, MN; Sakovich, NV</t>
  </si>
  <si>
    <t>Chernysheva, Natalia, V; Svintsova, Marina N.; Sakovich, Natalia, V</t>
  </si>
  <si>
    <t>Child and infant mortality in the areas of the Volga-Vyatka region on the eve of and during the Great Patriotic War</t>
  </si>
  <si>
    <t>Марина, Свинцова/AAU-4461-2020; Chernysheva, Natalia/Q-4804-2016</t>
  </si>
  <si>
    <t>10.31166/VoprosyIstorii201911Statyi11</t>
  </si>
  <si>
    <t>WOS:000504079400009</t>
  </si>
  <si>
    <t>Cherkasov, KV; Osipov, DA</t>
  </si>
  <si>
    <t>Cherkasov, Konstantin V.; Osipov, Daniil A.</t>
  </si>
  <si>
    <t>PRINCIPLES OF ORGANISATION AND ACTIVITIES OF COMMISSIONERS OF THE AUTHORITIES OF THE SUBJECTS OF THE RUSSIAN FEDERATION: THEORY AND PRACTICE</t>
  </si>
  <si>
    <t>Osipov, Daniil/AAG-1652-2019; Cherkasov, Konstantin/G-3785-2016</t>
  </si>
  <si>
    <t>Cherkasov, Konstantin/0000-0002-9754-9619</t>
  </si>
  <si>
    <t>10.17223/15617793/430/29</t>
  </si>
  <si>
    <t>WOS:000438858600029</t>
  </si>
  <si>
    <t>Loginova, M; Smirnova, D; Druzhinina, S; Paramonov, I; Zarubin, M</t>
  </si>
  <si>
    <t>Loginova, Maria; Smirnova, Daria; Druzhinina, Svetlana; Paramonov, Igor; Zarubin, Maksim</t>
  </si>
  <si>
    <t>Characterization of seven new HLA alleles, HLA-A*01:407, -A*01:408, -A*03:434, -B*40:508N, -B*40:511N,-DRB1*04:336, and-DRB1*11:297Q</t>
  </si>
  <si>
    <t>e14559</t>
  </si>
  <si>
    <t>10.1111/tan.14559</t>
  </si>
  <si>
    <t>JAN 2022</t>
  </si>
  <si>
    <t>WOS:000749651400001</t>
  </si>
  <si>
    <t>Brodskiy, VA; Sakharov, DA; Kolesnikov, AV; Ashikhmina, TY; Ivanov, KN</t>
  </si>
  <si>
    <t>Brodskiy, V. A.; Sakharov, D. A.; Kolesnikov, A., V; Ashikhmina, T. Ya; Ivanov, K. N.</t>
  </si>
  <si>
    <t>Problems of neutralization and utilization of highly toxic industrial wastes, their processing with obtaining valuable components</t>
  </si>
  <si>
    <t>10.25750/1995-4301-2022-4-088-095</t>
  </si>
  <si>
    <t>WOS:000929704700012</t>
  </si>
  <si>
    <t>Soboleva, EV; Suvorova, TN; Zenkina, SV; Bocharov, MI</t>
  </si>
  <si>
    <t>Soboleva, Elena, V; Suvorova, Tatyana N.; Zenkina, Svetlana, V; Bocharov, Mikhail, I</t>
  </si>
  <si>
    <t>Developing Computational Thinking of Specialists of the Future Through Designing Computer Games for Educational Purposes</t>
  </si>
  <si>
    <t>Bocharov, Mikhail/C-2359-2011</t>
  </si>
  <si>
    <t>Bocharov, Mikhail/0000-0002-3356-3251; Suvorova, Tatiana/0000-0003-3628-129X</t>
  </si>
  <si>
    <t>10.13187/ejced.2021.2.462</t>
  </si>
  <si>
    <t>WOS:000669658200014</t>
  </si>
  <si>
    <t>Byvalov, AA; Konyshev, IV</t>
  </si>
  <si>
    <t>Byvalov, A. A.; Konyshev, I., V</t>
  </si>
  <si>
    <t>YERSINIA PSEUDOTUBERCULOSIS-DERIVED ADHESINS</t>
  </si>
  <si>
    <t>INFEKTSIYA I IMMUNITET</t>
  </si>
  <si>
    <t>Konyshev, Ilya V./A-9370-2019; Byvalov, Andrey A./Y-6825-2018</t>
  </si>
  <si>
    <t>Konyshev, Ilya V./0000-0001-6575-9630; Byvalov, Andrey A./0000-0003-1117-5896</t>
  </si>
  <si>
    <t>2220-7619</t>
  </si>
  <si>
    <t>2313-7398</t>
  </si>
  <si>
    <t>10.15789/2220-7619-2019-3-4-437-448</t>
  </si>
  <si>
    <t>WOS:000497425100002</t>
  </si>
  <si>
    <t>Bykova, EV; Prigarin, AA</t>
  </si>
  <si>
    <t>Bykova, Ekaterina V.; Prigarin, Aleksandr A.</t>
  </si>
  <si>
    <t>The world of visual images of the Tuva Old Believers: from icons and popular prints to photos*</t>
  </si>
  <si>
    <t>NOVYE ISSLEDOVANIYA TUVY-NEW RESEARCH OF TUVA</t>
  </si>
  <si>
    <t>2079-8482</t>
  </si>
  <si>
    <t>10.25178/nit.2019.1.6</t>
  </si>
  <si>
    <t>WOS:000993913200006</t>
  </si>
  <si>
    <t>Popkova, EG; Sozinova, AA; Menshchikova, VI</t>
  </si>
  <si>
    <t>Popkova, Elena G.; Sozinova, Anastasia A.; Menshchikova, Vera, I</t>
  </si>
  <si>
    <t>MANAGING THE ADAPTATION OF MODERN SOCIETY TO THE INDUSTRY 4.0 BASED ON INFORMATION WAVES AND IMPULSES</t>
  </si>
  <si>
    <t>THEORETICAL AND PRACTICAL ISSUES OF JOURNALISM</t>
  </si>
  <si>
    <t>MENSHCHIKOVA, Vera/ABH-9254-2020; Sozinova, Anastasia/F-6298-2015; Popkova, Elena G/C-8484-2014</t>
  </si>
  <si>
    <t>MENSHCHIKOVA, Vera/0000-0001-8216-2326; Sozinova, Anastasia/0000-0001-5876-2823; Popkova, Elena G/0000-0003-2136-2767</t>
  </si>
  <si>
    <t>2308-6203</t>
  </si>
  <si>
    <t>2308-6211</t>
  </si>
  <si>
    <t>10.17150/2308-6203.2019.8(2).438-446</t>
  </si>
  <si>
    <t>WOS:000468390900016</t>
  </si>
  <si>
    <t>Loginova, M; Druzhinina, S; Paramonov, I; Suslova, T</t>
  </si>
  <si>
    <t>Loginova, Maria; Druzhinina, Svetlana; Paramonov, Igor; Suslova, Tatiana</t>
  </si>
  <si>
    <t>Characterization of the novel HLA-DQB1*02:02:23 allele in a Russian hematopoietic stem cell donor</t>
  </si>
  <si>
    <t>10.1111/tan.14965</t>
  </si>
  <si>
    <t>WOS:000911908900001</t>
  </si>
  <si>
    <t>Cheranev, V; Smirnova, D; Jankevic, T; Loginova, M; Korostin, D</t>
  </si>
  <si>
    <t>Cheranev, Valery; Smirnova, Daria; Jankevic, Tatiana; Loginova, Maria; Korostin, Dmitry</t>
  </si>
  <si>
    <t>Description of the novel allele HLA-B*07:473, identified in a bone marrow donor</t>
  </si>
  <si>
    <t>Loginova, M./0000-0001-7088-3986; Korostin, Dmitriy/0000-0003-1343-2550</t>
  </si>
  <si>
    <t>10.1111/tan.14962</t>
  </si>
  <si>
    <t>WOS:000908076200001</t>
  </si>
  <si>
    <t>Ashikhmina, TY; Ogorodnikova, SY</t>
  </si>
  <si>
    <t>Ashikhmina, T. Y.; Ogorodnikova, S. Y.</t>
  </si>
  <si>
    <t>Ecological forum in Kirov</t>
  </si>
  <si>
    <t>WOS:000755154100036</t>
  </si>
  <si>
    <t>Savinykh, NP; Cheryomushkina, VA</t>
  </si>
  <si>
    <t>Savinykh, N. P.; Cheryomushkina, V. A.</t>
  </si>
  <si>
    <t>Biomorphology: Current status and prospects</t>
  </si>
  <si>
    <t>Cheryomushkina, V. A/O-4924-2015</t>
  </si>
  <si>
    <t>Vera, Cheryomushkina/0000-0003-1502-7006; Savinykh, Natalia/0000-0003-4996-8269</t>
  </si>
  <si>
    <t>10.1134/S1995425515050121</t>
  </si>
  <si>
    <t>WOS:000363241200001</t>
  </si>
  <si>
    <t>Influence of Speed-Strength Training on the Speed of Movement of Schoolchildren with Different Strength of the Nervous System</t>
  </si>
  <si>
    <t>10.22038/ijp.2021.57347.4500</t>
  </si>
  <si>
    <t>WOS:000652648300023</t>
  </si>
  <si>
    <t>Kolobova, EV; Dvoryanskii, SA; Nozdrachev, AD; Tsirkin, VI</t>
  </si>
  <si>
    <t>Estimation of erythrocytes beta-adrenoreactivity by their sedimentation rate in the presence of adrenergic drugs</t>
  </si>
  <si>
    <t>WOS:000072655200032</t>
  </si>
  <si>
    <t>Sozinova, AA; Saveleva, NK; Bogoviz, AV; Popkova, EG</t>
  </si>
  <si>
    <t>Sozinova, Anastasia A.; Saveleva, Nadezhda K.; Bogoviz, Aleksei V.; Popkova, Elena G.</t>
  </si>
  <si>
    <t>A STUDY OF THE ORDER OF IMPLEMENTING TEMPORARY GOVERNMENT REGULATION OF COMMODITY PRICES IN THE EAEU: A VIEW FROM THE POSITIONS OF QUALITY</t>
  </si>
  <si>
    <t>10.24874/IJQR16.03-19</t>
  </si>
  <si>
    <t>WOS:000891388900001</t>
  </si>
  <si>
    <t>Andrianov, I; Shatrov, A</t>
  </si>
  <si>
    <t>Andrianov, Igor; Shatrov, Anatoly</t>
  </si>
  <si>
    <t>Pade Approximants, Their Properties, and Applications to Hydrodynamic Problems</t>
  </si>
  <si>
    <t>SYMMETRY-BASEL</t>
  </si>
  <si>
    <t>Igor, Andrianov/G-8772-2016</t>
  </si>
  <si>
    <t>Igor, Andrianov/0000-0002-2762-8565</t>
  </si>
  <si>
    <t>2073-8994</t>
  </si>
  <si>
    <t>10.3390/sym13101869</t>
  </si>
  <si>
    <t>WOS:000717100900001</t>
  </si>
  <si>
    <t>Professional Self-Determination Support for Students in the Digital Educational Space</t>
  </si>
  <si>
    <t>10.13187/ejced.2020.3.603</t>
  </si>
  <si>
    <t>WOS:000567722400011</t>
  </si>
  <si>
    <t>Makhnev, AA</t>
  </si>
  <si>
    <t>Makhnev, Aleksandr Alekseevich</t>
  </si>
  <si>
    <t>AUTOMORPHISMS OF DISTANCE-REGULAR GRAPH WITH INTERSECTION ARRAY {24, 18, 9; 1, 1, 16}</t>
  </si>
  <si>
    <t>10.33048/semi.2019.16.105</t>
  </si>
  <si>
    <t>WOS:000492154000001</t>
  </si>
  <si>
    <t>A novel HLA-DQB1*03 allele, HLA-DQB1*03:509N, was identified by next generation sequencing</t>
  </si>
  <si>
    <t>10.1111/tan.14960</t>
  </si>
  <si>
    <t>WOS:000908688000001</t>
  </si>
  <si>
    <t>SPEED-STRENGTH TRAINING INFLUENCE ON THE INDICATORS OF THE VOLUME OF ATTENTION OF SCHOOLCHILDREN WITH DIFFERENT TYPOLOGY</t>
  </si>
  <si>
    <t>PHARMACOPHORE</t>
  </si>
  <si>
    <t>2229-5402</t>
  </si>
  <si>
    <t>10.51847/1A2QGmzKEo</t>
  </si>
  <si>
    <t>WOS:000685660400001</t>
  </si>
  <si>
    <t>CAD-technologies in archaeological reconstructions: scientific and educational experience of Vyatka State University</t>
  </si>
  <si>
    <t>10.1088/1757-899X/971/3/032060</t>
  </si>
  <si>
    <t>WOS:000646359100161</t>
  </si>
  <si>
    <t>Characterization of two new alleles: HLA-B*51:363 and HLA-DRB1*13:322N</t>
  </si>
  <si>
    <t>10.1111/tan.14617</t>
  </si>
  <si>
    <t>WOS:000777103700001</t>
  </si>
  <si>
    <t>Ivanov, A; Plekhanov, M; Kuzmin, A</t>
  </si>
  <si>
    <t>Ivanov, A.; Plekhanov, M.; Kuzmin, A.</t>
  </si>
  <si>
    <t>The influence of formation features on SOFC electrochemical performance and long-term stability</t>
  </si>
  <si>
    <t>JOURNAL OF APPLIED ELECTROCHEMISTRY</t>
  </si>
  <si>
    <t>Kuzmin, Anton/O-4057-2014; Plekhanov, Maksim/X-2719-2018</t>
  </si>
  <si>
    <t>Kuzmin, Anton/0000-0002-0700-662X; Plekhanov, Maksim/0000-0002-2701-4619</t>
  </si>
  <si>
    <t>0021-891X</t>
  </si>
  <si>
    <t>1572-8838</t>
  </si>
  <si>
    <t>10.1007/s10800-022-01667-0</t>
  </si>
  <si>
    <t>WOS:000740198900003</t>
  </si>
  <si>
    <t>Voroshilova, SV; Tatarinova, EP; Sergeev, AV; Bratukhina, EV</t>
  </si>
  <si>
    <t>Voroshilova, Svetlana V.; Tatarinova, Elena P.; Sergeev, Alexander, V; Bratukhina, Ekaterina, V</t>
  </si>
  <si>
    <t>About the sphinx of Russian law: the phenomenon of legal separation of property of the spouses</t>
  </si>
  <si>
    <t>Voroshilova, Svetlana/CAG-0664-2022</t>
  </si>
  <si>
    <t>10.31166/VoprosyIstorii202111Statyi33</t>
  </si>
  <si>
    <t>WOS:000729818300025</t>
  </si>
  <si>
    <t>Kuklin, AV; Bratukhina, EA; Gorokhovitskaya, YO</t>
  </si>
  <si>
    <t>Kuklin, Andrey, V; Bratukhina, Elena A.; Gorokhovitskaya, Yulia O.</t>
  </si>
  <si>
    <t>QUALITY AS THE KEY LANDMARK OF EDUCATION MANAGEMENT IN THE REGIONAL ECONOMY</t>
  </si>
  <si>
    <t>Andrea Simões Braga, Francisco/GRS-0157-2022; Bratukhina, Elena/AAB-6051-2022</t>
  </si>
  <si>
    <t>10.24874/IJQR15.02-06</t>
  </si>
  <si>
    <t>WOS:000655011600006</t>
  </si>
  <si>
    <t>Meltsov, V; Kuvaev, A; Zhukova, N</t>
  </si>
  <si>
    <t>Arseniev, DG; Overmeyer, L; Kalviainen, H; Katalinic, B</t>
  </si>
  <si>
    <t>Meltsov, Vasily; Kuvaev, Alexey; Zhukova, Natalya</t>
  </si>
  <si>
    <t>Knowledge Processing Method with Calculated Functors</t>
  </si>
  <si>
    <t>CYBER-PHYSICAL SYSTEMS AND CONTROL</t>
  </si>
  <si>
    <t>International Conference on Cyber-Physical Systems and Control (CPS and C)</t>
  </si>
  <si>
    <t>Meltsov, Vasily Yurevich/P-7511-2017; Kuvaev, Alexey/H-9867-2017</t>
  </si>
  <si>
    <t>Meltsov, Vasily Yurevich/0000-0001-5479-9979; Kuvaev, Alexey/0000-0003-1342-9861</t>
  </si>
  <si>
    <t>978-3-030-34983-7; 978-3-030-34982-0</t>
  </si>
  <si>
    <t>10.1007/978-3-030-34983-7_19</t>
  </si>
  <si>
    <t>WOS:000613140000019</t>
  </si>
  <si>
    <t>Palkina, M; Matveeva, N; Psareva, N</t>
  </si>
  <si>
    <t>Palkina, Marina; Matveeva, Nadezhda; Psareva, Nadezhda</t>
  </si>
  <si>
    <t>The innovative activity in depressed regions of the Russian Federation</t>
  </si>
  <si>
    <t>Matveeva, Nadezhda/G-9735-2017</t>
  </si>
  <si>
    <t>10.1051/e3sconf/202021016021</t>
  </si>
  <si>
    <t>WOS:000659867302022</t>
  </si>
  <si>
    <t>Non-Metallic Films Electroplating on the Low-Conductivity Substrates: The Conscious Selection of Conditions Using Ni(OH)(2) Deposition as an Example</t>
  </si>
  <si>
    <t>JOURNAL OF THE ELECTROCHEMICAL SOCIETY</t>
  </si>
  <si>
    <t>Kovalenko, Vadym/C-5386-2019; Kotok, Valerii/P-2977-2016</t>
  </si>
  <si>
    <t>Kovalenko, Vadym/0000-0002-8012-6732; Kotok, Valerii/0000-0001-8879-7189</t>
  </si>
  <si>
    <t>0013-4651</t>
  </si>
  <si>
    <t>1945-7111</t>
  </si>
  <si>
    <t>JUN 6</t>
  </si>
  <si>
    <t>D395</t>
  </si>
  <si>
    <t>D408</t>
  </si>
  <si>
    <t>10.1149/2.0561910jes</t>
  </si>
  <si>
    <t>WOS:000470231700001</t>
  </si>
  <si>
    <t>El'kin, OV; Kovalevskii, AV; Chebykin, VV</t>
  </si>
  <si>
    <t>El'kin, O. V.; Kovalevskii, A. V.; Chebykin, V. V.</t>
  </si>
  <si>
    <t>No-current diffusion saturation of nickel with gadolinium in the LiCl-KCl-GdCl3 melt</t>
  </si>
  <si>
    <t>10.3103/S106782121105004X</t>
  </si>
  <si>
    <t>WOS:000296792700008</t>
  </si>
  <si>
    <t>Fokina, O; Krupnov, Y</t>
  </si>
  <si>
    <t>Fokina, Olga; Krupnov, Yuri</t>
  </si>
  <si>
    <t>Evaluation of the company's organizational culture</t>
  </si>
  <si>
    <t>Krupnov, Yuriy/0000-0002-9524-3747</t>
  </si>
  <si>
    <t>10.1051/e3sconf/202021010007</t>
  </si>
  <si>
    <t>WOS:000659867301032</t>
  </si>
  <si>
    <t>Piskunov, M; Karzin, E; Lukina, V; Lukinov, V; Kholkin, A</t>
  </si>
  <si>
    <t>Piskunov, Maksim; Karzin, Evgeny; Lukina, Valentina; Lukinov, Vitaly; Kholkin, Anatolii</t>
  </si>
  <si>
    <t>Stabilization of marly soils with portland cement</t>
  </si>
  <si>
    <t>; Kholkin, Anatolii/C-6964-2017</t>
  </si>
  <si>
    <t>, vitaly/0000-0001-9544-3522; Kholkin, Anatolii/0000-0002-2790-1314</t>
  </si>
  <si>
    <t>10.1088/1755-1315/90/1/012125</t>
  </si>
  <si>
    <t>WOS:000419816700125</t>
  </si>
  <si>
    <t>Gornostaeva, EA; Berezin, GI; Dabak, EV</t>
  </si>
  <si>
    <t>Gornostaeva, E. A.; Berezin, G. I.; Dabak, E. V.</t>
  </si>
  <si>
    <t>Heavy metals in snow cover and urban soils</t>
  </si>
  <si>
    <t>Berezin, Grigorii/0000-0002-0603-0652; Gornostaeva, Elena/0000-0003-4888-5736</t>
  </si>
  <si>
    <t>10.25750/1995-4301-2022-3-110-117</t>
  </si>
  <si>
    <t>WOS:000885393200014</t>
  </si>
  <si>
    <t>Polevoy, GG; Egorycheva, EV; Fedorov, AV</t>
  </si>
  <si>
    <t>Polevoy, G. G.; Egorycheva, E., V; Fedorov, A., V</t>
  </si>
  <si>
    <t>Development of coordination abilities of football players taking into account the strength of their nervous system</t>
  </si>
  <si>
    <t>Egorycheva, Elina/W-1099-2017; Polevoy, Georgiy/M-2155-2016</t>
  </si>
  <si>
    <t>Egorycheva, Elina/0000-0002-7261-4760; Polevoy, Georgiy/0000-0002-3300-3908</t>
  </si>
  <si>
    <t>10.53350/pjmhs211592651</t>
  </si>
  <si>
    <t>WOS:000729254000003</t>
  </si>
  <si>
    <t>Soboleva, EV; Suvorova, TN; Grinshkun, AV; Nimatulaev, MM</t>
  </si>
  <si>
    <t>Soboleva, Elena, V; Suvorova, Tatyana N.; Grinshkun, Aleksandr, V; Nimatulaev, Magomedkhan M.</t>
  </si>
  <si>
    <t>Formation of Group Creative Thinking When Working with Virtual Walls</t>
  </si>
  <si>
    <t>10.13187/ejced.2021.3.726</t>
  </si>
  <si>
    <t>WOS:000705970600015</t>
  </si>
  <si>
    <t>Fedyaeva, A; Lezhnina, O; Marinina, A; Belinskaya, D</t>
  </si>
  <si>
    <t>Fedyaeva, Anna; Lezhnina, Olga; Marinina, Anastasia; Belinskaya, Daria</t>
  </si>
  <si>
    <t>Socio-psychological motivation of academic teaching staff</t>
  </si>
  <si>
    <t>10.1051/e3sconf/202021017027</t>
  </si>
  <si>
    <t>WOS:000659867302065</t>
  </si>
  <si>
    <t>Paimushin, VN; Firsov, VA; Gazizullin, RK; Kholmogorov, SA; Shishkin, VM</t>
  </si>
  <si>
    <t>Paimushin, V. N.; Firsov, V. A.; Gazizullin, R. K.; Kholmogorov, S. A.; Shishkin, V. M.</t>
  </si>
  <si>
    <t>Theoretical-Experimental Method for Determining the Short- and Long-Term Creep Parameters of Technical Rubber in Shear</t>
  </si>
  <si>
    <t>Gazizullin, Ruslan/GVS-2706-2022; Shishkin, Viktor/U-2323-2018</t>
  </si>
  <si>
    <t>Vyacheslav, Firsov/0000-0002-8948-1570; Gazizullin, Ruslan/0000-0001-7655-7049</t>
  </si>
  <si>
    <t>10.1007/s11029-019-09824-x</t>
  </si>
  <si>
    <t>WOS:000489505400001</t>
  </si>
  <si>
    <t>Rybak, AV; Belykh, ES; Maystrenko, TA; Velegzhaninov, IO</t>
  </si>
  <si>
    <t>Rybak, Anna V.; Belykh, Elena S.; Maystrenko, Tatiana A.; Velegzhaninov, Ilya O.</t>
  </si>
  <si>
    <t>Microsatellite polymorphism of Trifolium pratense population at the conditions of radioactive and chemical contamination of soil (Komi republic, Russia)</t>
  </si>
  <si>
    <t>ENVIRONMENTAL SCIENCE AND POLLUTION RESEARCH</t>
  </si>
  <si>
    <t>Velegzhaninov, Ilya O./P-9554-2015; Belykh, Elena/I-5106-2016; Rybak, Anna/Q-1926-2015</t>
  </si>
  <si>
    <t>Velegzhaninov, Ilya O./0000-0002-4715-4053; Belykh, Elena/0000-0002-0182-6475</t>
  </si>
  <si>
    <t>0944-1344</t>
  </si>
  <si>
    <t>1614-7499</t>
  </si>
  <si>
    <t>10.1007/s11356-018-3375-2</t>
  </si>
  <si>
    <t>WOS:000451954700078</t>
  </si>
  <si>
    <t>Gunter, EA; Melekhin, AK; Belozerov, VS; Ananchenko, BA; Martinson, EA; Litvinets, SG</t>
  </si>
  <si>
    <t>Gunter, Elena A.; Melekhin, Anatoliy K.; Belozerov, Vladislav S.; Ananchenko, Boris A.; Martinson, Ekaterina A.; Litvinets, Sergey G.</t>
  </si>
  <si>
    <t>Adhesive properties of calcium pectinate gels prepared from callus cultures pectins</t>
  </si>
  <si>
    <t>INTERNATIONAL JOURNAL OF BIOLOGICAL MACROMOLECULES</t>
  </si>
  <si>
    <t>Ananchenko, Boris/AAM-5831-2020; Litvinets, Sergey G./I-8188-2013; Gunter, Elena/C-4345-2018; Martinson, Ekaterina/AAL-5413-2020; A.K, Melekhin/AAH-2990-2019; Belozerov, Vladislav/B-7087-2019</t>
  </si>
  <si>
    <t>Ananchenko, Boris/0000-0002-7975-7828; Litvinets, Sergey G./0000-0001-8583-5274; Gunter, Elena/0000-0002-2915-6928; A.K, Melekhin/0000-0002-7574-7323; Belozerov, Vladislav/0000-0002-9930-5458</t>
  </si>
  <si>
    <t>0141-8130</t>
  </si>
  <si>
    <t>1879-0003</t>
  </si>
  <si>
    <t>10.1016/j.ijbiomac.2018.02.053</t>
  </si>
  <si>
    <t>WOS:000430522400106</t>
  </si>
  <si>
    <t>Suslova, GN; Tomashevskaya, NP; Kuvyrchenkova, TV; Gaidashov, AV; Redikultceva, EN</t>
  </si>
  <si>
    <t>Suslova, Galina Nikolaevna; Tomashevskaya, Natalya Petrovna; Kuvyrchenkova, Tatyana Vladimirovna; Gaidashov, Alexander Vasilyevich; Redikultceva, Elena Nikolaevna</t>
  </si>
  <si>
    <t>PROBLEMS OF BRINGING MINORS TO ADMINISTRATIVE LIABILITY IN THE RUSSIAN FEDERATION</t>
  </si>
  <si>
    <t>WOS:000572957200008</t>
  </si>
  <si>
    <t>Mamontov, AI; Petrakov, AP; Zimin, SP</t>
  </si>
  <si>
    <t>Mamontov, A., I; Petrakov, A. P.; Zimin, S. P.</t>
  </si>
  <si>
    <t>POROSITY AND SURFACE MORPHOLOGY OF LEAD SELENIDE - TIN SELENIDE LAYERS ON SILICON SUBSTRATES: X-RAY DIFFRACTION STUDIES</t>
  </si>
  <si>
    <t>ST PETERSBURG POLYTECHNIC UNIVERSITY JOURNAL-PHYSICS AND MATHEMATICS</t>
  </si>
  <si>
    <t>Zimin, Sergey P./AAO-2425-2020</t>
  </si>
  <si>
    <t>2405-7223</t>
  </si>
  <si>
    <t>10.18721/JPM.11110</t>
  </si>
  <si>
    <t>WOS:000457081500010</t>
  </si>
  <si>
    <t>Byvalov, AA; Dudina, LG; Konyshev, IV; Litvinets, SG; Martinson, EA</t>
  </si>
  <si>
    <t>Byvalov, A. A.; Dudina, L. G.; Konyshev, I. V.; Litvinets, S. G.; Martinson, E. A.</t>
  </si>
  <si>
    <t>Immunochemical Nature of Receptors of Pseudotuberculosis Diagnostic Bacteriophage</t>
  </si>
  <si>
    <t>Byvalov, Andrey A./Y-6825-2018; Dudina, Liubov G./C-7171-2017; Konyshev, Ilya V./A-9370-2019; Martinson, Ekaterina/AAL-5413-2020; Litvinets, Sergey G./I-8188-2013</t>
  </si>
  <si>
    <t>Byvalov, Andrey A./0000-0003-1117-5896; Dudina, Liubov G./0000-0002-2172-9015; Konyshev, Ilya V./0000-0001-6575-9630; Litvinets, Sergey G./0000-0001-8583-5274</t>
  </si>
  <si>
    <t>10.1007/s10517-016-3246-0</t>
  </si>
  <si>
    <t>WOS:000373646500022</t>
  </si>
  <si>
    <t>Shirokikh, IG; Ashikhmina, TY</t>
  </si>
  <si>
    <t>Shirokikh, I. G.; Ashikhmina, T. Ya</t>
  </si>
  <si>
    <t>Actinobacteria in protecting the environment from industrial pollution</t>
  </si>
  <si>
    <t>10.25750/1995-4301-2022-4-014-021</t>
  </si>
  <si>
    <t>WOS:000929704700002</t>
  </si>
  <si>
    <t>Tovstik, EV; Skugoreva, SG; Adamovich, TA; Ashikhmina, TY</t>
  </si>
  <si>
    <t>Tovstik, E., V; Skugoreva, S. G.; Adamovich, T. A.; Ashikhmina, T. Ya</t>
  </si>
  <si>
    <t>Approaches to testing controlled fertilizers</t>
  </si>
  <si>
    <t>Tovstik, Evgeniya/P-1350-2017; Ashikhmina, Tamara/O-1326-2015; Skugoreva, Svetlana/O-1406-2015</t>
  </si>
  <si>
    <t>Tovstik, Evgeniya/0000-0003-1861-6076; Ashikhmina, Tamara/0000-0003-4919-0047; Skugoreva, Svetlana/0000-0002-5902-5187</t>
  </si>
  <si>
    <t>10.25750/1995-4301-2022-1-182-190</t>
  </si>
  <si>
    <t>WOS:000819811100026</t>
  </si>
  <si>
    <t>Paimushin, VN; Firsov, VA; Shishkin, VM</t>
  </si>
  <si>
    <t>Paimushin, V. N.; Firsov, V. A.; Shishkin, V. M.</t>
  </si>
  <si>
    <t>Numerical Modeling of Resonant Vibrations of an Elongate Plate with an Integral Damping Coating</t>
  </si>
  <si>
    <t>10.1007/s11029-020-09869-3</t>
  </si>
  <si>
    <t>MAY 2020</t>
  </si>
  <si>
    <t>WOS:000535381800001</t>
  </si>
  <si>
    <t>Pestova, SV; Petukhov, DV; Izmest'ev, ES; Rubtsova, SA</t>
  </si>
  <si>
    <t>Pestova, S. V.; Petukhov, D. V.; Izmest'ev, E. S.; Rubtsova, S. A.</t>
  </si>
  <si>
    <t>Synthesis of Dehydroabietane-derived Sulfonamides with a Lysine Fragment</t>
  </si>
  <si>
    <t>RUSSIAN JOURNAL OF ORGANIC CHEMISTRY</t>
  </si>
  <si>
    <t>Izmest'ev, Evgeny S./S-2021-2016; Rubtsova, Svetlana A/O-2508-2017</t>
  </si>
  <si>
    <t>Rubtsova, Svetlana A/0000-0003-1224-8751; Petukhov, Dmitriy/0000-0002-7733-5250</t>
  </si>
  <si>
    <t>1070-4280</t>
  </si>
  <si>
    <t>1608-3393</t>
  </si>
  <si>
    <t>10.1134/S1070428022080139</t>
  </si>
  <si>
    <t>WOS:000864642400013</t>
  </si>
  <si>
    <t>Byvalov, A; Konyshev, I; Ananchenko, B; Belozerov, V</t>
  </si>
  <si>
    <t>Byvalov, Andrey; Konyshev, Ilya; Ananchenko, Boris; Belozerov, Vladislav</t>
  </si>
  <si>
    <t>Force spectroscopy of interactions between Yersinia pseudotuberculosis and Yersinia pestis cells and monoclonal antibodies using optical tweezers</t>
  </si>
  <si>
    <t>EUROPEAN BIOPHYSICS JOURNAL WITH BIOPHYSICS LETTERS</t>
  </si>
  <si>
    <t>Byvalov, Andrey A./Y-6825-2018; Konyshev, Ilya V./A-9370-2019; Belozerov, Vladislav/B-7087-2019</t>
  </si>
  <si>
    <t>Byvalov, Andrey A./0000-0003-1117-5896; Konyshev, Ilya V./0000-0001-6575-9630; Belozerov, Vladislav/0000-0002-9930-5458</t>
  </si>
  <si>
    <t>0175-7571</t>
  </si>
  <si>
    <t>1432-1017</t>
  </si>
  <si>
    <t>10.1007/s00249-022-01592-2</t>
  </si>
  <si>
    <t>WOS:000766407600001</t>
  </si>
  <si>
    <t>Slyudova, A; Trudonoshyn, O; Prach, O; Lisovskii, V</t>
  </si>
  <si>
    <t>Slyudova, Anna; Trudonoshyn, Oleksandr; Prach, Olena; Lisovskii, Vitaliy</t>
  </si>
  <si>
    <t>Morphology and Nucleation of Intermetallic Phases in Casting Al-Mg-Si Alloys</t>
  </si>
  <si>
    <t>METALLOGRAPHY MICROSTRUCTURE AND ANALYSIS</t>
  </si>
  <si>
    <t>2192-9262</t>
  </si>
  <si>
    <t>2192-9270</t>
  </si>
  <si>
    <t>10.1007/s13632-020-00702-w</t>
  </si>
  <si>
    <t>DEC 2020</t>
  </si>
  <si>
    <t>WOS:000598989600001</t>
  </si>
  <si>
    <t>Ganebnykh, E; Lezhnina, O; Zhukova, J; Kashintseva, V</t>
  </si>
  <si>
    <t>Ganebnykh, Elena; Lezhnina, Olga; Zhukova, Julia; Kashintseva, Valentina</t>
  </si>
  <si>
    <t>Diagnostics of company processes</t>
  </si>
  <si>
    <t>Кашинцева, Валентина/AAC-6594-2022; Ganebnykh, Elena/I-2839-2017</t>
  </si>
  <si>
    <t>Кашинцева, Валентина/0000-0002-0629-0796; Ganebnykh, Elena/0000-0003-0669-8318</t>
  </si>
  <si>
    <t>10.1051/e3sconf/202021010008</t>
  </si>
  <si>
    <t>WOS:000659867301033</t>
  </si>
  <si>
    <t>Shilov, MA; Smirnova, AI; Stolbov, DN; Usol'tseva, NV</t>
  </si>
  <si>
    <t>Shilov, M. A.; Smirnova, A., I; Stolbov, D. N.; Usol'tseva, N., V</t>
  </si>
  <si>
    <t>MODELLING OF DEFORMATION PROCESSES OF CARBON NANOTUBES</t>
  </si>
  <si>
    <t>Usol'tseva, Nadezhda V/I-9502-2017; Stolbov, Dmitrii/AAD-2560-2022; Smirnova, Antonina I/N-6946-2016; Stolbov, Dmitrii/GVS-7607-2022; Stolbov, Dmitrii/U-4262-2019; Shilov, Mikhail Aleksandrovich/D-9621-2017</t>
  </si>
  <si>
    <t>Usol'tseva, Nadezhda V/0000-0001-8963-8024; Smirnova, Antonina I/0000-0002-5234-1283; Stolbov, Dmitrii/0000-0001-8682-2328; Stolbov, Dmitrii/0000-0001-8682-2328; Shilov, Mikhail Aleksandrovich/0000-0002-6445-3303</t>
  </si>
  <si>
    <t>10.18083/LCAppl.2020.1.85</t>
  </si>
  <si>
    <t>WOS:000522216800010</t>
  </si>
  <si>
    <t>Paimushin, VN; Firsov, VA; Gazizullin, RK; Shishkin, VM</t>
  </si>
  <si>
    <t>Paimushin, V. N.; Firsov, V. A.; Gazizullin, R. K.; Shishkin, V. M.</t>
  </si>
  <si>
    <t>Theoretical and experimental method for determining the frequency-dependent dynamic modulus of elasticity and damping characteristics of a titanium alloy OT-4</t>
  </si>
  <si>
    <t>12TH INTERNATIONAL CONFERENCE - MESH METHODS FOR BOUNDARY: VALUE PROBLEMS AND APPLICATIONS</t>
  </si>
  <si>
    <t>12th International Conference on Mesh Methods for Boundary - Value Problems and Applications</t>
  </si>
  <si>
    <t>SEP 20-25, 2018</t>
  </si>
  <si>
    <t>Kazan Fed Univ,Russian Acad Sci, Keldysh Inst Appl Math,Tatarstan Acad Sci,Lomonosov Moscow State Univ</t>
  </si>
  <si>
    <t>Shishkin, Viktor/U-2323-2018; Gazizullin, Ruslan/GVS-2706-2022</t>
  </si>
  <si>
    <t>Gazizullin, Ruslan/0000-0001-7655-7049; Vyacheslav, Firsov/0000-0002-8948-1570</t>
  </si>
  <si>
    <t>10.1088/1742-6596/1158/3/032044</t>
  </si>
  <si>
    <t>WOS:000560244900092</t>
  </si>
  <si>
    <t>Dyakova, G; Izmaylova, S; Mottaeva, A; Karanina, E</t>
  </si>
  <si>
    <t>Dyakova, Galina; Izmaylova, Svetlana; Mottaeva, Angela; Karanina, Elena</t>
  </si>
  <si>
    <t>Priority directions of the improvement of energy management at the enterprise</t>
  </si>
  <si>
    <t>Mottaeva, Angela/AAD-2189-2022; Karanina, Elena E.V./L-1395-2016</t>
  </si>
  <si>
    <t>Karanina, Elena E.V./0000-0002-5439-5912; Mottaeva, Angela/0000-0001-8904-4154</t>
  </si>
  <si>
    <t>10.1088/1755-1315/90/1/012218</t>
  </si>
  <si>
    <t>WOS:000419816700218</t>
  </si>
  <si>
    <t>Pykhtin, K; Simankina, T; Karmokova, K; Zonova, A</t>
  </si>
  <si>
    <t>Pykhtin, Kirill; Simankina, Tatyana; Karmokova, Kristina; Zonova, Alevtina</t>
  </si>
  <si>
    <t>Determination of the optimal proportions of public and private funds in project budget management</t>
  </si>
  <si>
    <t>Simankina, Tatyana Leonidovna/AHA-9338-2022; Zonova, Alevtina/U-9925-2018</t>
  </si>
  <si>
    <t>Zonova, Alevtina/0000-0003-2125-8257</t>
  </si>
  <si>
    <t>10.1088/1755-1315/90/1/012208</t>
  </si>
  <si>
    <t>WOS:000419816700208</t>
  </si>
  <si>
    <t>Shchegolikhin, AN; Iordanskii, AL; Filatova, A; Gumargalieva, KZ; Fomin, SV; Potapov, EE</t>
  </si>
  <si>
    <t>Shchegolikhin, Alexander N.; Iordanskii, Alexey L.; Filatova, Anna; Gumargalieva, Klara Z.; Fomin, Sergey V.; Potapov, Evgeniy E.</t>
  </si>
  <si>
    <t>Water transport, FTIR, and morphology characterizations of novel biodegradable blends based on poly(3-hydroxybutyrate)</t>
  </si>
  <si>
    <t>JOURNAL OF POLYMER ENGINEERING</t>
  </si>
  <si>
    <t>Runnova, Anastasiya/M-2363-2016; Shchegolikhin, Alexander N./AAZ-7530-2021</t>
  </si>
  <si>
    <t>Runnova, Anastasiya/0000-0002-2102-164X; Sergey, Fomin/0000-0003-0393-5613; Shchegolikhin, Alexander/0000-0002-9403-4003; Iordanskii, Alexey/0000-0003-0771-0825</t>
  </si>
  <si>
    <t>0334-6447</t>
  </si>
  <si>
    <t>2191-0340</t>
  </si>
  <si>
    <t>2-3</t>
  </si>
  <si>
    <t>10.1515/POLYENG.2011.058</t>
  </si>
  <si>
    <t>WOS:000294413400033</t>
  </si>
  <si>
    <t>Ryabov, VM; Ryabova, EV; Ashikhmina, TY</t>
  </si>
  <si>
    <t>Ryabov, V. M.; Ryabova, E., V; Ashikhmina, T. Ya</t>
  </si>
  <si>
    <t>Assessment of biodiversity as a mechanism for changing the status of specially protected natural areas</t>
  </si>
  <si>
    <t>Ashikhmina, Tamara/O-1326-2015; Владимир, Рябов/ABD-4335-2021</t>
  </si>
  <si>
    <t xml:space="preserve">Ashikhmina, Tamara/0000-0003-4919-0047; </t>
  </si>
  <si>
    <t>10.25750/1995-4301-2021-3-111-117</t>
  </si>
  <si>
    <t>WOS:000700413300015</t>
  </si>
  <si>
    <t>Dyuzhilova, OM; Samylina, YN; Tolstova, IA; Kishko, VA; Smirnova, AA</t>
  </si>
  <si>
    <t>Dyuzhilova, Olga Mikhailovna; Samylina, Yulia Nikolaevna; Tolstova, Irina Aleksandrovna; Kishko, Vladimir Arkadievich; Smirnova, Anastasiya Alexandrovna</t>
  </si>
  <si>
    <t>SHADOW ECONOMY AS A WAY OF BUSINESS SURVIVAL</t>
  </si>
  <si>
    <t>Dyuzhilova, Olga/ABF-6407-2020</t>
  </si>
  <si>
    <t>WOS:000572957200013</t>
  </si>
  <si>
    <t>Kutyavina, TI; Rutman, VV; Ashikhmina, TY</t>
  </si>
  <si>
    <t>Kutyavina, T., I; Rutman, V. V.; Ashikhmina, T. Ya</t>
  </si>
  <si>
    <t>Determination of the trophic status of the water reservoir and spatial distribution of aquatic vegetation by integral indicators</t>
  </si>
  <si>
    <t>Kutyavina, Tatyana/AAX-3781-2021; Rutman, Vyacheslav V/C-5357-2019; Kutyavina, Tatyana/T-1440-2017; Ashikhmina, Tamara/O-1326-2015</t>
  </si>
  <si>
    <t>Kutyavina, Tatyana/0000-0001-7957-0636; Rutman, Vyacheslav V/0000-0002-9025-3487; Kutyavina, Tatyana/0000-0001-7957-0636; Ashikhmina, Tamara/0000-0003-4919-0047</t>
  </si>
  <si>
    <t>10.25750/1995-4301-2020-1-042-046</t>
  </si>
  <si>
    <t>WOS:000522789400006</t>
  </si>
  <si>
    <t>Palesheva, N; Sergievskaya, N; Rorokov, A</t>
  </si>
  <si>
    <t>Palesheva, Nadezhda; Sergievskaya, Natalia; Rorokov, Andrew</t>
  </si>
  <si>
    <t>The conceptual framework of the impact of money supply on economic growth</t>
  </si>
  <si>
    <t>Palesheva, Nadezhda/AAX-3899-2020; Karanina, Elena E.V./L-1395-2016; Palesheva, Nadejda/C-7401-2017</t>
  </si>
  <si>
    <t>Karanina, Elena E.V./0000-0002-5439-5912; Palesheva, Nadejda/0000-0002-9030-6577</t>
  </si>
  <si>
    <t>10.1051/matecconf/201710608077</t>
  </si>
  <si>
    <t>WOS:000426426600262</t>
  </si>
  <si>
    <t>Grabar, A; Starkova, D; Soboleva, O; Kondratyeva, T</t>
  </si>
  <si>
    <t>Grabar, Anna; Starkova, Darya; Soboleva, Olga; Kondratyeva, Tatyana</t>
  </si>
  <si>
    <t>Economic factors of electricity transport based on energy consumption forecasting</t>
  </si>
  <si>
    <t>Grabar, Anna/AHB-8210-2022; Soboleva, Olga/T-1858-2018</t>
  </si>
  <si>
    <t>Soboleva, Olga/0000-0001-8019-7023</t>
  </si>
  <si>
    <t>10.1051/e3sconf/202021013036</t>
  </si>
  <si>
    <t>WOS:000659867301085</t>
  </si>
  <si>
    <t>Sun, H; Varankina, VI; Sadovaya, VV</t>
  </si>
  <si>
    <t>Sun, Hai; Varankina, Vera I.; Sadovaya, Victoriya V.</t>
  </si>
  <si>
    <t>Didactic Aspects of the Academic Discipline History and Methodology of Mathematics</t>
  </si>
  <si>
    <t>Sadovaya, Viktoriya V/B-1879-2016; Varankina, Vera I./G-9891-2017</t>
  </si>
  <si>
    <t>Sadovaya, Viktoriya V/0000-0002-0124-5953; Varankina, Vera I./0000-0003-4166-1182</t>
  </si>
  <si>
    <t>10.12973/eurasia.2017.00727a</t>
  </si>
  <si>
    <t>WOS:000404607800009</t>
  </si>
  <si>
    <t>Identification of the elastic and damping characteristics of carbon fiber-reinforced plastic based on a study of damping flexural vibrations of test specimens</t>
  </si>
  <si>
    <t>JOURNAL OF APPLIED MECHANICS AND TECHNICAL PHYSICS</t>
  </si>
  <si>
    <t>0021-8944</t>
  </si>
  <si>
    <t>1573-8620</t>
  </si>
  <si>
    <t>10.1134/S0021894416040179</t>
  </si>
  <si>
    <t>WOS:000386562700017</t>
  </si>
  <si>
    <t>Shirokikh, IG; Shirokikh, AA</t>
  </si>
  <si>
    <t>Shirokikh, I. G.; Shirokikh, A. A.</t>
  </si>
  <si>
    <t>Antagonism and Resistance to Antibiotics of Actinomycetes from Soils of Three Specially Protected Natural Territories</t>
  </si>
  <si>
    <t>Shirikikh, Alexandr A.A.S./W-7606-2018; Shirokikh, Irina G/V-3449-2017</t>
  </si>
  <si>
    <t>Shirokikh, Irina G/0000-0002-3319-2729</t>
  </si>
  <si>
    <t>10.1134/S1064229319100132</t>
  </si>
  <si>
    <t>WOS:000491515600009</t>
  </si>
  <si>
    <t>Gerasimov, A; Shakhova, E; Rogozhkin, S</t>
  </si>
  <si>
    <t>Gerasimov, A.; Shakhova, E.; Rogozhkin, S.</t>
  </si>
  <si>
    <t>Heterologous expression of fungus Neonothopanus nambi hispidin-3-hydroxylase in yeast Komagataella phaffii (Pichia Pastoris)</t>
  </si>
  <si>
    <t>FEBS OPEN BIO</t>
  </si>
  <si>
    <t>2211-5463</t>
  </si>
  <si>
    <t>P-41-042</t>
  </si>
  <si>
    <t>WOS:000486972406174</t>
  </si>
  <si>
    <t>Petrova, EA; Masutin, VV; Zhuykova, IA</t>
  </si>
  <si>
    <t>Petrova, Ekaterina A.; Masutin, Vladimir V.; Zhuykova, Irina A.</t>
  </si>
  <si>
    <t>Two incomplete skeletons of woolly mammoth (Mammuthus primigenius) from the late Pleistocene in the Kirov Region, European Russia</t>
  </si>
  <si>
    <t>RUSSIAN JOURNAL OF THERIOLOGY</t>
  </si>
  <si>
    <t>Petrova, Ekaterina/AAH-3386-2019</t>
  </si>
  <si>
    <t>1682-3559</t>
  </si>
  <si>
    <t>10.15298/rusjtheriol.16.2.05</t>
  </si>
  <si>
    <t>WOS:000418853400005</t>
  </si>
  <si>
    <t>Zheltenkov, A; Syuzeva, O; Vasilyeva, E; Sapozhnikova, E</t>
  </si>
  <si>
    <t>Zheltenkov, Alexander; Syuzeva, Olga; Vasilyeva, Elena; Sapozhnikova, Ekaterina</t>
  </si>
  <si>
    <t>Development of investment infrastructure as the factor of the increase in investment attractiveness of the region</t>
  </si>
  <si>
    <t>Vasilyeva, Elena/AAD-1693-2019</t>
  </si>
  <si>
    <t>Vasilyeva, Elena/0000-0001-7797-1954; Kasiyanov, Vitaly/0000-0001-8573-9258</t>
  </si>
  <si>
    <t>10.1088/1755-1315/90/1/012122</t>
  </si>
  <si>
    <t>WOS:000419816700122</t>
  </si>
  <si>
    <t>Pestov, SV; Ogorodnikova, SY</t>
  </si>
  <si>
    <t>Pestov, S. V.; Ogorodnikova, S. Yu.</t>
  </si>
  <si>
    <t>Status of the Photosynthetic Apparatus of Woody Plants Damaged by Gall Mites</t>
  </si>
  <si>
    <t>10.1134/S1062359020100179</t>
  </si>
  <si>
    <t>WOS:000608058700021</t>
  </si>
  <si>
    <t>Trudonoshyn, O; Prach, O; Slyudova, A; Lisovskii, V</t>
  </si>
  <si>
    <t>Trudonoshyn, Oleksandr; Prach, Olena; Slyudova, Anna; Lisovskii, Vitaliy</t>
  </si>
  <si>
    <t>Structure formation and multistep nucleation in CASTING Al-Mg-Si alloys</t>
  </si>
  <si>
    <t>INTERNATIONAL JOURNAL OF CAST METALS RESEARCH</t>
  </si>
  <si>
    <t>1364-0461</t>
  </si>
  <si>
    <t>1743-1336</t>
  </si>
  <si>
    <t>SEP 2</t>
  </si>
  <si>
    <t>10.1080/13640461.2020.1822632</t>
  </si>
  <si>
    <t>SEP 2020</t>
  </si>
  <si>
    <t>WOS:000569199100001</t>
  </si>
  <si>
    <t>Adamovich, TA; Skugoreva, SG; Tovstik, EV; Ashikhmina, TY</t>
  </si>
  <si>
    <t>Adamovich, T. A.; Skugoreva, S. G.; Tovstik, E., V; Ashikhmina, T. Ya</t>
  </si>
  <si>
    <t>Study of the chemical composition of water bodies protected area for use as a regional background</t>
  </si>
  <si>
    <t>Adamovich, Tatyana/N-3967-2016; Ashikhmina, Tamara/O-1326-2015; Tovstik, Evgeniya/P-1350-2017; Skugoreva, Svetlana/O-1406-2015</t>
  </si>
  <si>
    <t>Adamovich, Tatyana/0000-0002-8684-927X; Ashikhmina, Tamara/0000-0003-4919-0047; Tovstik, Evgeniya/0000-0003-1861-6076; Skugoreva, Svetlana/0000-0002-5902-5187</t>
  </si>
  <si>
    <t>10.25750/1995-4301-2020-1-089-096</t>
  </si>
  <si>
    <t>WOS:000522789400013</t>
  </si>
  <si>
    <t>Tovstik, EV; Adamovich, TA; Ashikhmina, TY</t>
  </si>
  <si>
    <t>Tovstik, E., V; Adamovich, T. A.; Ashikhmina, T. Ya</t>
  </si>
  <si>
    <t>Identification of sites of mass growth of Heracleum sosnowskyi Manden. using spectral indices according to Sentinel-2 images</t>
  </si>
  <si>
    <t>Ashikhmina, Tamara/O-1326-2015; Adamovich, Tatyana/N-3967-2016; Tovstik, Evgeniya/P-1350-2017</t>
  </si>
  <si>
    <t>Ashikhmina, Tamara/0000-0003-4919-0047; Adamovich, Tatyana/0000-0002-8684-927X; Tovstik, Evgeniya/0000-0003-1861-6076</t>
  </si>
  <si>
    <t>10.25750/1995-4301-2019-3-034-040</t>
  </si>
  <si>
    <t>WOS:000490704900005</t>
  </si>
  <si>
    <t>Glushkov, VN; Sarancha, DA</t>
  </si>
  <si>
    <t>Glushkov, V. N.; Sarancha, D. A.</t>
  </si>
  <si>
    <t>A complex mathematical modeling method for biological objects. Modeling the tundra community</t>
  </si>
  <si>
    <t>AUTOMATION AND REMOTE CONTROL</t>
  </si>
  <si>
    <t>0005-1179</t>
  </si>
  <si>
    <t>1608-3032</t>
  </si>
  <si>
    <t>10.1134/S0005117913020069</t>
  </si>
  <si>
    <t>WOS:000315199600006</t>
  </si>
  <si>
    <t>Onoshko, V; Kryukova, N; Oborina, M; Osipova, O; Drygina, I</t>
  </si>
  <si>
    <t>Onoshko, Viacheslav; Kryukova, Natalya; Oborina, Marina; Osipova, Olga; Drygina, Inna</t>
  </si>
  <si>
    <t>ON THE ACOUSTIC STRUCTURE AND THE PHONOLOGICAL STATUS OF DIPHTHONGS IN GERMAN ISLAND DIALECTICS (ON THE EXAMPLE OF THE SETTLEMENTS OF SOZIMSKY AND CHERNIGOVSKY IN THE KIROV REGION)</t>
  </si>
  <si>
    <t>Drygina, Inna/0000-0002-5090-8506</t>
  </si>
  <si>
    <t>e021086</t>
  </si>
  <si>
    <t>WOS:000717948200021</t>
  </si>
  <si>
    <t>Identification of Parameters of Short-Time Creep of Plexiglas By Means of Studying Decaying Flexural Vibrations of Test Samples</t>
  </si>
  <si>
    <t>Vyacheslav, Firsov/0000-0002-8948-1570</t>
  </si>
  <si>
    <t>10.1134/S0021894418030173</t>
  </si>
  <si>
    <t>WOS:000437448600017</t>
  </si>
  <si>
    <t>Agapitova, E; Chahkiev, G; Gerasimova, V</t>
  </si>
  <si>
    <t>Agapitova, Elena; Chahkiev, Gennady; Gerasimova, Vera</t>
  </si>
  <si>
    <t>The factors to assess the quality of management of housing and communal services</t>
  </si>
  <si>
    <t>10.1051/matecconf/201710608075</t>
  </si>
  <si>
    <t>WOS:000426426600260</t>
  </si>
  <si>
    <t>Konyshev, IV; Novikova, OD; Portnyagina, O; Byvalov, AA</t>
  </si>
  <si>
    <t>Konyshev, I. V.; Novikova, O. D.; Portnyagina, O. Yu.; Byvalov, A. A.</t>
  </si>
  <si>
    <t>IMMUNOCHEMICAL ACTIVITY OF YERSINIA PSEUDOTUBERCULOSIS OmpF AND OmpC PORINS EVALUATED BY OPTICAL TRAPPING</t>
  </si>
  <si>
    <t>Konyshev, Ilya V./A-9370-2019</t>
  </si>
  <si>
    <t>Konyshev, Ilya V./0000-0001-6575-9630</t>
  </si>
  <si>
    <t>10.15789/2220-7619-IAO-2007</t>
  </si>
  <si>
    <t>WOS:000921018100018</t>
  </si>
  <si>
    <t>MODELING THE DYNAMIC RESPONSE OF A CARBON-FIBER-REINFORCED PLATE AT RESONANT VIBRATIONS CONSIDERING THE INTERNAL FRICTION IN THE MATERIAL AND THE EXTERNAL AERODYNAMIC DAMPING</t>
  </si>
  <si>
    <t>Shishkin, Viktor/0000-0002-1237-2309; Vyacheslav, Firsov/0000-0002-8948-1570</t>
  </si>
  <si>
    <t>10.1007/s11029-017-9673-9</t>
  </si>
  <si>
    <t>WOS:000410474000001</t>
  </si>
  <si>
    <t>Izmest'ev, ES; Pestova, SV; Petukhov, DV; Rubtsova, SA</t>
  </si>
  <si>
    <t>Izmest'ev, Evgeniy S.; Pestova, Svetlana, V; Petukhov, Dmitriy, V; Rubtsova, Svetlana A.</t>
  </si>
  <si>
    <t>Benzylic functionalization of dehydroabietane derivatives as a convenient way to sulfur compounds</t>
  </si>
  <si>
    <t>CHEMICAL PAPERS</t>
  </si>
  <si>
    <t>Rubtsova, Svetlana A/0000-0003-1224-8751; Izmest'ev, Evgeniy/0000-0001-5698-6292</t>
  </si>
  <si>
    <t>0366-6352</t>
  </si>
  <si>
    <t>2585-7290</t>
  </si>
  <si>
    <t>10.1007/s11696-022-02234-9</t>
  </si>
  <si>
    <t>WOS:000790677400002</t>
  </si>
  <si>
    <t>Syrchina, NV; Ashikhmina, TY; Bogatyryova, NN; Kantor, GY</t>
  </si>
  <si>
    <t>Syrchina, N., V; Ashikhmina, T. Ya; Bogatyryova, N. N.; Kantor, G. Ya</t>
  </si>
  <si>
    <t>Glauconites of the Vyatka-Kama phosphorite-bearing basin</t>
  </si>
  <si>
    <t>Богатырёва, Надежда/ABF-2671-2020; Ashikhmina, Tamara/O-1326-2015; Syrchina, Nadezhda/ABF-2311-2020</t>
  </si>
  <si>
    <t>Ashikhmina, Tamara/0000-0003-4919-0047; Syrchina, Nadezhda/0000-0001-8049-6760</t>
  </si>
  <si>
    <t>10.25750/1995-4301-2020-2-117-122</t>
  </si>
  <si>
    <t>WOS:000545295600016</t>
  </si>
  <si>
    <t>Markov, PA; Khramova, DS; Shumikhin, KV; Nikitina, IR; Beloserov, VS; Martinson, EA; Litvinets, SG; Popov, SV</t>
  </si>
  <si>
    <t>Markov, Pavel A.; Khramova, Darya S.; Shumikhin, Konstantin V.; Nikitina, Ida R.; Beloserov, Vladislav S.; Martinson, Ekaterina A.; Litvinets, Sergey G.; Popov, Sergey V.</t>
  </si>
  <si>
    <t>Mechanical properties of the pectin hydrogels and inflammation response to their subcutaneous implantation</t>
  </si>
  <si>
    <t>JOURNAL OF BIOMEDICAL MATERIALS RESEARCH PART A</t>
  </si>
  <si>
    <t>Popov, Sergey V/F-7627-2016; Popov, Sergey/AAM-6438-2021; Martinson, Ekaterina/AAL-5413-2020; Belozerov, Vladislav/B-7087-2019; Khramova, Daria/AAH-7690-2019; Markov, Pavel/Q-2677-2016</t>
  </si>
  <si>
    <t>Popov, Sergey V/0000-0003-1763-8898; Popov, Sergey/0000-0003-1763-8898; Belozerov, Vladislav/0000-0002-9930-5458; Khramova, Daria/0000-0003-0970-9203; Markov, Pavel/0000-0002-4803-4803</t>
  </si>
  <si>
    <t>1549-3296</t>
  </si>
  <si>
    <t>1552-4965</t>
  </si>
  <si>
    <t>10.1002/jbm.a.36721</t>
  </si>
  <si>
    <t>WOS:000475476600021</t>
  </si>
  <si>
    <t>Bogoviz, AV; Sozinova, AA; Ostrovskaya, VV</t>
  </si>
  <si>
    <t>Endovitsky, DA; Popkova, EG</t>
  </si>
  <si>
    <t>Bogoviz, Aleksei V.; Sozinova, Anastasiya A.; Ostrovskaya, Viktoria V.</t>
  </si>
  <si>
    <t>Approaches to Managing Economic Growth of Socio-economic Systems</t>
  </si>
  <si>
    <t>MANAGEMENT OF CHANGES IN SOCIO-ECONOMIC SYSTEMS</t>
  </si>
  <si>
    <t>Sozinova, Anastasia/F-6298-2015; Bogoviz, Aleksei/H-1867-2017; Ostrovskaya, Victoria/AAA-9164-2021</t>
  </si>
  <si>
    <t>Sozinova, Anastasia/0000-0001-5876-2823; Bogoviz, Aleksei/0000-0002-6667-5284; Ostrovskaya, Victoria/0000-0001-6148-1037</t>
  </si>
  <si>
    <t>978-3-319-72613-7; 978-3-319-72612-0</t>
  </si>
  <si>
    <t>10.1007/978-3-319-72613-7_11</t>
  </si>
  <si>
    <t>10.1007/978-3-319-72613-7</t>
  </si>
  <si>
    <t>WOS:000554931000012</t>
  </si>
  <si>
    <t>Gunter, EA; Popeyko, OV; Markov, PA; Martinson, EA; Litvinets, SG; Durnev, EA; Popov, SV; Ovodov, YS</t>
  </si>
  <si>
    <t>Guenter, Elena A.; Popeyko, Oxana V.; Markov, Pavel A.; Martinson, Ekaterina A.; Litvinets, Sergey G.; Durnev, Eugene A.; Popov, Sergey V.; Ovodov, Yury S.</t>
  </si>
  <si>
    <t>Swelling and morphology of calcium pectinate gel beads obtained from Silene vulgaris callus modified pectins</t>
  </si>
  <si>
    <t>CARBOHYDRATE POLYMERS</t>
  </si>
  <si>
    <t>Popeyko, Oksana/AAE-7935-2019; Popov, Sergey V/F-7627-2016; Markov, Pavel/Q-2677-2016; Litvinets, Sergey G./I-8188-2013; Gunter, Elena/C-4345-2018; Martinson, Ekaterina/AAL-5413-2020; Popov, Sergey/AAM-6438-2021</t>
  </si>
  <si>
    <t>Popov, Sergey V/0000-0003-1763-8898; Markov, Pavel/0000-0002-4803-4803; Litvinets, Sergey G./0000-0001-8583-5274; Gunter, Elena/0000-0002-2915-6928; Popov, Sergey/0000-0003-1763-8898</t>
  </si>
  <si>
    <t>0144-8617</t>
  </si>
  <si>
    <t>1879-1344</t>
  </si>
  <si>
    <t>MAR 15</t>
  </si>
  <si>
    <t>10.1016/j.carbpol.2013.12.071</t>
  </si>
  <si>
    <t>WOS:000332812600072</t>
  </si>
  <si>
    <t>Kondakova, LV; Dabakh, EV</t>
  </si>
  <si>
    <t>Kondakova, L., V; Dabakh, E., V</t>
  </si>
  <si>
    <t>Monitoring of algocyanobacterial communities on the technogenic territory</t>
  </si>
  <si>
    <t>10.25750/1995-4301-2022-1-084-090</t>
  </si>
  <si>
    <t>WOS:000819811100011</t>
  </si>
  <si>
    <t>Cherkasov, KV; Ivanova, OS; Chalykh, IS</t>
  </si>
  <si>
    <t>Cherkasov, Konstantin, V; Ivanova, Olga S.; Chalykh, Irina S.</t>
  </si>
  <si>
    <t>State Support of Religious Associations in the Modern Secular State: Foreign Experience of Legal Regulation and Law Enforcement</t>
  </si>
  <si>
    <t>Chalykh, Irina Sergeyevna/G-2039-2016; Cherkasov, Konstantin/G-3785-2016</t>
  </si>
  <si>
    <t>Chalykh, Irina Sergeyevna/0000-0002-7854-0475; Cherkasov, Konstantin/0000-0002-9754-9619</t>
  </si>
  <si>
    <t>10.17223/15617793/462/31</t>
  </si>
  <si>
    <t>WOS:000637601600031</t>
  </si>
  <si>
    <t>Lyalina, EI; Fokina, AI; Ashikhmina, TY; Olkova, AS; Beresneva, EV; Darovskikh, LV; Yarmolenko, AS</t>
  </si>
  <si>
    <t>Lyalina, E., I; Fokina, A., I; Ashikhmina, T. Ya; Olkova, A. S.; Beresneva, E., V; Darovskikh, L., V; Yarmolenko, A. S.</t>
  </si>
  <si>
    <t>Comprehensive chemical-toxicological research of copper(II) sulfate solutions containing reduced glutathione</t>
  </si>
  <si>
    <t>10.25750/1995-4301-2018-2-101/2-107/1</t>
  </si>
  <si>
    <t>WOS:000468564500013</t>
  </si>
  <si>
    <t>Gunter, EA; Popeyko, OV; Belozerov, VS; Martinson, EA; Litvinets, SG</t>
  </si>
  <si>
    <t>Gunter, Elena A.; Popeyko, Oxana, V; Belozerov, Vladislav S.; Martinson, Ekaterina A.; Litvinets, Sergey G.</t>
  </si>
  <si>
    <t>Composite callus culture pectin/alginate hydrogel matrices stable in the gastrointestinal environment: physicochemical properties, morphology and swelling behavior</t>
  </si>
  <si>
    <t>JOURNAL OF POLYMER RESEARCH</t>
  </si>
  <si>
    <t>Popeyko, Oksana/AAE-7935-2019; Belozerov, Vladislav/B-7087-2019; Gunter, Elena/C-4345-2018</t>
  </si>
  <si>
    <t>Belozerov, Vladislav/0000-0002-9930-5458; Gunter, Elena/0000-0002-2915-6928</t>
  </si>
  <si>
    <t>1022-9760</t>
  </si>
  <si>
    <t>1572-8935</t>
  </si>
  <si>
    <t>10.1007/s10965-022-03042-1</t>
  </si>
  <si>
    <t>WOS:000792653100004</t>
  </si>
  <si>
    <t>Kontsevaya, S; Kontsevoy, G; Adamaytis, L</t>
  </si>
  <si>
    <t>Jedlicka, P; Maresova, P; Soukal, I</t>
  </si>
  <si>
    <t>Kontsevaya, Stanislava; Kontsevoy, Grigoriy; Adamaytis, Ludmila</t>
  </si>
  <si>
    <t>Development of Agricultural Insurance in the Russian Federation</t>
  </si>
  <si>
    <t>HRADEC ECONOMIC DAYS, VOL. 9, ISSUE I</t>
  </si>
  <si>
    <t>Hradec Economic Days</t>
  </si>
  <si>
    <t>17th International Scientific Conference on Hradec Economic Days</t>
  </si>
  <si>
    <t>FEB 05-06, 2019</t>
  </si>
  <si>
    <t>Hradec Kralove, CZECH REPUBLIC</t>
  </si>
  <si>
    <t>Univ Hradec Kralove, Fac Informat &amp; Management,Wroclaw Univ Econ,Cracow Univ Econ,Univ S Bohemia, Off Transfer Technologies,Czech Natl Bank</t>
  </si>
  <si>
    <t>Kontsevaya, Stanislava Rolanovna/F-2088-2017; Adamaitis, Lyudmila/N-6780-2018</t>
  </si>
  <si>
    <t>Kontsevaya, Stanislava Rolanovna/0000-0002-1222-1682; Adamaitis, Lyudmila/0000-0002-6571-9193</t>
  </si>
  <si>
    <t>2464-6059</t>
  </si>
  <si>
    <t>2464-6067</t>
  </si>
  <si>
    <t>978-80-7435-735-0</t>
  </si>
  <si>
    <t>WOS:000461883000041</t>
  </si>
  <si>
    <t>ACCOUNTING FOR THE FREQUENCY-DEPENDENT DYNAMIC ELASTIC MODULUS OF DURALUMIN IN DEFORMATION PROBLEMS</t>
  </si>
  <si>
    <t>10.1134/S0021894417030178</t>
  </si>
  <si>
    <t>WOS:000406338900017</t>
  </si>
  <si>
    <t>Isupova, NI; Mamaeva, EA; Bocharov, MI; Bocharova, TI</t>
  </si>
  <si>
    <t>Isupova, Natalya I.; Mamaeva, Ekaterina A.; Bocharov, Mikhail, I; Bocharova, Tatyana, I</t>
  </si>
  <si>
    <t>Practical Activity on Developing a System of Tasks as a Condition for Training A Future Digital School Teacher</t>
  </si>
  <si>
    <t>Бочарова, Татьяна/AAH-4416-2021; Bocharov, Mikhail/C-2359-2011; Mamaeva, Ekaterina/AAP-9683-2020</t>
  </si>
  <si>
    <t>Бочарова, Татьяна/0000-0002-7230-4068; Bocharov, Mikhail/0000-0002-3356-3251; Mamaeva, Ekaterina/0000-0002-7721-8820</t>
  </si>
  <si>
    <t>10.13187/ejced.2021.3.638</t>
  </si>
  <si>
    <t>WOS:000705970600008</t>
  </si>
  <si>
    <t>Paimushin, V; Firsov, V; Shishkin, V</t>
  </si>
  <si>
    <t>Matveenko, VP; Trusov, PV; Yants, AY; Faerman, VA</t>
  </si>
  <si>
    <t>Paimushin, Vitaly; Firsov, Vyacheslav; Shishkin, Victor</t>
  </si>
  <si>
    <t>Modeling of the Resonant Vibrations of an Elongated Plate with an Integrated Damping Coating Taking into Account the Amplitude-Dependent Internal Friction in the Material of the Damping Layers</t>
  </si>
  <si>
    <t>28TH RUSSIAN CONFERENCE ON MATHEMATICAL MODELLING IN NATURAL SCIENCES</t>
  </si>
  <si>
    <t>AIP Conference Proceedings</t>
  </si>
  <si>
    <t>28th Russian Conference on Mathematical Modelling in Natural Sciences (RuMoNaS)</t>
  </si>
  <si>
    <t>OCT 02-05, 2019</t>
  </si>
  <si>
    <t>Perm Natl Res Polytechn Univ, Perm, RUSSIA</t>
  </si>
  <si>
    <t>Perm Natl Res Polytechn Univ</t>
  </si>
  <si>
    <t>0094-243X</t>
  </si>
  <si>
    <t>978-0-7354-1970-4</t>
  </si>
  <si>
    <t>10.1063/5.0003363</t>
  </si>
  <si>
    <t>WOS:000558065900007</t>
  </si>
  <si>
    <t>Gunter, EA; Khramova, DS; Markov, PA; Popeyko, OV; Melekhin, AK; Beloserov, VS; Martinson, EA; Litvinets, SG; Popov, SV</t>
  </si>
  <si>
    <t>Gunter, Elena A.; Khramova, Daria S.; Markov, Pavel A.; Popeyko, Oxana V.; Melekhin, Anatoliy K.; Beloserov, Vladislav S.; Martinson, Ekaterina A.; Litvinets, Sergey G.; Popov, Sergey V.</t>
  </si>
  <si>
    <t>Swelling behavior and satiating effect of the gel microparticles obtained from callus cultures pectins</t>
  </si>
  <si>
    <t>Litvinets, Sergey G./I-8188-2013; Khramova, Daria/AAH-7690-2019; Popeyko, Oksana/AAE-7935-2019; A.K, Melekhin/AAH-2990-2019; Popov, Sergey V/F-7627-2016; Popov, Sergey/AAM-6438-2021; Martinson, Ekaterina/AAL-5413-2020; Gunter, Elena/C-4345-2018; Belozerov, Vladislav/B-7087-2019; Markov, Pavel/Q-2677-2016</t>
  </si>
  <si>
    <t>Litvinets, Sergey G./0000-0001-8583-5274; Khramova, Daria/0000-0003-0970-9203; A.K, Melekhin/0000-0002-7574-7323; Popov, Sergey V/0000-0003-1763-8898; Popov, Sergey/0000-0003-1763-8898; Gunter, Elena/0000-0002-2915-6928; Belozerov, Vladislav/0000-0002-9930-5458; Markov, Pavel/0000-0002-4803-4803</t>
  </si>
  <si>
    <t>FEB 15</t>
  </si>
  <si>
    <t>10.1016/j.ijbiomac.2018.11.081</t>
  </si>
  <si>
    <t>WOS:000456760100035</t>
  </si>
  <si>
    <t>Sysuev, V; Savinyh, P; Aleshkin, A; Ivanovs, S</t>
  </si>
  <si>
    <t>Sysuev, Vasiliy; Savinyh, Peter; Aleshkin, Alexey; Ivanovs, Semjons</t>
  </si>
  <si>
    <t>SIMULATION OF ELASTIC DEFORMATION PROPAGATION OF GRAIN UNDER IMPACT CRUSHING IN CRUSHER</t>
  </si>
  <si>
    <t>Ivanovs, Semjons/AAD-7303-2022; Aleshkin, Aleksey/ABA-6228-2020; Sysuev, Vasilii/B-8519-2019</t>
  </si>
  <si>
    <t>Ivanovs, Semjons/0000-0002-9072-1340; Aleshkin, Aleksey/0000-0002-6949-1480; Sysuev, Vasilii/0000-0002-1172-005X</t>
  </si>
  <si>
    <t>WOS:000390059500166</t>
  </si>
  <si>
    <t>Domnina, EA; Adamovich, TA; Timonov, AS; Ashikhmina, TY</t>
  </si>
  <si>
    <t>Domnina, E. A.; Adamovich, T. A.; Timonov, A. S.; Ashikhmina, T. Ya.</t>
  </si>
  <si>
    <t>Monitoring of overgrowing of abandoned agricultural lands using high-resolution satellite images</t>
  </si>
  <si>
    <t>10.25750/1995-4301-2022-3-082-089</t>
  </si>
  <si>
    <t>WOS:000885393200010</t>
  </si>
  <si>
    <t>Bezdenezhnyk, KA; Kondakova, LV; Dabakh, EV; Ashikhmina, TY</t>
  </si>
  <si>
    <t>Bezdenezhnyk, K. A.; Kondakova, L., V; Dabakh, E., V; Ashikhmina, T. Ya</t>
  </si>
  <si>
    <t>Algological monitoring of soils in the vicinity of the plant Maradykovskiy</t>
  </si>
  <si>
    <t>10.25750/1995-4301-2021-2-081-088</t>
  </si>
  <si>
    <t>WOS:000667025400012</t>
  </si>
  <si>
    <t>The use of the normalized relative algoindex for the assessment of algae blooms in the reservoirs of the Vyatka-Kama cis-Urals</t>
  </si>
  <si>
    <t>Ashikhmina, Tamara/O-1326-2015; Kutyavina, Tatyana/T-1440-2017</t>
  </si>
  <si>
    <t>Ashikhmina, Tamara/0000-0003-4919-0047; Kutyavina, Tatyana/0000-0001-7957-0636</t>
  </si>
  <si>
    <t>10.25750/1995-4301-2021-3-060-065</t>
  </si>
  <si>
    <t>WOS:000700413300008</t>
  </si>
  <si>
    <t>Oborin, VA; Ashikhmina, TY</t>
  </si>
  <si>
    <t>Oborin, V. A.; Ashikhmina, T. Ya</t>
  </si>
  <si>
    <t>Experimental substantiation of the possibility of using red blood cells as a model for studying the membrane damaging effect of nanoparticles</t>
  </si>
  <si>
    <t>Oborin, Vladimir/B-3478-2018; Ashikhmina, Tamara/O-1326-2015</t>
  </si>
  <si>
    <t>10.25750/1995-4301-2020-3-176-181</t>
  </si>
  <si>
    <t>WOS:000580337700026</t>
  </si>
  <si>
    <t>Domracheva, LI; Fokina, AI; Kovina, AL; Ashikhmina, TY</t>
  </si>
  <si>
    <t>Domracheva, L., I; Fokina, A., I; Kovina, A. L.; Ashikhmina, T. Ya</t>
  </si>
  <si>
    <t>Exometabolites of soil cyanobacteria as a survival strategy in natural and technogenically disturbed ecosystems</t>
  </si>
  <si>
    <t>Ashikhmina, Tamara/O-1326-2015; Kovina, Alevtina/AAU-6178-2021</t>
  </si>
  <si>
    <t>Ashikhmina, Tamara/0000-0003-4919-0047; Kovina, Alevtina/0000-0003-0503-3402</t>
  </si>
  <si>
    <t>10.25750/1995-4301-2019-4-015-023</t>
  </si>
  <si>
    <t>WOS:000504049400002</t>
  </si>
  <si>
    <t>Kataeva, NN; Marakulina, IV; Sanovich, MA; Sozinova, AA; Vasilyuk, N</t>
  </si>
  <si>
    <t>Kataeva, Natalia N.; Marakulina, Irina V.; Sanovich, Marina A.; Sozinova, Anastasia A.; Vasilyuk, Natalia</t>
  </si>
  <si>
    <t>Transformation of Approach to Market Segmentation Within Crisis Management of Global Entrepreneurship</t>
  </si>
  <si>
    <t>Катаева, Наталья Николаевна/AAB-5555-2022; Marakulina, Irina/AAD-7957-2020; Vasilyuk, Natalia/ABG-5697-2020; Sozinova, Anastasia/F-6298-2015</t>
  </si>
  <si>
    <t>Катаева, Наталья Николаевна/0000-0002-4695-1536; Sozinova, Anastasia/0000-0001-5876-2823; Marakulina, Irina/0000-0001-7054-6373</t>
  </si>
  <si>
    <t>10.1007/978-3-319-60696-5_62</t>
  </si>
  <si>
    <t>WOS:000426114200062</t>
  </si>
  <si>
    <t>Lukina, V; Lukin, A; Lukinov, V; Snigireva, G</t>
  </si>
  <si>
    <t>Lukina, Valentina; Lukin, Aleksei; Lukinov, Vitaly; Snigireva, Galina</t>
  </si>
  <si>
    <t>Operational ability of road transport structures in complex hydro geological conditions</t>
  </si>
  <si>
    <t>, vitaly/0000-0001-9544-3522</t>
  </si>
  <si>
    <t>10.1088/1755-1315/90/1/012126</t>
  </si>
  <si>
    <t>WOS:000419816700126</t>
  </si>
  <si>
    <t>Mamaeva, EA; Masharova, TV; Usova, NA; Aslanov, RE</t>
  </si>
  <si>
    <t>Mamaeva, Ekaterina A.; Masharova, Tatyana, V; Usova, Natalia A.; Aslanov, Roman E.</t>
  </si>
  <si>
    <t>Forming Project Management Skills by Collaborating with Students in Smartsheet</t>
  </si>
  <si>
    <t>Mamaeva, Ekaterina/0000-0002-7721-8820; Usova, Natalia/0000-0002-1728-7736</t>
  </si>
  <si>
    <t>10.13187/ejced.2022.2.432</t>
  </si>
  <si>
    <t>WOS:000823569900009</t>
  </si>
  <si>
    <t>Syrchina, NV; Ashikhmina, TY; Kantor, GY</t>
  </si>
  <si>
    <t>Syrchina, N., V; Ashikhmina, T. Ya; Kantor, G. Ya</t>
  </si>
  <si>
    <t>Obtaining inorganic pigments from galvanic waste</t>
  </si>
  <si>
    <t>Ashikhmina, Tamara/O-1326-2015; Syrchina, Nadezhda/ABF-2311-2020</t>
  </si>
  <si>
    <t>10.25750/1995-4301-2021-1-022-029</t>
  </si>
  <si>
    <t>WOS:000632219100003</t>
  </si>
  <si>
    <t>Physicochemical and swelling properties of composite gel microparticles based on alginate and callus cultures pectins with low and high degrees of methylesterification</t>
  </si>
  <si>
    <t>Gunter, Elena/C-4345-2018; Popeyko, Oksana/AAE-7935-2019; Belozerov, Vladislav/B-7087-2019</t>
  </si>
  <si>
    <t>Gunter, Elena/0000-0002-2915-6928; Belozerov, Vladislav/0000-0002-9930-5458</t>
  </si>
  <si>
    <t>DEC 1</t>
  </si>
  <si>
    <t>10.1016/j.ijbiomac.2020.07.189</t>
  </si>
  <si>
    <t>WOS:000588093700082</t>
  </si>
  <si>
    <t>Zavyalova, NE; Shirokikh, IG; Yamaltdinova, VR</t>
  </si>
  <si>
    <t>Zavyalova, N. E.; Shirokikh, I. G.; Yamaltdinova, V. R.</t>
  </si>
  <si>
    <t>Microbiological status of the Pre-Urals sod-podzolic soil with long-term use of organic and mineral fertilizers</t>
  </si>
  <si>
    <t>Shirokikh, Irina G/V-3449-2017</t>
  </si>
  <si>
    <t>10.25750/1995-4301-2020-1-151-159</t>
  </si>
  <si>
    <t>WOS:000522789400022</t>
  </si>
  <si>
    <t>Trudonoshyn, O; Prach, O</t>
  </si>
  <si>
    <t>Trudonoshyn, Oleksandr; Prach, Olena</t>
  </si>
  <si>
    <t>Multistep nucleation and multi-modification effect of Sc in hypoeutectic Al-Mg-Si alloys</t>
  </si>
  <si>
    <t>HELIYON</t>
  </si>
  <si>
    <t>Trudonoshyn, Oleksandr/T-5318-2019</t>
  </si>
  <si>
    <t>2405-8440</t>
  </si>
  <si>
    <t>e01202</t>
  </si>
  <si>
    <t>10.1016/j.heliyon.2019.e01202</t>
  </si>
  <si>
    <t>WOS:000460082200025</t>
  </si>
  <si>
    <t>Domnina, E. A.; Adamovich, T. A.; Timonov, A. S.; Ashikhmina, T. Ya</t>
  </si>
  <si>
    <t>Reforestation study based on high resolution satellite imagery</t>
  </si>
  <si>
    <t>10.25750/1995-4301-2021-3-038-043</t>
  </si>
  <si>
    <t>WOS:000700413300005</t>
  </si>
  <si>
    <t>Belykh, ES; Maystrenko, TA; Velegzhaninov, IO</t>
  </si>
  <si>
    <t>Belykh, Elena S.; Maystrenko, Tatiana A.; Velegzhaninov, Ilya O.</t>
  </si>
  <si>
    <t>Recent Trends in Enhancing the Resistance of Cultivated Plants to Heavy Metal Stress by Transgenesis and Transcriptional Programming</t>
  </si>
  <si>
    <t>MOLECULAR BIOTECHNOLOGY</t>
  </si>
  <si>
    <t>Belykh, Elena/I-5106-2016; Velegzhaninov, Ilya O./P-9554-2015</t>
  </si>
  <si>
    <t>1073-6085</t>
  </si>
  <si>
    <t>1559-0305</t>
  </si>
  <si>
    <t>10.1007/s12033-019-00202-5</t>
  </si>
  <si>
    <t>WOS:000485895800002</t>
  </si>
  <si>
    <t>Velegzhaninov, I; Rybak, A; Belykh, E; Pylina, Y; Shadrin, D</t>
  </si>
  <si>
    <t>Velegzhaninov, I.; Rybak, A.; Belykh, E.; Pylina, Y.; Shadrin, D.</t>
  </si>
  <si>
    <t>Simultaneous but not separated overexpression of the XPC and HR23B genes increases resistance to genotoxic stress</t>
  </si>
  <si>
    <t>Rybak, Anna/Q-1926-2015; Shadrin, Dmitry M/P-9808-2015; Belykh, Elena/I-5106-2016; Velegzhaninov, Ilya O./P-9554-2015</t>
  </si>
  <si>
    <t>Shadrin, Dmitry M/0000-0003-4365-0145; Velegzhaninov, Ilya O./0000-0002-4715-4053</t>
  </si>
  <si>
    <t>P.03-026-T</t>
  </si>
  <si>
    <t>WOS:000437674102123</t>
  </si>
  <si>
    <t>Belyakov, SA; Gerasimov, EY; Kuzmin, AV</t>
  </si>
  <si>
    <t>Belyakov, Semyon A.; Gerasimov, Evgeny Yu; Kuzmin, Anton, V</t>
  </si>
  <si>
    <t>The Influence of Oxygen Activity on Phase Composition, Crystal Structure, and Electrical Conductivity of CaV1-xMoxO3 +/-delta</t>
  </si>
  <si>
    <t>CRYSTALS</t>
  </si>
  <si>
    <t>2073-4352</t>
  </si>
  <si>
    <t>10.3390/cryst12030419</t>
  </si>
  <si>
    <t>WOS:000777005100001</t>
  </si>
  <si>
    <t>Gunter, EA; Martynov, VV; Belozerov, VS; Martinson, EA; Litvinets, SG</t>
  </si>
  <si>
    <t>Gunter, Elena A.; Martynov, Vladislav V.; Belozerov, Vladislav S.; Martinson, Ekaterina A.; Litvinets, Sergey G.</t>
  </si>
  <si>
    <t>Characterization and swelling properties of composite gelmicroparticles based on the pectin and kappa-carrageenan</t>
  </si>
  <si>
    <t>Martynov, Vladislav/GXF-7708-2022; Gunter, Elena/C-4345-2018; Belozerov, Vladislav/B-7087-2019</t>
  </si>
  <si>
    <t>10.1016/j.ijbiomac.2020.08.024</t>
  </si>
  <si>
    <t>WOS:000588093700211</t>
  </si>
  <si>
    <t>Determination of Damping Properties of an Elongated Plate with an Integral Damping Coating on the Base of Studying Complex Eigenfrequencies</t>
  </si>
  <si>
    <t>10.3103/S1066369X20060079</t>
  </si>
  <si>
    <t>WOS:000556993500007</t>
  </si>
  <si>
    <t>Kozlova, L; Petrova, A; Ananchenko, B; Gorshkova, T</t>
  </si>
  <si>
    <t>Kozlova, Liudmila; Petrova, Anna; Ananchenko, Boris; Gorshkova, Tatyana</t>
  </si>
  <si>
    <t>Assessment of Primary Cell Wall Nanomechanical Properties in Internal Cells of Non-Fixed Maize Roots</t>
  </si>
  <si>
    <t>PLANTS-BASEL</t>
  </si>
  <si>
    <t>Petrova, Anna A/O-6747-2017; Gorshkova, Tatyana/C-4299-2014; Ananchenko, Boris/AAM-5831-2020</t>
  </si>
  <si>
    <t>Gorshkova, Tatyana/0000-0003-0342-8195; Ananchenko, Boris/0000-0002-7975-7828; Kozlova, Liudmila/0000-0002-6323-167X; Petrova, Anna/0000-0003-2887-9064</t>
  </si>
  <si>
    <t>2223-7747</t>
  </si>
  <si>
    <t>10.3390/plants8060172</t>
  </si>
  <si>
    <t>WOS:000475326400033</t>
  </si>
  <si>
    <t>Khramova, DS; Vityazev, FV; Saveliev, NY; Burkov, AA; Beloserov, VS; Martinson, EA; Litvinets, SG; Popov, SV</t>
  </si>
  <si>
    <t>Khramova, Daria S.; Vityazev, Fedor V.; Saveliev, Nikita Yu.; Burkov, Andrey A.; Beloserov, Vladislav S.; Martinson, Ekaterina A.; Litvinets, Sergey G.; Popov, Sergey V.</t>
  </si>
  <si>
    <t>Pectin gelling in acidic gastric condition increases rheological properties of gastric digesta and reduces glycaemic response in mice</t>
  </si>
  <si>
    <t>Belozerov, Vladislav/B-7087-2019; Martinson, Ekaterina/AAL-5413-2020; Khramova, Daria/AAH-7690-2019; Burkov, Andrei/N-5302-2016; Burkov, Andrey/ABB-8219-2021; Popov, Sergey V/F-7627-2016; Litvinets, Sergey G./I-8188-2013</t>
  </si>
  <si>
    <t>Belozerov, Vladislav/0000-0002-9930-5458; Khramova, Daria/0000-0003-0970-9203; Burkov, Andrei/0000-0002-3627-1262; Popov, Sergey V/0000-0003-1763-8898; Litvinets, Sergey G./0000-0001-8583-5274</t>
  </si>
  <si>
    <t>FEB 1</t>
  </si>
  <si>
    <t>10.1016/j.carbpol.2018.10.053</t>
  </si>
  <si>
    <t>WOS:000450093200052</t>
  </si>
  <si>
    <t>Inshakova, AO; Sozinova, AA; Litvinova, TN</t>
  </si>
  <si>
    <t>Inshakova, Agnessa O.; Sozinova, Anastasia A.; Litvinova, Tatiana N.</t>
  </si>
  <si>
    <t>Corporate Fight against the COVID-19 Risks Based on Technologies of Industry 4.0 as a New Direction of Social Responsibility</t>
  </si>
  <si>
    <t>Litvinova, Tatyana/ABT-4169-2022; Sozinova, Anastasia/F-6298-2015</t>
  </si>
  <si>
    <t>Litvinova, Tatyana/0000-0003-3101-2621; Sozinova, Anastasia/0000-0001-5876-2823</t>
  </si>
  <si>
    <t>10.3390/risks9120212</t>
  </si>
  <si>
    <t>WOS:000738338000001</t>
  </si>
  <si>
    <t>Kondakova, LV; Syrchina, NV; Ashikhmina, TY</t>
  </si>
  <si>
    <t>Kondakova, L. V.; Syrchina, N. V.; Ashikhmina, T. Ya.</t>
  </si>
  <si>
    <t>The effect of enrichment tailings of phosphorites as fertilizers on soil algo-cyanobacterial communities</t>
  </si>
  <si>
    <t>Syrchina, Nadezhda/ABF-2311-2020; Ashikhmina, Tamara/O-1326-2015</t>
  </si>
  <si>
    <t>Syrchina, Nadezhda/0000-0001-8049-6760; Ashikhmina, Tamara/0000-0003-4919-0047</t>
  </si>
  <si>
    <t>10.25750/1995-4301-2021-4-174-180</t>
  </si>
  <si>
    <t>WOS:000755154100025</t>
  </si>
  <si>
    <t>COMPLEX EIGENFREQUENCIES AND DAMPING PROPERTIES OF AN ELONGATED PLATE WITH AN INTEGRAL DAMPING COATING</t>
  </si>
  <si>
    <t>10.1134/S0021894420040148</t>
  </si>
  <si>
    <t>WOS:000574746500014</t>
  </si>
  <si>
    <t>Prospects for using phosphate rock enrichment tailings as fertilizers for organic farming</t>
  </si>
  <si>
    <t>Syrchina, Nadezhda/ABF-2311-2020; Богатырёва, Надежда/ABF-2671-2020; Ashikhmina, Tamara/O-1326-2015</t>
  </si>
  <si>
    <t>10.25750/1995-4301-2020-1-160-166</t>
  </si>
  <si>
    <t>WOS:000522789400023</t>
  </si>
  <si>
    <t>Koryakovtseva, OA; Bugaychuk, TV; Modnov, SI; Svinar, EV</t>
  </si>
  <si>
    <t>Almazova, NI; Rubtsova, AV; Bylieva, DS</t>
  </si>
  <si>
    <t>Koryakovtseva, O. A.; Bugaychuk, T., V; Modnov, S., I; Svinar, E., V</t>
  </si>
  <si>
    <t>CONTRADICTIONS AND MEANINGS OF MODERN VOCATIONAL EDUCATION: RESEARCH RESULTS</t>
  </si>
  <si>
    <t>PROFESSIONAL CULTURE OF THE SPECIALIST OF THE FUTURE</t>
  </si>
  <si>
    <t>19th Conference on Professional Culture of the Specialist of the Future (PCSF)</t>
  </si>
  <si>
    <t>NOV 28-29, 2019</t>
  </si>
  <si>
    <t>10.15405/epsbs.2019.12.15</t>
  </si>
  <si>
    <t>WOS:000758186600015</t>
  </si>
  <si>
    <t>DEFORMATION OF THIN-WALLED STRUCTURAL ELEMENTS HAVING FIXED AREAS OF FINITE DIMENSIONS ON THE BOUNDARY FRONT SURFACES</t>
  </si>
  <si>
    <t>10.1134/S0021894423020153</t>
  </si>
  <si>
    <t>WOS:001000528300015</t>
  </si>
  <si>
    <t>Cherkasov, Konstantin V.; Ivanova, Olga S.; Chalykh, Irina S.</t>
  </si>
  <si>
    <t>Models of Government Regulations of the Religious Component in General Education: Russian and International Practices</t>
  </si>
  <si>
    <t>Cherkasov, Konstantin/G-3785-2016; Chalykh, Irina Sergeyevna/G-2039-2016</t>
  </si>
  <si>
    <t>Cherkasov, Konstantin/0000-0002-9754-9619; Chalykh, Irina Sergeyevna/0000-0002-7854-0475</t>
  </si>
  <si>
    <t>10.17223/15617793/442/30</t>
  </si>
  <si>
    <t>WOS:000475492100030</t>
  </si>
  <si>
    <t>Kataeva, N; Starkova, D; Sysolyatin, A; Lukinov, V</t>
  </si>
  <si>
    <t>Kataeva, Natalia; Starkova, Darya; Sysolyatin, Alexey; Lukinov, Vitaly</t>
  </si>
  <si>
    <t>Financial problems of territorial marketing as an instrument of strategic spatial development</t>
  </si>
  <si>
    <t>Sysolyatin, Alexey/AAB-5967-2022; Катаева, Наталья Николаевна/AAB-5555-2022</t>
  </si>
  <si>
    <t>Катаева, Наталья Николаевна/0000-0002-4695-1536; , vitaly/0000-0001-9544-3522</t>
  </si>
  <si>
    <t>10.1051/e3sconf/201911002152</t>
  </si>
  <si>
    <t>WOS:000569050000241</t>
  </si>
  <si>
    <t>Byvalov, AA; Malkova, MA; Chernyad'ev, AV; Dudina, LG; Litvinets, SG; Martinson, EA</t>
  </si>
  <si>
    <t>Byvalov, A. A.; Malkova, M. A.; Chernyad'ev, A. V.; Dudina, L. G.; Litvinets, S. G.; Martinson, E. A.</t>
  </si>
  <si>
    <t>Influence of Specific Bacteriophage on the Level of Vesicle Formation and Morphology of Cells of Yersinia pseudotuberculosis</t>
  </si>
  <si>
    <t>Dudina, Liubov G./C-7171-2017; Litvinets, Sergey G./I-8188-2013; Byvalov, Andrey A./Y-6825-2018; Martinson, Ekaterina/AAL-5413-2020</t>
  </si>
  <si>
    <t xml:space="preserve">Dudina, Liubov G./0000-0002-2172-9015; Litvinets, Sergey G./0000-0001-8583-5274; Byvalov, Andrey A./0000-0003-1117-5896; </t>
  </si>
  <si>
    <t>10.1007/s10517-018-4180-0</t>
  </si>
  <si>
    <t>WOS:000439334000027</t>
  </si>
  <si>
    <t>Kataeva, N; Marakulina, I; Snigireva, Y; Barinov, S</t>
  </si>
  <si>
    <t>Kataeva, Natalia; Marakulina, Irina; Snigireva, Yelena; Barinov, Sergey</t>
  </si>
  <si>
    <t>Financial Support Problems of Developing a Territory's Touristic Potential</t>
  </si>
  <si>
    <t>Marakulina, Irina/AAD-7957-2020; Barinov, Sergey/AAD-4955-2022; Катаева, Наталья Николаевна/AAB-5555-2022</t>
  </si>
  <si>
    <t>Barinov, Sergey/0000-0002-2749-7024; Катаева, Наталья Николаевна/0000-0002-4695-1536</t>
  </si>
  <si>
    <t>10.1051/matecconf/201817001046</t>
  </si>
  <si>
    <t>WOS:000449660800046</t>
  </si>
  <si>
    <t>Savinyh, P; Aleshkin, A; Turbanov, N; Ivanovs, S</t>
  </si>
  <si>
    <t>Savinyh, Peter; Aleshkin, Alexey; Turbanov, Nikolai; Ivanovs, Semjons</t>
  </si>
  <si>
    <t>INVESTIGATION OF IMPACT OF TECHNOLOGICAL AND STRUCTURAL PARAMETERS UPON ENERGY INDICATORS OF WORK OF MIXER</t>
  </si>
  <si>
    <t>Ivanovs, Semjons/AAD-7303-2022; Aleshkin, Aleksey/ABA-6228-2020</t>
  </si>
  <si>
    <t>Ivanovs, Semjons/0000-0002-9072-1340; Aleshkin, Aleksey/0000-0002-6949-1480</t>
  </si>
  <si>
    <t>10.22616/ERDev.2020.19.TF334</t>
  </si>
  <si>
    <t>WOS:000815085500192</t>
  </si>
  <si>
    <t>Gunter, EA; Markov, PA; Melekhin, AK; Belozerov, VS; Martinson, EA; Litvinets, SG; Popov, SV</t>
  </si>
  <si>
    <t>Gunter, Elena A.; Markov, Pavel A.; Melekhin, Anatoliy K.; Belozerov, Vladislav S.; Martinson, Ekaterina A.; Litvinets, Sergey G.; Popov, Sergey, V</t>
  </si>
  <si>
    <t>Preparation and release characteristics of mesalazine loaded calcium pectin-silica gel beads based on callus cultures pectins for colon-targeted drug delivery</t>
  </si>
  <si>
    <t>Belozerov, Vladislav/B-7087-2019; Popov, Sergey/AAM-6438-2021; A.K, Melekhin/AAH-2990-2019; Litvinets, Sergey G./I-8188-2013; Popov, Sergey V/F-7627-2016; Gunter, Elena/C-4345-2018; Martinson, Ekaterina/AAL-5413-2020; Markov, Pavel/Q-2677-2016</t>
  </si>
  <si>
    <t>Belozerov, Vladislav/0000-0002-9930-5458; Popov, Sergey/0000-0003-1763-8898; A.K, Melekhin/0000-0002-7574-7323; Litvinets, Sergey G./0000-0001-8583-5274; Popov, Sergey V/0000-0003-1763-8898; Gunter, Elena/0000-0002-2915-6928; Markov, Pavel/0000-0002-4803-4803</t>
  </si>
  <si>
    <t>10.1016/j.ijbiomac.2018.07.078</t>
  </si>
  <si>
    <t>WOS:000449892800095</t>
  </si>
  <si>
    <t>Abdurazakov, MM; Askerov, AS; Nimatulaev, MM; Suvorova, TN</t>
  </si>
  <si>
    <t>Lo, SK</t>
  </si>
  <si>
    <t>Abdurazakov, Magomed M.; Askerov, Alavudin S.; Nimatulaev, Magomedhan M.; Suvorova, Tatyana N.</t>
  </si>
  <si>
    <t>TEACHING INFORMATICS CONTENT AND MEANS IN THE ASPECT OF EDUCATION INFORMATIZATION</t>
  </si>
  <si>
    <t>INTERNATIONAL CONFERENCE EDUCATION ENVIRONMENT FOR THE INFORMATION AGE (EEIA 2017)</t>
  </si>
  <si>
    <t>International Conference on Education Environment for the Information Age (EEIA)</t>
  </si>
  <si>
    <t>JUN 07-08, 2017</t>
  </si>
  <si>
    <t>Russian Acad Educ, Inst Strategy Educ Dev, Moscow, RUSSIA</t>
  </si>
  <si>
    <t>Russian Acad Educ, Inst Strategy Educ Dev</t>
  </si>
  <si>
    <t>Абдуразаков, Магомед/B-3617-2019; Suvorova, Tatiana N/Z-1069-2018</t>
  </si>
  <si>
    <t>Абдуразаков, Магомед/0000-0002-7979-0847; Suvorova, Tatiana N/0000-0003-3628-129X</t>
  </si>
  <si>
    <t>10.15405/epsbs.2017.08.2</t>
  </si>
  <si>
    <t>WOS:000416073800002</t>
  </si>
  <si>
    <t>Paimushin, VN; Firsov, VA; Shishkin, VM; Gazizullin, RK</t>
  </si>
  <si>
    <t>Wahab, MA</t>
  </si>
  <si>
    <t>Paimushin, Vitaly N.; Firsov, Vyacheslav A.; Shishkin, Victor M.; Gazizullin, Ruslan K.</t>
  </si>
  <si>
    <t>Study of Forced Vibrations of a Two-Layer Plate Under Harmonic Load</t>
  </si>
  <si>
    <t>PROCEEDINGS OF THE 4TH INTERNATIONAL CONFERENCE ON NUMERICAL MODELLING IN ENGINEERING: NUMERICAL MODELLING IN MECHANICAL AND MATERIALS ENGINEERING, VOL 2, NME 2021</t>
  </si>
  <si>
    <t>4th International Conference on Numerical Modelling in Engineering (NME)</t>
  </si>
  <si>
    <t>AUG 24-25, 2021</t>
  </si>
  <si>
    <t>Gazizullin, Ruslan/GVS-2706-2022</t>
  </si>
  <si>
    <t>978-981-16-8806-5; 978-981-16-8805-8</t>
  </si>
  <si>
    <t>10.1007/978-981-16-8806-5_2</t>
  </si>
  <si>
    <t>WOS:000789412600002</t>
  </si>
  <si>
    <t>Mukhametshin, I; Valiev, A; Aleshkin, A; Ibyatov, R; Muhamadyarov, F</t>
  </si>
  <si>
    <t>Fayzrakhmanov, D; Ziganshin, B; Nezhmetdinova, F; Shaydullin, R</t>
  </si>
  <si>
    <t>Mukhametshin, Ilshat; Valiev, Ayrat; Aleshkin, Alexey; Ibyatov, Ravil; Muhamadyarov, Farzutdin</t>
  </si>
  <si>
    <t>Study of the influence of the oncoming flow of soil on the screw surface of a subsoiler</t>
  </si>
  <si>
    <t>INTERNATIONAL SCIENTIFIC-PRACTICAL CONFERENCE - AGRICULTURE AND FOOD SECURITY: TECHNOLOGY, INNOVATION, MARKETS, HUMAN RESOURCES (FIES 2019)</t>
  </si>
  <si>
    <t>International Scientific and Practical Conference on Agriculture and Food Security - Technology, Innovation, Markets, Human Resources (FIES)</t>
  </si>
  <si>
    <t>NOV 13-14, 2019</t>
  </si>
  <si>
    <t>Kazan State Agrarian Univ, RUSSIA</t>
  </si>
  <si>
    <t>Samara State Agrarian Univ,Kazan State Acad Vet Med N E Bauman,Minist Agr &amp; Food Republ Tatarstan,Minist Agr &amp; Food Samara Reg,Russian Acad Sci, Dept Agr Sci,Minist Educ &amp; Sci Samara Reg,Minist Educ &amp; Sci Republ Tatarstan,Acad Sci Republ Tatarstan,Russian Acad Sci, Samara Sci Ctr</t>
  </si>
  <si>
    <t>Kazan State Agrarian Univ</t>
  </si>
  <si>
    <t>Мухаметшин, Ильшат/F-7261-2018; Ибятов, Равиль/ABC-8565-2021</t>
  </si>
  <si>
    <t xml:space="preserve">Мухаметшин, Ильшат/0000-0002-1243-440X; </t>
  </si>
  <si>
    <t>10.1051/bioconf/20201700118</t>
  </si>
  <si>
    <t>WOS:000570248200117</t>
  </si>
  <si>
    <t>INVESTIGATION OF OSCILLATIONS OF HAMMER ROTOR OF GRAIN CRUSHER</t>
  </si>
  <si>
    <t>16TH INTERNATIONAL SCIENTIFIC CONFERENCE: ENGINEERING FOR RURAL DEVELOPMENT</t>
  </si>
  <si>
    <t>16th International Scientific Conference on Engineering for Rural Development</t>
  </si>
  <si>
    <t>MAY 24-26, 2017</t>
  </si>
  <si>
    <t>Latvia Univ Agr, Fac Engn, Jelgava, LATVIA</t>
  </si>
  <si>
    <t>Latvia Univ Agr, Fac Engn</t>
  </si>
  <si>
    <t>10.22616/ERDev2017.16.N269</t>
  </si>
  <si>
    <t>WOS:000416378300189</t>
  </si>
  <si>
    <t>Zlobin, AA; Martinson, EA; Litvinets, SG; Ovechkina, IA; Durnev, EA; Ovodova, RG</t>
  </si>
  <si>
    <t>Zlobin, A. A.; Martinson, E. A.; Litvinets, S. G.; Ovechkina, I. A.; Durnev, E. A.; Ovodova, R. G.</t>
  </si>
  <si>
    <t>Pectin polysaccharides of rowan Sorbus aucuparia L.</t>
  </si>
  <si>
    <t>10.1134/S1068162012070242</t>
  </si>
  <si>
    <t>WOS:000312062700004</t>
  </si>
  <si>
    <t>Isupova, NI; Mamaeva, EA; Masharova, TV; Tsygankova, MN</t>
  </si>
  <si>
    <t>Isupova, Natalya I.; Mamaeva, Ekaterina A.; Masharova, Tatyana, V; Tsygankova, Maria N.</t>
  </si>
  <si>
    <t>Formation of Universal Competencies of Undergraduates during Development of the Plot of Web-Quest</t>
  </si>
  <si>
    <t>10.13187/ejced.2021.4.943</t>
  </si>
  <si>
    <t>WOS:000739150200009</t>
  </si>
  <si>
    <t>Syrchina, NV; Bogatyryova, NN; Ashikhmina, TY; Kantor, GY</t>
  </si>
  <si>
    <t>Syrchina, N., V; Bogatyryova, N. N.; Ashikhmina, T. Ya; Kantor, G. Ya</t>
  </si>
  <si>
    <t>Tailings of enrichment of phosphorites of the Vyatka-Kama deposit as secondary material resources for the production of natural fertilizers</t>
  </si>
  <si>
    <t>10.25750/1995-4301-2021-2-107-114</t>
  </si>
  <si>
    <t>WOS:000667025400015</t>
  </si>
  <si>
    <t>Remote monitoring of overgrowth of the eutrophied reservoir water area by higher aquatic vegetation</t>
  </si>
  <si>
    <t>Kutyavina, Tatyana/AAX-3781-2021; Ashikhmina, Tamara/O-1326-2015; Kutyavina, Tatyana/T-1440-2017</t>
  </si>
  <si>
    <t>Kutyavina, Tatyana/0000-0001-7957-0636; Ashikhmina, Tamara/0000-0003-4919-0047; Kutyavina, Tatyana/0000-0001-7957-0636</t>
  </si>
  <si>
    <t>10.25750/1995-4301-2020-3-036-040</t>
  </si>
  <si>
    <t>WOS:000580337700005</t>
  </si>
  <si>
    <t>Gunter, EA; Popeyko, OV; Melekhin, AK; Belozerov, VS; Martinson, EA; Litvinets, SG</t>
  </si>
  <si>
    <t>Gunter, Elena A.; Popeyko, Oxana V.; Melekhin, Anatoliy K.; Belozerov, Vladislav S.; Martinson, Ekaterina A.; Litvinets, Sergey G.</t>
  </si>
  <si>
    <t>Preparation and properties of the pectic gel microparticles based on the Zn2+, Fe3+ and Al3+ cross-linking cations</t>
  </si>
  <si>
    <t>Martinson, Ekaterina/AAL-5413-2020; A.K, Melekhin/AAH-2990-2019; Gunter, Elena/C-4345-2018; Belozerov, Vladislav/B-7087-2019; Popeyko, Oksana/AAE-7935-2019</t>
  </si>
  <si>
    <t xml:space="preserve">A.K, Melekhin/0000-0002-7574-7323; Gunter, Elena/0000-0002-2915-6928; Belozerov, Vladislav/0000-0002-9930-5458; </t>
  </si>
  <si>
    <t>OCT 1</t>
  </si>
  <si>
    <t>10.1016/j.ijbiomac.2019.07.122</t>
  </si>
  <si>
    <t>WOS:000487569000066</t>
  </si>
  <si>
    <t>Petrova, AA; Kozlova, LV; Gaifullina, IZ; Ananchenko, BA; Martinson, EA; Mikshina, PV; Gorshkova, TA</t>
  </si>
  <si>
    <t>Petrova, Anna A.; Kozlova, Liudmila V.; Gaifullina, Ilzira Z.; Ananchenko, Boris A.; Martinson, Ekaterina A.; Mikshina, Polina V.; Gorshkova, Tatyana A.</t>
  </si>
  <si>
    <t>AFM analysis reveals polymorphism of purified flax rhamnogalacturonans I of distinct functional types</t>
  </si>
  <si>
    <t>Mikshina, Polina/G-8087-2016; Martinson, Ekaterina/AAL-5413-2020; Ananchenko, Boris/AAM-5831-2020; Gorshkova, Tatyana/C-4299-2014; Petrova, Anna A/O-6747-2017</t>
  </si>
  <si>
    <t>Ananchenko, Boris/0000-0002-7975-7828; Gorshkova, Tatyana/0000-0003-0342-8195; Kozlova, Liudmila/0000-0002-6323-167X; Petrova, Anna/0000-0003-2887-9064</t>
  </si>
  <si>
    <t>JUL 15</t>
  </si>
  <si>
    <t>10.1016/j.carbpol.2019.03.087</t>
  </si>
  <si>
    <t>WOS:000466353300025</t>
  </si>
  <si>
    <t>Adamovich, TA; Domnina, EA; Timonov, AS; Rutman, VV; Ashikhmina, TY</t>
  </si>
  <si>
    <t>Adamovich, T. A.; Domnina, E. A.; Timonov, A. S.; Rutman, V. V.; Ashikhmina, T. Ya</t>
  </si>
  <si>
    <t>Methodological techniques for identifying plant communities based on Earth remote sensing data and field research</t>
  </si>
  <si>
    <t>Ashikhmina, Tamara/O-1326-2015; Rutman, Vyacheslav V/C-5357-2019; Adamovich, Tatyana/N-3967-2016</t>
  </si>
  <si>
    <t>Ashikhmina, Tamara/0000-0003-4919-0047; Rutman, Vyacheslav V/0000-0002-9025-3487; Adamovich, Tatyana/0000-0002-8684-927X</t>
  </si>
  <si>
    <t>10.25750/1995-4301-2019-2-039-043</t>
  </si>
  <si>
    <t>WOS:000477826000004</t>
  </si>
  <si>
    <t>Tovstik, EV; Adamovich, TA; Rutman, VV; Kantor, GY; Ashikhmina, TY</t>
  </si>
  <si>
    <t>Tovstik, E., V; Adamovich, T. A.; Rutman, V. V.; Kantor, G. Ya; Ashikhmina, T. Ya</t>
  </si>
  <si>
    <t>Identification of the thickets of Heracleum sosnowskyi using Earth remote sensing data</t>
  </si>
  <si>
    <t>Tovstik, Evgeniya/P-1350-2017; Ashikhmina, Tamara/O-1326-2015; Rutman, Vyacheslav V/C-5357-2019; Adamovich, Tatyana/N-3967-2016</t>
  </si>
  <si>
    <t>Tovstik, Evgeniya/0000-0003-1861-6076; Ashikhmina, Tamara/0000-0003-4919-0047; Rutman, Vyacheslav V/0000-0002-9025-3487; Adamovich, Tatyana/0000-0002-8684-927X</t>
  </si>
  <si>
    <t>10.25750/1995-4301-2018-2-035-037</t>
  </si>
  <si>
    <t>WOS:000468564500004</t>
  </si>
  <si>
    <t>Markov, PA; Krachkovsky, NS; Durnev, EA; Martinson, EA; Litvinets, SG; Popov, SV</t>
  </si>
  <si>
    <t>Markov, Pavel A.; Krachkovsky, Nikita S.; Durnev, Eugene A.; Martinson, Ekaterina A.; Litvinets, Sergey G.; Popov, Sergey V.</t>
  </si>
  <si>
    <t>Mechanical properties, structure, bioadhesion, and biocompatibility of pectin hydrogels</t>
  </si>
  <si>
    <t>Martinson, Ekaterina/AAL-5413-2020; Popov, Sergey/AAM-6438-2021; Popov, Sergey V/F-7627-2016; Litvinets, Sergey G./I-8188-2013; Markov, Pavel/Q-2677-2016</t>
  </si>
  <si>
    <t>Popov, Sergey/0000-0003-1763-8898; Popov, Sergey V/0000-0003-1763-8898; Litvinets, Sergey G./0000-0001-8583-5274; Markov, Pavel/0000-0002-4803-4803</t>
  </si>
  <si>
    <t>10.1002/jbm.a.36116</t>
  </si>
  <si>
    <t>WOS:000406308500018</t>
  </si>
  <si>
    <t>Cai, J; Youngblood, VT; Khodyreva, EA; Khuziakhmetov, AN</t>
  </si>
  <si>
    <t>Cai, Jing; Youngblood, Valery T.; Khodyreva, Elena A.; Khuziakhmetov, Anvar N.</t>
  </si>
  <si>
    <t>Higher Education Curricula Designing on the Basis of the Regional Labour Market Demands</t>
  </si>
  <si>
    <t>Yungblyud, Valeriy T./J-8665-2016; Khuziakhmetov, Anvar Nuriakhmetovic/M-8936-2013; Khodyreva, Elena/AAE-3535-2019</t>
  </si>
  <si>
    <t xml:space="preserve">Yungblyud, Valeriy T./0000-0002-2706-3904; Khuziakhmetov, Anvar Nuriakhmetovic/0000-0003-2842-4289; </t>
  </si>
  <si>
    <t>10.12973/eurasia.2017.00719a</t>
  </si>
  <si>
    <t>WOS:000404607800001</t>
  </si>
  <si>
    <t>Zlobin, AA; Martinson, EA; Litvinets, SG; Ovodova, RG; Ovodov, YS</t>
  </si>
  <si>
    <t>Zlobin, A. A.; Martinson, E. A.; Litvinets, S. G.; Ovodova, R. G.; Ovodov, Yu S.</t>
  </si>
  <si>
    <t>Polysaccharides from the Callus Tissue of the Rowan Tree Sorbus aucuparia L. Stem</t>
  </si>
  <si>
    <t>10.1134/S1068162014020162</t>
  </si>
  <si>
    <t>WOS:000336053700010</t>
  </si>
  <si>
    <t>Domracheva, LI; Shirokikh, IG; Fokina, AI</t>
  </si>
  <si>
    <t>Domracheva, L. I.; Shirokikh, I. G.; Fokina, A. I.</t>
  </si>
  <si>
    <t>Anti-Fusarium activity of cyanobacteria and actinomycetes in soil and rhizosphere</t>
  </si>
  <si>
    <t>10.1134/S0026261710060263</t>
  </si>
  <si>
    <t>WOS:000285067700025</t>
  </si>
  <si>
    <t>Gunter, EA; Martynov, VV; Ananchenko, BA; Martinson, EA; Litvinets, SG</t>
  </si>
  <si>
    <t>Guenter, Elena A.; Martynov, Vladislav V.; Ananchenko, Boris A.; Martinson, Ekaterina A.; Litvinets, Sergey G.</t>
  </si>
  <si>
    <t>The gel strength and swelling in the gastrointestinal environment of pectin/kappa-carrageenan gel particles based on pectins with different degrees of methylesterification</t>
  </si>
  <si>
    <t>MATERIALS TODAY COMMUNICATIONS</t>
  </si>
  <si>
    <t>Gunter, Elena/C-4345-2018; Martynov, Vladislav/GXF-7708-2022</t>
  </si>
  <si>
    <t xml:space="preserve">Gunter, Elena/0000-0002-2915-6928; </t>
  </si>
  <si>
    <t>2352-4928</t>
  </si>
  <si>
    <t>10.1016/j.mtcomm.2022.104986</t>
  </si>
  <si>
    <t>NOV 2022</t>
  </si>
  <si>
    <t>WOS:000892588700003</t>
  </si>
  <si>
    <t>Gerasimov, AS; Rogozhkin, SO; Shakhova, ES; Chepurnykh, TV; Gorokhovatsky, AY; Myshkina, NM; Balakireva, AV; Yampolsky, IV</t>
  </si>
  <si>
    <t>Gerasimov, A. S.; Rogozhkin, S. O.; Shakhova, E. S.; Chepurnykh, T. V.; Gorokhovatsky, A. Y.; Myshkina, N. M.; Balakireva, A. V.; Yampolsky, I. V.</t>
  </si>
  <si>
    <t>Recombinant Production of Hispidin-3-Hydroxylase: the Key Enzyme in Fungal Luciferin Biosynthesis</t>
  </si>
  <si>
    <t>Yampolsky, Ilia V/R-6798-2016; Balakireva, Anastasia V/AAQ-4082-2020</t>
  </si>
  <si>
    <t>Yampolsky, Ilia V/0000-0003-2558-2476; Balakireva, Anastasia V/0000-0003-1188-211X; Shakhova, Ekaterina/0000-0002-6345-1330; Gerasimov, Andrey/0000-0002-3897-0622</t>
  </si>
  <si>
    <t>10.1134/S1068162021040099</t>
  </si>
  <si>
    <t>WOS:000709344500012</t>
  </si>
  <si>
    <t>Syrchina, NV; Kantor, GY; Pugach, VN; Ashikhmina, TY</t>
  </si>
  <si>
    <t>Syrchina, N. V.; Kantor, G. Ya.; Pugach, V. N.; Ashikhmina, T. Ya.</t>
  </si>
  <si>
    <t>Contribution of carbon dioxide and water to the greenhouse effect</t>
  </si>
  <si>
    <t>Ashikhmina, Tamara/O-1326-2015; Syrchina, Nadezhda/ABF-2311-2020; Pugach, Valentin/V-8991-2018</t>
  </si>
  <si>
    <t>Ashikhmina, Tamara/0000-0003-4919-0047; Syrchina, Nadezhda/0000-0001-8049-6760; Pugach, Valentin/0000-0003-1220-4062</t>
  </si>
  <si>
    <t>10.25750/1995-4301-2021-4-218-223</t>
  </si>
  <si>
    <t>WOS:000755154100031</t>
  </si>
  <si>
    <t>Ananchenko, B; Belozerov, V; Byvalov, A; Konyshev, I; Korzhavina, A; Dudina, L</t>
  </si>
  <si>
    <t>Ananchenko, Boris; Belozerov, Vladislav; Byvalov, Andrey; Konyshev, Ilya; Korzhavina, Anastasia; Dudina, Lyubov</t>
  </si>
  <si>
    <t>Evaluation of intermolecular forces between lipopolysaccharides and monoclonal antibodies using atomic force microscopy</t>
  </si>
  <si>
    <t>Ananchenko, Boris/AAM-5831-2020; Belozerov, Vladislav/B-7087-2019; Konyshev, Ilya V./A-9370-2019; Byvalov, Andrey A./Y-6825-2018</t>
  </si>
  <si>
    <t>Ananchenko, Boris/0000-0002-7975-7828; Belozerov, Vladislav/0000-0002-9930-5458; Konyshev, Ilya V./0000-0001-6575-9630; Byvalov, Andrey A./0000-0003-1117-5896</t>
  </si>
  <si>
    <t>AUG 1</t>
  </si>
  <si>
    <t>10.1016/j.ijbiomac.2020.04.055</t>
  </si>
  <si>
    <t>WOS:000538104200086</t>
  </si>
  <si>
    <t>Rybak, AV; Belykh, ES; Maystrenko, TA; Shadrin, DM; Pylina, YI; Chadin, IF; Velegzhaninov, IO</t>
  </si>
  <si>
    <t>Rybak, Anna, V; Belykh, Elena S.; Maystrenko, Tatiana A.; Shadrin, Dmitry M.; Pylina, Yana, I; Chadin, Ivan F.; Velegzhaninov, Ilya O.</t>
  </si>
  <si>
    <t>Genetic analysis in earthworm population from area contaminated with radionuclides and heavy metals</t>
  </si>
  <si>
    <t>SCIENCE OF THE TOTAL ENVIRONMENT</t>
  </si>
  <si>
    <t>Shadrin, Dmitry M/P-9808-2015; Pylina, Yana I/P-9565-2015; Velegzhaninov, Ilya O./P-9554-2015; Ivan, Chadin/P-4940-2015; Rybak, Anna/Q-1926-2015</t>
  </si>
  <si>
    <t>Shadrin, Dmitry M/0000-0003-4365-0145; Pylina, Yana I/0000-0003-4981-8930; Velegzhaninov, Ilya O./0000-0002-4715-4053; Ivan, Chadin/0000-0001-6299-2285; Belykh, Elena/0000-0002-0182-6475</t>
  </si>
  <si>
    <t>0048-9697</t>
  </si>
  <si>
    <t>1879-1026</t>
  </si>
  <si>
    <t>JUN 25</t>
  </si>
  <si>
    <t>10.1016/j.scitotenv.2020.137920</t>
  </si>
  <si>
    <t>WOS:000535465200014</t>
  </si>
  <si>
    <t>Kutyavina, TI; Ashikhmina, TY; Kondakova, LV</t>
  </si>
  <si>
    <t>Kutyavina, T., I; Ashikhmina, T. Ya; Kondakova, L., V</t>
  </si>
  <si>
    <t>Application of ground-based research methods for the diagnostics of pollution and eutrophication of water reservoirs of the Kirov region</t>
  </si>
  <si>
    <t>Ashikhmina, Tamara/O-1326-2015; Kutyavina, Tatyana/AAX-3781-2021; Kutyavina, Tatyana/T-1440-2017</t>
  </si>
  <si>
    <t>Ashikhmina, Tamara/0000-0003-4919-0047; Kutyavina, Tatyana/0000-0001-7957-0636; Kutyavina, Tatyana/0000-0001-7957-0636</t>
  </si>
  <si>
    <t>10.25750/1995-4301-2019-2-044-052</t>
  </si>
  <si>
    <t>WOS:000477826000005</t>
  </si>
  <si>
    <t>Sofina, EV</t>
  </si>
  <si>
    <t>Sofina, Elena, V</t>
  </si>
  <si>
    <t>AGRICULTURAL LAND-USE OPTIMIZATION BY FARMS BASED ON QUALITY MANAGEMENT: LINES OF RESEARCH</t>
  </si>
  <si>
    <t>10.24874/IJQR13.04-12</t>
  </si>
  <si>
    <t>WOS:000498886400012</t>
  </si>
  <si>
    <t>Zavyalova, NE; Shirokikh, IG; Kosolapova, AI; Shirokikh, AA</t>
  </si>
  <si>
    <t>Zavyalova, N. E.; Shirokikh, I. G.; Kosolapova, A., I; Shirokikh, A. A.</t>
  </si>
  <si>
    <t>Microbial transformation of organic matter of sod-podzolic soils in the Pre-Urals under conditions of different use and application of mineral fertilizers</t>
  </si>
  <si>
    <t>Shirokikh, Irina G/V-3449-2017; Shirikikh, Alexandr A.A.S./W-7606-2018; Shirokikh, Alexandr/X-1684-2018</t>
  </si>
  <si>
    <t>Shirokikh, Irina G/0000-0002-3319-2729; Shirokikh, Alexandr/0000-0002-7808-0376; Zav'alova, Nina/0000-0003-4005-8998</t>
  </si>
  <si>
    <t>10.25750/1995-4301-2019-1-102-110</t>
  </si>
  <si>
    <t>WOS:000468565900015</t>
  </si>
  <si>
    <t>Lin, KQ; Sokolova, AN; Vlasova, VK</t>
  </si>
  <si>
    <t>Lin, Kequan; Sokolova, Anna Nikolaevna; Vlasova, Vera K.</t>
  </si>
  <si>
    <t>Methodological Potential of Computer Experiment in Teaching Mathematics at University</t>
  </si>
  <si>
    <t>Vlasova, Vera K./B-8514-2016; Sokolova, Anna Nikolaevna/G-9341-2017</t>
  </si>
  <si>
    <t>Vlasova, Vera K./0000-0001-7214-5143; Sokolova, Anna Nikolaevna/0000-0002-7619-0627</t>
  </si>
  <si>
    <t>10.12973/eurasia.2017.00743a</t>
  </si>
  <si>
    <t>WOS:000404607800043</t>
  </si>
  <si>
    <t>Gordeeva, YM; Vedernikova, IE</t>
  </si>
  <si>
    <t>Gordeeva, Y. M.; Vedernikova, I. E.</t>
  </si>
  <si>
    <t>Forest carbon offsets in Russia: current legal infrastructure</t>
  </si>
  <si>
    <t>郭, 青霞/GZH-2618-2022</t>
  </si>
  <si>
    <t>10.5750/1995-4301-2022-2-209-215</t>
  </si>
  <si>
    <t>WOS:000820802000026</t>
  </si>
  <si>
    <t>Kozlova, L; Petrova, A; Chernyad'ev, A; Salnikov, V; Gorshkova, T</t>
  </si>
  <si>
    <t>Kozlova, L.; Petrova, A.; Chernyad'ev, A.; Salnikov, V; Gorshkova, T.</t>
  </si>
  <si>
    <t>On the origin of bast fiber dislocations in flax</t>
  </si>
  <si>
    <t>INDUSTRIAL CROPS AND PRODUCTS</t>
  </si>
  <si>
    <t>Gorshkova, Tatyana/C-4299-2014</t>
  </si>
  <si>
    <t>Gorshkova, Tatyana/0000-0003-0342-8195; Petrova, Anna/0000-0003-2887-9064; Kozlova, Liudmila/0000-0002-6323-167X</t>
  </si>
  <si>
    <t>0926-6690</t>
  </si>
  <si>
    <t>1872-633X</t>
  </si>
  <si>
    <t>10.1016/j.indcrop.2021.114382</t>
  </si>
  <si>
    <t>DEC 2021</t>
  </si>
  <si>
    <t>WOS:000736977300004</t>
  </si>
  <si>
    <t>Melnikov, AA; Mankov, PN; Bessolitsin, AV; Novikov, AV; Maxim, GP</t>
  </si>
  <si>
    <t>Melnikov, Alexey A.; Mankov, Petr N.; Bessolitsin, Alexey, V; Novikov, Alexey, V; Maxim, Popov G.</t>
  </si>
  <si>
    <t>Ensuring Electromagnetic Compatibility of Microprocessor Devices with Toroidal Chokes</t>
  </si>
  <si>
    <t>Melnikov, Alexey/0000-0001-7042-3277; Mankov, Petr/0000-0002-9104-664X; Popov, Maxim/0000-0003-1621-9755</t>
  </si>
  <si>
    <t>10.1109/ElConRus51938.2021.9396276</t>
  </si>
  <si>
    <t>WOS:000669709801069</t>
  </si>
  <si>
    <t>INFLUENCE OF SPEED-STRENGTH TRAINING ON THE CONCENTRATION INDICATORS OF SCHOOLCHILDREN AGED 13-14 YEARS WITH DIFFERENT TYPOLOGY</t>
  </si>
  <si>
    <t>10.51847/oCGvk8tmjd</t>
  </si>
  <si>
    <t>WOS:000741358800004</t>
  </si>
  <si>
    <t>Prach, O; Trudonoshyn, O; Randelzhofer, P; Korner, C; Durst, K</t>
  </si>
  <si>
    <t>Prach, O.; Trudonoshyn, O.; Randelzhofer, P.; Koerner, C.; Durst, K.</t>
  </si>
  <si>
    <t>Multi-alloying effect of Sc, Zr, Cr on the Al-Mg-Si-Mn high-pressure die casting alloys</t>
  </si>
  <si>
    <t>MATERIALS CHARACTERIZATION</t>
  </si>
  <si>
    <t>Durst, Karsten/AAF-2267-2021</t>
  </si>
  <si>
    <t>Durst, Karsten/0000-0002-9246-6398</t>
  </si>
  <si>
    <t>1044-5803</t>
  </si>
  <si>
    <t>1873-4189</t>
  </si>
  <si>
    <t>10.1016/j.matchar.2020.110537</t>
  </si>
  <si>
    <t>WOS:000571812800004</t>
  </si>
  <si>
    <t>Serzhanova, Z; Baykova, O; Kryukova, N; Mishutinskaya, E</t>
  </si>
  <si>
    <t>Serzhanova, Zhanna; Baykova, Olga; Kryukova, Natalya; Mishutinskaya, Elena</t>
  </si>
  <si>
    <t>CODE SWITCHING: A CASE STUDY OF GERMAN-RUSSIAN LANGUAGE INTERACTION</t>
  </si>
  <si>
    <t>WOS:000583783100003</t>
  </si>
  <si>
    <t>Thematic interpretation of high-resolution satellite images of vegetation based on field research data</t>
  </si>
  <si>
    <t>Ashikhmina, Tamara/O-1326-2015; Adamovich, Tatyana/N-3967-2016</t>
  </si>
  <si>
    <t>Ashikhmina, Tamara/0000-0003-4919-0047; Adamovich, Tatyana/0000-0002-8684-927X</t>
  </si>
  <si>
    <t>10.25750/1995-4301-2020-3-041-045</t>
  </si>
  <si>
    <t>WOS:000580337700006</t>
  </si>
  <si>
    <t>Zelentsov, AB; Kononov, PI; Stakhov, AI</t>
  </si>
  <si>
    <t>Zelentsov, A. B.; Kononov, P., I; Stakhov, A., I</t>
  </si>
  <si>
    <t>Administrative process as a kind of legal process: Modern problems of understanding and normative-legal regulation</t>
  </si>
  <si>
    <t>10.21638/spbu14.2018.404</t>
  </si>
  <si>
    <t>WOS:000457701400004</t>
  </si>
  <si>
    <t>Mamaeva, EA; Gerasimova, EK; Zaslavskaya, OY; Shunina, LA</t>
  </si>
  <si>
    <t>Mamaeva, Ekaterina A.; Gerasimova, Elena K.; Zaslavskaya, Olga Yu.; Shunina, Liubov A.</t>
  </si>
  <si>
    <t>Organization of Educational and Project Activities of Students to Create Chat Bots as a Condition to Train Future Teachers</t>
  </si>
  <si>
    <t>Mamaeva, Ekaterina/AAP-9683-2020; Gerasimova, Elena K/HKO-6286-2023</t>
  </si>
  <si>
    <t>Mamaeva, Ekaterina/0000-0002-7721-8820; Shunina, Liubov/0000-0002-6952-000X</t>
  </si>
  <si>
    <t>10.13187/ejced.2022.3.817</t>
  </si>
  <si>
    <t>WOS:000862890700012</t>
  </si>
  <si>
    <t>Ashikhmina, TY; Skugoreva, SG; Adamovich, TA; Tovstik, EV</t>
  </si>
  <si>
    <t>Ashikhmina, T. Ya; Skugoreva, S. G.; Adamovich, T. A.; Tovstik, E., V</t>
  </si>
  <si>
    <t>Assessment of the state of surface water bodies in the area of the landfill for pesticides</t>
  </si>
  <si>
    <t>Ashikhmina, Tamara/O-1326-2015; Tovstik, Evgeniya/P-1350-2017; Skugoreva, Svetlana/O-1406-2015</t>
  </si>
  <si>
    <t>Ashikhmina, Tamara/0000-0003-4919-0047; Tovstik, Evgeniya/0000-0003-1861-6076; Skugoreva, Svetlana/0000-0002-5902-5187</t>
  </si>
  <si>
    <t>10.25750/1995-4301-2021-1-104-111</t>
  </si>
  <si>
    <t>WOS:000632219100014</t>
  </si>
  <si>
    <t>Ogloblina, EV; Seredina, MI; Altunina, JO; Kodolov, VA; Lebedev, KA</t>
  </si>
  <si>
    <t>Ogloblina, Elizaveta Valentinovna; Seredina, Maria Igorevna; Altunina, Julia Olegovna; Kodolov, Vladimir Aleksandrovich; Lebedev, Kostyantyn Anatol'evich</t>
  </si>
  <si>
    <t>SOCIO-ECONOMIC CONSEQUENCES OF DIGITAL DEVELOPMENT OF THE ECONOMY</t>
  </si>
  <si>
    <t>Lebedev, Konstantin/M-4485-2016; Maria, Seredina/AAY-9175-2021; Ogloblina, Elizaveta/AAE-5998-2019</t>
  </si>
  <si>
    <t xml:space="preserve">Lebedev, Konstantin/0000-0003-2896-2060; </t>
  </si>
  <si>
    <t>WOS:000583783100035</t>
  </si>
  <si>
    <t>Vlasova, K; Govorova, N</t>
  </si>
  <si>
    <t>Vlasova, K.; Govorova, N.</t>
  </si>
  <si>
    <t>Socio-economic Situation in Greece 2008 - 2018: Results and Prospects</t>
  </si>
  <si>
    <t>Govorova, Natalia/AAA-5010-2019; Vlasova, Ksenia V/F-4747-2019</t>
  </si>
  <si>
    <t>Govorova, Natalia/0000-0002-9578-3225; Vlasova, Ksenia V/0000-0002-4119-4492</t>
  </si>
  <si>
    <t>10.15211/soveurope5201898109</t>
  </si>
  <si>
    <t>WOS:000454872800010</t>
  </si>
  <si>
    <t>Liu, J; Utemov, VV; Kalimullin, AM</t>
  </si>
  <si>
    <t>Liu, Jie; Utemov, Vyacheslav V.; Kalimullin, Aydar M.</t>
  </si>
  <si>
    <t>Teaching Mathematical Subjects to Students with Musculoskeletal Disabilities: Public and Peer Discussions</t>
  </si>
  <si>
    <t>Kalimullin, Aydar/N-1528-2013; Utemov, Vyacheslav V/F-1651-2017</t>
  </si>
  <si>
    <t>Kalimullin, Aydar/0000-0001-7788-7728; Utemov, Vyacheslav V/0000-0001-8156-5916</t>
  </si>
  <si>
    <t>10.12973/eurasia.2017.01217a</t>
  </si>
  <si>
    <t>WOS:000404604700031</t>
  </si>
  <si>
    <t>Okhotina, S; Kukhtin, P; Manukhina, L</t>
  </si>
  <si>
    <t>Okhotina, Svetlana; Kukhtin, Peter; Manukhina, Lyubov</t>
  </si>
  <si>
    <t>The method of complex evaluation of management in the sphere of housing and communal services</t>
  </si>
  <si>
    <t>Manukhina, Lyubov/AFL-6758-2022; Manukhina, Lyubov/AAG-6899-2022</t>
  </si>
  <si>
    <t>Manukhina, Lyubov/0000-0003-4300-7002; Manukhina, Lyubov/0000-0003-4300-7002</t>
  </si>
  <si>
    <t>10.1051/matecconf/201710608074</t>
  </si>
  <si>
    <t>WOS:000426426600259</t>
  </si>
  <si>
    <t>Byvalov, AA; Dudina, LG; Chernyad'ev, AV; Konyshev, IV; Litvinets, SG; Ovodov, YS</t>
  </si>
  <si>
    <t>Byvalov, A. A.; Dudina, L. G.; Chernyad'ev, A. V.; Konyshev, I. V.; Litvinets, S. G.; Ovodov, Yu S.</t>
  </si>
  <si>
    <t>Immunochemical activity of the Yersinia pseudotuberculosis B-antigen</t>
  </si>
  <si>
    <t>MOLECULAR GENETICS MICROBIOLOGY AND VIROLOGY</t>
  </si>
  <si>
    <t>Dudina, Liubov G./C-7171-2017; Litvinets, Sergey G./I-8188-2013; Konyshev, Ilya V./A-9370-2019; Byvalov, Andrey A./Y-6825-2018</t>
  </si>
  <si>
    <t>Dudina, Liubov G./0000-0002-2172-9015; Litvinets, Sergey G./0000-0001-8583-5274; Konyshev, Ilya V./0000-0001-6575-9630; Byvalov, Andrey A./0000-0003-1117-5896</t>
  </si>
  <si>
    <t>0891-4168</t>
  </si>
  <si>
    <t>1934-841X</t>
  </si>
  <si>
    <t>10.3103/S0891416815020032</t>
  </si>
  <si>
    <t>WOS:000358668400006</t>
  </si>
  <si>
    <t>Izmest'ev, ES; Petukhov, DV; Pestova, SV; Rubtsova, SA</t>
  </si>
  <si>
    <t>Izmest'ev, E. S.; Petukhov, D. V.; Pestova, S. V.; Rubtsova, S. A.</t>
  </si>
  <si>
    <t>Synthesis of Dehydroabietane Sulfonamides Containing Amino Acid Ester and Hydrazide Fragments</t>
  </si>
  <si>
    <t>10.1134/S1070428023010074</t>
  </si>
  <si>
    <t>WOS:000959623400007</t>
  </si>
  <si>
    <t>Saetova, NS; Raskovalov, AA; Kraynova, DA; Vlasov, MI; Il'ina, EA; Starichenko, DV</t>
  </si>
  <si>
    <t>Saetova, N. S.; Raskovalov, A. A.; Kraynova, D. A.; Vlasov, M. I.; Il'ina, E. A.; Starichenko, D. V.</t>
  </si>
  <si>
    <t>Effect of La2O3 on the properties of vanadium phosphate glasses: Structure-conductivity relation by molecular dynamics with self-assembly</t>
  </si>
  <si>
    <t>SOLID STATE IONICS</t>
  </si>
  <si>
    <t>Starichenko, Denis/J-9813-2013; Il'ina, Evgeniya/G-7773-2016</t>
  </si>
  <si>
    <t>Starichenko, Denis/0000-0001-9481-538X; Il'ina, Evgeniya/0000-0003-1759-5234</t>
  </si>
  <si>
    <t>0167-2738</t>
  </si>
  <si>
    <t>1872-7689</t>
  </si>
  <si>
    <t>10.1016/j.ssi.2021.115850</t>
  </si>
  <si>
    <t>WOS:000791263100008</t>
  </si>
  <si>
    <t>Kutyavina, T. I.; Rutman, V. V.; Ashikhmina, T. Ya.</t>
  </si>
  <si>
    <t>Using digital maps to identify areas of mass developmentof phytoplankton in small freshwater reservoirs</t>
  </si>
  <si>
    <t>10.25750/1995-4301-2022-2-035-041</t>
  </si>
  <si>
    <t>WOS:000820802000004</t>
  </si>
  <si>
    <t>Trudonoshyn, O; Prach, O; Randelzhofer, P; Durst, K; Korner, C</t>
  </si>
  <si>
    <t>Trudonoshyn, O.; Prach, O.; Randelzhofer, P.; Durst, K.; Koerner, C.</t>
  </si>
  <si>
    <t>Heat treatment of the new high-strength high-ductility Al-Mg-Si-Mn alloys with Sc, Zr and Cr additions</t>
  </si>
  <si>
    <t>MATERIALIA</t>
  </si>
  <si>
    <t>2589-1529</t>
  </si>
  <si>
    <t>10.1016/j.mtla.2020.100981</t>
  </si>
  <si>
    <t>WOS:000636280500015</t>
  </si>
  <si>
    <t>Chistyakov, AV; Djigan, VI; Davies, JN</t>
  </si>
  <si>
    <t>Picking, R; Cunningham, S; Houlden, N; Oram, D; Grout, V; Mayers, J; Abdalhameed, RA; Liggett, S; Vagapov, Y</t>
  </si>
  <si>
    <t>Chistyakov, Anton V.; Djigan, Victor I.; Davies, John N.</t>
  </si>
  <si>
    <t>Spectrum Sensing Techniques for MANET Simulations in Discrete-time Simulator NS-3</t>
  </si>
  <si>
    <t>2015 INTERNET TECHNOLOGIES AND APPLICATIONS (ITA) PROCEEDINGS OF THE SIXTH INTERNATIONAL CONFERENCE (ITA 15)</t>
  </si>
  <si>
    <t>INTERNET TECHNOLOGIES AND ApPLICATIONS (ITA)</t>
  </si>
  <si>
    <t>SEP 08-11, 2015</t>
  </si>
  <si>
    <t>Glyndwr Univ, Wrexham, UNITED KINGDOM</t>
  </si>
  <si>
    <t>Inst of Elect and Elect Engineers (IEEE UK and Ireland Sect),IEEE Advancing Technol Humanity,PRIFYSGOL Glyndwr Univ,Chartered Inst IT,MMM,Soc Social Implicat Technol,Commonwealth ITU Grp,Univ Bradford,KOC Univ,Univ Sfax,Modibo Adama Univ Technol,Studium Gen Civitatis Perusii,Botswana Int Univ Sci Technol,InnoInspire Possibilities,Amer Univ Nigeria,Things2Do,Eniac,Value Project,eert,ensa</t>
  </si>
  <si>
    <t>Glyndwr Univ</t>
  </si>
  <si>
    <t>Djigan, Victor I./D-3127-2017</t>
  </si>
  <si>
    <t>Djigan, Victor I./0000-0001-7485-1623</t>
  </si>
  <si>
    <t>978-1-4799-8036-9</t>
  </si>
  <si>
    <t>WOS:000380532400067</t>
  </si>
  <si>
    <t>Teteryuk, LV; Valuiskikh, OE; Savinykh, NP</t>
  </si>
  <si>
    <t>Teteryuk, L. V.; Valuiskikh, O. E.; Savinykh, N. P.</t>
  </si>
  <si>
    <t>Biomorphology and ontogeny of Gymnadenia conopsea (L.) R. Br. (Orchidaceae) in marginal populations on limestones in the northeast of European Russia</t>
  </si>
  <si>
    <t>RUSSIAN JOURNAL OF ECOLOGY</t>
  </si>
  <si>
    <t>Valuyskikh, Olga/A-6076-2016; Valuyskikh, Olga/AAF-3409-2019; Teteryuk, Liudmila V/Q-1961-2015</t>
  </si>
  <si>
    <t>Teteryuk, Lyudmila/0000-0002-9573-7923; Valuyskikh, Olga/0000-0003-2359-1731; Savinykh, Natalia/0000-0003-4996-8269</t>
  </si>
  <si>
    <t>1067-4136</t>
  </si>
  <si>
    <t>1608-3334</t>
  </si>
  <si>
    <t>10.1134/S1067413613030144</t>
  </si>
  <si>
    <t>WOS:000321871500002</t>
  </si>
  <si>
    <t>Kantor, GY; Syrchina, NV; Ashikhmina, TY</t>
  </si>
  <si>
    <t>Kantor, G. Ya; Syrchina, N., V; Ashikhmina, T. Ya</t>
  </si>
  <si>
    <t>Modeling carbon balance of municipal solid waste landfills</t>
  </si>
  <si>
    <t>10.25750/1995-4301-2022-1-198-204</t>
  </si>
  <si>
    <t>WOS:000819811100028</t>
  </si>
  <si>
    <t>Kutyavina, TI; Ashikhmina, TY</t>
  </si>
  <si>
    <t>Kutyavina, T., I; Ashikhmina, T. Ya</t>
  </si>
  <si>
    <t>Current state and problems of monitoring of surface water bodies in Russia</t>
  </si>
  <si>
    <t>10.25750/1995-4301-2021-2-013-021</t>
  </si>
  <si>
    <t>WOS:000667025400002</t>
  </si>
  <si>
    <t>Mankov, PN; Melnikov, AA; Popov, MG; Novikov, AV; Bessolitsin, AV</t>
  </si>
  <si>
    <t>Mankov, Petr N.; Melnikov, Alexey A.; Popov, Maxim G.; Novikov, Alexey, V; Bessolitsin, Alexey, V</t>
  </si>
  <si>
    <t>Ensuring Electromagnetic Compatibility of Control and Measuring Cables in Case of Phase-Shielded Conductor-Induced Interference in Non-Stationary Modes</t>
  </si>
  <si>
    <t>Melnikov, Alexey/0000-0001-7042-3277; Mankov, Petr/0000-0002-9104-664X</t>
  </si>
  <si>
    <t>10.1109/ElConRus51938.2021.9396694</t>
  </si>
  <si>
    <t>WOS:000669709801068</t>
  </si>
  <si>
    <t>Olkova, AS; Ashikhmina, TY</t>
  </si>
  <si>
    <t>Olkova, A. S.; Ashikhmina, T. Ya</t>
  </si>
  <si>
    <t>Factors of obtaining representative results of bioassay of aquatic environments</t>
  </si>
  <si>
    <t>Ashikhmina, Tamara/0000-0003-4919-0047; Mahanova, Elena/0000-0002-6611-8349</t>
  </si>
  <si>
    <t>10.25750/1995-4301-2021-2-022-030</t>
  </si>
  <si>
    <t>WOS:000667025400003</t>
  </si>
  <si>
    <t>DEVELOPMENT OF SPEED AND STRENGTH ABILITIES OF CHILDREN, TAKING INTO ACCOUNT THE TYPOLOGY</t>
  </si>
  <si>
    <t>10.51847/bzkZmBKa9f</t>
  </si>
  <si>
    <t>WOS:000741358800008</t>
  </si>
  <si>
    <t>Skugoreva, SG; Kantor, GY; Zhilkoval, AV</t>
  </si>
  <si>
    <t>Skugoreva, S. G.; Kantor, G. Ya; Zhilkoval, A., V</t>
  </si>
  <si>
    <t>The use of mathematical models to assess the sorption abilities of higher mushrooms and activated carbon in relation to copper(II) ions</t>
  </si>
  <si>
    <t>Skugoreva, Svetlana/O-1406-2015</t>
  </si>
  <si>
    <t>Skugoreva, Svetlana/0000-0002-5902-5187</t>
  </si>
  <si>
    <t>10.25750/1995-4301-2020-2-044-050</t>
  </si>
  <si>
    <t>WOS:000545295600005</t>
  </si>
  <si>
    <t>Identification of the Dynamic Elasticity Characteristics and Damping Properties of the OT-4 Titanium Alloy Based on Study of Damping Flexural Vibrations of the Test Specimens</t>
  </si>
  <si>
    <t>JOURNAL OF MACHINERY MANUFACTURE AND RELIABILITY</t>
  </si>
  <si>
    <t>1052-6188</t>
  </si>
  <si>
    <t>1934-9394</t>
  </si>
  <si>
    <t>10.3103/S1052618819020110</t>
  </si>
  <si>
    <t>WOS:000470169700004</t>
  </si>
  <si>
    <t>Olkova, AS; Kantor, GY; Kutyavina, TI; Ashikhmina, TY</t>
  </si>
  <si>
    <t>Olkova, Anna S.; Kantor, Grigorii Y.; Kutyavina, Tatyana I.; Ashikhmina, Tamara Y.</t>
  </si>
  <si>
    <t>The Importance of Maintenance Conditions of Daphnia magna Straus as a Test Organism for Ecotoxicological Analysis</t>
  </si>
  <si>
    <t>ENVIRONMENTAL TOXICOLOGY AND CHEMISTRY</t>
  </si>
  <si>
    <t>Kutyavina, Tatyana/T-1440-2017; Ashikhmina, Tamara/O-1326-2015</t>
  </si>
  <si>
    <t>Kutyavina, Tatyana/0000-0001-7957-0636; Ashikhmina, Tamara/0000-0003-4919-0047</t>
  </si>
  <si>
    <t>0730-7268</t>
  </si>
  <si>
    <t>1552-8618</t>
  </si>
  <si>
    <t>10.1002/etc.3956</t>
  </si>
  <si>
    <t>WOS:000423425700008</t>
  </si>
  <si>
    <t>Domracheva, LI; Skugoreva, SG; Starikov, PA; Gornostaeva, EA; Ashikhmina, TY</t>
  </si>
  <si>
    <t>Domracheva, L. I.; Skugoreva, S. G.; Starikov, P. A.; Gornostaeva, E. A.; Ashikhmina, T. Ya.</t>
  </si>
  <si>
    <t>Microbes-antagonists against of phytopathogenic bacteria and fungi (review)</t>
  </si>
  <si>
    <t>Горностаева, Елена/HGE-8735-2022; Ashikhmina, Tamara/O-1326-2015; Skugoreva, Svetlana/O-1406-2015</t>
  </si>
  <si>
    <t>Ashikhmina, Tamara/0000-0003-4919-0047; Gornostaeva, Elena/0000-0003-4888-5736; Skugoreva, Svetlana/0000-0002-5902-5187; Starikov, Pavel/0000-0002-3205-6696</t>
  </si>
  <si>
    <t>10.25750/1995-4301-2022-2-006-014</t>
  </si>
  <si>
    <t>WOS:000820802000001</t>
  </si>
  <si>
    <t>Fomin, S; Shirokova, E; Kraeva, I; Tolstobrov, I; Bushuev, A; Yuzhanin, K; Ananchenko, B; Vetcher, AA; Iordanskii, A</t>
  </si>
  <si>
    <t>Fomin, Sergey; Shirokova, Evgenia; Kraeva, Iren; Tolstobrov, Ivan; Bushuev, Andrey; Yuzhanin, Kirill; Ananchenko, Boris; Vetcher, Alexandre A. A.; Iordanskii, Alexey</t>
  </si>
  <si>
    <t>Effect of Polyvinylidene Fluoride Membrane Production Conditions on Its Structure and Performance Characteristics</t>
  </si>
  <si>
    <t>Vetcher, Alexandre A/AAP-3690-2021; Yuzhanin, Kirill/ACJ-8820-2022; Shirokova, Evgeniya/L-2195-2017</t>
  </si>
  <si>
    <t>Vetcher, Alexandre A/0000-0002-4828-8571; Yuzhanin, Kirill/0000-0002-8359-1920; Shirokova, Evgeniya/0000-0001-5735-3489; Iordanskii, Alexey/0000-0003-0771-0825; Tolstobrov, Ivan/0000-0002-0133-6150</t>
  </si>
  <si>
    <t>10.3390/polym14235283</t>
  </si>
  <si>
    <t>WOS:000896480200001</t>
  </si>
  <si>
    <t>Bulatov, S; Nechaev, V; Savinyh, P; Rucins, A</t>
  </si>
  <si>
    <t>Bulatov, Sergey; Nechaev, Vladimir; Savinyh, Peter; Rucins, Adolfs</t>
  </si>
  <si>
    <t>RESEARCH RESULTS OF EXPERIMENTAL AUTOMATED SYSTEM FOR DOSING BULK MATERIALS</t>
  </si>
  <si>
    <t>20TH INTERNATIONAL SCIENTIFIC CONFERENCE ENGINEERING FOR RURAL DEVELOPMENT</t>
  </si>
  <si>
    <t>20th International Scientific Conference on Engineering for Rural Development</t>
  </si>
  <si>
    <t>MAY 26-28, 2021</t>
  </si>
  <si>
    <t>Latvia Univ Life Sci &amp; Technologies, Fac Engn,Latvia Acad Agr &amp; Forest Sci, Sect Engn</t>
  </si>
  <si>
    <t>Нечаев, Владимир/ABC-4742-2021; Rucins, Adolfs/ABD-1940-2021; Bulatov, Sergey/ABC-3577-2020</t>
  </si>
  <si>
    <t>Нечаев, Владимир/0000-0002-7566-6013; Rucins, Adolfs/0000-0001-7107-1584; Bulatov, Sergey/0000-0001-9099-0447</t>
  </si>
  <si>
    <t>10.22616/ERDev.2021.20.TF043</t>
  </si>
  <si>
    <t>WOS:000817951600028</t>
  </si>
  <si>
    <t>Arkhipov, B; Rychkov, S; Shatrov, A</t>
  </si>
  <si>
    <t>Sokolinsky, L; Zymbler, M</t>
  </si>
  <si>
    <t>Arkhipov, Boris; Rychkov, Sergey; Shatrov, Anatoliy</t>
  </si>
  <si>
    <t>High-Performance Calculations for River Floodplain Model and Its Implementations</t>
  </si>
  <si>
    <t>PARALLEL COMPUTATIONAL TECHNOLOGIES, PCT 2019</t>
  </si>
  <si>
    <t>13th International Scientific Conference on Parallel Computational Technologies (PCT)</t>
  </si>
  <si>
    <t>APR 02-04, 2019</t>
  </si>
  <si>
    <t>Kaliningrad, RUSSIA</t>
  </si>
  <si>
    <t>Intel,RSC Grp,Hewlett Packard Enterprise,T Platforms,AMD,IBS,Russian Univ, Supercomp Consortium,Minist Sci &amp; Higher Educ Russian Federat</t>
  </si>
  <si>
    <t>Ryckov, Sergei Leonidovic/0000-0002-7592-617X; Shatrov, Anatoly/0000-0002-5295-571X</t>
  </si>
  <si>
    <t>978-3-030-28163-2; 978-3-030-28162-5</t>
  </si>
  <si>
    <t>10.1007/978-3-030-28163-2_15</t>
  </si>
  <si>
    <t>WOS:000558285700015</t>
  </si>
  <si>
    <t>Terentyev, YN; Syrchina, NV; Ashikhmina, TY; Sazanov, AV; Sazanova, ML; Kozvonin, VA; Petukhov, DV</t>
  </si>
  <si>
    <t>Terentyev, Yu N.; Syrchina, N., V; Ashikhmina, T. Ya; Sazanov, A., V; Sazanova, M. L.; Kozvonin, V. A.; Petukhov, D., V</t>
  </si>
  <si>
    <t>Technology for conversion of whey into organic-mineral fertilizers with amino acids</t>
  </si>
  <si>
    <t>Syrchina, Nadezhda/ABF-2311-2020; Sazanova, Maria/AAS-9191-2021; Sazanova, Maria/I-4211-2016; Sazanov, Alexander/T-7711-2019; Ashikhmina, Tamara/O-1326-2015</t>
  </si>
  <si>
    <t>Syrchina, Nadezhda/0000-0001-8049-6760; Sazanova, Maria/0000-0003-3492-8395; Sazanova, Maria/0000-0003-3492-8395; Ashikhmina, Tamara/0000-0003-4919-0047</t>
  </si>
  <si>
    <t>10.25750/1995-4301-2018-2-087-093</t>
  </si>
  <si>
    <t>WOS:000468564500011</t>
  </si>
  <si>
    <t>Nikulin, V; Rogovschi, N; Grozavu, N</t>
  </si>
  <si>
    <t>Nikulin, Vladimir; Rogovschi, Nicoleta; Grozavu, Nistor</t>
  </si>
  <si>
    <t>Incremental Learning from Several Different Microarrays</t>
  </si>
  <si>
    <t>2013 INTERNATIONAL JOINT CONFERENCE ON NEURAL NETWORKS (IJCNN)</t>
  </si>
  <si>
    <t>AUG 04-09, 2013</t>
  </si>
  <si>
    <t>Dallas, TX</t>
  </si>
  <si>
    <t>Int Neural Network Soc,IEEE Computat Intelligence Soc</t>
  </si>
  <si>
    <t>978-1-4673-6129-3; 978-1-4673-6128-6</t>
  </si>
  <si>
    <t>WOS:000349557200073</t>
  </si>
  <si>
    <t>Konyshev, IV; Ivanov, SA; Kopylov, PH; Anisimov, AP; Dentovskaya, SV; Byvalov, AA</t>
  </si>
  <si>
    <t>Konyshev, I., V; Ivanov, S. A.; Kopylov, P. H.; Anisimov, A. P.; Dentovskaya, S., V; Byvalov, A. A.</t>
  </si>
  <si>
    <t>The Role of Yersinia pestis Antigens in Adhesion to J774 Macrophages: Optical Trapping Study</t>
  </si>
  <si>
    <t>Konyshev, Ilya V./A-9370-2019; Byvalov, Andrey A./Y-6825-2018; Anisimov, Andrey P./H-5257-2012; Dentovskaya, Svetlana/F-4623-2017</t>
  </si>
  <si>
    <t>Konyshev, Ilya V./0000-0001-6575-9630; Byvalov, Andrey A./0000-0003-1117-5896; Anisimov, Andrey P./0000-0002-5499-7999; Dentovskaya, Svetlana/0000-0002-1996-8949</t>
  </si>
  <si>
    <t>10.1134/S0003683822040081</t>
  </si>
  <si>
    <t>WOS:000824879100006</t>
  </si>
  <si>
    <t>Nikolskaya, E; Zakharova, E; Avilova, N; Konovalova, A; Dmitrieva, O</t>
  </si>
  <si>
    <t>Nikolskaya, Elena; Zakharova, Elena; Avilova, Natalia; Konovalova, Alla; Dmitrieva, Olga</t>
  </si>
  <si>
    <t>PERFECTING APPROACHES TO PERSONNEL RECRUITMENT IN THE HOSPITALITY INDUSTRY</t>
  </si>
  <si>
    <t>ANAIS BRASILEIROS DE ESTUDOS TURISTICOS-ABET</t>
  </si>
  <si>
    <t>Dmitrieva, Olga/M-9023-2015</t>
  </si>
  <si>
    <t>Dmitrieva, Olga/0000-0001-8328-3971</t>
  </si>
  <si>
    <t>2238-2925</t>
  </si>
  <si>
    <t>JAN-DEC</t>
  </si>
  <si>
    <t>WOS:000934358700002</t>
  </si>
  <si>
    <t>Skugoreva, SG; Trefilova, LV; Domracheva, LI; Kantor, GY; Ashikhmina, TY</t>
  </si>
  <si>
    <t>Skugoreva, S. G.; Trefilova, L., V; Domracheva, L., I; Kantor, G. Ya; Ashikhmina, T. Ya</t>
  </si>
  <si>
    <t>Protection of wood from destruction using antiseptics obtained from industrial waste (review)</t>
  </si>
  <si>
    <t>Trefilova, Ludmila/0000-0002-9932-5803</t>
  </si>
  <si>
    <t>10.25750/1995-4301-2022-4-006-013</t>
  </si>
  <si>
    <t>WOS:000929704700001</t>
  </si>
  <si>
    <t>Terentyeva, IV; Pugacheva, NB; Luchinina, AO; Khalmetov, TA; Safin, NM; Shaydullina, AN</t>
  </si>
  <si>
    <t>Terentyeva, Irina, V; Pugacheva, Natalya B.; Luchinina, Anastasia O.; Khalmetov, Timur A.; Safin, Niyaz M.; Shaydullina, Alsu N.</t>
  </si>
  <si>
    <t>Selection and Structuring of Training Multimedia Educational Materials for University Students: Practical Recommendations</t>
  </si>
  <si>
    <t>INTERNATIONAL JOURNAL OF INSTRUCTION</t>
  </si>
  <si>
    <t>Pugacheva, Natalya NP/B-7953-2017; Luchinina, Anastasia/AAB-8652-2021; Terenteva, Irina/M-1925-2013; Лучинина, Анастасия/AAK-4606-2020</t>
  </si>
  <si>
    <t xml:space="preserve">Pugacheva, Natalya NP/0000-0003-1768-0076; Luchinina, Anastasia/0000-0003-0022-957X; Terenteva, Irina/0000-0002-7072-6822; </t>
  </si>
  <si>
    <t>1694-609X</t>
  </si>
  <si>
    <t>1308-1470</t>
  </si>
  <si>
    <t>10.29333/iji.2019.12346a</t>
  </si>
  <si>
    <t>WOS:000473529000047</t>
  </si>
  <si>
    <t>Tovstik, EV; Sazanov, AV; Bakulina, AV; Shirokikh, IG; Ashikhmina, TY</t>
  </si>
  <si>
    <t>Tovstik, E., V; Sazanov, A., V; Bakulina, A., V; Shirokikh, I. G.; Ashikhmina, T. Ya</t>
  </si>
  <si>
    <t>Identification and study of the properties of Streptomyces geldanamycininus 3K9, isolated from the soil under the bush of Heracleum sosnowskyi</t>
  </si>
  <si>
    <t>Tovstik, Evgeniya/P-1350-2017; Bakulina, Anna/AAH-3534-2019; Shirokikh, Irina G/V-3449-2017; Ashikhmina, Tamara/O-1326-2015</t>
  </si>
  <si>
    <t>Tovstik, Evgeniya/0000-0003-1861-6076; Bakulina, Anna/0000-0002-5171-2476; Shirokikh, Irina G/0000-0002-3319-2729; Ashikhmina, Tamara/0000-0003-4919-0047; Sazanov, Alexander/0000-0002-6934-3330</t>
  </si>
  <si>
    <t>10.25750/1995-4301-2019-2-053-060</t>
  </si>
  <si>
    <t>WOS:000477826000006</t>
  </si>
  <si>
    <t>Popov, SV; Markov, PA; Patova, OA; Vityazev, FV; Bakutova, LA; Borisenkov, MF; Martinson, EA; Ananchenko, BA; Durnev, EA; Burkov, AA; Litvinets, SG; Belyi, VA; Ipatova, EA</t>
  </si>
  <si>
    <t>Popov, Sergey V.; Markov, Pavel A.; Patova, Olga A.; Vityazev, Fedor V.; Bakutova, Larisa A.; Borisenkov, Mikhail F.; Martinson, Ekaterina A.; Ananchenko, Boris A.; Durnev, Eugene A.; Burkov, Andrey A.; Litvinets, Sergey G.; Belyi, Vladimir A.; Ipatova, Elena A.</t>
  </si>
  <si>
    <t>In vitro gastrointestinal-resistant pectin hydrogel particles for -glucuronidase adsorption</t>
  </si>
  <si>
    <t>JOURNAL OF BIOMATERIALS SCIENCE-POLYMER EDITION</t>
  </si>
  <si>
    <t>Burkov, Andrei/N-5302-2016; Patova, Olga A/T-1244-2017; Martinson, Ekaterina/AAL-5413-2020; Ananchenko, Boris/AAM-5831-2020; Belyy, Vladimir/AAD-5402-2019; Popov, Sergey V/F-7627-2016; Popov, Sergey V/F-1751-2014; Burkov, Andrey/ABB-8219-2021; Litvinets, Sergey G./I-8188-2013; Popov, Sergey/AAM-6438-2021; Borisenkov, Mikhail/H-7169-2019; Borisenkov, Mikhail F/O-9862-2015; Markov, Pavel/Q-2677-2016</t>
  </si>
  <si>
    <t>Burkov, Andrei/0000-0002-3627-1262; Patova, Olga A/0000-0001-5236-4867; Ananchenko, Boris/0000-0002-7975-7828; Belyy, Vladimir/0000-0001-5410-9587; Popov, Sergey V/0000-0003-1763-8898; Popov, Sergey V/0000-0002-9050-4493; Litvinets, Sergey G./0000-0001-8583-5274; Popov, Sergey/0000-0003-1763-8898; Borisenkov, Mikhail/0000-0002-4310-2010; Borisenkov, Mikhail F/0000-0002-4310-2010; Markov, Pavel/0000-0002-4803-4803</t>
  </si>
  <si>
    <t>0920-5063</t>
  </si>
  <si>
    <t>1568-5624</t>
  </si>
  <si>
    <t>10.1080/09205063.2016.1268461</t>
  </si>
  <si>
    <t>WOS:000391090000006</t>
  </si>
  <si>
    <t>Shirokikh, IG; Shirokikh, AA; Ashikhmina, TY</t>
  </si>
  <si>
    <t>Shirokikh, I. G.; Shirokikh, A. A.; Ashikhmina, T. Ya.</t>
  </si>
  <si>
    <t>Assessing the Antagonistic Potential and Antibiotic Resistance of Actinomycetes Isolated from Two Zheltozems of Southeastern China</t>
  </si>
  <si>
    <t>Shirokikh, Alexandr/U-8080-2019; Shirokikh, Irina G/V-3449-2017; Ashikhmina, Tamara/O-1326-2015; Shirokikh, Alexandr/X-1684-2018; Shirikikh, Alexandr A.A.S./W-7606-2018</t>
  </si>
  <si>
    <t xml:space="preserve">Shirokikh, Alexandr/0000-0002-7808-0376; Shirokikh, Irina G/0000-0002-3319-2729; Ashikhmina, Tamara/0000-0003-4919-0047; Shirokikh, Alexandr/0000-0002-7808-0376; </t>
  </si>
  <si>
    <t>10.1134/S1064229318050113</t>
  </si>
  <si>
    <t>WOS:000441009400011</t>
  </si>
  <si>
    <t>Ogorodnikova, SY; Pestov, SV; Zinoviev, VV; Sofronov, AP</t>
  </si>
  <si>
    <t>Ogorodnikova, S. Yu.; Pestov, S. V.; Zinoviev, V. V.; Sofronov, A. P.</t>
  </si>
  <si>
    <t>Influence of phytopathogens on the content of plastid pigments and the intensity of lipid peroxidation processes in the leaves of woody plants</t>
  </si>
  <si>
    <t>10.25750/1995-4301-2022-2-084-092</t>
  </si>
  <si>
    <t>WOS:000820802000011</t>
  </si>
  <si>
    <t>Kutyavina, TI; Rutman, VV; Ashikhmina, TY; Savinykh, VP</t>
  </si>
  <si>
    <t>Kutyavina, T., I; Rutman, V. V.; Ashikhmina, T. Ya; Savinykh, V. P.</t>
  </si>
  <si>
    <t>The use of satellite images to determine the boundaries of water bodies and study the processes of eutrophication</t>
  </si>
  <si>
    <t>Ashikhmina, Tamara/O-1326-2015; Kutyavina, Tatyana/T-1440-2017; Kutyavina, Tatyana/AAX-3781-2021; Rutman, Vyacheslav V/C-5357-2019</t>
  </si>
  <si>
    <t>Ashikhmina, Tamara/0000-0003-4919-0047; Kutyavina, Tatyana/0000-0001-7957-0636; Kutyavina, Tatyana/0000-0001-7957-0636; Rutman, Vyacheslav V/0000-0002-9025-3487</t>
  </si>
  <si>
    <t>10.25750/1995-4301-2019-3-028-033</t>
  </si>
  <si>
    <t>WOS:000490704900004</t>
  </si>
  <si>
    <t>Fokina, AI; Ogorodnikova, SY; Domracheva, LI; Lyalina, EI; Gornostaeva, EA; Ashikhmina, TY; Kondakova, LV</t>
  </si>
  <si>
    <t>Fokina, A. I.; Ogorodnikova, S. Yu.; Domracheva, L. I.; Lyalina, E. I.; Gornostaeva, E. A.; Ashikhmina, T. Ya.; Kondakova, L. V.</t>
  </si>
  <si>
    <t>Cyanobacteria as test organisms and biosorbents</t>
  </si>
  <si>
    <t>Горностаева, Елена/HGE-8735-2022; Ashikhmina, Tamara/O-1326-2015</t>
  </si>
  <si>
    <t>Ashikhmina, Tamara/0000-0003-4919-0047; Gornostaeva, Elena/0000-0003-4888-5736</t>
  </si>
  <si>
    <t>10.1134/S106422931611003X</t>
  </si>
  <si>
    <t>WOS:000395058300010</t>
  </si>
  <si>
    <t>Tereshkina, T; Mottaeva, A; Andreeva, L; Larinina, T</t>
  </si>
  <si>
    <t>Tereshkina, Tatiana; Mottaeva, Angela; Andreeva, Larisa; Larinina, Tatyana</t>
  </si>
  <si>
    <t>Social-and-economic mechanism of formation of favorable investment attractiveness of the region</t>
  </si>
  <si>
    <t>10.1088/1755-1315/90/1/012138</t>
  </si>
  <si>
    <t>WOS:000419816700138</t>
  </si>
  <si>
    <t>Skugoreva, SG; Kantor, GY; Domracheva, LI</t>
  </si>
  <si>
    <t>Skugoreva, S. G.; Kantor, G. Ya; Domracheva, L., I</t>
  </si>
  <si>
    <t>Evaluation of the sorption efficiency of lead(II) ions using models of kinetics and sorption isotherm</t>
  </si>
  <si>
    <t>10.25750/1995-4301-2021-3-044-051</t>
  </si>
  <si>
    <t>WOS:000700413300006</t>
  </si>
  <si>
    <t>Karanina, E; Loginov, D; Vlasova, T; Zhangurazov, A; Taskaeva, M</t>
  </si>
  <si>
    <t>Karanina, Elena; Loginov, Dmitry; Vlasova, Tamara; Zhangurazov, Aslan; Taskaeva, Maria</t>
  </si>
  <si>
    <t>Monitoring of foreign experience of development of small and medium business</t>
  </si>
  <si>
    <t>10.1051/matecconf/201710608087</t>
  </si>
  <si>
    <t>WOS:000426426600272</t>
  </si>
  <si>
    <t>Gordeeva, YM</t>
  </si>
  <si>
    <t>Gordeeva, Y. M.</t>
  </si>
  <si>
    <t>Lake Baikal as a natural World Heritage site: recent issues of protection under international law</t>
  </si>
  <si>
    <t>10.25750/1995-4301-2021-4-230-236</t>
  </si>
  <si>
    <t>WOS:000755154100033</t>
  </si>
  <si>
    <t>Azyamov, MA; Shirokikh, AA; Ashikhmina, TY</t>
  </si>
  <si>
    <t>Azyamov, M. A.; Shirokikh, A. A.; Ashikhmina, T. Ya</t>
  </si>
  <si>
    <t>The toxicity comparison of antitumor substances: the mushroom Hericium erinaceus BP 16 polysaccharides, dialderon and melhotrexate</t>
  </si>
  <si>
    <t>Shirikikh, Alexandr A.A.S./W-7606-2018; Ashikhmina, Tamara/O-1326-2015; Shirokikh, Alexandr/X-1684-2018</t>
  </si>
  <si>
    <t>Ashikhmina, Tamara/0000-0003-4919-0047; Aziamov, Mikhail/0000-0001-5718-9463; Shirokikh, Alexandr/0000-0002-7808-0376</t>
  </si>
  <si>
    <t>10.25750/1995-4301-2019-4-142-149</t>
  </si>
  <si>
    <t>WOS:000504049400020</t>
  </si>
  <si>
    <t>Skugoreva, SG; Kantor, GY; Domracheva, LI; Sheshegova, TK</t>
  </si>
  <si>
    <t>Skugoreva, S. G.; Kantor, G. Ya; Domracheva, L., I; Sheshegova, T. K.</t>
  </si>
  <si>
    <t>Assessment of sorption abilities of various species of Fusarium micromycetes in relation to heavy metal ions</t>
  </si>
  <si>
    <t>10.25750/1995-4301-2019-4-103-109</t>
  </si>
  <si>
    <t>WOS:000504049400014</t>
  </si>
  <si>
    <t>Karasenkov, Y; Frolov, G; Pogorelsky, I; Latuta, N; Gusev, A; Kuznetsov, D; Leont'ev, V</t>
  </si>
  <si>
    <t>Refsnes, M; Gusev, A; Godymchuk, A; Bogdan, A</t>
  </si>
  <si>
    <t>Karasenkov, Y.; Frolov, G.; Pogorelsky, I.; Latuta, N.; Gusev, A.; Kuznetsov, D.; Leont'ev, V.</t>
  </si>
  <si>
    <t>Colloidal metal oxide nanoparticle systems: the new promising way to prevent antibiotic resistance during treatment of local infectious processes</t>
  </si>
  <si>
    <t>3RD INTERNATIONAL YOUTH CONFERENCE ON INTERDISCIPLINARY PROBLEMS OF NANOTECHNOLOGY, BIOMEDICINE AND NANOTOXICOLOGY (NANOBIOTECH 2015)</t>
  </si>
  <si>
    <t>3rd International Youth Conference on Interdisciplinary Problems of Nanotechnology, Biomedicine and Nanotoxicology (Nanobiotech)</t>
  </si>
  <si>
    <t>MAY 21-22, 2015</t>
  </si>
  <si>
    <t>Tambov, RUSSIA</t>
  </si>
  <si>
    <t>Tambov Derzhavin State Univ,Norwegian Inst Publ Hlth,Natl Univ Sci &amp; Technol MISiS,Tomsk Polytechn Univ,Tomsk State Univ</t>
  </si>
  <si>
    <t>Gusev, Alexander/AAE-4989-2019; Gusev, Alexander A./E-5028-2014; Latuta, Nadezhda/AAN-3816-2021; Kuznetsov, Denis/H-6256-2013; Straumal, Boris/I-7531-2013</t>
  </si>
  <si>
    <t>Gusev, Alexander A./0000-0002-8699-9112; Kuznetsov, Denis/0000-0003-1021-8217; Latuta, Nadezhda/0000-0002-6754-0314; Straumal, Boris/0000-0001-5601-0660</t>
  </si>
  <si>
    <t>10.1088/1757-899X/98/1/012038</t>
  </si>
  <si>
    <t>WOS:000365043400037</t>
  </si>
  <si>
    <t>Khramchenkova, R; Degryse, P; Sitdikov, A; Kaisin, A</t>
  </si>
  <si>
    <t>Khramchenkova, R.; Degryse, P.; Sitdikov, A.; Kaisin, A.</t>
  </si>
  <si>
    <t>Analytical studies of post-Medieval glass bottle marks from excavations at Kazan Kremlin (Russia)</t>
  </si>
  <si>
    <t>JOURNAL OF ARCHAEOLOGICAL SCIENCE-REPORTS</t>
  </si>
  <si>
    <t>Degryse, Patrick/ABF-5329-2020; Aleksey, Kaisin/AAI-2405-2021; Sitdikov, Ayrat/L-6509-2017; Rezida, Khramchenkova/H-8881-2017</t>
  </si>
  <si>
    <t>Degryse, Patrick/0000-0003-3604-6505; Aleksey, Kaisin/0000-0002-6188-0043; Rezida, Khramchenkova/0000-0001-9598-2024</t>
  </si>
  <si>
    <t>2352-409X</t>
  </si>
  <si>
    <t>10.1016/j.jasrep.2017.01.005</t>
  </si>
  <si>
    <t>WOS:000415616300003</t>
  </si>
  <si>
    <t>Waste management law and policy: global trends and European Union experience</t>
  </si>
  <si>
    <t>Tichá, Barča/AAK-7357-2021</t>
  </si>
  <si>
    <t>Gordeeva, Yelena M./0000-0003-4337-6721</t>
  </si>
  <si>
    <t>10.25750/1995-4301-2020-4-237-241</t>
  </si>
  <si>
    <t>WOS:000597810500036</t>
  </si>
  <si>
    <t>Kutyavina, TI; Kantor, GY; Ashikhmina, TY; Savinykh, VP</t>
  </si>
  <si>
    <t>Kutyavina, T. I.; Kantor, G. Ya.; Ashikhmina, T. Ya.; Savinykh, V. P.</t>
  </si>
  <si>
    <t>Application of methods for processing and analysis of satellite images for the study of eutrophied reservoirs (review)</t>
  </si>
  <si>
    <t>Kutyavina, Tatyana/T-1440-2017; Kutyavina, Tatyana/AAX-3781-2021; Ashikhmina, Tamara/O-1326-2015</t>
  </si>
  <si>
    <t>Kutyavina, Tatyana/0000-0001-7957-0636; Kutyavina, Tatyana/0000-0001-7957-0636; Ashikhmina, Tamara/0000-0003-4919-0047</t>
  </si>
  <si>
    <t>10.25750/1995-4301-2020-2-014-025</t>
  </si>
  <si>
    <t>WOS:000545295600002</t>
  </si>
  <si>
    <t>Shirokikh, IG; Nazarova, YI; Bokov, NA; Ashikhmina, TY</t>
  </si>
  <si>
    <t>Shirokikh, I. G.; Nazarova, Ya, I; Bokov, N. A.; Ashikhmina, T. Ya</t>
  </si>
  <si>
    <t>Comparative characteristics of the growth and cellulase activity of streptomycetes on different substrates</t>
  </si>
  <si>
    <t>Ashikhmina, Tamara/0000-0003-4919-0047; Nazarova, Anina/0000-0002-2945-5282; Mahanova, Elena/0000-0002-6611-8349</t>
  </si>
  <si>
    <t>10.25750/1995-4301-2021-2-122-127</t>
  </si>
  <si>
    <t>WOS:000667025400017</t>
  </si>
  <si>
    <t>Skugoreva, SG; Gornostaeva, EA; Burkov, AA; Kutyavina, TI; Yuzhanin, KI; Domracheva, LI; Ashikhmina, TY</t>
  </si>
  <si>
    <t>Skugoreva, S. G.; Gornostaeva, E. A.; Burkov, A. A.; Kutyavina, T. I.; Yuzhanin, K. I.; Domracheva, L. I.; Ashikhmina, T. Ya.</t>
  </si>
  <si>
    <t>Possibility of disposal of plastic waste using micromycetes Fusarium solani and Trichoderma lignorum</t>
  </si>
  <si>
    <t>Горностаева, Елена/HGE-8735-2022; Kutyavina, Tatyana/T-1440-2017; Ashikhmina, Tamara/O-1326-2015; Skugoreva, Svetlana/O-1406-2015</t>
  </si>
  <si>
    <t>Kutyavina, Tatyana/0000-0001-7957-0636; Ashikhmina, Tamara/0000-0003-4919-0047; Skugoreva, Svetlana/0000-0002-5902-5187; Gornostaeva, Elena/0000-0003-4888-5736; Kirill Igorevic, Uzanin/0000-0002-8359-1920</t>
  </si>
  <si>
    <t>10.25750/1995-4301-2021-4-193-202</t>
  </si>
  <si>
    <t>WOS:000755154100028</t>
  </si>
  <si>
    <t>Cherkasov, VD; Avdonin, VV; Yurkin, YV; Scherbak, YP; Buzoverya, ME; Karpov, IA; Pilshchikov, VO</t>
  </si>
  <si>
    <t>Cherkasov, V. D.; Avdonin, V. V.; Yurkin, Y., V; Scherbak, Y. P.; Buzoverya, M. E.; Karpov, I. A.; Pilshchikov, V. O.</t>
  </si>
  <si>
    <t>RESEARCH OF RADIATION RESISTANCE OF POLYMER COMPOSITE MATERIALS</t>
  </si>
  <si>
    <t>Yurkin, Yuiy/AAD-4331-2021</t>
  </si>
  <si>
    <t>10.18720/MPM.4432020_14</t>
  </si>
  <si>
    <t>WOS:000586664900014</t>
  </si>
  <si>
    <t>Uncertainty and multifunctionality: legal challenges and opportunities for Green Infrastructure</t>
  </si>
  <si>
    <t>10.25750/1995-4301-2020-3-217-223</t>
  </si>
  <si>
    <t>WOS:000580337700032</t>
  </si>
  <si>
    <t>Domracheva, LI; Kovina, AL; Kondakova, LV; Ashikhmina, TY</t>
  </si>
  <si>
    <t>Domracheva, L., I; Kovina, A. L.; Kondakova, L., V; Ashikhmina, T. Ya</t>
  </si>
  <si>
    <t>Cyanobacterial symbioses and their practical use</t>
  </si>
  <si>
    <t>10.25750/1995-4301-2021-3-021-030</t>
  </si>
  <si>
    <t>WOS:000700413300003</t>
  </si>
  <si>
    <t>Adamovich, TA; Kantor, GY; Ashikhmina, TY; Savinykh, VP</t>
  </si>
  <si>
    <t>Adamovich, T. A.; Kantor, G. Ya.; Ashikhmina, T. Ya.; Savinykh, V. P.</t>
  </si>
  <si>
    <t>The analysis of seasonal and long-term dynamics of the vegetative NDVI index in the territory of the State Nature Reserve Nurgush</t>
  </si>
  <si>
    <t>WOS:000468564100002</t>
  </si>
  <si>
    <t>Adamovich, TA; Tovstik, EV; Soloveva, ES; Ashikhmina, TY; Berezin, GI; Prokashev, AM; Savinykh, VP</t>
  </si>
  <si>
    <t>Adamovich, T. A.; Tovstik, E., V; Soloveva, E. S.; Ashikhmina, T. Ya; Berezin, G., I; Prokashev, A. M.; Savinykh, V. P.</t>
  </si>
  <si>
    <t>Assessment of the state of soils in specially protected natural reservations of the Kirov region</t>
  </si>
  <si>
    <t>Ashikhmina, Tamara/O-1326-2015; Tovstik, Evgeniya/P-1350-2017; Adamovich, Tatyana/N-3967-2016; Prokashev, Aleksei/ABE-7729-2020</t>
  </si>
  <si>
    <t>Ashikhmina, Tamara/0000-0003-4919-0047; Tovstik, Evgeniya/0000-0003-1861-6076; Adamovich, Tatyana/0000-0002-8684-927X; Soloveva, Evgeniia/0000-0001-9222-7752; Berezin, Grigorii/0000-0002-0603-0652</t>
  </si>
  <si>
    <t>10.25750/1995-4301-2018-4-046-052</t>
  </si>
  <si>
    <t>WOS:000468565300006</t>
  </si>
  <si>
    <t>Shirokikh, IG; Nazarova, YI; Shirokikh, AA; Ashikhmina, TY</t>
  </si>
  <si>
    <t>Shirokikh, I. G.; Nazarova, Ya. I.; Shirokikh, A. A.; Ashikhmina, T. Ya.</t>
  </si>
  <si>
    <t>Communities of actinomycetes in brown soils of forest ecosystems with different climate</t>
  </si>
  <si>
    <t>Nazarova, Yanina/AAH-5190-2019; Shirokikh, Irina G/V-3449-2017; Shirokikh, Alexandr/U-8080-2019; Ashikhmina, Tamara/O-1326-2015; Shirikikh, Alexandr A.A.S./W-7606-2018</t>
  </si>
  <si>
    <t xml:space="preserve">Nazarova, Yanina/0000-0002-2945-5282; Shirokikh, Irina G/0000-0002-3319-2729; Shirokikh, Alexandr/0000-0002-7808-0376; Ashikhmina, Tamara/0000-0003-4919-0047; </t>
  </si>
  <si>
    <t>WOS:000468564100009</t>
  </si>
  <si>
    <t>Syrchina, NV; Pilip, LV; Ashikhmina, TY</t>
  </si>
  <si>
    <t>Syrchina, N. V.; Pilip, L. V.; Ashikhmina, T. Ya.</t>
  </si>
  <si>
    <t>Control of odor pollution of atmospheric air (review)</t>
  </si>
  <si>
    <t>10.25750/1995-4301-2022-2-026-034</t>
  </si>
  <si>
    <t>WOS:000820802000003</t>
  </si>
  <si>
    <t>Burtseva, T; Mironova, N; Kubrak, I</t>
  </si>
  <si>
    <t>Burtseva, Tatyana; Mironova, Nataliya; Kubrak, Irina</t>
  </si>
  <si>
    <t>Assessment of efficiency of innovative technologies in tourism</t>
  </si>
  <si>
    <t>10.1051/e3sconf/202021012005</t>
  </si>
  <si>
    <t>WOS:000659867301048</t>
  </si>
  <si>
    <t>Domracheva, LI; Skugoreva, SG; Kovina, AL; Korotkikh, AI; Starikov, PA; Ashikhmina, TY</t>
  </si>
  <si>
    <t>Domracheva, L. I.; Skugoreva, S. G.; Kovina, A. L.; Korotkikh, A. I.; Starikov, P. A.; Ashikhmina, T. Ya.</t>
  </si>
  <si>
    <t>Specificity of plant-microbial complexes under anthropogenic soil pollution (review)</t>
  </si>
  <si>
    <t>Skugoreva, Svetlana/0000-0002-5902-5187; Starikov, Pavel/0000-0002-3205-6696</t>
  </si>
  <si>
    <t>10.25750/1995-4301-2022-3-014-025</t>
  </si>
  <si>
    <t>WOS:000885393200002</t>
  </si>
  <si>
    <t>Dabakh, EV; Kislitsina, AP; Domnina, EA</t>
  </si>
  <si>
    <t>Dabakh, E., V; Kislitsina, A. P.; Domnina, E. A.</t>
  </si>
  <si>
    <t>Comparative study of the content of trace elements in the system soil - plants of meadow biocenoses</t>
  </si>
  <si>
    <t>10.25750/1995-4301-2021-1-139-146</t>
  </si>
  <si>
    <t>WOS:000632219100019</t>
  </si>
  <si>
    <t>Ganebnykh, E; Burtseva, T; Mironova, N; Feoktistova, O</t>
  </si>
  <si>
    <t>Ganebnykh, Elena; Burtseva, Tatyana; Mironova, Nataliya; Feoktistova, Oksana</t>
  </si>
  <si>
    <t>Quality assessment of urban environment</t>
  </si>
  <si>
    <t>Ganebnykh, Elena/I-2839-2017</t>
  </si>
  <si>
    <t>Ganebnykh, Elena/0000-0003-0669-8318; Burtseva, Tatyana/0000-0001-9088-1208</t>
  </si>
  <si>
    <t>10.1051/e3sconf/201911001077</t>
  </si>
  <si>
    <t>WOS:000569050000077</t>
  </si>
  <si>
    <t>Shirokikh, IG; Solov'eva, ES; Ashikhmina, TY</t>
  </si>
  <si>
    <t>Shirokikh, I. G.; Solov'eva, E. S.; Ashikhmina, T. Ya.</t>
  </si>
  <si>
    <t>Actinomycete complexes in soils of industrial and residential zones in the city of Kirov</t>
  </si>
  <si>
    <t>Shirokikh, Irina G/V-3449-2017; Ashikhmina, Tamara/O-1326-2015; Soloveva, Evgeniia/I-3870-2018</t>
  </si>
  <si>
    <t>Shirokikh, Irina G/0000-0002-3319-2729; Ashikhmina, Tamara/0000-0003-4919-0047; Soloveva, Evgeniia/0000-0001-9222-7752</t>
  </si>
  <si>
    <t>10.1134/S1064229313100062</t>
  </si>
  <si>
    <t>WOS:000331650800006</t>
  </si>
  <si>
    <t>Isaenkova, OV; Vorontsova, IV; Kondratenko, ZK; Plotnikov, DA; Ustsov, DK</t>
  </si>
  <si>
    <t>Isaenkova, Oksana, V; Vorontsova, Irina V.; Kondratenko, Zarina K.; Plotnikov, Dmitry A.; Ustsov, Danil K.</t>
  </si>
  <si>
    <t>Development of the principles of civil and administrative proceedings in the Russian civil procedure</t>
  </si>
  <si>
    <t>10.31166/VoprosyIstorii202112Statyi117</t>
  </si>
  <si>
    <t>WOS:000757089800024</t>
  </si>
  <si>
    <t>Shirokikh, IG; Nazarova, YI; Shirokikh, AA; Tovstik, EV; Ashikhmina, TY</t>
  </si>
  <si>
    <t>Shirokikh, I. G.; Nazarova, Y., I; Shirokikh, A. A.; Tovstik, E., V; Ashikhmina, T. Ya</t>
  </si>
  <si>
    <t>Screening of streptomycetes-cellulolytics for processing crop production waste</t>
  </si>
  <si>
    <t>Tovstik, Evgeniya/P-1350-2017; Ashikhmina, Tamara/O-1326-2015; Shirokikh, Irina G/V-3449-2017; Shirokikh, Alexandr/X-1684-2018</t>
  </si>
  <si>
    <t>Tovstik, Evgeniya/0000-0003-1861-6076; Ashikhmina, Tamara/0000-0003-4919-0047; Shirokikh, Irina G/0000-0002-3319-2729; Shirokikh, Alexandr/0000-0002-7808-0376; Nazarova, Anina/0000-0002-2945-5282</t>
  </si>
  <si>
    <t>10.25750/1995-4301-2020-4-162-168</t>
  </si>
  <si>
    <t>WOS:000597810500025</t>
  </si>
  <si>
    <t>Gordina, EN; Kuznetsov, SP; Golovchenko, VV; Zlobin, AA</t>
  </si>
  <si>
    <t>Gordina, E. N.; Kuznetsov, S. P.; Golovchenko, V. V.; Zlobin, A. A.</t>
  </si>
  <si>
    <t>Preliminary Structural Characteristic of Polysaccharides Extracted From the Callus Tissue of Sosnowskyi's Hogweed (Heracleum Sosnowskyi Manden) Stem by Aqueous Ammonium Oxalate</t>
  </si>
  <si>
    <t>Martinson, Ekaterina/AAL-5413-2020</t>
  </si>
  <si>
    <t>10.1134/S1068162019060165</t>
  </si>
  <si>
    <t>WOS:000520225900008</t>
  </si>
  <si>
    <t>Terentyev, YN; Syrchina, NV; Bogatyryova, NN; Ashikhmina, TY; Sazanov, AV; Sazanova, ML; Pugach, VN; Kozvonin, VA; Burkov, AA</t>
  </si>
  <si>
    <t>Terentyev, Yu N.; Syrchina, N., V; Bogatyryova, N. N.; Ashikhmina, T. Ya; Sazanov, A., V; Sazanova, M. L.; Pugach, V. N.; Kozvonin, V. A.; Burkov, A. A.</t>
  </si>
  <si>
    <t>The use of glauconite for stabilization and improvement of ammonium nitrate agrochemical properties</t>
  </si>
  <si>
    <t>Sazanov, Alexander/T-7711-2019; Ashikhmina, Tamara/O-1326-2015; Sazanova, Maria/AAS-9191-2021; Burkov, Andrei/N-5302-2016; Burkov, Andrey/ABB-8219-2021; Syrchina, Nadezhda/ABF-2311-2020; Pugach, Valentin/V-8991-2018; Sazanova, Maria/I-4211-2016</t>
  </si>
  <si>
    <t>Ashikhmina, Tamara/0000-0003-4919-0047; Sazanova, Maria/0000-0003-3492-8395; Burkov, Andrei/0000-0002-3627-1262; Syrchina, Nadezhda/0000-0001-8049-6760; Pugach, Valentin/0000-0003-1220-4062; Sazanova, Maria/0000-0003-3492-8395</t>
  </si>
  <si>
    <t>10.25750/1995-4301-2018-4-061-067</t>
  </si>
  <si>
    <t>WOS:000468565300008</t>
  </si>
  <si>
    <t>Dudina, LG; Novikova, OD; Portnyagina, OY; Khomenko, VA; Konyshev, IV; Byvalov, AA</t>
  </si>
  <si>
    <t>Dudina, L. G.; Novikova, O. D.; Portnyagina, O. Yu; Khomenko, V. A.; Konyshev, I., V; Byvalov, A. A.</t>
  </si>
  <si>
    <t>Role of Lipopolysaccharide and Nonspecific Porins of Yersinia pseudotuberculosis in the Reception of Pseudotuberculous Diagnostic Bacteriophage</t>
  </si>
  <si>
    <t>Byvalov, Andrey A./Y-6825-2018; Portnyagina, Olga Yu./B-5921-2014; Konyshev, Ilya V./A-9370-2019; Novikova, Olga/B-5922-2014</t>
  </si>
  <si>
    <t>Byvalov, Andrey A./0000-0003-1117-5896; Portnyagina, Olga Yu./0000-0003-0260-9322; Konyshev, Ilya V./0000-0001-6575-9630; Novikova, Olga/0000-0003-0371-2559</t>
  </si>
  <si>
    <t>10.1134/S0003683821040049</t>
  </si>
  <si>
    <t>WOS:000678055500003</t>
  </si>
  <si>
    <t>Gordeeva, YM; Pugach, VN</t>
  </si>
  <si>
    <t>Gordeeva, Y. M.; Pugach, V. N.</t>
  </si>
  <si>
    <t>The Paris Agreement and Climate neutrality: the role for Agriculture, forestry and other land use sector</t>
  </si>
  <si>
    <t>Pugach, Valentin/V-8991-2018</t>
  </si>
  <si>
    <t>Pugach, Valentin/0000-0003-1220-4062; Gordeeva, Yelena M./0000-0003-4337-6721</t>
  </si>
  <si>
    <t>10.25750/1995-4301-2021-3-219-227</t>
  </si>
  <si>
    <t>WOS:000700413300031</t>
  </si>
  <si>
    <t>Biosynthetic Potential of Actinomycetes in Brown Forest Soil on the Eastern Coast of the Aegean Sea</t>
  </si>
  <si>
    <t>Shirokikh, Alexandr/U-8080-2019; Shirikikh, Alexandr A.A.S./W-7606-2018; Shirokikh, Alexandr/X-1684-2018; Shirokikh, Irina G/V-3449-2017</t>
  </si>
  <si>
    <t>Shirokikh, Alexandr/0000-0002-7808-0376; Shirokikh, Alexandr/0000-0002-7808-0376; Shirokikh, Irina G/0000-0002-3319-2729</t>
  </si>
  <si>
    <t>10.1134/S1064229317110114</t>
  </si>
  <si>
    <t>WOS:000414360100007</t>
  </si>
  <si>
    <t>Fokina, AI; Skugoreva, SG; Trefilova, LV; Darovskikh, LV</t>
  </si>
  <si>
    <t>Fokina, A. I.; Skugoreva, S. G.; Trefilova, L. V.; Darovskikh, L. V.</t>
  </si>
  <si>
    <t>Determination of oxidative stress indicators in Melissa officinalis under the action of micromycete Fusarium culmorum and its antagonists</t>
  </si>
  <si>
    <t>; Skugoreva, Svetlana/O-1406-2015</t>
  </si>
  <si>
    <t>Trefilova, Ludmila/0000-0002-9932-5803; Skugoreva, Svetlana/0000-0002-5902-5187</t>
  </si>
  <si>
    <t>10.25750/1995-4301-2022-2-077-083</t>
  </si>
  <si>
    <t>WOS:000820802000010</t>
  </si>
  <si>
    <t>Kondakova, LV; Dabakh, EV; Kislitsina, AP</t>
  </si>
  <si>
    <t>Kondakova, L., V; Dabakh, E., V; Kislitsina, A. P.</t>
  </si>
  <si>
    <t>Floodplain meadow phototrophic organisms' succession on the technogenic territory</t>
  </si>
  <si>
    <t>10.25750/1995-4301-2019-4-061-068</t>
  </si>
  <si>
    <t>WOS:000504049400008</t>
  </si>
  <si>
    <t>Byvalov, AA; Dudina, LG; Litvinets, SG; Novikova, OD; Khomenko, VA; Portnyagina, OY; Ovodov, YS</t>
  </si>
  <si>
    <t>Byvalov, A. A.; Dudina, L. G.; Litvinets, S. G.; Novikova, O. D.; Khomenko, V. A.; Portnyagina, O. Yu.; Ovodov, Yu. S.</t>
  </si>
  <si>
    <t>Study of Yersinia pseudotuberculosis surface antigen epitopes using monoclonal antibodies</t>
  </si>
  <si>
    <t>Dudina, Liubov G./C-7171-2017; Byvalov, Andrey A./Y-6825-2018; Novikova, Olga/B-5922-2014; Litvinets, Sergey G./I-8188-2013; Portnyagina, Olga Yu./B-5921-2014</t>
  </si>
  <si>
    <t>Dudina, Liubov G./0000-0002-2172-9015; Byvalov, Andrey A./0000-0003-1117-5896; Novikova, Olga/0000-0003-0371-2559; Litvinets, Sergey G./0000-0001-8583-5274; Portnyagina, Olga Yu./0000-0003-0260-9322</t>
  </si>
  <si>
    <t>10.1134/S0003683814020070</t>
  </si>
  <si>
    <t>WOS:000332737500013</t>
  </si>
  <si>
    <t>Redikultseva, EN; Stakhova, LV; Feoktistov, SV; Panova, NA; Tretyak, EB</t>
  </si>
  <si>
    <t>Redikultseva, Elena N.; Stakhova, Liudmila, V; Feoktistov, Sergei, V; Panova, Nataliia A.; Tretyak, Elena B.</t>
  </si>
  <si>
    <t>ECONOMIC AND LEGAL ASPECTS OF DEVELOPING GREEN TOURISM</t>
  </si>
  <si>
    <t>INTERNATIONAL JOURNAL OF ECOSYSTEMS AND ECOLOGY SCIENCE-IJEES</t>
  </si>
  <si>
    <t>Редикульцева, Елена/GSX-0043-2022; Tretyak, Elena/ABE-2905-2020</t>
  </si>
  <si>
    <t>Tretyak, Elena/0000-0003-4383-4630</t>
  </si>
  <si>
    <t>2224-4980</t>
  </si>
  <si>
    <t>FEB-APR</t>
  </si>
  <si>
    <t>10.31407/ijees12.240</t>
  </si>
  <si>
    <t>WOS:000798578400040</t>
  </si>
  <si>
    <t>Gorev, PM; Masalimova, AR; Mukhametzyanova, FS; Makarova, EV</t>
  </si>
  <si>
    <t>Gorev, Pavel M.; Masalimova, Alfiya R.; Mukhametzyanova, Farida Sh.; Makarova, Elena V.</t>
  </si>
  <si>
    <t>Developing Creativity of Schoolchildren through the Course Developmental Mathematics</t>
  </si>
  <si>
    <t>Makarova, Elena/AAC-4785-2020; Masalimova, Alfiya/K-3840-2015</t>
  </si>
  <si>
    <t>10.12973/eurasia.2017.00698a</t>
  </si>
  <si>
    <t>WOS:000404604700015</t>
  </si>
  <si>
    <t>Domracheva, LI; Skugoreva, SG; Korotkikh, AI; Zabubenina, YS; Trefilova, LV; Kovina, AL; Domnina, EA; Timonov, AS</t>
  </si>
  <si>
    <t>Domracheva, L., I; Skugoreva, S. G.; Korotkikh, A., I; Zabubenina, Yu S.; Trefilova, L., V; Kovina, A. L.; Domnina, E. A.; Timonov, A. S.</t>
  </si>
  <si>
    <t>Growth and development of Lupine angustifolia L. in the presence of lichen biota</t>
  </si>
  <si>
    <t>Mal, Nastya/AAU-7935-2021; Ashikhmina, Tamara/O-1326-2015; Трефилова, Людмила/AAU-7613-2021; Kovina, Alevtina/AAU-6178-2021; Skugoreva, Svetlana/O-1406-2015</t>
  </si>
  <si>
    <t>Ashikhmina, Tamara/0000-0003-4919-0047; Трефилова, Людмила/0000-0002-9932-5803; Kovina, Alevtina/0000-0003-0503-3402; Skugoreva, Svetlana/0000-0002-5902-5187; Korotkih, Anastasia/0000-0002-0700-371X</t>
  </si>
  <si>
    <t>10.25750/1995-4301-2021-2-183-188</t>
  </si>
  <si>
    <t>WOS:000667025400026</t>
  </si>
  <si>
    <t>Fokina, AI; Ogorodnikova, SY; Veselova, EV; Trefilova, LV</t>
  </si>
  <si>
    <t>Fokina, A., I; Ogorodnikova, S. Yu; Veselova, E. V.; Trefilova, L., V</t>
  </si>
  <si>
    <t>Tetrasol-topographic method for determining toxicity of aqueous solutions: conditions and approaches to realization</t>
  </si>
  <si>
    <t>10.25750/1995-4301-2021-3-052-059</t>
  </si>
  <si>
    <t>WOS:000700413300007</t>
  </si>
  <si>
    <t>Gurova, E; Larinina, T; Zakorin, N; Andreeva, L; Manukhina, L</t>
  </si>
  <si>
    <t>Gurova, Ekaterina; Larinina, Tatyana; Zakorin, Nikita; Andreeva, Larisa; Manukhina, Lyubov</t>
  </si>
  <si>
    <t>Program-target methods of management small business</t>
  </si>
  <si>
    <t>10.1051/matecconf/201710608085</t>
  </si>
  <si>
    <t>WOS:000426426600270</t>
  </si>
  <si>
    <t>Shirokikh, I. G.; Solov'eva, E. S.; Ashikhmina, T. Ya</t>
  </si>
  <si>
    <t>Actinomycetes in garden soils of the city of Kirov</t>
  </si>
  <si>
    <t>10.1134/S106422931305013X</t>
  </si>
  <si>
    <t>WOS:000319159900011</t>
  </si>
  <si>
    <t>Sozinova, AA; Litvinova, TN; Ostrovskaya, VN; Vorontsova, GV</t>
  </si>
  <si>
    <t>Sozinova, Anastasia A.; Litvinova, Tatyana N.; Ostrovskaya, Victoria N.; Vorontsova, Galina V.</t>
  </si>
  <si>
    <t>Perspective Directions of Corporate Social Responsibility of Energy Companies of EnergyTech for Sustainable and Environmental Development of Energy Economy</t>
  </si>
  <si>
    <t>Litvinova, Tatyana/ABT-4169-2022</t>
  </si>
  <si>
    <t>Litvinova, Tatyana/0000-0003-3101-2621; Ostrovskaya, Victoria/0000-0001-6148-1037</t>
  </si>
  <si>
    <t>MAY 31</t>
  </si>
  <si>
    <t>10.3389/fenrg.2022.908489</t>
  </si>
  <si>
    <t>WOS:000811266700001</t>
  </si>
  <si>
    <t>Kochanova, ES; Fefilova, EB; Sukhikh, NM; Velegzhaninov, IO; Shadrin, DM; Pylina, YI; Alekseev, VR</t>
  </si>
  <si>
    <t>Kochanova, E. S.; Fefilova, E. B.; Sukhikh, N. M.; Velegzhaninov, I. O.; Shadrin, D. M.; Pylina, Ya. I.; Alekseev, V. R.</t>
  </si>
  <si>
    <t>Morphological and Molecular-Genetic Polymorphism of Canthocamptus staphylinus Jurine (Harpacticoida, Copepoda, Crustacea)</t>
  </si>
  <si>
    <t>Fefilova, Elena B/Q-1518-2015; Sukhikh, Natalia M/H-7429-2017; Pylina, Yana I/P-9565-2015; Velegzhaninov, Ilya O./P-9554-2015; Alekseev, Victor/X-7437-2019; Shadrin, Dmitry M/P-9808-2015; ANIKUZHIYIL, ANISH/Y-8609-2018; alekseev, victor r/C-7086-2014</t>
  </si>
  <si>
    <t>Pylina, Yana I/0000-0003-4981-8930; Velegzhaninov, Ilya O./0000-0002-4715-4053; Alekseev, Victor/0000-0002-1968-2609; Shadrin, Dmitry M/0000-0003-4365-0145; ANIKUZHIYIL, ANISH/0000-0001-9686-1283; alekseev, victor r/0000-0002-1968-2609</t>
  </si>
  <si>
    <t>10.1134/S1995082918020086</t>
  </si>
  <si>
    <t>WOS:000434910800001</t>
  </si>
  <si>
    <t>Gyunter, EA; Melekhin, AK; Popov, SV; Durnev, EA; Martinson, EA; Litvinets, SG; Konovalova, MA; Varlamov, VP</t>
  </si>
  <si>
    <t>Gyunter, E. A.; Melekhin, A. K.; Popov, S. V.; Durnev, E. A.; Martinson, E. A.; Litvinets, S. G.; Konovalova, M. A.; Varlamov, V. P.</t>
  </si>
  <si>
    <t>Adhesive Properties of Pectin-Chitosan Composite Gels</t>
  </si>
  <si>
    <t>CHEMISTRY OF NATURAL COMPOUNDS</t>
  </si>
  <si>
    <t>Gunter, Elena/C-4345-2018; A.K, Melekhin/AAH-2990-2019; Popov, Sergey V/F-7627-2016; Litvinets, Sergey G./I-8188-2013; Varlamov, Valery/I-3899-2018; Martinson, Ekaterina/AAL-5413-2020; Konovalova, Mariya V./F-2886-2017</t>
  </si>
  <si>
    <t>Gunter, Elena/0000-0002-2915-6928; A.K, Melekhin/0000-0002-7574-7323; Popov, Sergey V/0000-0003-1763-8898; Litvinets, Sergey G./0000-0001-8583-5274; Konovalova, Mariya V./0000-0003-3923-6304</t>
  </si>
  <si>
    <t>0009-3130</t>
  </si>
  <si>
    <t>1573-8388</t>
  </si>
  <si>
    <t>10.1007/s10600-017-2133-x</t>
  </si>
  <si>
    <t>WOS:000412513600003</t>
  </si>
  <si>
    <t>Patova, OA; Golovchenko, VV; Vityazev, FV; Burkov, AA; Belyi, VA; Kuznetsov, SN; Litvinets, SG; Martinson, EA</t>
  </si>
  <si>
    <t>Patova, Olga A.; Golovchenko, Victoria V.; Vityazev, Fedor V.; Burkov, Andrey A.; Belyi, Vladimir A.; Kuznetsov, Sergey N.; Litvinets, Sergey G.; Martinson, Ekaterina A.</t>
  </si>
  <si>
    <t>Physicochemical and rheological properties of gelling pectin from Sosnowskyi's hogweed (Heracleum sosnowskyi) obtained using different pretreatment conditions</t>
  </si>
  <si>
    <t>FOOD HYDROCOLLOIDS</t>
  </si>
  <si>
    <t>Litvinets, Sergey G./I-8188-2013; Patova, Olga A/T-1244-2017; Burkov, Andrey/ABB-8219-2021; Martinson, Ekaterina/AAL-5413-2020; Golovchenko, Viktoria/Q-2227-2016; Belyy, Vladimir/AAD-5402-2019; Burkov, Andrei/N-5302-2016</t>
  </si>
  <si>
    <t>Litvinets, Sergey G./0000-0001-8583-5274; Patova, Olga A/0000-0001-5236-4867; Golovchenko, Viktoria/0000-0002-4837-9609; Belyy, Vladimir/0000-0001-5410-9587; Burkov, Andrei/0000-0002-3627-1262</t>
  </si>
  <si>
    <t>0268-005X</t>
  </si>
  <si>
    <t>1873-7137</t>
  </si>
  <si>
    <t>10.1016/j.foodhyd.2016.10.042</t>
  </si>
  <si>
    <t>WOS:000392771400009</t>
  </si>
  <si>
    <t>Savinyh, P; Aleshkin, A; Nechaev, V; Ivanovs, S</t>
  </si>
  <si>
    <t>Savinyh, Peter; Aleshkin, Alexey; Nechaev, Vladimir; Ivanovs, Semjons</t>
  </si>
  <si>
    <t>SIMULATION OF PARTICLE MOVEMENT IN CRUSHING CHAMBER OF ROTARY GRAIN CRUSHER</t>
  </si>
  <si>
    <t>Aleshkin, Aleksey/ABA-6228-2020; Ivanovs, Semjons/AAD-7303-2022</t>
  </si>
  <si>
    <t>Aleshkin, Aleksey/0000-0002-6949-1480; Ivanovs, Semjons/0000-0002-9072-1340; Necaev, Vladimir/0000-0002-7566-6013</t>
  </si>
  <si>
    <t>10.22616/ERDev2017.16.N061</t>
  </si>
  <si>
    <t>WOS:000416378300045</t>
  </si>
  <si>
    <t>Lozhkina, RA; Olkova, AS; Koval, EV; Tomilina, II; Sysolyatina, MA</t>
  </si>
  <si>
    <t>Lozhkina, Rosa A.; Olkova, Anna S.; Koval, Ekaterina, V; Tomilina, Irina I.; Sysolyatina, Maria A.</t>
  </si>
  <si>
    <t>Comparison of Sensitivity of Autotrophic and Heterotrophic Microorganisms to the Pollution of Natural Water with Rare Earth Elements (Lanthanum and Cerium)</t>
  </si>
  <si>
    <t>Koval, Ekaterina Viktorovna/0000-0003-3179-1557; Sysolyatina, Maria/0000-0002-7671-3993; Lozhkina, Roza/0000-0003-3087-0691</t>
  </si>
  <si>
    <t>10.12911/22998993/146330</t>
  </si>
  <si>
    <t>WOS:000778019200006</t>
  </si>
  <si>
    <t>Gorodilova, SA; Sheshukova, NN; Guterman, LA; Safonova, NM; Sharafutdinova, ZG; Gluzman, IV</t>
  </si>
  <si>
    <t>Gorodilova, S. A.; Sheshukova, N. N.; Guterman, L. A.; Safonova, N. M.; Sharafutdinova, Z. G.; Gluzman, Iu, V</t>
  </si>
  <si>
    <t>CORRECTION OF DISORDER OF THE COHERENT SPEECH OF PRESCHOOL CHILDREN WITH THE ERASED FORM OF DYSARTHRIA</t>
  </si>
  <si>
    <t>INDO AMERICAN JOURNAL OF PHARMACEUTICAL SCIENCES</t>
  </si>
  <si>
    <t>Городилова, Светлана/ISA-3334-2023; Sheshukova, Natalia/U-7880-2018; Boginskaia, Iuliia/X-5565-2019; Guterman, Larisa/AAH-4614-2020</t>
  </si>
  <si>
    <t>Городилова, Светлана/0000-0002-6101-5965; Sheshukova, Natalia/0000-0002-3048-681X; Boginskaia, Iuliia/0000-0002-6808-6993; Guterman, Larisa/0000-0001-6294-4910</t>
  </si>
  <si>
    <t>2349-7750</t>
  </si>
  <si>
    <t>10.5281/zenodo.3262155</t>
  </si>
  <si>
    <t>WOS:000475623100021</t>
  </si>
  <si>
    <t>Ostrovskiy, VI; Troyanskaya, MA; Shustova, SV; Shchinova, RA</t>
  </si>
  <si>
    <t>Popkova, EG; Sukhova, VE; Rogachev, AF; Tyurina, YG; Boris, OA; Parakhina, VN</t>
  </si>
  <si>
    <t>Ostrovskiy, Vladislav I.; Troyanskaya, Maria A.; Shustova, Svetlana V.; Shchinova, Raisa A.</t>
  </si>
  <si>
    <t>Marketing Aspects of Cluster Management in Retailing Sector</t>
  </si>
  <si>
    <t>INTEGRATION AND CLUSTERING FOR SUSTAINABLE ECONOMIC GROWTH</t>
  </si>
  <si>
    <t>International Scientific and Practical Conference on Role of Integration and Clustering in Provision of Sustainable Economic Growth</t>
  </si>
  <si>
    <t>MAR 17-19, 2016</t>
  </si>
  <si>
    <t>Volgograd, RUSSIA</t>
  </si>
  <si>
    <t>Volgograd State Tech Univ,Volgograd State Univ,Marka Marketing Agcy,Prostor Tour Tourist Agcy</t>
  </si>
  <si>
    <t>Troyanskaya, Marija/AAP-2184-2021; Ostrovskiy, Vladislav/AAP-7608-2021; Shustova, Svetlana/AAD-8871-2019; Troyanskaya, Marija Aleksandrovna/F-1395-2015</t>
  </si>
  <si>
    <t>Ostrovskiy, Vladislav/0000-0001-8142-2798; Shustova, Svetlana/0000-0002-8318-7864; Troyanskaya, Marija Aleksandrovna/0000-0003-4545-3786</t>
  </si>
  <si>
    <t>978-3-319-45462-7; 978-3-319-45461-0</t>
  </si>
  <si>
    <t>10.1007/978-3-319-45462-7_9</t>
  </si>
  <si>
    <t>WOS:000406973000009</t>
  </si>
  <si>
    <t>Byvalov, AA; Dudina, LG; Ivanov, SA; Kopylov, PK; Svetoch, TE; Konyshev, IV; Morozova, NA; Anisimov, AP; Dentovskaya, SV</t>
  </si>
  <si>
    <t>Byvalov, A. A.; Dudina, L. G.; Ivanov, S. A.; Kopylov, P. Kh.; Svetoch, T. E.; Konyshev, I. V.; Morozova, N. A.; Anisimov, A. P.; Dentovskaya, S. V.</t>
  </si>
  <si>
    <t>Yersinia pestis Surface Antigens in Reception of Specific Bacteriophages</t>
  </si>
  <si>
    <t>2023 JAN 4</t>
  </si>
  <si>
    <t>10.1007/s10517-023-05681-w</t>
  </si>
  <si>
    <t>WOS:000907792500002</t>
  </si>
  <si>
    <t>Marczuk, A; Sysuev, V; Aleshkin, A; Savinykh, P; Turubanov, N; Tomporowski, A</t>
  </si>
  <si>
    <t>Marczuk, Andrzej; Sysuev, Vasily; Aleshkin, Alexey; Savinykh, Petr; Turubanov, Nikolay; Tomporowski, Andrzej</t>
  </si>
  <si>
    <t>Theoretical Studies of the Interaction between Screw Surface and Material in the Mixer</t>
  </si>
  <si>
    <t>MATERIALS</t>
  </si>
  <si>
    <t>Marczuk, Andrzej/AGM-5836-2022</t>
  </si>
  <si>
    <t>Tomporowski, Andrzej/0000-0002-9860-8748</t>
  </si>
  <si>
    <t>1996-1944</t>
  </si>
  <si>
    <t>10.3390/ma14040962</t>
  </si>
  <si>
    <t>WOS:000624114300001</t>
  </si>
  <si>
    <t>Vityazev, FV; Fedyuneva, MI; Golovchenko, VV; Patova, OA; Ipatova, EU; Durnev, EA; Martinson, EA; Litvinets, SG</t>
  </si>
  <si>
    <t>Vityazev, Fedor V.; Fedyuneva, Maiia I.; Golovchenko, Victoria V.; Patova, Olga A.; Ipatova, Elena U.; Durnev, Eugene A.; Martinson, Ekaterina A.; Litvinets, Sergey G.</t>
  </si>
  <si>
    <t>Pectin-silica gels as matrices for controlled drug release in gastrointestinal tract</t>
  </si>
  <si>
    <t>Litvinets, Sergey G./I-8188-2013; Patova, Olga A/T-1244-2017; Martinson, Ekaterina/AAL-5413-2020; Golovchenko, Viktoria/Q-2227-2016</t>
  </si>
  <si>
    <t>Litvinets, Sergey G./0000-0001-8583-5274; Patova, Olga A/0000-0001-5236-4867; Golovchenko, Viktoria/0000-0002-4837-9609</t>
  </si>
  <si>
    <t>FEB 10</t>
  </si>
  <si>
    <t>10.1016/j.carbpol.2016.09.048</t>
  </si>
  <si>
    <t>WOS:000391896800002</t>
  </si>
  <si>
    <t>Shirokikh, IG; Ashikhmina, TY; Shirokikh, AA</t>
  </si>
  <si>
    <t>Shirokikh, I. G.; Ashikhmina, T. Ya.; Shirokikh, A. A.</t>
  </si>
  <si>
    <t>Specificity of Actinomycetal Complexes in Urbanozems of the City of Kirov</t>
  </si>
  <si>
    <t>Shirokikh, Irina G/V-3449-2017; Shirokikh, Alexandr/U-8080-2019; Ashikhmina, Tamara/O-1326-2015; Shirikikh, Alexandr A.A.S./W-7606-2018; Shirokikh, Alexandr/X-1684-2018</t>
  </si>
  <si>
    <t>Shirokikh, Irina G/0000-0002-3319-2729; Shirokikh, Alexandr/0000-0002-7808-0376; Ashikhmina, Tamara/0000-0003-4919-0047; Shirokikh, Alexandr/0000-0002-7808-0376</t>
  </si>
  <si>
    <t>10.1134/S1064229311020116</t>
  </si>
  <si>
    <t>WOS:000288681100008</t>
  </si>
  <si>
    <t>WOS:001006884500003</t>
  </si>
  <si>
    <t>Chemical land degradation under the influence of animal husbandry waste</t>
  </si>
  <si>
    <t>10.25750/1995-4301-2022-3-219-225</t>
  </si>
  <si>
    <t>WOS:000885393200028</t>
  </si>
  <si>
    <t>Berdinskikh, VA; Veremev, VI</t>
  </si>
  <si>
    <t>Berdinskikh, V. A.; Veremev, V. I.</t>
  </si>
  <si>
    <t>About reforming the penal system in Russia</t>
  </si>
  <si>
    <t>10.31166/VoprosyIstorii202008Statyi17</t>
  </si>
  <si>
    <t>WOS:000657723600002</t>
  </si>
  <si>
    <t>Konovalova, MV; Markov, PA; Durnev, EA; Kurek, DV; Popov, SV; Varlamov, VP</t>
  </si>
  <si>
    <t>Konovalova, Mariya V.; Markov, Pavel A.; Durnev, Eugene A.; Kurek, Denis V.; Popov, Sergey V.; Varlamov, Valery P.</t>
  </si>
  <si>
    <t>Preparation and biocompatibility evaluation of pectin and chitosan cryogels for biomedical application</t>
  </si>
  <si>
    <t>Popov, Sergey/AAM-6438-2021; Popov, Sergey V/F-7627-2016; Varlamov, Valery/I-3899-2018; Konovalova, Mariya V./F-2886-2017; Martinson, Ekaterina/AAL-5413-2020; Markov, Pavel/Q-2677-2016</t>
  </si>
  <si>
    <t>Popov, Sergey/0000-0003-1763-8898; Popov, Sergey V/0000-0003-1763-8898; Konovalova, Mariya V./0000-0003-3923-6304; Markov, Pavel/0000-0002-4803-4803</t>
  </si>
  <si>
    <t>10.1002/jbm.a.35936</t>
  </si>
  <si>
    <t>WOS:000392506300020</t>
  </si>
  <si>
    <t>Shirokikh, IG; Solovyeva, ES; Ashihmina, TJ</t>
  </si>
  <si>
    <t>Shirokikh, I. G.; Solovyeva, E. S.; Ashihmina, T. J.</t>
  </si>
  <si>
    <t>Functional and structural features of streptomycete complexes isolated from soils with varying degrees of heavy-metal contamination</t>
  </si>
  <si>
    <t>Shirokikh, Irina G/V-3449-2017; Soloveva, Evgeniia/I-3870-2018; Ashikhmina, Tamara/O-1326-2015</t>
  </si>
  <si>
    <t>Shirokikh, Irina G/0000-0002-3319-2729; Soloveva, Evgeniia/0000-0001-9222-7752; Ashikhmina, Tamara/0000-0003-4919-0047</t>
  </si>
  <si>
    <t>10.1134/S1995425515010138</t>
  </si>
  <si>
    <t>WOS:000349913100015</t>
  </si>
  <si>
    <t>Syrchina, NV; Pilip, LV; Ashikhmina, TY; Kantor, GY</t>
  </si>
  <si>
    <t>Syrchina, N. V.; Pilip, L. V.; Ashikhmina, T. Ya.; Kantor, G. Ya.</t>
  </si>
  <si>
    <t>Effect of Glauconite-Containing Wastes Obtained during Phosphorite Enrichment on Lead Mobility in Soils</t>
  </si>
  <si>
    <t>10.1134/S1062359022100387</t>
  </si>
  <si>
    <t>WOS:000937072100037</t>
  </si>
  <si>
    <t>Mitiagina, EV; Konyshev, EV; Chernyshev, KA; Saifulin, ER</t>
  </si>
  <si>
    <t>Mitiagina, Ekaterina, V; Konyshev, Evgeny, V; Chernyshev, Konstantin A.; Saifulin, Eduard R.</t>
  </si>
  <si>
    <t>A Study of University Graduates' Migration in Regions with High Migration Outflow: A Digital Footprint Analysis</t>
  </si>
  <si>
    <t>Konyshev, Evgeny/GSE-5440-2022</t>
  </si>
  <si>
    <t>Konyshev, Evgeny/0000-0002-7774-1670</t>
  </si>
  <si>
    <t>10.17223/15617793/467/18</t>
  </si>
  <si>
    <t>WOS:000708456300018</t>
  </si>
  <si>
    <t>Kovrova, AI; Gorelov, VP; Kuzmin, AV; Tropin, ES; Osinkin, DA</t>
  </si>
  <si>
    <t>Kovrova, A. I.; Gorelov, V. P.; Kuzmin, A. V.; Tropin, E. S.; Osinkin, D. A.</t>
  </si>
  <si>
    <t>Influence of Ce0.8R0.2O2-a (R = Y, Sm, Tb) submicron barrier layers at the La2NiO4+delta/YSZ boundary on the electrochemical performance of a cathode</t>
  </si>
  <si>
    <t>JOURNAL OF SOLID STATE ELECTROCHEMISTRY</t>
  </si>
  <si>
    <t>Kuzmin, Anton/O-4057-2014; Osinkin, Denis/D-8913-2017</t>
  </si>
  <si>
    <t>Kuzmin, Anton/0000-0002-0700-662X; Osinkin, Denis/0000-0001-6396-8551; Tropin, Evgeniy/0000-0003-4180-6054</t>
  </si>
  <si>
    <t>1432-8488</t>
  </si>
  <si>
    <t>1433-0768</t>
  </si>
  <si>
    <t>10.1007/s10008-021-04942-w</t>
  </si>
  <si>
    <t>WOS:000640149200002</t>
  </si>
  <si>
    <t>Terentyev, YN; Syrchina, NV; Ashikhmina, TY; Kantor, GY</t>
  </si>
  <si>
    <t>Terentyev, Yu N.; Syrchina, N., V; Ashikhmina, T. Ya; Kantor, G. Ya</t>
  </si>
  <si>
    <t>Natural sulfur fertilizer with activated peat and glauconitic efel</t>
  </si>
  <si>
    <t>10.25750/1995-4301-2019-3-134-141</t>
  </si>
  <si>
    <t>WOS:000490704900019</t>
  </si>
  <si>
    <t>Shirokikh, AA; Zlobina, YA; Shirokikh, IG</t>
  </si>
  <si>
    <t>Shirokikh, A. A.; Zlobina, Yu A.; Shirokikh, I. G.</t>
  </si>
  <si>
    <t>Biodegradation of vegetable waste and obtaining fruit bodies in cultivation of Hericium erinaceus</t>
  </si>
  <si>
    <t>Shirokikh, Alexandr/U-8080-2019; Shirikikh, Alexandr A.A.S./W-7606-2018; Zlobina, Yulia/U-4840-2019; Shirokikh, Irina G/V-3449-2017</t>
  </si>
  <si>
    <t>Shirokikh, Alexandr/0000-0002-7808-0376; Zlobina, Yulia/0000-0002-0949-1403; Shirokikh, Irina G/0000-0002-3319-2729</t>
  </si>
  <si>
    <t>10.25750/1995-4301-2018-3-086-092</t>
  </si>
  <si>
    <t>WOS:000468564900012</t>
  </si>
  <si>
    <t>Merzaevaa, OV; Shirokikh, IG</t>
  </si>
  <si>
    <t>Colonization of plant rhizosphere by actinomycetes of different genera</t>
  </si>
  <si>
    <t>10.1134/S0026261706020184</t>
  </si>
  <si>
    <t>WOS:000236688100018</t>
  </si>
  <si>
    <t>Matytsin, DE; Petrenko, YS; Saveleva, NK</t>
  </si>
  <si>
    <t>Matytsin, Denis E.; Petrenko, Yelena S.; Saveleva, Nadezhda K.</t>
  </si>
  <si>
    <t>Corporate Social Responsibility in Terms of Sustainable Development: Financial Risk Management Implications</t>
  </si>
  <si>
    <t>Petrenko, Elena/0000-0001-6892-2392; Savel'eva, Nadezda/0000-0002-9497-6172</t>
  </si>
  <si>
    <t>10.3390/risks10110206</t>
  </si>
  <si>
    <t>WOS:000881404100001</t>
  </si>
  <si>
    <t>Il'ina, EA; Druzhinin, KV; Lyalin, ED; Plekhanov, MS; Talankin, II; Antonov, BD; Pankratov, AA</t>
  </si>
  <si>
    <t>Il'ina, E. A.; Druzhinin, K., V; Lyalin, E. D.; Plekhanov, M. S.; Talankin, I. I.; Antonov, B. D.; Pankratov, A. A.</t>
  </si>
  <si>
    <t>Li-In alloy: preparation, properties, wettability of solid electrolytes based on Li7La3Zr2O12</t>
  </si>
  <si>
    <t>JOURNAL OF MATERIALS SCIENCE</t>
  </si>
  <si>
    <t>Druzhinin, Konstantin/C-5344-2016; Il'ina, Evgeniya/G-7773-2016; Лялин, Ефим/AAC-8600-2022; Plekhanov, Maksim/X-2719-2018</t>
  </si>
  <si>
    <t>Druzhinin, Konstantin/0000-0002-8947-8208; Il'ina, Evgeniya/0000-0003-1759-5234; Plekhanov, Maksim/0000-0002-2701-4619</t>
  </si>
  <si>
    <t>0022-2461</t>
  </si>
  <si>
    <t>1573-4803</t>
  </si>
  <si>
    <t>10.1007/s10853-021-06645-z</t>
  </si>
  <si>
    <t>WOS:000737865000017</t>
  </si>
  <si>
    <t>Buzoverya, ME; Scherbak, YP; Cherkasov, VD; Yurkin, YV; Avdonin, VV; Suntsov, DL; Pilshchikov, VO</t>
  </si>
  <si>
    <t>Buzoverya, M. E.; Scherbak, Yu P.; Cherkasov, V. D.; Yurkin, Yu, V; Avdonin, V. V.; Suntsov, D. L.; Pilshchikov, V. O.</t>
  </si>
  <si>
    <t>RESULTS OF THE SURFACE MORPHOLOGY STUDY OF ELASTIC SELF-ADHESIVE RADIATION SHIELDING COATINGS BY ATOMIC FORCE MICROSCOPY</t>
  </si>
  <si>
    <t>10.18149/MPM.4712021_11</t>
  </si>
  <si>
    <t>WOS:000731323500002</t>
  </si>
  <si>
    <t>Biocoenosis formation on technogenic wastes</t>
  </si>
  <si>
    <t>10.25750/1995-4301-2020-4-129-135</t>
  </si>
  <si>
    <t>WOS:000597810500020</t>
  </si>
  <si>
    <t>Fokina, AI; Skugoreva, SG; Domracheva, LI; Kovina, AL</t>
  </si>
  <si>
    <t>Fokina, A., I; Skugoreva, S. G.; Domracheva, L., I; Kovina, A. L.</t>
  </si>
  <si>
    <t>Antagonistic and sorption activity of mono-, binary, and three-species biofilms of soil cyanobacteria</t>
  </si>
  <si>
    <t>Kovina, Alevtina/AAU-6178-2021; Skugoreva, Svetlana/O-1406-2015</t>
  </si>
  <si>
    <t>Kovina, Alevtina/0000-0003-0503-3402; Skugoreva, Svetlana/0000-0002-5902-5187</t>
  </si>
  <si>
    <t>10.25750/1995-4301-2020-3-119-125</t>
  </si>
  <si>
    <t>WOS:000580337700018</t>
  </si>
  <si>
    <t>Stein, Y; Zonova, N; Kubrak, I; Andreeva, L</t>
  </si>
  <si>
    <t>Stein, Yelena; Zonova, Nadezhda; Kubrak, Irina; Andreeva, Larisa</t>
  </si>
  <si>
    <t>Development and improvement of methods of diagnostics of heating systems in modern conditions</t>
  </si>
  <si>
    <t>Zonova, Nadezhda/N-7272-2018</t>
  </si>
  <si>
    <t>Zonova, Nadezhda/0000-0002-2369-1364</t>
  </si>
  <si>
    <t>10.1088/1755-1315/90/012139</t>
  </si>
  <si>
    <t>WOS:000419816700139</t>
  </si>
  <si>
    <t>Sozinova, AA; Litvinova, TN; Kurilova, A; Morozova, IA</t>
  </si>
  <si>
    <t>Sozinova, Anastasia A.; Litvinova, Tatiana N.; Kurilova, Anastasia; Morozova, Irina A.</t>
  </si>
  <si>
    <t>Fight against climate change and sustainable development based on ecological economy and management in the AI era</t>
  </si>
  <si>
    <t>FRONTIERS IN ENVIRONMENTAL SCIENCE</t>
  </si>
  <si>
    <t>2296-665X</t>
  </si>
  <si>
    <t>DEC 2</t>
  </si>
  <si>
    <t>10.3389/fenvs.2022.1091149</t>
  </si>
  <si>
    <t>WOS:000898146000001</t>
  </si>
  <si>
    <t>Domracheva, LI; Skugoreva, SG; Fokina, AI; Zagoskin, MA; Ashikhmina, TY</t>
  </si>
  <si>
    <t>Domracheva, Lyudmila, I; Skugoreva, Svetlana G.; Fokina, Anna, I; Zagoskin, Maksim A.; Ashikhmina, Tamara Ya</t>
  </si>
  <si>
    <t>The participation of cyanobacteria in reducing the concentration of fusariotoxins and heavy metal ions in aqueous solutions (model experiments)</t>
  </si>
  <si>
    <t>SOUTH OF RUSSIA-ECOLOGY DEVELOPMENT</t>
  </si>
  <si>
    <t>Ashikhmina, Tamara/O-1326-2015; Skugoreva, Svetlana/O-1406-2015</t>
  </si>
  <si>
    <t>Ashikhmina, Tamara/0000-0003-4919-0047; Zagoskin, Maksim/0000-0002-9130-8232; Skugoreva, Svetlana/0000-0002-5902-5187</t>
  </si>
  <si>
    <t>1992-1098</t>
  </si>
  <si>
    <t>2413-0958</t>
  </si>
  <si>
    <t>10.18470/1992-1098-2021-1-53-60</t>
  </si>
  <si>
    <t>WOS:000640618100006</t>
  </si>
  <si>
    <t>Kovalenko, VL; Kotok, VA; Malyshev, VV</t>
  </si>
  <si>
    <t>Kovalenko, V. L.; Kotok, V. A.; Malyshev, V. V.</t>
  </si>
  <si>
    <t>Electrochemical obtaining of nickel hydroxide from nickel plating waste water for application in the alkali secondary cells</t>
  </si>
  <si>
    <t>10.25750/1995-4301-2019-2-108-112</t>
  </si>
  <si>
    <t>WOS:000477826000013</t>
  </si>
  <si>
    <t>Marinin, EA; Chirkov, AM; Gavrilov, GN; Fetisov, GP; Chernyshov, DA; Kurganova, YA</t>
  </si>
  <si>
    <t>Marinin, E. A.; Chirkov, A. M.; Gavrilov, G. N.; Fetisov, G. P.; Chernyshov, D. A.; Kurganova, Yu. A.</t>
  </si>
  <si>
    <t>Experimental Evaluation of the Methods of Laser Cementation of Low-Alloy Tool Steels</t>
  </si>
  <si>
    <t>Marinin, Evgeny/0000-0003-0676-9438; Gavrilov, Gennadiy/0000-0002-8306-2965; Kurganova, Yuliya/0000-0001-8345-2202</t>
  </si>
  <si>
    <t>10.1134/S0036029518130153</t>
  </si>
  <si>
    <t>WOS:000460563800016</t>
  </si>
  <si>
    <t>Cherkasov, KV; Piptyuk, AV</t>
  </si>
  <si>
    <t>Cherkasov, Konstantin, V; Piptyuk, Anna, V</t>
  </si>
  <si>
    <t>Public-private partnership in the field of transport: Main mechanisms and prospects for improving legal regulation</t>
  </si>
  <si>
    <t>10.17223/15617793/476/31</t>
  </si>
  <si>
    <t>WOS:000868947100031</t>
  </si>
  <si>
    <t>Pilip, LV; Syrchina, NV; Kozvonin, VA; Kolevatykh, EP; Ashikhmina, TY; Sazanov, AV</t>
  </si>
  <si>
    <t>Pilip, L. V.; Syrchina, N. V.; Kozvonin, V. A.; Kolevatykh, E. P.; Ashikhmina, T. Ya.; Sazanov, A. V.</t>
  </si>
  <si>
    <t>Biological contamination of arable land with pig waste</t>
  </si>
  <si>
    <t>Syrchina, Nadezhda/0000-0001-8049-6760; Kozvonin, Valeriy/0000-0002-2447-6949; Sazanov, Alexander/0000-0002-6934-3330</t>
  </si>
  <si>
    <t>10.25750/1995-4301-2022-3-199-205</t>
  </si>
  <si>
    <t>WOS:000885393200025</t>
  </si>
  <si>
    <t>Soboleva, EV; Suvorova, TN; Bocharov, MI; Bocharova, TI</t>
  </si>
  <si>
    <t>Soboleva, Elena V.; Suvorova, Tatyana N.; Bocharov, Mikhail I.; Bocharova, Tatyana I.</t>
  </si>
  <si>
    <t>Development of the Personalized Model of Teaching Mathematics by Means of Interactive Short Stories to Improve the Quality of Educational Results of Schoolchildren</t>
  </si>
  <si>
    <t>10.13187/ejced.2022.1.241</t>
  </si>
  <si>
    <t>WOS:000835713500001</t>
  </si>
  <si>
    <t>Dziuba, M; Koziaeva, V; Grouzdev, D; Burganskaya, E; Baslerov, R; Kolganova, T; Chernyadyev, A; Osipov, G; Andrianova, E; Gorlenko, V; Kuznetsov, B</t>
  </si>
  <si>
    <t>Dziuba, Marina; Koziaeva, Veronika; Grouzdev, Denis; Burganskaya, Ekaterina; Baslerov, Roman; Kolganova, Tatjana; Chernyadyev, Alexander; Osipov, Georgy; Andrianova, Ekaterina; Gorlenko, Vladimir; Kuznetsov, Boris</t>
  </si>
  <si>
    <t>Magnetospirillum caucaseum sp nov., Magnetospirillum marisnigri sp nov and Magnetospirillum moscoviense sp nov., freshwater magnetotactic bacteria isolated from three distinct geographical locations in European Russia</t>
  </si>
  <si>
    <t>INTERNATIONAL JOURNAL OF SYSTEMATIC AND EVOLUTIONARY MICROBIOLOGY</t>
  </si>
  <si>
    <t>Grouzdev, Denis S/K-2114-2018; Andrianova, Ekaterina/AAZ-1524-2020; Koziaeva, Veronika/K-2206-2018; Дзюба, Марина/K-4159-2014; Grouzdev, Denis/N-7650-2019; Baslerov, Roman V./K-2173-2018</t>
  </si>
  <si>
    <t>Grouzdev, Denis S/0000-0002-1358-5146; Koziaeva, Veronika/0000-0002-6000-8886; Дзюба, Марина/0000-0002-0873-213X; Grouzdev, Denis/0000-0002-1358-5146; Andrianova, Ekaterina/0000-0003-3719-0293</t>
  </si>
  <si>
    <t>1466-5026</t>
  </si>
  <si>
    <t>1466-5034</t>
  </si>
  <si>
    <t>10.1099/ijsem.0.000994</t>
  </si>
  <si>
    <t>WOS:000375837100026</t>
  </si>
  <si>
    <t>Kondakova, LV; Domracheva, LI; Ashikhmina, TY; Simakova, VS</t>
  </si>
  <si>
    <t>Kondakova, L., V; Domracheva, L., I; Ashikhmina, T. Ya; Simakova, V. S.</t>
  </si>
  <si>
    <t>Biomonitoring capabilities of microorganisms when assessing the degree of toxicity of synthetic surfactants</t>
  </si>
  <si>
    <t>10.25750/1995-4301-2018-4-093-098</t>
  </si>
  <si>
    <t>WOS:000468565300012</t>
  </si>
  <si>
    <t>Kolevatykh, EP; Pilip, LV; Syrchina, NV; Kozvonin, VA; Ashikhmina, TY</t>
  </si>
  <si>
    <t>Kolevatykh, E. P.; Pilip, L., V; Syrchina, N., V; Kozvonin, V. A.; Ashikhmina, T. Ya</t>
  </si>
  <si>
    <t>Transformation of the microbiota of animal husbandry waste under the influence of chemical reagents to eliminate odor</t>
  </si>
  <si>
    <t>10.25750/1995-4301-2022-4-159-165</t>
  </si>
  <si>
    <t>WOS:000929704700022</t>
  </si>
  <si>
    <t>Skugoreva, SG; Kutyavina, TI; Ogorodnikova, SY; Kondakova, LV; Simakova, VS; Blinova, AL; Zykova, YN; Domracheva, LI; Ashikhmina, TY</t>
  </si>
  <si>
    <t>Skugoreva, S. G.; Kutyavina, T., I; Ogorodnikova, S. Yu; Kondakova, L., V; Simakova, V. S.; Blinova, A. L.; Zykova, Yu N.; Domracheva, L., I; Ashikhmina, T. Ya</t>
  </si>
  <si>
    <t>Integrated approach to environmental assessment of urban soil</t>
  </si>
  <si>
    <t>Kutyavina, Tatyana/T-1440-2017; Ashikhmina, Tamara/O-1326-2015; Зыкова, Юлия/AAU-7751-2021; Kutyavina, Tatyana/AAX-3781-2021; Skugoreva, Svetlana/O-1406-2015</t>
  </si>
  <si>
    <t>Kutyavina, Tatyana/0000-0001-7957-0636; Ashikhmina, Tamara/0000-0003-4919-0047; Kutyavina, Tatyana/0000-0001-7957-0636; Skugoreva, Svetlana/0000-0002-5902-5187</t>
  </si>
  <si>
    <t>10.25750/1995-4301-2019-3-057-065</t>
  </si>
  <si>
    <t>WOS:000490704900008</t>
  </si>
  <si>
    <t>Dabakh, EV; Kondakova, LV; Domracheva, LI; Zlobin, SS</t>
  </si>
  <si>
    <t>Dabakh, E. V.; Kondakova, L. V.; Domracheva, L. I.; Zlobin, S. S.</t>
  </si>
  <si>
    <t>Algological and Mycological Assessments of the Soil State in the Impact Zone of the Kirovo-Chepetsk Chemical Plant</t>
  </si>
  <si>
    <t>10.1134/S1064229313020026</t>
  </si>
  <si>
    <t>WOS:000316826200008</t>
  </si>
  <si>
    <t>Burmistr, MV; Boiko, VS; Lipko, EO; Gerasimenko, KO; Gomza, YP; Vesnin, RL; Chernyayev, AV; Ananchenko, BA; Kovalenko, VL</t>
  </si>
  <si>
    <t>Burmistr, M. V.; Boiko, V. S.; Lipko, E. O.; Gerasimenko, K. O.; Gomza, Yu P.; Vesnin, R. L.; Chernyayev, A. V.; Ananchenko, B. A.; Kovalenko, V. L.</t>
  </si>
  <si>
    <t>Antifriction and Construction Materials Based on Modified Phenol-Formaldehyde Resins Reinforced with Mineral and Synthetic Fibrous Fillers</t>
  </si>
  <si>
    <t>Kovalenko, Vadym/C-5386-2019; Vesnin, Roman/T-7719-2019; Ananchenko, Boris/AAM-5831-2020</t>
  </si>
  <si>
    <t>Kovalenko, Vadym/0000-0002-8012-6732; Vesnin, Roman/0000-0002-8359-7871; Ananchenko, Boris/0000-0002-7975-7828</t>
  </si>
  <si>
    <t>10.1007/s11029-014-9408-0</t>
  </si>
  <si>
    <t>WOS:000336390500009</t>
  </si>
  <si>
    <t>Aydin, S; Kosarenko, NN; Khlusyanov, OV; Malakhovskaya, VV; Kameneva, GN</t>
  </si>
  <si>
    <t>Aydin, Semih; Kosarenko, Nikolay N.; Khlusyanov, Oleg V.; Malakhovskaya, Vera V.; Kameneva, Galina N.</t>
  </si>
  <si>
    <t>University students' memories of their secondary science education experiences</t>
  </si>
  <si>
    <t>FRONTIERS IN EDUCATION</t>
  </si>
  <si>
    <t>2504-284X</t>
  </si>
  <si>
    <t>NOV 3</t>
  </si>
  <si>
    <t>10.3389/feduc.2022.1016919</t>
  </si>
  <si>
    <t>WOS:000890601600001</t>
  </si>
  <si>
    <t>Domracheva, LI; Fokina, AI; Skugoreva, SG; Ashikhmina, TY</t>
  </si>
  <si>
    <t>Domracheva, L., I; Fokina, A., I; Skugoreva, S. G.; Ashikhmina, T. Ya</t>
  </si>
  <si>
    <t>Two sides of soil fungi of the genus Fusarium and their metabolites: danger to biota and the possibility of use in biotechnology (review)</t>
  </si>
  <si>
    <t>Ashikhmina, Tamara/0000-0003-4919-0047; Skugoreva, Svetlana/0000-0002-5902-5187</t>
  </si>
  <si>
    <t>10.25750/1995-4301-2021-1-006-015</t>
  </si>
  <si>
    <t>WOS:000632219100001</t>
  </si>
  <si>
    <t>Kondakova, LV; Domracheva, LI; Kondakova, IA</t>
  </si>
  <si>
    <t>Kondakova, L., V; Domracheva, L., I; Kondakova, I. A.</t>
  </si>
  <si>
    <t>Specific character of soil blooming in agricultural and urbanized territories</t>
  </si>
  <si>
    <t>10.25750/1995-4301-2018-3-078-085</t>
  </si>
  <si>
    <t>WOS:000468564900011</t>
  </si>
  <si>
    <t>Soboleva, Elena, V; Suvorova, Tatiana N.; Bocharov, Mikhail, I; Bocharova, Tatyana, I</t>
  </si>
  <si>
    <t>Didactic Possibilities of Mobile Applications to Form Intercultural Competence of Students</t>
  </si>
  <si>
    <t>10.13187/ejced.2022.2.526</t>
  </si>
  <si>
    <t>WOS:000823569900017</t>
  </si>
  <si>
    <t>Kovalenko, VL; Kotok, VA; Sykchin, AA; Mudryi, IA; Ananchenko, BA; Burkov, AA; Sololvov, VA; Deabate, S; Mehdi, A; Bantignies, JL; Henn, F</t>
  </si>
  <si>
    <t>Kovalenko, V. L.; Kotok, V. A.; Sykchin, A. A.; Mudryi, I. A.; Ananchenko, B. A.; Burkov, A. A.; Sololvov, V. A.; Deabate, S.; Mehdi, A.; Bantignies, J. -L.; Henn, F.</t>
  </si>
  <si>
    <t>Nickel hydroxide obtained by high-temperature two-step synthesis as an effective material for supercapacitor applications</t>
  </si>
  <si>
    <t>Burkov, Andrei/N-5302-2016; DEABATE, STEFANO/I-9796-2019; Burkov, Andrey/ABB-8219-2021; Kotok, Valerii/P-2977-2016; Kovalenko, Vadym/C-5386-2019; Ananchenko, Boris/AAM-5831-2020; Deabate, Stefano/I-1774-2012</t>
  </si>
  <si>
    <t>Burkov, Andrei/0000-0002-3627-1262; Kotok, Valerii/0000-0001-8879-7189; Kovalenko, Vadym/0000-0002-8012-6732; Ananchenko, Boris/0000-0002-7975-7828; Deabate, Stefano/0000-0003-0003-0288</t>
  </si>
  <si>
    <t>10.1007/s10008-016-3405-2</t>
  </si>
  <si>
    <t>WOS:000394379600007</t>
  </si>
  <si>
    <t>Konyshev, I; Byvalov, A; Ananchenko, B; Fakhrullin, R; Danilushkina, A; Dudina, L</t>
  </si>
  <si>
    <t>Konyshev, Ilya; Byvalov, Andrey; Ananchenko, Boris; Fakhrullin, Rawil; Danilushkina, Anna; Dudina, Lyubov</t>
  </si>
  <si>
    <t>Force interactions between Yersiniae lipopolysaccharides and monoclonal antibodies: An optical tweezers study</t>
  </si>
  <si>
    <t>JOURNAL OF BIOMECHANICS</t>
  </si>
  <si>
    <t>Konyshev, Ilya V./A-9370-2019; Fakhrullin, Rawil/E-7629-2012; Данилушкина, Анна А/M-2067-2016; Ananchenko, Boris/AAM-5831-2020; Byvalov, Andrey A./Y-6825-2018; Dudina, Liubov G./C-7171-2017</t>
  </si>
  <si>
    <t>Konyshev, Ilya V./0000-0001-6575-9630; Fakhrullin, Rawil/0000-0003-2015-7649; Данилушкина, Анна А/0000-0003-2417-3750; Ananchenko, Boris/0000-0002-7975-7828; Byvalov, Andrey A./0000-0003-1117-5896; Dudina, Liubov G./0000-0002-2172-9015</t>
  </si>
  <si>
    <t>0021-9290</t>
  </si>
  <si>
    <t>1873-2380</t>
  </si>
  <si>
    <t>JAN 23</t>
  </si>
  <si>
    <t>10.1016/j.jbiomech.2019.109504</t>
  </si>
  <si>
    <t>WOS:000513294600016</t>
  </si>
  <si>
    <t>Osipov, AY; Guralev, VM; Nagovitsyn, RS; Kapustin, AG; Kovyazina, GV</t>
  </si>
  <si>
    <t>Osipov, A. Yu.; Guralev, V. M.; Nagovitsyn, R. S.; Kapustin, A. G.; Kovyazina, G. V.</t>
  </si>
  <si>
    <t>JUSTIFICATION OF USING CROSSFIT TRAINING IN JUDO</t>
  </si>
  <si>
    <t>, Roman/N-2363-2016; Kovyazina, Galina/U-7579-2018; Kapustin, Aleksandr/G-4595-2019; Osipov, Aleksander Yurievich/P-2690-2019</t>
  </si>
  <si>
    <t>, Roman/0000-0003-4471-0875; Kovyazina, Galina/0000-0003-2319-746X; Kapustin, Aleksandr/0000-0001-8655-4060; Osipov, Aleksander Yurievich/0000-0002-2277-4467; Guralev, Vladimir/0000-0002-1270-6540</t>
  </si>
  <si>
    <t>10.14529/hsm20s114</t>
  </si>
  <si>
    <t>WOS:000581820600014</t>
  </si>
  <si>
    <t>Kotok, VA; Malyshev, VV; Solovov, VA; Kovalenko, VL</t>
  </si>
  <si>
    <t>Kotok, V. A.; Malyshev, V. V.; Solovov, V. A.; Kovalenko, V. L.</t>
  </si>
  <si>
    <t>Soft Electrochemical Etching of FTO-Coated Glass for Use in Ni(OH)(2)-Based Electrochromic Devices</t>
  </si>
  <si>
    <t>ECS JOURNAL OF SOLID STATE SCIENCE AND TECHNOLOGY</t>
  </si>
  <si>
    <t>Kovalenko, Vadym/0000-0002-8012-6732; Kotok, Valerii/0000-0001-8879-7189; Malyshev, Valerii/0000-0001-6236-1053</t>
  </si>
  <si>
    <t>2162-8769</t>
  </si>
  <si>
    <t>2162-8777</t>
  </si>
  <si>
    <t>P772</t>
  </si>
  <si>
    <t>P777</t>
  </si>
  <si>
    <t>10.1149/2.0071712jss</t>
  </si>
  <si>
    <t>WOS:000419175500012</t>
  </si>
  <si>
    <t>Shirokikh, IG; Nasarova, YI; Shirokikh, AA; Ogorodnikova, SY; Tovstik, EV; Baranova, EN</t>
  </si>
  <si>
    <t>Shirokikh, I. G.; Nasarova, Ya. I.; Shirokikh, A. A.; Ogorodnikova, S. Yu.; Tovstik, E. V.; Baranova, E. N.</t>
  </si>
  <si>
    <t>Impact of the genetically engineered enhancement of the antioxidant protection of tobacco on the streptomycete complex in the rhizosphere of transformant plants</t>
  </si>
  <si>
    <t>Shirikikh, Alexandr A.A.S./W-7606-2018; Tovstik, Evgeniya/P-1350-2017; Baranova, Ekaterina N/T-5461-2017; Shirokikh, Irina G/V-3449-2017; Shirokikh, Alexandr/U-8080-2019; Shirokikh, Alexandr/X-1684-2018</t>
  </si>
  <si>
    <t>Tovstik, Evgeniya/0000-0003-1861-6076; Shirokikh, Irina G/0000-0002-3319-2729; Shirokikh, Alexandr/0000-0002-7808-0376; Shirokikh, Alexandr/0000-0002-7808-0376; Baranova, Ekaterina/0000-0001-8169-9228</t>
  </si>
  <si>
    <t>10.1134/S1995425515060189</t>
  </si>
  <si>
    <t>WOS:000366640300016</t>
  </si>
  <si>
    <t>Potekhina, E; Putrik, Y; Barsukov, S; Smirnova, A; Tretyak, E</t>
  </si>
  <si>
    <t>Potekhina, Elena; Putrik, Yurii; Barsukov, Sergey; Smirnova, Anastasiya; Tretyak, Elena</t>
  </si>
  <si>
    <t>IMPROVEMENT OF THE REGULATION OF TOURISM ACTIVITIES IN MODERN CONDITIONS</t>
  </si>
  <si>
    <t>Tretyak, Elena/ABE-2905-2020; Potekhina, Elena/AAK-1401-2021</t>
  </si>
  <si>
    <t xml:space="preserve">Tretyak, Elena/0000-0003-4383-4630; </t>
  </si>
  <si>
    <t>WOS:000934358700003</t>
  </si>
  <si>
    <t>Soboleva, Elena, V; Suvorova, Tatiana N.; Bocharov, Mikhail I.; Bocharova, Tatyana I.</t>
  </si>
  <si>
    <t>Features of Using Flash Cards as a Means for Developing Students' Verbal Creativity</t>
  </si>
  <si>
    <t>10.13187/ejced.2022.3.898</t>
  </si>
  <si>
    <t>WOS:000862890700018</t>
  </si>
  <si>
    <t>Nikitin, OV; Nasyrova, EI; Kuzmin, RS; Minnegulova, LM; Latypova, VZ; Ashikhmina, TY</t>
  </si>
  <si>
    <t>Nikitin, O., V; Nasyrova, E., I; Kuzmin, R. S.; Minnegulova, L. M.; Latypova, V. Z.; Ashikhmina, T. Ya</t>
  </si>
  <si>
    <t>Effects of polystyrene microplastic particles on the morphological and functional parameters of Daphnia magna</t>
  </si>
  <si>
    <t>Nikitin, Oleg/L-9783-2013</t>
  </si>
  <si>
    <t>Nikitin, Oleg/0000-0002-6753-0597; Minnegulova, Layla/0000-0001-5992-5532</t>
  </si>
  <si>
    <t>10.25750/1995-4301-2022-4-196-203</t>
  </si>
  <si>
    <t>WOS:000929704700027</t>
  </si>
  <si>
    <t>Shirokikh, IG; Nasarova, YI; Raldugina, GN; Gulevich, AA; Baranova, EN</t>
  </si>
  <si>
    <t>Shirokikh, I. G.; Nasarova, Ya. I.; Raldugina, G. N.; Gulevich, A. A.; Baranova, E. N.</t>
  </si>
  <si>
    <t>Analysis of Actinobiota in the Tobacco Rhizosphere with a Heterologous Choline Oxidase Gene from Arthrobacter globiformis</t>
  </si>
  <si>
    <t>10.1134/S1062359022010137</t>
  </si>
  <si>
    <t>WOS:000901195000017</t>
  </si>
  <si>
    <t>Ibragimov, ID; Korenko, YM; Matvienko, VV; Khrisanova, EG; Kazakov, AV; Zabaznova, NM; Kagosyan, AS</t>
  </si>
  <si>
    <t>Ibragimov, Ibragim D.; Korenko, Yulia M.; Matvienko, Valentin V.; Khrisanova, Elena G.; Kazakov, Andrey, V; Zabaznova, Natalya M.; Kagosyan, Ashot S.</t>
  </si>
  <si>
    <t>INTERNATIONAL STUDENTS IN RUSSIAN UNIVERSITIES: MASS MEDIA ROLE IN ATTITUDE PECULIARITIES FORMATION TO THEM AND PROBLEMS OF ADAPTATION</t>
  </si>
  <si>
    <t>Hrisanova, Elena/0000-0002-5045-5148</t>
  </si>
  <si>
    <t>10.22633/rpge.v25iesp.2.15282</t>
  </si>
  <si>
    <t>WOS:000687825100023</t>
  </si>
  <si>
    <t>Polezhaeva, TV; Shirokikh, IG; Sergushkina, MI; Nazarova, YI; Shirokikh, AA; Khudyakov, AN; Zayiseva, OO; Solomina, ON; Paturova, IG</t>
  </si>
  <si>
    <t>Polezhaeva, T., V; Shirokikh, I. G.; Sergushkina, M., I; Nazarova, Y., I; Shirokikh, A. A.; Khudyakov, A. N.; Zayiseva, O. O.; Solomina, O. N.; Paturova, I. G.</t>
  </si>
  <si>
    <t>Influence of polysaccharides from Hericium erinaceus BP 16 on phagocytic activity of human blood neutrophils</t>
  </si>
  <si>
    <t>Sergushkina, Marta/B-2604-2019; Khudyakov, Andrey N/G-7546-2018; Shirokikh, Irina G/V-3449-2017; Zaitseva, Oxana/Y-8697-2018; Shirokikh, Alexandr/X-1684-2018; Polezhaeva, Tatyana/J-8109-2018</t>
  </si>
  <si>
    <t>Sergushkina, Marta/0000-0002-3113-527X; Khudyakov, Andrey N/0000-0003-3757-8263; Shirokikh, Irina G/0000-0002-3319-2729; Zaitseva, Oxana/0000-0001-9427-0420; Shirokikh, Alexandr/0000-0002-7808-0376; Solomina, Olga/0000-0001-5187-8698; Polezhaeva, Tatyana/0000-0003-4999-3077; Paturova, Inna/0000-0002-8555-4525</t>
  </si>
  <si>
    <t>10.25750/1995-4301-2020-2-166-171</t>
  </si>
  <si>
    <t>WOS:000545295600023</t>
  </si>
  <si>
    <t>Velegzhaninov, IO; Ievlev, VA; Pylina, YI; Shadrin, DM; Vakhrusheva, OM</t>
  </si>
  <si>
    <t>Velegzhaninov, Ilya O.; Ievlev, Vitaly A.; Pylina, Yana I.; Shadrin, Dmitry M.; Vakhrusheva, Olesya M.</t>
  </si>
  <si>
    <t>Programming of Cell Resistance to Genotoxic and Oxidative Stress</t>
  </si>
  <si>
    <t>BIOMEDICINES</t>
  </si>
  <si>
    <t>Pylina, Yana I/P-9565-2015; Shadrin, Dmitry M/P-9808-2015; Velegzhaninov, Ilya O./P-9554-2015</t>
  </si>
  <si>
    <t>Pylina, Yana I/0000-0003-4981-8930; Shadrin, Dmitry M/0000-0003-4365-0145; Velegzhaninov, Ilya O./0000-0002-4715-4053; Ievlev, Vitaly/0000-0002-1243-4231; Olesya, Buzikova/0000-0001-9462-2502</t>
  </si>
  <si>
    <t>2227-9059</t>
  </si>
  <si>
    <t>10.3390/biomedicines6010005</t>
  </si>
  <si>
    <t>WOS:000428505300005</t>
  </si>
  <si>
    <t>Popkova, EG; Sozinova, AA; Grechenkov, OY; Menshchikova, VI</t>
  </si>
  <si>
    <t>Popkova, Elena G.; Sozinova, Anastasia A.; Grechenkov, Oksana Yu.; Menshchikova, Vera I.</t>
  </si>
  <si>
    <t>DEFICIENCIES IN THE LEGISLATIVE SUPPORT OF INNOVATIVE ACTIVITIES IN CONTEMPORARY RUSSIA AND WAYS OF ADDRESSING THEM</t>
  </si>
  <si>
    <t>Popkova, Elena G/C-8484-2014; Sozinova, Anastasia/F-6298-2015; MENSHCHIKOVA, Vera/ABH-9254-2020</t>
  </si>
  <si>
    <t>Popkova, Elena G/0000-0003-2136-2767; Sozinova, Anastasia/0000-0001-5876-2823; MENSHCHIKOVA, Vera/0000-0001-8216-2326</t>
  </si>
  <si>
    <t>10.17150/2500-4255.2018.12(4).515-524</t>
  </si>
  <si>
    <t>WOS:000444615800007</t>
  </si>
  <si>
    <t>Soboleva, Elena V.; Suvorova, Tatiana N.; Bocharov, Mikhail I.; Bocharova, Tatyana I.</t>
  </si>
  <si>
    <t>Using Game Mechanics in Professional Training of Future Teachers Working with Gifted Children</t>
  </si>
  <si>
    <t>10.13187/ejced.2022.4</t>
  </si>
  <si>
    <t>WOS:000914876300015</t>
  </si>
  <si>
    <t>Domracheva, LI; Kovina, AL; Ogorodnikova, SY; Korotkikh, AI; Korotkova, AV; Domnina, EA</t>
  </si>
  <si>
    <t>Domracheva, L., I; Kovina, A. L.; Ogorodnikova, S. Yu; Korotkikh, A., I; Korotkova, A., V; Domnina, E. A.</t>
  </si>
  <si>
    <t>Growth-stimulating activity of leafy lichens</t>
  </si>
  <si>
    <t>Ashikhmina, Tamara/O-1326-2015; Mal, Nastya/AAU-7935-2021; Kovina, Alevtina/AAU-6178-2021</t>
  </si>
  <si>
    <t>Ashikhmina, Tamara/0000-0003-4919-0047; Kovina, Alevtina/0000-0003-0503-3402; Korotkih, Anastasia/0000-0002-0700-371X</t>
  </si>
  <si>
    <t>10.25750/1995-4301-2020-1-130-135</t>
  </si>
  <si>
    <t>WOS:000522789400019</t>
  </si>
  <si>
    <t>Fefilova, E; Sukhikh, N; Abramova, E; Velegzhaninov, I</t>
  </si>
  <si>
    <t>Fefilova, Elena; Sukhikh, Natalia; Abramova, Ekaterina; Velegzhaninov, Ilya</t>
  </si>
  <si>
    <t>ABOUT THE SYSTEMATICS OF PALAEARCTIC EURYTEMORA (COPEPODA, CALANOIDA) BASED ON MORPHOLOGICAL ANALYSIS, WITH FOCUS ON EURYTEMORA GRACILICAUDA AKATOVA, 1949</t>
  </si>
  <si>
    <t>CRUSTACEANA</t>
  </si>
  <si>
    <t>Eurytemora International Conference</t>
  </si>
  <si>
    <t>MAY 13-17, 2019</t>
  </si>
  <si>
    <t>Velegzhaninov, Ilya O./P-9554-2015; Sukhikh, Natalia M/H-7429-2017</t>
  </si>
  <si>
    <t xml:space="preserve">Velegzhaninov, Ilya O./0000-0002-4715-4053; </t>
  </si>
  <si>
    <t>0011-216X</t>
  </si>
  <si>
    <t>1568-5403</t>
  </si>
  <si>
    <t>3-5</t>
  </si>
  <si>
    <t>10.1163/15685403-00003976</t>
  </si>
  <si>
    <t>WOS:000540781400006</t>
  </si>
  <si>
    <t>Syrchina, NV; Pilip, LV; Ashikhmina, TY; Bogatyryova, NN</t>
  </si>
  <si>
    <t>Syrchina, N., V; Pilip, L., V; Ashikhmina, T. Ya; Bogatyryova, N. N.</t>
  </si>
  <si>
    <t>Rational utilization of sulfuric acid waste generated during chlorine production</t>
  </si>
  <si>
    <t>10.25750/1995-4301-2020-4-143-148</t>
  </si>
  <si>
    <t>WOS:000597810500022</t>
  </si>
  <si>
    <t>Khuziakhmetov, RH; Syrchina, NV; Ashikhmina, TY; Ivanova, NN</t>
  </si>
  <si>
    <t>Khuziakhmetov, R. H.; Syrchina, N., V; Ashikhmina, T. Ya; Ivanova, N. N.</t>
  </si>
  <si>
    <t>Complex processing of natural phosphorites using alkaline wastes of petrochemical synthesis and gas sulfur</t>
  </si>
  <si>
    <t>Ashikhmina, Tamara/0000-0003-4919-0047; Syrchina, Nadezhda/0000-0001-8049-6760; Khuziakhmetov, Rifkat/0000-0001-8497-2912</t>
  </si>
  <si>
    <t>10.25750/1995-4301-2022-1-102-108</t>
  </si>
  <si>
    <t>WOS:000819811100014</t>
  </si>
  <si>
    <t>Sozinova, AA; Bondarenko, VA; Smokova, M; Rumyantsev, NG</t>
  </si>
  <si>
    <t>Sozinova, A. A.; Bondarenko, V. A.; Smokova, M.; Rumyantsev, N. G.</t>
  </si>
  <si>
    <t>Actualization of the green image for territorial development</t>
  </si>
  <si>
    <t>10.5750/1995-4301-2022-2-228-233</t>
  </si>
  <si>
    <t>WOS:000820802000029</t>
  </si>
  <si>
    <t>Skugoreva, S. G.; Kantor, G. Ya.; Domracheva, L. I.</t>
  </si>
  <si>
    <t>Biosorption of heavy metals by micromycetes: specificity of the process, mechanisms, kinetics</t>
  </si>
  <si>
    <t>10.25750/1995-4301-2019-2-014-031</t>
  </si>
  <si>
    <t>WOS:000477826000002</t>
  </si>
  <si>
    <t>Okhapkina, E; Okhapkin, V; Kazarin, O</t>
  </si>
  <si>
    <t>Barolli, L; Takizawa, M; Enokido, T; Hsu, HH; Lin, CY</t>
  </si>
  <si>
    <t>Okhapkina, Elena; Okhapkin, Valentin; Kazarin, Oleg</t>
  </si>
  <si>
    <t>Adaptation of information retrieval methods for identifying of destructive informational influence in social networks</t>
  </si>
  <si>
    <t>2017 31ST IEEE INTERNATIONAL CONFERENCE ON ADVANCED INFORMATION NETWORKING AND APPLICATIONS WORKSHOPS (IEEE WAINA 2017)</t>
  </si>
  <si>
    <t>31st IEEE International Conference on Advanced Information Networking and Applications (IEEE AINA)</t>
  </si>
  <si>
    <t>MAR 27-29, 2017</t>
  </si>
  <si>
    <t>Tamkang Univ, Taipei, TAIWAN</t>
  </si>
  <si>
    <t>IEEE,IEEE Tech Comm Distributed Proc,IEEE Comp Soc</t>
  </si>
  <si>
    <t>Tamkang Univ</t>
  </si>
  <si>
    <t>978-1-5090-6231-7</t>
  </si>
  <si>
    <t>10.1109/WAINA.2017.116</t>
  </si>
  <si>
    <t>WOS:000403401900016</t>
  </si>
  <si>
    <t>Domracheva, LI; Skugoreva, SG; Ashikhmina, TY; Ogorodnikova, SY; Kondakova, LV; Velikoredchanina, EO; Korotkova, AV; Kovina, AL</t>
  </si>
  <si>
    <t>Domracheva, L., I; Skugoreva, S. G.; Ashikhmina, T. Ya; Ogorodnikova, S. Yu; Kondakova, L., V; Velikoredchanina, E. O.; Korotkova, A., V; Kovina, A. L.</t>
  </si>
  <si>
    <t>The use of waste activated sludge for the treatment of waste water contaminated with heavy metals</t>
  </si>
  <si>
    <t>10.25750/1995-4301-2020-4-176-184</t>
  </si>
  <si>
    <t>WOS:000597810500027</t>
  </si>
  <si>
    <t>Fokina, AI; Dabakh, EV; Domracheva, LI; Skugoreva, SG; Lyalina, EI; Ashikhmina, TY; Zykova, YN; Leonova, KA</t>
  </si>
  <si>
    <t>Fokina, A. I.; Dabakh, E. V.; Domracheva, L. I.; Skugoreva, S. G.; Lyalina, E. I.; Ashikhmina, T. Ya.; Zykova, Yu. N.; Leonova, K. A.</t>
  </si>
  <si>
    <t>Methodological Approaches toward Chemico-Biological Diagnostics of the State of Soils in Technogenically Transformed Territories</t>
  </si>
  <si>
    <t>Skugoreva, Svetlana/X-6225-2019; Ashikhmina, Tamara/O-1326-2015; Зыкова, Юлия/AAU-7751-2021</t>
  </si>
  <si>
    <t xml:space="preserve">Skugoreva, Svetlana/0000-0002-5902-5187; Ashikhmina, Tamara/0000-0003-4919-0047; </t>
  </si>
  <si>
    <t>10.1134/S1064229318030031</t>
  </si>
  <si>
    <t>WOS:000433121200008</t>
  </si>
  <si>
    <t>Fokina, AI; Gornostaeva, EA; Ogorodnikova, SY; Zykova, YN; Domracheva, LI; Kondakova, LV</t>
  </si>
  <si>
    <t>Fokina, A. I.; Gornostaeva, E. A.; Ogorodnikova, S. Y.; Zykova, Y. N.; Domracheva, L. I.; Kondakova, L. V.</t>
  </si>
  <si>
    <t>Adaptation potential of naturally occurring cynaobacterial biofilms dominated by Phormidium spp.</t>
  </si>
  <si>
    <t>10.1134/S1995425515060050</t>
  </si>
  <si>
    <t>WOS:000366640300004</t>
  </si>
  <si>
    <t>Plekhanov, MS; Thoma, SLJ; Zobel, M; Cuello, GJ; Fischer, HE; Raskovalov, AA; Kuzmin, AV</t>
  </si>
  <si>
    <t>Plekhanov, Maksim S.; Thoma, Sabrina L. J.; Zobel, Mirijam; Cuello, Gabriel J.; Fischer, Henry E.; Raskovalov, Anton A.; Kuzmin, Anton, V</t>
  </si>
  <si>
    <t>Correlating Proton Diffusion in Perovskite Triple-Conducting Oxides with Local and Defect Structure</t>
  </si>
  <si>
    <t>CHEMISTRY OF MATERIALS</t>
  </si>
  <si>
    <t>Plekhanov, Maksim/X-2719-2018; Kuzmin, Anton/O-4057-2014</t>
  </si>
  <si>
    <t>Plekhanov, Maksim/0000-0002-2701-4619; Kuzmin, Anton/0000-0002-0700-662X; Zobel, Mirijam/0000-0002-8207-8316</t>
  </si>
  <si>
    <t>0897-4756</t>
  </si>
  <si>
    <t>1520-5002</t>
  </si>
  <si>
    <t>MAY 24</t>
  </si>
  <si>
    <t>10.1021/acs.chemmater.2c01159</t>
  </si>
  <si>
    <t>WOS:000805874800051</t>
  </si>
  <si>
    <t>Skugoreva, SG; Kantor, GY; Domracheva, LI; Kutyavina, TI</t>
  </si>
  <si>
    <t>Skugoreva, S. G.; Kantor, G. Ya; Domracheva, L., I; Kutyavina, T., I</t>
  </si>
  <si>
    <t>Comparative analysis of the effectiveness of the use of sorbents of different nature with respect to copper (II) ions</t>
  </si>
  <si>
    <t>Kutyavina, Tatyana/T-1440-2017; Kutyavina, Tatyana/AAX-3781-2021; Skugoreva, Svetlana/X-6225-2019</t>
  </si>
  <si>
    <t>Kutyavina, Tatyana/0000-0001-7957-0636; Kutyavina, Tatyana/0000-0001-7957-0636; Skugoreva, Svetlana/0000-0002-5902-5187</t>
  </si>
  <si>
    <t>10.25750/1995-4301-2018-3-012-018</t>
  </si>
  <si>
    <t>WOS:000468564900002</t>
  </si>
  <si>
    <t>Paimushin, VN; Kayumov, RA; Kholmogorov, SA; Shishkin, VM</t>
  </si>
  <si>
    <t>Paimushin, V. N.; Kayumov, R. A.; Kholmogorov, S. A.; Shishkin, V. M.</t>
  </si>
  <si>
    <t>Defining Relations in Mechanics of Cross-Ply Fiber Reinforced Plastics Under Short-Term and Long-Term Monoaxial Load</t>
  </si>
  <si>
    <t>Rashit, Kayumov A/A-9473-2016; Shishkin, Viktor/U-2323-2018</t>
  </si>
  <si>
    <t xml:space="preserve">Rashit, Kayumov A/0000-0003-0711-9429; </t>
  </si>
  <si>
    <t>10.3103/S1066369X18060087</t>
  </si>
  <si>
    <t>WOS:000433579100008</t>
  </si>
  <si>
    <t>Tovstik, EV; Shirokikh, IG; Soloveva, ES; Shirokikh, AA; Ashikhmina, TY; Savinykh, VP</t>
  </si>
  <si>
    <t>Tovstik, E., V; Shirokikh, I. G.; Soloveva, E. S.; Shirokikh, A. A.; Ashikhmina, T. Ya; Savinykh, V. P.</t>
  </si>
  <si>
    <t>The change in soil actinobiote under the influence of Heracleum sosnowskyi invasion</t>
  </si>
  <si>
    <t>Ashikhmina, Tamara/O-1326-2015; Tovstik, Evgeniya/P-1350-2017; Shirikikh, Alexandr A.A.S./W-7606-2018; Shirokikh, Irina G/V-3449-2017; Shirokikh, Alexandr/X-1684-2018</t>
  </si>
  <si>
    <t>Ashikhmina, Tamara/0000-0003-4919-0047; Tovstik, Evgeniya/0000-0003-1861-6076; Shirokikh, Irina G/0000-0002-3319-2729; Shirokikh, Alexandr/0000-0002-7808-0376</t>
  </si>
  <si>
    <t>10.25750/1995-4301-2018-4-114-118</t>
  </si>
  <si>
    <t>WOS:000468565300015</t>
  </si>
  <si>
    <t>Byvalov, AA; Kononenko, VL; Konyshev, IV</t>
  </si>
  <si>
    <t>Byvalov, A. A.; Kononenko, V. L.; Konyshev, I. V.</t>
  </si>
  <si>
    <t>Effect of Lipopolysaccharide O-Side Chains on the Adhesiveness of Yersinia pseudotuberculosis to J774 Macrophages as Revealed by Optical Tweezers</t>
  </si>
  <si>
    <t>Konyshev, Ilya V./A-9370-2019; Kononenko, Vadim L/B-9016-2017; Byvalov, Andrey A./Y-6825-2018</t>
  </si>
  <si>
    <t>10.1134/S0003683817020077</t>
  </si>
  <si>
    <t>WOS:000396266800017</t>
  </si>
  <si>
    <t>Popkova, EG; Karanina, EV; Stankevich, GV; Shaimardanov, TR</t>
  </si>
  <si>
    <t>Popkova, Elena G. G.; Karanina, Elena V. V.; Stankevich, Galina V. V.; Shaimardanov, Timur R. R.</t>
  </si>
  <si>
    <t>The contribution of clean energetics based on energy technology (EnergyTech) to the reduction of production waste and the fight against climate change: Legal regulation issues</t>
  </si>
  <si>
    <t>NOV 24</t>
  </si>
  <si>
    <t>10.3389/fenrg.2022.1025441</t>
  </si>
  <si>
    <t>WOS:000894516000001</t>
  </si>
  <si>
    <t>Baranov, VV; Allagulov, AM; Kuznetsov, VV; Khlusyanov, OV; Yudina, AM; Valeev, AS; Valeyeva, GK</t>
  </si>
  <si>
    <t>Baranov, Vladimir V.; Allagulov, Artur M.; Kuznetsov, Vladimir V.; Khlusyanov, Oleg, V; Yudina, Anna M.; Valeev, Azat S.; Valeyeva, Guzel Kh</t>
  </si>
  <si>
    <t>Infrastructure of Cultural Leisure in Consumer Society in Student View: Prospects and Problems of Promotion</t>
  </si>
  <si>
    <t>PROPOSITOS Y REPRESENTACIONES</t>
  </si>
  <si>
    <t>Yudina, Anna M/AAU-7059-2021; Yudina, Anna/AAX-3276-2021</t>
  </si>
  <si>
    <t xml:space="preserve">Yudina, Anna M/0000-0001-5420-6643; </t>
  </si>
  <si>
    <t>2307-7999</t>
  </si>
  <si>
    <t>2310-4635</t>
  </si>
  <si>
    <t>e1223</t>
  </si>
  <si>
    <t>10.20511/pyr2021.v9nSPE1.1223</t>
  </si>
  <si>
    <t>WOS:000697163700002</t>
  </si>
  <si>
    <t>Trushkova, IY; Ashikhmina, TY; Kondakova, LV</t>
  </si>
  <si>
    <t>Trushkova, I. Yu; Ashikhmina, T. Ya; Kondakova, L., V</t>
  </si>
  <si>
    <t>Ethnoecology of the Slavic World: application significance on the Eurasian space</t>
  </si>
  <si>
    <t>Трушкова, Ирина Юрьевна/AAB-4826-2022; Ashikhmina, Tamara/O-1326-2015; Trushkova, Irina/C-5994-2019</t>
  </si>
  <si>
    <t>Ashikhmina, Tamara/0000-0003-4919-0047; Trushkova, Irina/0000-0003-2944-2446</t>
  </si>
  <si>
    <t>10.25750/1995-4301-2019-1-111-115</t>
  </si>
  <si>
    <t>WOS:000468565900016</t>
  </si>
  <si>
    <t>Pilip, LV; Kozvonin, VA; SyrChina, NV; Kolevatykh, EP; Ashikhmina, TY</t>
  </si>
  <si>
    <t>Pilip, L., V; Kozvonin, V. A.; SyrChina, N., V; Kolevatykh, E. P.; Ashikhmina, T. Ya</t>
  </si>
  <si>
    <t>Effects of acidifying manure effluent on its microbiological characteristics</t>
  </si>
  <si>
    <t>Syrchina, Nadezhda/0000-0001-8049-6760; Ashikhmina, Tamara/0000-0003-4919-0047; Kozvonin, Valeriy/0000-0002-2447-6949</t>
  </si>
  <si>
    <t>10.25750/1995-4301-2020-3-161-167</t>
  </si>
  <si>
    <t>WOS:000580337700024</t>
  </si>
  <si>
    <t>Smolonskaya, A; Silenkov, V; Tsvetkova, N; Ershova, N; Varinov, V; Komarova, O; Kalashnikov, K</t>
  </si>
  <si>
    <t>Smolonskaya, Anna; Silenkov, Victor; Tsvetkova, Natalia; Ershova, Nina; Varinov, Vladislav; Komarova, Oksana; Kalashnikov, Konstantin</t>
  </si>
  <si>
    <t>Role of Physical Culture As a Basis in the University Pedagogical Process in the Development of Students' Worldview in the Third Millennium</t>
  </si>
  <si>
    <t>BIOSCIENCE BIOTECHNOLOGY RESEARCH COMMUNICATIONS</t>
  </si>
  <si>
    <t>0974-6455</t>
  </si>
  <si>
    <t>WOS:000640077600013</t>
  </si>
  <si>
    <t>Velegzhaninov, IO; Ermakova, AV; Klokov, DY</t>
  </si>
  <si>
    <t>Velegzhaninov, Ilya O.; Ermakova, Anastasia V.; Klokov, Dmitry Yu.</t>
  </si>
  <si>
    <t>Low dose ionizing irradiation suppresses cellular senescence in normal human fibroblasts</t>
  </si>
  <si>
    <t>INTERNATIONAL JOURNAL OF RADIATION BIOLOGY</t>
  </si>
  <si>
    <t>Klokov, Dmitry/AAM-7316-2020; Ermakova, Anastasia O/P-9910-2015; Velegzhaninov, Ilya O./P-9554-2015</t>
  </si>
  <si>
    <t>Klokov, Dmitry/0000-0003-1629-1431; Velegzhaninov, Ilya O./0000-0002-4715-4053</t>
  </si>
  <si>
    <t>0955-3002</t>
  </si>
  <si>
    <t>1362-3095</t>
  </si>
  <si>
    <t>10.1080/09553002.2018.1492167</t>
  </si>
  <si>
    <t>WOS:000451552200005</t>
  </si>
  <si>
    <t>Vityazev, FV; Khramova, DS; Saveliev, NY; Ipatova, EA; Burkov, AA; Beloserov, VS; Belyi, VA; Kononov, LO; Martinson, EA; Litvinets, SG; Markov, PA; Popov, SV</t>
  </si>
  <si>
    <t>Vityazev, Fedor V.; Khramova, Daria S.; Saveliev, Nikita Y.; Ipatova, Elena A.; Burkov, Andrey A.; Beloserov, Vladislav S.; Belyi, Vladimir A.; Kononov, Leonid O.; Martinson, Ekaterina A.; Litvinets, Sergey G.; Markov, Pavel A.; Popov, Sergey, V</t>
  </si>
  <si>
    <t>Pectin-glycerol gel beads: Preparation, characterization and swelling behaviour</t>
  </si>
  <si>
    <t>Burkov, Andrei/N-5302-2016; Kononov, Leonid O/B-1004-2008; Khramova, Daria/AAH-7690-2019; Popov, Sergey V/F-7627-2016; Popov, Sergey/AAM-6438-2021; Burkov, Andrey/ABB-8219-2021; Belozerov, Vladislav/B-7087-2019; Markov, Pavel/Q-2677-2016</t>
  </si>
  <si>
    <t>Burkov, Andrei/0000-0002-3627-1262; Kononov, Leonid O/0000-0003-1858-7738; Khramova, Daria/0000-0003-0970-9203; Popov, Sergey V/0000-0003-1763-8898; Popov, Sergey/0000-0003-1763-8898; Belozerov, Vladislav/0000-0002-9930-5458; Markov, Pavel/0000-0002-4803-4803</t>
  </si>
  <si>
    <t>JUN 15</t>
  </si>
  <si>
    <t>10.1016/j.carbpol.2020.116166</t>
  </si>
  <si>
    <t>WOS:000526413700004</t>
  </si>
  <si>
    <t>Nagovitsyn, RS; Osipov, AY; Kapustin, AG; Anfilatova, OV; Senator, SY</t>
  </si>
  <si>
    <t>Nagovitsyn, R. S.; Osipov, A. Yu; Kapustin, A. G.; Anfilatova, O., V; Senator, S. Yu</t>
  </si>
  <si>
    <t>Determination of the dependence of competitive results on the procedure of sports selection among Greco-Roman wrestling athletes</t>
  </si>
  <si>
    <t>Osipov, Aleksander Yurievich/P-2690-2019; Kapustin, Aleksandr/G-4595-2019; , Roman/N-2363-2016</t>
  </si>
  <si>
    <t>Osipov, Aleksander Yurievich/0000-0002-2277-4467; Kapustin, Aleksandr/0000-0001-8655-4060; , Roman/0000-0003-4471-0875</t>
  </si>
  <si>
    <t>10.15561/18189172.2019.0404</t>
  </si>
  <si>
    <t>WOS:000482200500004</t>
  </si>
  <si>
    <t>Iordanskii, A; Zhulkina, A; Olkhov, A; Fomin, S; Burkov, A; Stilman, M</t>
  </si>
  <si>
    <t>Iordanskii, Alexey; Zhulkina, Anna; Olkhov, Anatoliy; Fomin, Sergey; Burkov, Andrey; Stilman, Mikhail</t>
  </si>
  <si>
    <t>Characterization and Evaluation of Controlled Antimicrobial Release from Petrochemical (PU) and Biodegradable (PHB) Packaging</t>
  </si>
  <si>
    <t>Zhulkina, Anna/W-9295-2018; Burkov, Andrey/ABB-8219-2021; Fomin, Sergey V./A-7869-2014; Burkov, Andrei/N-5302-2016</t>
  </si>
  <si>
    <t>Fomin, Sergey V./0000-0003-0393-5613; Burkov, Andrei/0000-0002-3627-1262; Olkhov, Anatoly/0000-0003-0615-6914; Iordanskii, Alexey/0000-0003-0771-0825</t>
  </si>
  <si>
    <t>10.3390/polym10080817</t>
  </si>
  <si>
    <t>WOS:000445410200010</t>
  </si>
  <si>
    <t>Popov, SV; Popova, GY; Nikitina, IR; Markov, PA; Latkin, DS; Golovchenko, VV; Patova, OA; Krachkovsky, N; Smirnov, VV; Istomina, EA; Shumikhin, KV; Burkov, AA; Martinson, EA; Litvinets, SG</t>
  </si>
  <si>
    <t>Popov, Sergey V.; Popova, Galina Yu; Nikitina, Ida R.; Markov, Pavel A.; Latkin, Dmitry S.; Golovchenko, Victoria V.; Patova, Ol'ga A.; Krachkovsky, Nikita; Smirnov, Vasily V.; Istomina, Elena A.; Shumikhin, Konstantin V.; Burkov, Andrey A.; Martinson, Ekaterina A.; Litvinets, Sergey G.</t>
  </si>
  <si>
    <t>Injectable hydrogel from plum pectin as a barrier for prevention of postoperative adhesion</t>
  </si>
  <si>
    <t>JOURNAL OF BIOACTIVE AND COMPATIBLE POLYMERS</t>
  </si>
  <si>
    <t>Patova, Olga A/T-1244-2017; Litvinets, Sergey G./I-8188-2013; Istomina, Elena/Q-2058-2019; Burkov, Andrei/N-5302-2016; Golovchenko, Viktoria/Q-2227-2016; Smirnov, Vasily V/M-4942-2016; Istomina, Elena/E-7817-2014; Markov, Pavel/Q-2677-2016; Popov, Sergey V/F-7627-2016; Martinson, Ekaterina/AAL-5413-2020; Popov, Sergey/AAM-6438-2021; Burkov, Andrey/ABB-8219-2021</t>
  </si>
  <si>
    <t xml:space="preserve">Patova, Olga A/0000-0001-5236-4867; Litvinets, Sergey G./0000-0001-8583-5274; Istomina, Elena/0000-0002-6729-247X; Burkov, Andrei/0000-0002-3627-1262; Golovchenko, Viktoria/0000-0002-4837-9609; Smirnov, Vasily V/0000-0003-3704-988X; Istomina, Elena/0000-0002-6729-247X; Markov, Pavel/0000-0002-4803-4803; Popov, Sergey V/0000-0003-1763-8898; Popov, Sergey/0000-0003-1763-8898; </t>
  </si>
  <si>
    <t>0883-9115</t>
  </si>
  <si>
    <t>1530-8030</t>
  </si>
  <si>
    <t>10.1177/0883911516637374</t>
  </si>
  <si>
    <t>WOS:000382858400004</t>
  </si>
  <si>
    <t>Borisenkov, MF; Karmanov, AP; Kocheva, LS; Markov, PA; Istomina, EI; Bakutova, LA; Litvinets, SG; Martinson, EA; Durnev, EA; Vityazev, FV; Popov, SV</t>
  </si>
  <si>
    <t>Borisenkov, Mikhail F.; Karmanov, Anatoly P.; Kocheva, Lyudmila S.; Markov, Pavel A.; Istomina, Elena I.; Bakutova, Larisa A.; Litvinets, Sergey G.; Martinson, Ekaterina A.; Durnev, Eugene A.; Vityazev, Fedor V.; Popov, Sergey V.</t>
  </si>
  <si>
    <t>Adsorption of beta-glucuronidase and estrogens on pectin/lignin hydrogel particles</t>
  </si>
  <si>
    <t>INTERNATIONAL JOURNAL OF POLYMERIC MATERIALS AND POLYMERIC BIOMATERIALS</t>
  </si>
  <si>
    <t>Istomina, Elena/Q-2058-2019; Borisenkov, Mikhail/H-7169-2019; Popov, Sergey V/F-7627-2016; Markov, Pavel/Q-2677-2016; Borisenkov, Mikhail F/O-9862-2015; Istomina, Elena/E-7817-2014; Litvinets, Sergey G./I-8188-2013; Martinson, Ekaterina/AAL-5413-2020; Kocheva, Ludmila/ABA-7343-2021; Popov, Sergey/AAM-6438-2021</t>
  </si>
  <si>
    <t>Istomina, Elena/0000-0002-6729-247X; Borisenkov, Mikhail/0000-0002-4310-2010; Popov, Sergey V/0000-0003-1763-8898; Markov, Pavel/0000-0002-4803-4803; Borisenkov, Mikhail F/0000-0002-4310-2010; Istomina, Elena/0000-0002-6729-247X; Litvinets, Sergey G./0000-0001-8583-5274; Popov, Sergey/0000-0003-1763-8898</t>
  </si>
  <si>
    <t>0091-4037</t>
  </si>
  <si>
    <t>1563-535X</t>
  </si>
  <si>
    <t>10.1080/00914037.2015.1129955</t>
  </si>
  <si>
    <t>WOS:000373128600001</t>
  </si>
  <si>
    <t>Single-Cell Force Spectroscopy of Interaction of Lipopolysaccharides from Yersinia pseudotuberculosis and Yersinia pestis with J774 Macrophage Membrane Using Optical Tweezers</t>
  </si>
  <si>
    <t>BIOCHEMISTRY MOSCOW SUPPLEMENT SERIES A-MEMBRANE AND CELL BIOLOGY</t>
  </si>
  <si>
    <t>Kononenko, Vadim L/B-9016-2017; Byvalov, Andrey A./Y-6825-2018; Konyshev, Ilya V./A-9370-2019</t>
  </si>
  <si>
    <t>Byvalov, Andrey A./0000-0003-1117-5896; Konyshev, Ilya V./0000-0001-6575-9630</t>
  </si>
  <si>
    <t>1990-7478</t>
  </si>
  <si>
    <t>1990-7494</t>
  </si>
  <si>
    <t>10.1134/S1990747818020058</t>
  </si>
  <si>
    <t>WOS:000454748800001</t>
  </si>
  <si>
    <t>Man, TX; Zhukova, N; Meltsov, V; Shichkina, Y</t>
  </si>
  <si>
    <t>Misra, S; Gervasi, O; Murgante, B; Stankova, E; Korkhov, V; Torre, C; Rocha, AMAC; Taniar, D; Apduhan, BO; Tarantino, E</t>
  </si>
  <si>
    <t>Man Tianxing; Zhukova, Nataly; Meltsov, Vasily; Shichkina, Yulia</t>
  </si>
  <si>
    <t>A Knowledge-Based Computational Environment for Real-World Data Processing</t>
  </si>
  <si>
    <t>COMPUTATIONAL SCIENCE AND ITS APPLICATIONS - ICCSA 2019, PT I: 19TH INTERNATIONAL CONFERENCE, SAINT PETERSBURG, RUSSIA, JULY 1-4, 2019, PROCEEDINGS, PT I</t>
  </si>
  <si>
    <t>19th International Conference on Computational Science and Its Applications (ICCSA)</t>
  </si>
  <si>
    <t>JUL 01-04, 2019</t>
  </si>
  <si>
    <t>St Petersburg Univ,Univ Perugia,Univ Basilicata,Monash Univ,Kyushu Sangyo Univ,Univ Minho,Springer Nat Switzerland AG</t>
  </si>
  <si>
    <t>Meltsov, Vasily Yurevich/P-7511-2017; Tianxing, Man/HIR-6793-2022; Shichkina, Yulia/K-6530-2017</t>
  </si>
  <si>
    <t>Meltsov, Vasily Yurevich/0000-0001-5479-9979; Zhukova, Nataly/0000-0001-5877-4461; Man, Tianxing/0000-0003-2187-1641; Shichkina, Yulia/0000-0001-7140-1686</t>
  </si>
  <si>
    <t>978-3-030-24289-3</t>
  </si>
  <si>
    <t>10.1007/978-3-030-24289-3_20</t>
  </si>
  <si>
    <t>WOS:000661318700020</t>
  </si>
  <si>
    <t>Man, TX; Zhukova, N; Than, N; Nechaev, A; Lebedev, S</t>
  </si>
  <si>
    <t>Gusikhin, O; Madani, K; Zaytoon, J</t>
  </si>
  <si>
    <t>Man Tianxing; Zhukova, Nataly; Nguyen Than; Nechaev, Alexander; Lebedev, Sergey</t>
  </si>
  <si>
    <t>A Multi-layer Ontology for Data Processing Techniques</t>
  </si>
  <si>
    <t>ICINCO: PROCEEDINGS OF THE 16TH INTERNATIONAL CONFERENCE ON INFORMATICS IN CONTROL, AUTOMATION AND ROBOTICS, VOL 1</t>
  </si>
  <si>
    <t>16th International Conference on Informatics in Control, Automation and Robotics (ICINCO)</t>
  </si>
  <si>
    <t>JUL 29-31, 2019</t>
  </si>
  <si>
    <t>Lebedev, Sergey/AAF-1617-2019; Nechaev, Alexander/ABE-9128-2021; Tianxing, Man/HIR-6793-2022</t>
  </si>
  <si>
    <t>Nechaev, Alexander/0000-0002-0464-9961; Ngocthan, Nguyen/0000-0002-6679-7839; Man, Tianxing/0000-0003-2187-1641; Lebedev, Sergey/0000-0002-0045-6310; Zhukova, Nataly/0000-0001-5877-4461</t>
  </si>
  <si>
    <t>978-989-758-380-3</t>
  </si>
  <si>
    <t>10.5220/0007839606480655</t>
  </si>
  <si>
    <t>WOS:000571063100076</t>
  </si>
  <si>
    <t>Gulevich, AA; Baranova, EN; Shirokikh, IG; Shirokikh, AA</t>
  </si>
  <si>
    <t>Gulevich, A. A.; Baranova, E. N.; Shirokikh, I. G.; Shirokikh, A. A.</t>
  </si>
  <si>
    <t>Genetic engineering in solving unsolvable problems of soil remediation</t>
  </si>
  <si>
    <t>Shirikikh, Alexandr A.A.S./W-7606-2018; Shirokikh, Irina G/V-3449-2017; Baranova, Ekaterina N/T-5461-2017; Shirokikh, Alexandr/U-8080-2019</t>
  </si>
  <si>
    <t>Shirokikh, Irina G/0000-0002-3319-2729; Shirokikh, Alexandr/0000-0002-7808-0376; Baranova, Ekaterina/0000-0001-8169-9228</t>
  </si>
  <si>
    <t>10.25750/1995-4301-2018-2-005-015</t>
  </si>
  <si>
    <t>WOS:000468564500001</t>
  </si>
  <si>
    <t>Lesnichyova, A; Belyakov, S; Stroeva, A; Petrova, S; Kaichev, V; Kuzmin, A</t>
  </si>
  <si>
    <t>Lesnichyova, Alyona; Belyakov, Semyon; Stroeva, Anna; Petrova, Sofia; Kaichev, Vasiliy; Kuzmin, Anton</t>
  </si>
  <si>
    <t>Densification and Proton Conductivity of La1-xBaxScO3-delta Electrolyte Membranes</t>
  </si>
  <si>
    <t>MEMBRANES</t>
  </si>
  <si>
    <t>Kuzmin, Anton/0000-0002-0700-662X; Lesnichyova, Alyona/0000-0003-1885-0137</t>
  </si>
  <si>
    <t>2077-0375</t>
  </si>
  <si>
    <t>10.3390/membranes12111084</t>
  </si>
  <si>
    <t>WOS:000884345100001</t>
  </si>
  <si>
    <t>Nikitin, OV; Latypova, VZ; Ashikhmina, TY; Kuzmin, RS; Nasyrova, EI; Haripov, II</t>
  </si>
  <si>
    <t>Nikitin, O., V; Latypova, V. Z.; Ashikhmina, T. Ya; Kuzmin, R. S.; Nasyrova, E., I; Haripov, I. I.</t>
  </si>
  <si>
    <t>Microscopic particles of synthetic polymers in freshwater ecosystems: review and the current state of the problem</t>
  </si>
  <si>
    <t>Nikitin, Oleg/L-9783-2013; Ashikhmina, Tamara/O-1326-2015</t>
  </si>
  <si>
    <t>Nikitin, Oleg/0000-0002-6753-0597; Ashikhmina, Tamara/0000-0003-4919-0047</t>
  </si>
  <si>
    <t>10.25750/1995-4301-2020-4-216-222</t>
  </si>
  <si>
    <t>WOS:000597810500033</t>
  </si>
  <si>
    <t>Krainova, DA; Saetova, NS; Polyakova, IG; Farlenkov, AS; Zamyatin, DA; Kuzmin, AV</t>
  </si>
  <si>
    <t>Krainova, D. A.; Saetova, N. S.; Polyakova, I. G.; Farlenkov, A. S.; Zamyatin, D. A.; Kuzmin, A., V</t>
  </si>
  <si>
    <t>Behaviour of 54.4SiO(2)-13.7Na(2)O-1.7K(2)O-5.0CaO-12.4MgO-0.6Y(2)O(3)-11.3Al(2)O(3)-0.9B(2)O(3) HT-SOFC glass sealant under oxidising and reducing atmospheres</t>
  </si>
  <si>
    <t>CERAMICS INTERNATIONAL</t>
  </si>
  <si>
    <t>Kuzmin, Anton/O-4057-2014; Farlenkov, Andrei/C-5426-2014</t>
  </si>
  <si>
    <t>Kuzmin, Anton/0000-0002-0700-662X; Farlenkov, Andrei/0000-0001-5507-7783</t>
  </si>
  <si>
    <t>0272-8842</t>
  </si>
  <si>
    <t>1873-3956</t>
  </si>
  <si>
    <t>MAR 1</t>
  </si>
  <si>
    <t>10.1016/j.ceramint.2021.11.151</t>
  </si>
  <si>
    <t>WOS:000752874700003</t>
  </si>
  <si>
    <t>Yastrebova, AI; Stakhov, AI; Redkous, VM; Gubin, AN; Suchkova, TY</t>
  </si>
  <si>
    <t>Yastrebova, Anna I.; Stakhov, Alexander I.; Redkous, Vladimir M.; Gubin, Aleksej N.; Suchkova, Tatyana Y.</t>
  </si>
  <si>
    <t>STATE AND NON-STATE ACTORS ENSURING CONSTITUTIONAL ORDER AND PUBLIC SECURITY: PROBLEMS OF LEGAL REGULATION OF INTERACTION</t>
  </si>
  <si>
    <t>Yastrebova, Anna/ABI-1993-2020</t>
  </si>
  <si>
    <t>WOS:000539097400020</t>
  </si>
  <si>
    <t>Terentyev, YN; Syrchina, NV; Ashikhmina, TY; Pilip, LV</t>
  </si>
  <si>
    <t>Terentyev, Yu N.; Syrchina, N., V; Ashikhmina, T. Ya; Pilip, L., V</t>
  </si>
  <si>
    <t>Reducing the emission of odorous substances in industrial pig breeding enterprises</t>
  </si>
  <si>
    <t>10.25750/1995-4301-2019-2-113-120</t>
  </si>
  <si>
    <t>WOS:000477826000014</t>
  </si>
  <si>
    <t>Fokina, AI; Lyalina, EI; Trefilova, LV; Ashikhmina, TY</t>
  </si>
  <si>
    <t>Fokina, A., I; Lyalina, E., I; Trefilova, L., V; Ashikhmina, T. Ya</t>
  </si>
  <si>
    <t>The response of soil cyanobacteria Nostoc paludosum to the effect of copper(II) sulfate in the presence of the restored glutathione</t>
  </si>
  <si>
    <t>Fuks, Sofja/AAB-4769-2019; Трефилова, Людмила/AAU-7613-2021; Ashikhmina, Tamara/O-1326-2015</t>
  </si>
  <si>
    <t>Fuks, Sofja/0000-0002-9238-2944; Трефилова, Людмила/0000-0002-9932-5803; Ashikhmina, Tamara/0000-0003-4919-0047</t>
  </si>
  <si>
    <t>10.25750/1995-4301-2019-3-101-108</t>
  </si>
  <si>
    <t>WOS:000490704900014</t>
  </si>
  <si>
    <t>Nazarova, YI; Shirokikh, IG; Bakulina, AV; Baranova, EN; Ashikhmina, TY</t>
  </si>
  <si>
    <t>Nazarova, Ya, I; Shirokikh, I. G.; Bakulina, A., V; Baranova, E. N.; Ashikhmina, T. Ya</t>
  </si>
  <si>
    <t>Identification of two strains of streptomycetes from the rhizosphere and in vitro study of their colonizing activity</t>
  </si>
  <si>
    <t>Bakulina, Anna/AAH-3534-2019; Shirokikh, Irina G/V-3449-2017; Ashikhmina, Tamara/O-1326-2015; Nazarova, Yanina/AAH-5190-2019; Baranova, Ekaterina N/T-5461-2017</t>
  </si>
  <si>
    <t>Bakulina, Anna/0000-0002-5171-2476; Shirokikh, Irina G/0000-0002-3319-2729; Ashikhmina, Tamara/0000-0003-4919-0047; Nazarova, Yanina/0000-0002-2945-5282; Baranova, Ekaterina/0000-0001-9832-3948</t>
  </si>
  <si>
    <t>10.25750/1995-4301-2019-3-072-079</t>
  </si>
  <si>
    <t>WOS:000490704900010</t>
  </si>
  <si>
    <t>Domracheva, LI; Shirokikh, IG; Tovstik, EV; Skugoreva, SG; Reznik, EN</t>
  </si>
  <si>
    <t>Domracheva, L., I; Shirokikh, I. G.; Tovstik, E., V; Skugoreva, S. G.; Reznik, E. N.</t>
  </si>
  <si>
    <t>Formation and assessment of the phytoregulatory potential of multispecies biofilms based on Fischerella muscicola</t>
  </si>
  <si>
    <t>Skugoreva, Svetlana/X-6225-2019; Tovstik, Evgeniya/P-1350-2017; Shirokikh, Irina G/V-3449-2017</t>
  </si>
  <si>
    <t>Skugoreva, Svetlana/0000-0002-5902-5187; Tovstik, Evgeniya/0000-0003-1861-6076; Shirokikh, Irina G/0000-0002-3319-2729</t>
  </si>
  <si>
    <t>10.25750/1995-4301-2018-2-117-124</t>
  </si>
  <si>
    <t>WOS:000468564500016</t>
  </si>
  <si>
    <t>Single-Cell Force Spectroscopy of Interaction of Lipopolysaccharide from Yersinia pseudotuberculosis and Yersinia pestis with J774 Macrophage Using Optical Tweezers</t>
  </si>
  <si>
    <t>BIOLOGICHESKIE MEMBRANY</t>
  </si>
  <si>
    <t>0233-4755</t>
  </si>
  <si>
    <t>10.7868/S0233475518020032</t>
  </si>
  <si>
    <t>WOS:000434479000003</t>
  </si>
  <si>
    <t>Potekhina, EV; Konovalova, EE; Kodolov, VA; Shelygov, AV; Sharonin, PN</t>
  </si>
  <si>
    <t>Potekhina, Elena Vitalievna; Konovalova, Elena Evgenievna; Kodolov, Vladimir Aleksandrovich; Shelygov, Aleksandr Vladimirovich; Sharonin, Pavel Nikolaevich</t>
  </si>
  <si>
    <t>IMPROVEMENT OF APPROACHES TO THE REGULATION OF THE INTERNATIONAL SERVICES MARKET</t>
  </si>
  <si>
    <t>Potekhina, Elena/AAK-1401-2021; Shelygov, Aleksandr/N-7139-2015; Sharonin, Pavel/M-8768-2015</t>
  </si>
  <si>
    <t>Shelygov, Aleksandr/0000-0003-1082-628X; Sharonin, Pavel/0000-0002-6346-4465</t>
  </si>
  <si>
    <t>APR-JUL</t>
  </si>
  <si>
    <t>10.31407/ijees12.345</t>
  </si>
  <si>
    <t>WOS:000828158500045</t>
  </si>
  <si>
    <t>Cherkasov, KV; Lapina, EB</t>
  </si>
  <si>
    <t>Cherkasov, Konstantin V.; Lapina, Ekaterina B.</t>
  </si>
  <si>
    <t>Federal State Quality Control of Education in Modern Russia: Some Aspects of Legal Uncertainty</t>
  </si>
  <si>
    <t>Cherkasov, Konstantin/G-3785-2016</t>
  </si>
  <si>
    <t>10.17223/15617793/441/31</t>
  </si>
  <si>
    <t>WOS:000468214400031</t>
  </si>
  <si>
    <t>Pestov, SV; Philippov, DA</t>
  </si>
  <si>
    <t>Pestov, S., V; Philippov, D. A.</t>
  </si>
  <si>
    <t>Structure of the plant-inhabiting insect fauna in a middle-taiga mire (Vologda Region, Russia)</t>
  </si>
  <si>
    <t>Philippov, Dmitriy A./Q-5463-2016; Pestov, Sergey V./N-2018-2013</t>
  </si>
  <si>
    <t>Philippov, Dmitriy A./0000-0003-3075-1959; Pestov, Sergey V./0000-0003-4919-0047</t>
  </si>
  <si>
    <t>10.25750/1995-4301-2021-2-215-221</t>
  </si>
  <si>
    <t>WOS:000667025400031</t>
  </si>
  <si>
    <t>Logvinova, DS; Markov, DI; Nikolaeva, OP; Sluchanko, NN; Ushakov, DS; Levitsky, DI</t>
  </si>
  <si>
    <t>Logvinova, Daria S.; Markov, Denis I.; Nikolaeva, Olga P.; Sluchanko, Nikolai N.; Ushakov, Dmitry S.; Levitsky, Dmitrii I.</t>
  </si>
  <si>
    <t>Does Interaction between the Motor and Regulatory Domains of the Myosin Head Occur during ATPase Cycle? Evidence from Thermal Unfolding Studies on Myosin Subfragment 1</t>
  </si>
  <si>
    <t>PLOS ONE</t>
  </si>
  <si>
    <t>Ushakov, Dmitry/AAF-7914-2020; Sluchanko, Nikolai/R-4110-2016</t>
  </si>
  <si>
    <t>Ushakov, Dmitry/0000-0001-7109-4217; Sluchanko, Nikolai/0000-0002-8608-1416</t>
  </si>
  <si>
    <t>1932-6203</t>
  </si>
  <si>
    <t>SEP 10</t>
  </si>
  <si>
    <t>e0137517</t>
  </si>
  <si>
    <t>10.1371/journal.pone.0137517</t>
  </si>
  <si>
    <t>WOS:000360965800053</t>
  </si>
  <si>
    <t>Krutikhina, MV; Vlasova, VK; Galushkin, AA; Pavlushin, AA</t>
  </si>
  <si>
    <t>Krutikhina, Marina V.; Vlasova, Vera K.; Galushkin, Alexander A.; Pavlushin, Andrey A.</t>
  </si>
  <si>
    <t>Teaching of Mathematical Modeling Elements in the Mathematics Course of the Secondary School</t>
  </si>
  <si>
    <t>Pavlushin, Andrej Aleksandrovich/O-6051-2017; Galushkin, Alexander A./J-7724-2013; Vlasova, Vera K./B-8514-2016</t>
  </si>
  <si>
    <t>Pavlushin, Andrej Aleksandrovich/0000-0002-7678-2876; Galushkin, Alexander A./0000-0003-0034-2871; Vlasova, Vera K./0000-0001-7214-5143</t>
  </si>
  <si>
    <t>10.29333/ejmste/83561</t>
  </si>
  <si>
    <t>WOS:000429004200016</t>
  </si>
  <si>
    <t>Shibaeva, NA; Zarudneva, AI; Sozinova, AA; Shuvaev, AV; Alekseev, AN</t>
  </si>
  <si>
    <t>Gashenko, IV; Zima, YS; Davidyan, AV</t>
  </si>
  <si>
    <t>Shibaeva, Natalya A.; Zarudneva, Anna I.; Sozinova, Anastasia A.; Shuvaev, Alexander V.; Alekseev, Alexander N.</t>
  </si>
  <si>
    <t>Restructuring of Tax Liabilities as an Upcoming Trend of Economic Diversification in Modern Russia</t>
  </si>
  <si>
    <t>OPTIMIZATION OF THE TAXATION SYSTEM: PRECONDITIONS, TENDENCIES, AND PERSPECTIVES</t>
  </si>
  <si>
    <t>Studies in Systems Decision and Control</t>
  </si>
  <si>
    <t>Alekseev, Alexander N./H-9193-2018; Sozinova, Anastasia/F-6298-2015; Shuvaev, Alexander Vasilyevich/V-3232-2017</t>
  </si>
  <si>
    <t xml:space="preserve">Alekseev, Alexander N./0000-0001-7925-975X; Sozinova, Anastasia/0000-0001-5876-2823; </t>
  </si>
  <si>
    <t>978-3-030-01514-5; 978-3-030-01513-8</t>
  </si>
  <si>
    <t>10.1007/978-3-030-01514-5_10</t>
  </si>
  <si>
    <t>10.1007/978-3-030-01514-5</t>
  </si>
  <si>
    <t>WOS:000475508000011</t>
  </si>
  <si>
    <t>Pugacheva, N; Kirillova, T; Kirillova, O; Luchinina, A; Korolyuk, I; Lunev, A</t>
  </si>
  <si>
    <t>Pugacheva, Natalya; Kirillova, Tatyana; Kirillova, Olga; Luchinina, Anastasia; Korolyuk, Irina; Lunev, Aleksandr</t>
  </si>
  <si>
    <t>Digital Paradigm in Educational Management: The Case of Construction Education Based on Emerging Technologies</t>
  </si>
  <si>
    <t>INTERNATIONAL JOURNAL OF EMERGING TECHNOLOGIES IN LEARNING</t>
  </si>
  <si>
    <t>Pugacheva, Natalya NP/B-7953-2017; Luchinina, Anastasia/AAB-8652-2021</t>
  </si>
  <si>
    <t>Pugacheva, Natalya NP/0000-0003-1768-0076; Luchinina, Anastasia/0000-0003-0022-957X</t>
  </si>
  <si>
    <t>1863-0383</t>
  </si>
  <si>
    <t>10.3991/ijet.v15i13.14663</t>
  </si>
  <si>
    <t>WOS:000549475600007</t>
  </si>
  <si>
    <t>Borisenkov, MF; Vetosheva, VI; Kuznetsova, YS; Khodyrev, GN; Shikhova, AV; Popov, SV; Pecherkina, AA; Dorogina, OI; Symaniuk, EE</t>
  </si>
  <si>
    <t>Borisenkov, Mikhail F.; Vetosheva, Valentina, I; Kuznetsova, Yekaterina S.; Khodyrev, Grigoriy N.; Shikhova, Asya, V; Popov, Sergey, V; Pecherkina, Anna A.; Dorogina, Olga, I; Symaniuk, Elvira E.</t>
  </si>
  <si>
    <t>Chronotype, social jetlag, and time perspective</t>
  </si>
  <si>
    <t>CHRONOBIOLOGY INTERNATIONAL</t>
  </si>
  <si>
    <t>Pecherkina, Anna A/Q-7376-2016; Borisenkov, Mikhail/H-7169-2019; Symanyuk, Elvira E/Q-8009-2016; Dorogina, Olga/AAS-5450-2020; Popov, Sergey V/F-7627-2016</t>
  </si>
  <si>
    <t>Pecherkina, Anna A/0000-0002-2261-2505; Borisenkov, Mikhail/0000-0002-4310-2010; Symanyuk, Elvira E/0000-0002-7591-7230; Popov, Sergey V/0000-0003-1763-8898; Dorogina, Olga/0000-0002-6860-8309; Khodyrev, Grigoriy/0000-0001-7827-5045; , Asya/0000-0003-2750-6389</t>
  </si>
  <si>
    <t>0742-0528</t>
  </si>
  <si>
    <t>1525-6073</t>
  </si>
  <si>
    <t>10.1080/07420528.2019.1683858</t>
  </si>
  <si>
    <t>WOS:000493027100001</t>
  </si>
  <si>
    <t>Ibragimov, AG; Gimaliev, VG; Khrisanova, EG; Aleksandrova, NS; Omarova, LB; Bakiev, AG</t>
  </si>
  <si>
    <t>Ibragimov, Artur G.; Gimaliev, Vagiz G.; Khrisanova, Elena G.; Aleksandrova, Natalia S.; Omarova, Leyla B.; Bakiev, Andrey G.</t>
  </si>
  <si>
    <t>Assessing the effectiveness of smartphones in education: A Meta-analysis of recent studies</t>
  </si>
  <si>
    <t>ONLINE JOURNAL OF COMMUNICATION AND MEDIA TECHNOLOGIES</t>
  </si>
  <si>
    <t>Chernonosova, Anna/AFF-1414-2022; Aleksandrova, Natalia/T-3001-2018</t>
  </si>
  <si>
    <t>Aleksandrova, Natalia/0000-0002-5364-9204</t>
  </si>
  <si>
    <t>1986-3497</t>
  </si>
  <si>
    <t>e202310</t>
  </si>
  <si>
    <t>10.30935/ojcmt/12877</t>
  </si>
  <si>
    <t>WOS:000925822400002</t>
  </si>
  <si>
    <t>Baranova, EN; Chaban, IA; Kononenko, NV; Shupletsova, ON; Shirokich, IG; Polyakov, VY</t>
  </si>
  <si>
    <t>Baranova, E. N.; Chaban, I. A.; Kononenko, N. V.; Shupletsova, O. N.; Shirokich, I. G.; Polyakov, V. Y.</t>
  </si>
  <si>
    <t>Morphological and Functional Characteristics of the Barley Calluses Tolerant to the Toxic Action of Aluminum</t>
  </si>
  <si>
    <t>Шуплецова, Ольга/AAB-5659-2020; Inna, Chaban/ABE-4287-2020; Kononenko, Neonila/ABD-5353-2020; Shirokikh, Irina G/V-3449-2017; Baranova, Ekaterina N/T-5461-2017</t>
  </si>
  <si>
    <t>Шуплецова, Ольга/0000-0003-4679-0717; Shirokikh, Irina G/0000-0002-3319-2729; Baranova, Ekaterina/0000-0001-8169-9228</t>
  </si>
  <si>
    <t>10.7868/S0233475515030032</t>
  </si>
  <si>
    <t>WOS:000360029300006</t>
  </si>
  <si>
    <t>Klepko, VV; Slisenko, VI; Sukhyy, KM; Nesin, SD; Kovalenko, VL; Serhiienko, YO; Sukha, IV</t>
  </si>
  <si>
    <t>Klepko, V. V.; Slisenko, V., I; Sukhyy, K. M.; Nesin, S. D.; Kovalenko, V. L.; Serhiienko, Y. O.; Sukha, I., V</t>
  </si>
  <si>
    <t>STRUCTURE, MORPHOLOGY, THERMAL AND CONDUCTIVITY PROPERTIES OF GEL ELECTROLYTE SYSTEM BASED ON POLYVINYL CHLORIDE AND LiClO4</t>
  </si>
  <si>
    <t>NUCLEAR PHYSICS AND ATOMIC ENERGY</t>
  </si>
  <si>
    <t>Kovalenko, Vadym/C-5386-2019</t>
  </si>
  <si>
    <t>Kovalenko, Vadym/0000-0002-8012-6732; Sukha, Irina/0000-0002-5579-2047; Klepko, Valeri/0000-0001-8089-8305</t>
  </si>
  <si>
    <t>1818-331X</t>
  </si>
  <si>
    <t>2074-0565</t>
  </si>
  <si>
    <t>10.15407/jnpae2018.01.043</t>
  </si>
  <si>
    <t>WOS:000461273700005</t>
  </si>
  <si>
    <t>EDUCATIONAL ACTIVITIES IN MODERN RUSSIA: LEGAL BARRIERS AND RESTRAINTS</t>
  </si>
  <si>
    <t>10.17223/15617793/431/30</t>
  </si>
  <si>
    <t>WOS:000441014600030</t>
  </si>
  <si>
    <t>Kholod, N; Sivogrivov, D; Latypov, O; Mayorov, S; Kuznitsyn, R; Kajava, AV; Shlyapnikov, M; Granovsky, I</t>
  </si>
  <si>
    <t>Kholod, Natalia; Sivogrivov, Dmitry; Latypov, Oleg; Mayorov, Sergey; Kuznitsyn, Rafail; Kajava, Andrey V.; Shlyapnikov, Mikhail; Granovsky, Igor</t>
  </si>
  <si>
    <t>Single substitution in bacteriophage T4 RNase H alters the ratio between its exo- and endonuclease activities</t>
  </si>
  <si>
    <t>MUTATION RESEARCH-FUNDAMENTAL AND MOLECULAR MECHANISMS OF MUTAGENESIS</t>
  </si>
  <si>
    <t>Mayorov, Sergey/B-5712-2014; Granovsky, Igor/GWQ-7549-2022; Kuznitsyn, Rafail/ABA-8059-2020; Kholod, Natalia S/B-5724-2014; Granovsky, Igor/B-5774-2014; Kajava, Andrey V/E-1107-2014</t>
  </si>
  <si>
    <t>Granovsky, Igor/0000-0003-1368-2146; Granovsky, Igor/0000-0003-1368-2146; Kajava, Andrey V/0000-0002-2342-6886</t>
  </si>
  <si>
    <t>0027-5107</t>
  </si>
  <si>
    <t>1873-135X</t>
  </si>
  <si>
    <t>10.1016/j.mrfmmm.2015.09.004</t>
  </si>
  <si>
    <t>WOS:000364160200006</t>
  </si>
  <si>
    <t>Terentyeva, IV; Kirillova, O; Kirillova, T; Pugacheva, N; Lunev, A; Chemerilova, I; Luchinina, A</t>
  </si>
  <si>
    <t>Terentyeva, Irina Vasilyevna; Kirillova, Olga; Kirillova, Tatyana; Pugacheva, Natalya; Lunev, Aleksandr; Chemerilova, Irina; Luchinina, Anastasia</t>
  </si>
  <si>
    <t>Arrangement of cooperation between labour market and regional vocational education system</t>
  </si>
  <si>
    <t>INTERNATIONAL JOURNAL OF EDUCATIONAL MANAGEMENT</t>
  </si>
  <si>
    <t>Luchinina, Anastasia/AAB-8652-2021; Лучинина, Анастасия/AAK-4606-2020; Pugacheva, Natalya NP/B-7953-2017; Kirillova, Tatiana/T-9247-2019; Terenteva, Irina/M-1925-2013; Lunev, Aleksander/E-2163-2017</t>
  </si>
  <si>
    <t>Luchinina, Anastasia/0000-0003-0022-957X; Pugacheva, Natalya NP/0000-0003-1768-0076; Terenteva, Irina/0000-0002-7072-6822; Kirillova, Tat'ana/0000-0001-8394-897X; Lunev, Aleksander/0000-0002-7316-3770</t>
  </si>
  <si>
    <t>0951-354X</t>
  </si>
  <si>
    <t>1758-6518</t>
  </si>
  <si>
    <t>10.1108/IJEM-10-2017-0296</t>
  </si>
  <si>
    <t>WOS:000442506100007</t>
  </si>
  <si>
    <t>Matvienko, VV; Faleeva, LV; Yudina, AM; Lopanova, AP; Uvarova, NN; Polunina, OS; Gafurova, PA</t>
  </si>
  <si>
    <t>Matvienko, Valentin V.; Faleeva, Liya, V; Yudina, Anna M.; Lopanova, Anastasia P.; Uvarova, Natalia N.; Polunina, Olga S.; Gafurova, Parizod A.</t>
  </si>
  <si>
    <t>INFORMATION SOCIETY: SOCIO-PSYCHOLOGICAL CHARACTERISTICS OF INTERNET RESOURCES ACTIVE USERS</t>
  </si>
  <si>
    <t>HUMANIDADES &amp; INOVACAO</t>
  </si>
  <si>
    <t>Faleeva, Liya/W-9420-2018; Polunina, Olga/ABH-9875-2020; Yudina, Anna M/AAU-7059-2021; Yudina, Anna/AAX-3276-2021</t>
  </si>
  <si>
    <t xml:space="preserve">Faleeva, Liya/0000-0001-9749-0533; Yudina, Anna M/0000-0001-5420-6643; </t>
  </si>
  <si>
    <t>2358-8322</t>
  </si>
  <si>
    <t>WOS:000629197300019</t>
  </si>
  <si>
    <t>Popkova, EG; Bogoviz, AV; Lobova, SV; Chililov, AM; Sozinova, AA; Sergi, BS</t>
  </si>
  <si>
    <t>Popkova, Elena G.; Bogoviz, Aleksei, V; Lobova, Svetlana, V; Chililov, Abdula M.; Sozinova, Anastasia A.; Sergi, Bruno S.</t>
  </si>
  <si>
    <t>Changing entrepreneurial attitudes for mitigating the global pandemic's social drama</t>
  </si>
  <si>
    <t>HUMANITIES &amp; SOCIAL SCIENCES COMMUNICATIONS</t>
  </si>
  <si>
    <t>Bogoviz, Aleksei/H-1867-2017; Popkova, Elena G/C-8484-2014; Lobova, Svetlana Vladislavlevna/H-6304-2014</t>
  </si>
  <si>
    <t>Bogoviz, Aleksei/0000-0002-6667-5284; Popkova, Elena G/0000-0003-2136-2767; Lobova, Svetlana Vladislavlevna/0000-0002-5784-1260; Sergi, Bruno Sergio/0000-0002-5050-5651</t>
  </si>
  <si>
    <t>2662-9992</t>
  </si>
  <si>
    <t>APR 21</t>
  </si>
  <si>
    <t>10.1057/s41599-022-01151-2</t>
  </si>
  <si>
    <t>WOS:000784659800003</t>
  </si>
  <si>
    <t>Borisenkov, MF; Popov, SV; Smirnov, VV; Gubin, DG; Petrov, IM; Vasilkova, TN; Solovieva, SV; Martinson, EA; Pecherkina, AA; Dorogina, OI; Symaniuk, EE</t>
  </si>
  <si>
    <t>Borisenkov, Mikhail F.; Popov, Sergey, V; Smirnov, Vasily V.; Gubin, Denis G.; Petrov, Ivan M.; Vasilkova, Tatyana N.; Solovieva, Svetlana, V; Martinson, Ekaterina A.; Pecherkina, Anna A.; Dorogina, Olga, I; Symaniuk, Elvira E.</t>
  </si>
  <si>
    <t>Association between food addiction and time perspective during COVID-19 isolation</t>
  </si>
  <si>
    <t>EATING AND WEIGHT DISORDERS-STUDIES ON ANOREXIA BULIMIA AND OBESITY</t>
  </si>
  <si>
    <t>Petrov, Ivan/D-7613-2015; Popov, Sergey V/F-7627-2016; Borisenkov, Mikhail/H-7169-2019; Pecherkina, Anna A/Q-7376-2016; Smirnov, Vasily V/M-4942-2016; Gubin, Denis/P-9425-2015</t>
  </si>
  <si>
    <t>Petrov, Ivan/0000-0001-7766-1745; Popov, Sergey V/0000-0003-1763-8898; Borisenkov, Mikhail/0000-0002-4310-2010; Pecherkina, Anna A/0000-0002-2261-2505; Smirnov, Vasily V/0000-0003-3704-988X; Gubin, Denis/0000-0003-2028-1033; Dorogina, Olga/0000-0002-6860-8309</t>
  </si>
  <si>
    <t>1124-4909</t>
  </si>
  <si>
    <t>1590-1262</t>
  </si>
  <si>
    <t>10.1007/s40519-021-01259-5</t>
  </si>
  <si>
    <t>WOS:000757328000001</t>
  </si>
  <si>
    <t>Galchenko, NA; Zharkova, AA; Beltyukova, OV; Spirina, EV; Pavlova, EV; Ilkevich, BV; Kidinov, AV</t>
  </si>
  <si>
    <t>Galchenko, Natalya A.; Zharkova, Alena A.; Beltyukova, Oksana, V; Spirina, Elena, V; Pavlova, Elena, V; Ilkevich, Boris, V; Kidinov, Alexey, V</t>
  </si>
  <si>
    <t>SOCIAL AND PSYCHOLOGICAL CARE TO OLDER URBAN RESIDENTS DURING THE CORONAVIRUS PANDEMIC</t>
  </si>
  <si>
    <t>INTERNATIONAL REVIEW</t>
  </si>
  <si>
    <t>Galchenko, Natalia/AAX-9171-2021; Kidinov, Alexey/AAF-3721-2019</t>
  </si>
  <si>
    <t>Galchenko, Natalia/0000-0003-1039-4616; Kidinov, Alexey/0000-0002-1826-208X</t>
  </si>
  <si>
    <t>2217-9739</t>
  </si>
  <si>
    <t>WOS:000653732600016</t>
  </si>
  <si>
    <t>Wang, ZY; Utemov, VV; Krivonozhkina, EG; Liu, G; Galushkin, AA</t>
  </si>
  <si>
    <t>Wang, Zeyu; Utemov, Vyacheslav V.; Krivonozhkina, Ekaterina G.; Liu, Gang; Galushkin, Alexander A.</t>
  </si>
  <si>
    <t>Pedagogical Readiness of Mathematics Teachers to Implement Innovative Forms of Educational Activities</t>
  </si>
  <si>
    <t>Galushkin, Alexander A./J-7724-2013; Utemov, Vyacheslav V/F-1651-2017; Krivonozhkina, Ekaterina/O-2791-2016</t>
  </si>
  <si>
    <t>Galushkin, Alexander A./0000-0003-0034-2871; Utemov, Vyacheslav V/0000-0001-8156-5916; Krivonozhkina, Ekaterina/0000-0001-5853-8274</t>
  </si>
  <si>
    <t>10.12973/ejmste/80613</t>
  </si>
  <si>
    <t>WOS:000423586100043</t>
  </si>
  <si>
    <t>Liu, Y; Cao, K; Karpova, S; Olkhov, A; Filatova, A; Zhulkina, A; Burkov, A; Fomin, SV; Rosa, DS; Iordanskii, AL</t>
  </si>
  <si>
    <t>Liu, Yong; Cao, Kuan; Karpova, Svetlana; Olkhov, Anatoliy; Filatova, Anna; Zhulkina, Anna; Burkov, Andrey; Fomin, Sergey, V; Rosa, Derval S.; Iordanskii, Alexey L.</t>
  </si>
  <si>
    <t>Comparative Characterization of Melt Electrospun Fibers and Films Based on PLA-PHB Blends: Diffusion, Drug Release, and Structural Features</t>
  </si>
  <si>
    <t>MACROMOLECULAR SYMPOSIA</t>
  </si>
  <si>
    <t>5th International Conference on Natural Polymers, Bio-Polymers, Bio-Materials, Their Composites, Nanocomposites, Blends, IPNs, Polyelectrolytes, and Gels - Macro to Nano Scales (ICNP)</t>
  </si>
  <si>
    <t>JUN 07-09, 2017</t>
  </si>
  <si>
    <t>Rio de Janeiro, BRAZIL</t>
  </si>
  <si>
    <t>Liu, Yong/ABG-6214-2020; Fomin, Sergey V./A-7869-2014; Liu, Yong/K-3601-2015; Burkov, Andrei/N-5302-2016; Burkov, Andrey/ABB-8219-2021; Rosa, Derval dos Santos/K-9153-2016</t>
  </si>
  <si>
    <t>Liu, Yong/0000-0001-5562-7757; Fomin, Sergey V./0000-0003-0393-5613; Liu, Yong/0000-0001-5562-7757; Burkov, Andrei/0000-0002-3627-1262; Rosa, Derval dos Santos/0000-0001-9470-0638; Iordanskii, Alexey/0000-0003-0771-0825</t>
  </si>
  <si>
    <t>1022-1360</t>
  </si>
  <si>
    <t>1521-3900</t>
  </si>
  <si>
    <t>UNSP 1800130</t>
  </si>
  <si>
    <t>10.1002/masy.201800130</t>
  </si>
  <si>
    <t>WOS:000447303600019</t>
  </si>
  <si>
    <t>Baranov, VV; Savinov, AM; Ashrafullina, GS; Makarov, AL; Korzhanova, AA; Dzhamalova, BB; Magomedrasulov, MN</t>
  </si>
  <si>
    <t>Baranov, Vladimir V.; Savinov, Andrey M.; Ashrafullina, Gulnaz Sh; Makarov, Alexandr L.; Korzhanova, Alla A.; Dzhamalova, Bika B.; Magomedrasulov, Magomedrasul N.</t>
  </si>
  <si>
    <t>Youth Leisure in Cultural Space of Modern City: State and Prospects of Development</t>
  </si>
  <si>
    <t>Savinov, Andrei/0000-0001-5158-9968; Asrafullina, Gul'naz/0000-0003-1309-3456</t>
  </si>
  <si>
    <t>e643</t>
  </si>
  <si>
    <t>10.20511/pyr2020.v8nSPE2.643</t>
  </si>
  <si>
    <t>WOS:000559769600002</t>
  </si>
  <si>
    <t>Associations among sleep-wake rhythm characteristics, time perspective and psycho-emotional state during COVID-19 isolation</t>
  </si>
  <si>
    <t>BIOLOGICAL RHYTHM RESEARCH</t>
  </si>
  <si>
    <t>Pecherkina, Anna A/Q-7376-2016; Popov, Sergey V/F-7627-2016; Gubin, Denis/P-9425-2015; Smirnov, Vasily V/M-4942-2016; Borisenkov, Mikhail/H-7169-2019; Petrov, Ivan/D-7613-2015; Dorogina, Olga/AAS-5450-2020</t>
  </si>
  <si>
    <t>Pecherkina, Anna A/0000-0002-2261-2505; Popov, Sergey V/0000-0003-1763-8898; Gubin, Denis/0000-0003-2028-1033; Smirnov, Vasily V/0000-0003-3704-988X; Borisenkov, Mikhail/0000-0002-4310-2010; Petrov, Ivan/0000-0001-7766-1745; Dorogina, Olga/0000-0002-6860-8309</t>
  </si>
  <si>
    <t>0929-1016</t>
  </si>
  <si>
    <t>1744-4179</t>
  </si>
  <si>
    <t>NOV 2</t>
  </si>
  <si>
    <t>10.1080/09291016.2022.2041289</t>
  </si>
  <si>
    <t>WOS:000755399600001</t>
  </si>
  <si>
    <t>Stolbov, DN; Smirnova, AI; Savilov, SV; Shilov, MA; Burkov, AA; Parfenov, AS; Usol'tseva, NV</t>
  </si>
  <si>
    <t>Stolbov, D. N.; Smirnova, A., I; Savilov, S., V; Shilov, M. A.; Burkov, A. A.; Parfenov, A. S.; Usol'tseva, N., V</t>
  </si>
  <si>
    <t>Influence of different types of carbon nanoflakes on tribological and rheological properties of plastic lubricants</t>
  </si>
  <si>
    <t>FULLERENES NANOTUBES AND CARBON NANOSTRUCTURES</t>
  </si>
  <si>
    <t>Parfenov, Alexander/A-8413-2019; Burkov, Andrey/ABB-8219-2021; Burkov, Andrei/N-5302-2016; Stolbov, Dmitrii/U-4262-2019; Stolbov, Dmitrii/AAD-2560-2022; Stolbov, Dmitrii/GVS-7607-2022; Shilov, Mikhail Aleksandrovich/D-9621-2017</t>
  </si>
  <si>
    <t>Parfenov, Alexander/0000-0002-5729-4121; Burkov, Andrei/0000-0002-3627-1262; Stolbov, Dmitrii/0000-0001-8682-2328; Stolbov, Dmitrii/0000-0001-8682-2328; Shilov, Mikhail Aleksandrovich/0000-0002-6445-3303; Savilov, Serguei/0000-0002-5827-3912</t>
  </si>
  <si>
    <t>1536-383X</t>
  </si>
  <si>
    <t>1536-4046</t>
  </si>
  <si>
    <t>JAN 2</t>
  </si>
  <si>
    <t>10.1080/1536383X.2021.1960315</t>
  </si>
  <si>
    <t>WOS:000684132500001</t>
  </si>
  <si>
    <t>Latkov, NY; Dzhatdoeva, DT; Tokhiriyon, B; Lapina, V; Poznyakovsky, VM; Dzhabrailov, YM; Sorokopudova, OA; Karanina, EV; Kotandzhyan, AV; Kalitskaya, VV</t>
  </si>
  <si>
    <t>Latkov, Nikolay Yurievich; Dzhatdoeva, Diana Tokhtarovna; Tokhiriyon, Boisjoni; Lapina, Valentina; Poznyakovsky, Valeriy Mikhailovich; Dzhabrailov, Yusup Mohambekovich; Sorokopudova, Olga Anatolyevna; Karanina, Elena Valeryevna; Kotandzhyan, Asya Valentinovna; Kalitskaya, Victoria Vyacheslavovna</t>
  </si>
  <si>
    <t>Nutrition for Increased Adaptive Capacity, Better Sports Performance and Improved Quality of Life</t>
  </si>
  <si>
    <t>APPLIED SCIENCES-BASEL</t>
  </si>
  <si>
    <t>Тохириён, Боисджони/AAB-7152-2021</t>
  </si>
  <si>
    <t>Тохириён, Боисджони/0000-0002-0321-0359</t>
  </si>
  <si>
    <t>2076-3417</t>
  </si>
  <si>
    <t>10.3390/app122412681</t>
  </si>
  <si>
    <t>WOS:000902084800001</t>
  </si>
  <si>
    <t>Popkova, EG; Tyurina, YG; Sozinova, AA; Bychkova, LV; Zemskova, OM; Serebryakova, MF; Lazareva, NV</t>
  </si>
  <si>
    <t>Popkova, Elena G.; Tyurina, Yulia G.; Sozinova, Anastasia A.; Bychkova, Larisa V.; Zemskova, Olga M.; Serebryakova, Maria F.; Lazareva, Natalia V.</t>
  </si>
  <si>
    <t>Clustering as a Growth Point of Modern Russian Business</t>
  </si>
  <si>
    <t>Oshhepkova, Elena/AAB-4045-2020; Tyurina, Yuliya G/Q-9676-2018; Tyurina, Yuliya/AAJ-7522-2020; Sozinova, Anastasia/F-6298-2015; Popkova, Elena G/C-8484-2014; Lazareva, Natalia Viatcheslavovna/Q-3080-2016; Lazareva, Natalia/AAB-4986-2020</t>
  </si>
  <si>
    <t xml:space="preserve">Tyurina, Yuliya G/0000-0002-5279-4901; Tyurina, Yuliya/0000-0002-5279-4901; Sozinova, Anastasia/0000-0001-5876-2823; Popkova, Elena G/0000-0003-2136-2767; Lazareva, Natalia Viatcheslavovna/0000-0002-5490-9936; </t>
  </si>
  <si>
    <t>10.1007/978-3-319-45462-7_7</t>
  </si>
  <si>
    <t>WOS:000406973000007</t>
  </si>
  <si>
    <t>Masalimova, AR; Erdyneeva, KG; Kryukova, NI; Khlusyanov, O; Chudnovskiy, AD; Dobrokhotov, DA</t>
  </si>
  <si>
    <t>Masalimova, Alfiya R.; Erdyneeva, Klavdiya G.; Kryukova, Nina I.; Khlusyanov, Oleg V.; Chudnovskiy, Alexey D.; Dobrokhotov, Denis A.</t>
  </si>
  <si>
    <t>Bibliometric analysis of augmented reality in education and social science</t>
  </si>
  <si>
    <t>Kryukova, Nina Ivanovna/GQP-5523-2022; Erdyneeva, Klavdiya/A-8689-2019; Masalimova, Alfiya/K-3840-2015</t>
  </si>
  <si>
    <t>Erdyneeva, Klavdiya/0000-0001-5547-1887; Masalimova, Alfiya/0000-0003-3711-2527</t>
  </si>
  <si>
    <t>e202316</t>
  </si>
  <si>
    <t>10.30935/ojcmt/13018</t>
  </si>
  <si>
    <t>WOS:000944253000003</t>
  </si>
  <si>
    <t>Polukhina, A; Sheresheva, M; Efremova, M; Suranova, O; Agalakova, O; Antonov-Ovseenko, A</t>
  </si>
  <si>
    <t>Polukhina, Anna; Sheresheva, Marina; Efremova, Marina; Suranova, Oxana; Agalakova, Oksana; Antonov-Ovseenko, Anton</t>
  </si>
  <si>
    <t>The Concept of Sustainable Rural Tourism Development in the Face of COVID-19 Crisis: Evidence from Russia</t>
  </si>
  <si>
    <t>JOURNAL OF RISK AND FINANCIAL MANAGEMENT</t>
  </si>
  <si>
    <t>Антонов-Овсеенко, Антон Антонович/AAV-1154-2020; Sheresheva, Marina/AAH-4719-2021; SURANOVA, OKSANA/HLG-1631-2023; Polukhina, Anna Nicolaevna/Q-1154-2016</t>
  </si>
  <si>
    <t xml:space="preserve">Sheresheva, Marina/0000-0002-8153-7111; SURANOVA, OKSANA/0000-0001-5902-6465; </t>
  </si>
  <si>
    <t>1911-8066</t>
  </si>
  <si>
    <t>1911-8074</t>
  </si>
  <si>
    <t>10.3390/jrfm14010038</t>
  </si>
  <si>
    <t>WOS:000610339500001</t>
  </si>
  <si>
    <t>Byvalov, AA; Konyshev, IV; Uversky, VN; Dentovskaya, SV; Anisimov, AP</t>
  </si>
  <si>
    <t>Byvalov, Andrey A.; Konyshev, Ilya V.; Uversky, Vladimir N.; Dentovskaya, Svetlana V.; Anisimov, Andrey P.</t>
  </si>
  <si>
    <t>Yersinia Outer Membrane Vesicles as Potential Vaccine Candidates in Protecting against Plague</t>
  </si>
  <si>
    <t>BIOMOLECULES</t>
  </si>
  <si>
    <t>Uversky, Vladimir N./F-4515-2011; Anisimov, Andrey P./H-5257-2012; Konyshev, Ilya V./A-9370-2019; Byvalov, Andrey A./Y-6825-2018; Dentovskaya, Svetlana/F-4623-2017</t>
  </si>
  <si>
    <t>Uversky, Vladimir N./0000-0002-4037-5857; Anisimov, Andrey P./0000-0002-5499-7999; Konyshev, Ilya V./0000-0001-6575-9630; Byvalov, Andrey A./0000-0003-1117-5896; Dentovskaya, Svetlana/0000-0002-1996-8949</t>
  </si>
  <si>
    <t>2218-273X</t>
  </si>
  <si>
    <t>10.3390/biom10121694</t>
  </si>
  <si>
    <t>WOS:000601745400001</t>
  </si>
  <si>
    <t>Rahman, R; Bin Othman, A; Yurkin, Y; Burkov, A; Shestakova, U; Bin Bakri, MK; Alfaifi, SY; Madkhali, O; Aljabri, MD; Rahman, MM</t>
  </si>
  <si>
    <t>Rahman, Rezaur; Bin Othman, Al-Khalid; Yurkin, Yuriy; Burkov, Andrey; Shestakova, Ulyana; Bin Bakri, Muhammad Khusairy; Alfaifi, Sulaiman Y.; Madkhali, O.; Aljabri, Mahmood D.; Rahman, Mohammed M.</t>
  </si>
  <si>
    <t>Rheological and Mechanical Study of Micro-Nano Sized Biocarbon-PLA Biodegradable Biocomposites</t>
  </si>
  <si>
    <t>BIORESOURCES</t>
  </si>
  <si>
    <t>1930-2126</t>
  </si>
  <si>
    <t>10.15376/biores.18.3.4492-4509</t>
  </si>
  <si>
    <t>WOS:000992191400015</t>
  </si>
  <si>
    <t>Marchenko, AA; Korzhanova, AA; Kamalieva, GA; Sharonov, IA; Lichutina, MG; Sharov, SS; Vashechkina, OV; Varenik, PK</t>
  </si>
  <si>
    <t>Marchenko, Alla A.; Korzhanova, Alla A.; Kamalieva, Galina A.; Sharonov, Ivan A.; Lichutina, Marina G.; Sharov, Sergey S.; Vashechkina, Olga V.; Varenik, Petr K.</t>
  </si>
  <si>
    <t>Sustainable Development Concept Implementation in Environmental Education</t>
  </si>
  <si>
    <t>EKOLOJI</t>
  </si>
  <si>
    <t>Alexandrovich, Sharonov Ivan/N-3655-2016</t>
  </si>
  <si>
    <t>Alexandrovich, Sharonov Ivan/0000-0001-9234-1299</t>
  </si>
  <si>
    <t>1300-1361</t>
  </si>
  <si>
    <t>UNSP e107076</t>
  </si>
  <si>
    <t>WOS:000461678300026</t>
  </si>
  <si>
    <t>Tavstukha, OG; Osiyanova, OM; Chelpachenko, TV; Yudina, AM; Ovchinnikov, OM; Illarionova, LP; Gereev, ZG; Aleksandrova, NS</t>
  </si>
  <si>
    <t>Tavstukha, Olga G.; Osiyanova, Olga M.; Chelpachenko, Tatiana, V; Yudina, Anna M.; Ovchinnikov, Oleg M.; Illarionova, Lyudmila P.; Gereev, Zelimkhan G.; Aleksandrova, Natalia S.</t>
  </si>
  <si>
    <t>Counter-Pandemic Vector of Remote Learning for University Students: Risks and Benefits of Educational Process Large-Scale Digitalization</t>
  </si>
  <si>
    <t>Yudina, Anna/AAX-3276-2021; Yudina, Anna M/AAU-7059-2021; Aleksandrova, Natalia/T-3001-2018</t>
  </si>
  <si>
    <t>Yudina, Anna M/0000-0001-5420-6643; Aleksandrova, Natalia/0000-0002-5364-9204; Tavstukha, Olga Grigorevna/0000-0003-1672-3871</t>
  </si>
  <si>
    <t>e1133</t>
  </si>
  <si>
    <t>10.20511/pyr2021.v9nSPE3.1133</t>
  </si>
  <si>
    <t>WOS:000631706900069</t>
  </si>
  <si>
    <t>Chistopolskaya, KA; Mitina, OV; Enikolopov, SN; Nikolaev, EL; Semikin, GI; Chubina, SA; Ozol, SN; Drovosekov, SE</t>
  </si>
  <si>
    <t>Chistopolskaya, K. A.; Mitina, O. V.; Enikolopov, S. N.; Nikolaev, E. L.; Semikin, G. I.; Chubina, S. A.; Ozol, S. N.; Drovosekov, S. E.</t>
  </si>
  <si>
    <t>ADAPTATION ON A RUSSIAN SAMPLE OF THE SHORT VERSION OF EXPERIENCE IN CLOSE RELATIONSHIPS-REVISED QUESTIONNAIRE</t>
  </si>
  <si>
    <t>Chistopolskaya, Ksenia A./F-4213-2014; Semikin, Gennady Ivanovich/T-9092-2017; Mitina, Olga/I-5194-2012; Nikolaev, Evgeni L./P-8907-2016; Drovosekov, Sergei/AAG-8704-2020</t>
  </si>
  <si>
    <t xml:space="preserve">Chistopolskaya, Ksenia A./0000-0003-2552-5009; Mitina, Olga/0000-0002-2237-4404; Nikolaev, Evgeni L./0000-0001-8976-715X; </t>
  </si>
  <si>
    <t>10.31857/S020595920000838-7</t>
  </si>
  <si>
    <t>WOS:000453484800009</t>
  </si>
  <si>
    <t>Borisenkov, MF; Popov, SV; Pecherkina, AA; Dorogina, OI; Martinson, EA; Vetosheva, VI; Gubin, DG; Solovieva, SV; Turovinina, EF; Symaniuk, EE</t>
  </si>
  <si>
    <t>Borisenkov, Mikhail F.; Popov, Sergey V.; Pecherkina, Anna A.; Dorogina, Olga I.; Martinson, Ekaterina A.; Vetosheva, Valentina I.; Gubin, Denis G.; Solovieva, Svetlana V.; Turovinina, Elena F.; Symaniuk, Elvira E.</t>
  </si>
  <si>
    <t>Food addiction in young adult residents of Russia: Associations with emotional and anthropometric characteristics</t>
  </si>
  <si>
    <t>EUROPEAN EATING DISORDERS REVIEW</t>
  </si>
  <si>
    <t>Borisenkov, Mikhail/H-7169-2019; Popov, Sergey/AAM-6438-2021; Pecherkina, Anna A/Q-7376-2016; Gubin, Denis/P-9425-2015; Popov, Sergey V/F-7627-2016; Symanyuk, Elvira E/Q-8009-2016</t>
  </si>
  <si>
    <t>Borisenkov, Mikhail/0000-0002-4310-2010; Popov, Sergey/0000-0003-1763-8898; Pecherkina, Anna A/0000-0002-2261-2505; Gubin, Denis/0000-0003-2028-1033; Popov, Sergey V/0000-0003-1763-8898; Symanyuk, Elvira E/0000-0002-7591-7230; Dorogina, Olga/0000-0002-6860-8309</t>
  </si>
  <si>
    <t>1072-4133</t>
  </si>
  <si>
    <t>1099-0968</t>
  </si>
  <si>
    <t>10.1002/erv.2731</t>
  </si>
  <si>
    <t>WOS:000541677300010</t>
  </si>
  <si>
    <t>Borisenkov, MF; Popov, SV; Tserne, TA; Bakutova, LA; Pecherkina, AA; Dorogina, OI; Martinson, EA; Vetosheva, VI; Gubin, DG; Solovieva, SV; Turovinina, EF; Symanyuk, EE</t>
  </si>
  <si>
    <t>Borisenkov, Mikhail F.; Popov, Sergey V.; Tserne, Tatyana A.; Bakutova, Larisa A.; Pecherkina, Anna A.; Dorogina, Olga I.; Martinson, Ekaterina A.; Vetosheva, Valentina I.; Gubin, Denis G.; Solovieva, Svetlana V.; Turovinina, Elena F.; Symanyuk, Elvira E.</t>
  </si>
  <si>
    <t>Food addiction and symptoms of depression among inhabitants of the European North of Russia: Associations with sleep characteristics and photoperiod</t>
  </si>
  <si>
    <t>Popov, Sergey V/F-7627-2016; Popov, Sergey/AAM-6438-2021; Dorogina, Olga/AAS-5450-2020; Symanyuk, Elvira E/Q-8009-2016; Gubin, Denis/P-9425-2015; Pecherkina, Anna A/Q-7376-2016; Borisenkov, Mikhail/H-7169-2019</t>
  </si>
  <si>
    <t>Popov, Sergey V/0000-0003-1763-8898; Popov, Sergey/0000-0003-1763-8898; Symanyuk, Elvira E/0000-0002-7591-7230; Gubin, Denis/0000-0003-2028-1033; Pecherkina, Anna A/0000-0002-2261-2505; Borisenkov, Mikhail/0000-0002-4310-2010; Dorogina, Olga/0000-0002-6860-8309</t>
  </si>
  <si>
    <t>10.1002/erv.2728</t>
  </si>
  <si>
    <t>WOS:000529065200009</t>
  </si>
  <si>
    <t>Sergi, BS; Popkova, EG; Sozinova, AA; Fetisova, OV</t>
  </si>
  <si>
    <t>Sergi, BS</t>
  </si>
  <si>
    <t>Sergi, Bruno S.; Popkova, Elena G.; Sozinova, Anastasia A.; Fetisova, Olga V.</t>
  </si>
  <si>
    <t>Modeling Russian Industrial, Tech, and Financial Cooperation with the Asia-Pacific Region</t>
  </si>
  <si>
    <t>TECH, SMART CITIES, AND REGIONAL DEVELOPMENT IN CONTEMPORARY RUSSIA</t>
  </si>
  <si>
    <t>Popkova, Elena G/C-8484-2014; Sergi, Bruno/AAT-7504-2020; Sozinova, Anastasia/F-6298-2015</t>
  </si>
  <si>
    <t>Popkova, Elena G/0000-0003-2136-2767; Sergi, Bruno/0000-0002-5050-5651; Sozinova, Anastasia/0000-0001-5876-2823</t>
  </si>
  <si>
    <t>978-1-78973-881-0; 978-1-78973-882-7</t>
  </si>
  <si>
    <t>10.1108/978-1-78973-881-020191012</t>
  </si>
  <si>
    <t>10.1108/9781789738810</t>
  </si>
  <si>
    <t>WOS:000487529300011</t>
  </si>
  <si>
    <t>Borisenkov, MF; Tserne, TA; Popov, SV; Bakutova, LA; Pecherkina, AA; Dorogina, OI; Martinson, EA; Vetosheva, VI; Gubin, DG; Solovieva, SV; Turovinina, EF; Symaniuk, EE</t>
  </si>
  <si>
    <t>Borisenkov, Mikhail F.; Tserne, Tatyana A.; Popov, Sergey V.; Bakutova, Larisa A.; Pecherkina, Anna A.; Dorogina, Olga I.; Martinson, Ekaterina A.; Vetosheva, Valentina I.; Gubin, Denis G.; Solovieva, Svetlana V.; Turovinina, Elena F.; Symaniuk, Elvira E.</t>
  </si>
  <si>
    <t>Food preferences and YFAS/YFAS-C scores in schoolchildren and university students</t>
  </si>
  <si>
    <t>Gubin, Denis/P-9425-2015; Pecherkina, Anna A/Q-7376-2016; Popov, Sergey/AAM-6438-2021; Symanyuk, Elvira E/Q-8009-2016; Borisenkov, Mikhail/H-7169-2019; Popov, Sergey V/F-7627-2016</t>
  </si>
  <si>
    <t>Gubin, Denis/0000-0003-2028-1033; Pecherkina, Anna A/0000-0002-2261-2505; Popov, Sergey/0000-0003-1763-8898; Symanyuk, Elvira E/0000-0002-7591-7230; Borisenkov, Mikhail/0000-0002-4310-2010; Popov, Sergey V/0000-0003-1763-8898; Dorogina, Olga/0000-0002-6860-8309</t>
  </si>
  <si>
    <t>10.1007/s40519-020-01064-6</t>
  </si>
  <si>
    <t>JAN 2021</t>
  </si>
  <si>
    <t>WOS:000604484700009</t>
  </si>
  <si>
    <t>Parfenov, AS; Shilov, MA; Smirnova, AI; Berezina, EV; Tkachev, AG; Burkov, AA; Rozhkova, NN; Usol'tseva, NV</t>
  </si>
  <si>
    <t>Parfenov, A. S.; Shilov, M. A.; Smirnova, A., I; Berezina, E., V; Tkachev, A. G.; Burkov, A. A.; Rozhkova, N. N.; Usol'tseva, N., V</t>
  </si>
  <si>
    <t>Influence of Various Carbon Allotropes on Tribological and Rheological Characteristics of Model Lubricating Systems</t>
  </si>
  <si>
    <t>JOURNAL OF FRICTION AND WEAR</t>
  </si>
  <si>
    <t>Parfenov, Alexander/A-8413-2019; Tkachev, Alexey G./HHZ-6215-2022; Shilov, Mikhail Aleksandrovich/D-9621-2017</t>
  </si>
  <si>
    <t>Parfenov, Alexander/0000-0002-5729-4121; Tkachev, Alexey G./0000-0002-1095-7311; Shilov, Mikhail Aleksandrovich/0000-0002-6445-3303; Burkov, Andrey/0000-0002-3627-1262</t>
  </si>
  <si>
    <t>1068-3666</t>
  </si>
  <si>
    <t>1934-9386</t>
  </si>
  <si>
    <t>10.3103/S1068366621030132</t>
  </si>
  <si>
    <t>WOS:000712575600013</t>
  </si>
  <si>
    <t>Novikova, GP; Levanova, EA; Zatsepina, MB; Fabrikov, MS; Gubanova, NF; Erastov, AE; Aleksandrova, NS; Pankova, AS</t>
  </si>
  <si>
    <t>Novikova, Galina P.; Levanova, Elena A.; Zatsepina, Mariya B.; Fabrikov, Maxim S.; Gubanova, Natalya F.; Erastov, Anton E.; Aleksandrova, Natalia S.; Pankova, Anastasia S.</t>
  </si>
  <si>
    <t>Educational Cluster As A Mean Of Students Cultural Cooperation Forming</t>
  </si>
  <si>
    <t>Aleksandrova, Natalia/T-3001-2018</t>
  </si>
  <si>
    <t>WOS:000432679600026</t>
  </si>
  <si>
    <t>Pleshkova, N; Tokhiriyon, B; Vekovtsev, A; Poznyakovsky, VM; Lapina, V; Takaeva, MA; Sorokopudov, VN; Karanina, EV</t>
  </si>
  <si>
    <t>Pleshkova, Natalia; Tokhiriyon, Boisjoni; Vekovtsev, Andrei; Poznyakovsky, Valeriy Mikhailovich; Lapina, Valentina; Takaeva, Madina Atlaevna; Sorokopudov, Vladimir Nikolaevich; Karanina, Elena Valeryevna</t>
  </si>
  <si>
    <t>Efficacy of Biologically Active Food Supplements for People with Atherosclerotic Vascular Changes</t>
  </si>
  <si>
    <t>MOLECULES</t>
  </si>
  <si>
    <t>Lapina, Valentina/HHZ-5630-2022; Тохириён, Боисджони/AAB-7152-2021</t>
  </si>
  <si>
    <t>1420-3049</t>
  </si>
  <si>
    <t>10.3390/molecules27154812</t>
  </si>
  <si>
    <t>WOS:000839796000001</t>
  </si>
  <si>
    <t>Leont'ev, VK; Pogorel'skii, IP; Frolov, GA; Karasenkov, YN; Gusev, AA; Latuta, NV; Borozdkin, LL; Stefantsova, DS</t>
  </si>
  <si>
    <t>Leont'ev, V. K.; Pogorel'skii, I. P.; Frolov, G. A.; Karasenkov, Ya. N.; Gusev, A. A.; Latuta, N. V.; Borozdkin, L. L.; Stefantsova, D. S.</t>
  </si>
  <si>
    <t>Antibacterial Properties of Aqueous Colloid Solutions of Metal and Metal Oxide Nanoparticles against Dental Plaque Bacteria</t>
  </si>
  <si>
    <t>NANOTECHNOLOGIES IN RUSSIA</t>
  </si>
  <si>
    <t>Latuta, Nadezhda/GRO-7172-2022; Gusev, Alexander A./E-5028-2014; Gusev, Alexander/AAE-4989-2019; Latuta, Nadezhda/AAN-3816-2021; Straumal, Boris/I-7531-2013</t>
  </si>
  <si>
    <t>Gusev, Alexander A./0000-0002-8699-9112; Latuta, Nadezhda/0000-0002-6754-0314; Straumal, Boris/0000-0001-5601-0660; Borozdkin, Leonid/0000-0002-6403-2621</t>
  </si>
  <si>
    <t>1995-0780</t>
  </si>
  <si>
    <t>1995-0799</t>
  </si>
  <si>
    <t>10.1134/S1995078018020040</t>
  </si>
  <si>
    <t>WOS:000446030400015</t>
  </si>
  <si>
    <t>Vorotnikov, VA; Belyakov, SA; Plekhanov, MS; Stroeva, AY; Lesnichyova, AS; Zhigalina, OM; Khmelenin, DN; Basu, VG; Kuzmin, AV</t>
  </si>
  <si>
    <t>Vorotnikov, V. A.; Belyakov, S. A.; Plekhanov, M. S.; Stroeva, A. Yu; Lesnichyova, A. S.; Zhigalina, O. M.; Khmelenin, D. N.; Basu, V. G.; Kuzmin, A. V.</t>
  </si>
  <si>
    <t>Proton transfer in La2-xCaxZr2O7-delta pyrochlores: Reasons for limited water uptake and high grain boundary conductivity</t>
  </si>
  <si>
    <t>Belyakov, Semyon/L-5930-2017; Plekhanov, Maksim/X-2719-2018; Kuzmin, Anton/O-4057-2014</t>
  </si>
  <si>
    <t>Plekhanov, Maksim/0000-0002-2701-4619; Kuzmin, Anton/0000-0002-0700-662X; Lesnichyova, Alyona/0000-0003-1885-0137; Belyakov, Semyon/0000-0001-9237-8307</t>
  </si>
  <si>
    <t>A</t>
  </si>
  <si>
    <t>10.1016/j.ceramint.2022.08.115</t>
  </si>
  <si>
    <t>WOS:000894019500001</t>
  </si>
  <si>
    <t>Matin, P; Rahman, MR; Huda, D; Bin Bakri, MK; Uddin, J; Yurkin, Y; Burkov, A; Kuok, KK; Matin, MM</t>
  </si>
  <si>
    <t>Matin, Priyanka; Rahman, Md Rezaur; Huda, Durul; Bin Bakri, Muhammad Khusairy; Uddin, Jamal; Yurkin, Yuriy; Burkov, Andrey; Kuok, Kuok King; Matin, Mohammed Mahbubul</t>
  </si>
  <si>
    <t>Application of Synthetic Acyl Glucopyranosides for White-rot and Brown-rot Fungal Decay Resistance in Aspen and Pine Wood</t>
  </si>
  <si>
    <t>Bakri, Muhammad Khusairy Bin/C-3651-2018; Matin, Mohammed Mahbubul/ABA-2124-2020</t>
  </si>
  <si>
    <t>Bakri, Muhammad Khusairy Bin/0000-0003-1971-2350; Matin, Mohammed Mahbubul/0000-0003-4965-2280</t>
  </si>
  <si>
    <t>10.15376/biores.17.2.3025-3041</t>
  </si>
  <si>
    <t>WOS:000795947000024</t>
  </si>
  <si>
    <t>Beregovaya, EB; Kozin, MN; Larionova, SO; Suvorova, TN; Blinova, LN; Lukovenko, TG; Popova, OV; Novitskaya, LY</t>
  </si>
  <si>
    <t>Beregovaya, Elena B.; Kozin, Mikhail N.; Larionova, Svetlana O.; Suvorova, Tatyana N.; Blinova, Lyubov N.; Lukovenko, Tatyana G.; Popova, Olga V.; Novitskaya, Lyudmila Yu.</t>
  </si>
  <si>
    <t>Modern Approaches To Professional Development And Education Of Teachers</t>
  </si>
  <si>
    <t>Larionova, Svetlana/AAE-2235-2021; Lukovenko, Tatiana/AAY-2936-2021</t>
  </si>
  <si>
    <t>WOS:000443674500040</t>
  </si>
  <si>
    <t>Ju, R; Buldakova, NV; Sorokoumova, SN; Sergeeva, MG; Galushkin, AA; Soloviev, AA; Kryukova, NI</t>
  </si>
  <si>
    <t>Ju, Rong; Buldakova, Natalya V.; Sorokoumova, Svetlana N.; Sergeeva, Marina G.; Galushkin, Alexander A.; Soloviev, Andrey A.; Kryukova, Nina I.</t>
  </si>
  <si>
    <t>Foresight Methods in Pedagogical Design of University Learning Environment</t>
  </si>
  <si>
    <t>Sorokoumova, Svetlana/J-9166-2017; Kryukova, Nina Ivanovna/GQP-5523-2022; Galushkin, Alexander A./J-7724-2013</t>
  </si>
  <si>
    <t>Galushkin, Alexander A./0000-0003-0034-2871; Sorokoumova, Svetlana/0000-0001-8339-6597; Solovyev, Andrey/0000-0002-4305-9286; Kryukova, Nina I./0000-0002-0667-9945</t>
  </si>
  <si>
    <t>10.12973/eurasia.2017.01003a</t>
  </si>
  <si>
    <t>WOS:000409067500069</t>
  </si>
  <si>
    <t>Tserne, TA; Borisenkov, MF; Popov, SV; Bakutova, LA; Jongte, L; Trivedi, AK; Pecherkina, AA; Dorogina, OI; Martinson, EA; Vetosheva, VI; Gubin, DG; Solovieva, SV; Danilova, LA; Turovinina, EF; Symaniuk, EE</t>
  </si>
  <si>
    <t>Tserne, Tatyana A.; Borisenkov, Mikhail F.; Popov, Sergey, V; Bakutova, Larisa A.; Jongte, Lalremruati; Trivedi, Amit K.; Pecherkina, Anna A.; Dorogina, Olga, I; Martinson, Ekaterina A.; Vetosheva, Valentina, I; Gubin, Denis G.; Solovieva, Svetlana, V; Danilova, Lina A.; Turovinina, Elena F.; Symaniuk, Elvira E.</t>
  </si>
  <si>
    <t>Food addiction and weight in students with high academic performance</t>
  </si>
  <si>
    <t>PUBLIC HEALTH NUTRITION</t>
  </si>
  <si>
    <t>Dorogina, Olga/AAS-5450-2020; Popov, Sergey V/F-7627-2016; Pecherkina, Anna A/Q-7376-2016; Gubin, Denis/P-9425-2015; Borisenkov, Mikhail/H-7169-2019</t>
  </si>
  <si>
    <t>Popov, Sergey V/0000-0003-1763-8898; Pecherkina, Anna A/0000-0002-2261-2505; Gubin, Denis/0000-0003-2028-1033; Borisenkov, Mikhail/0000-0002-4310-2010; Dorogina, Olga/0000-0002-6860-8309</t>
  </si>
  <si>
    <t>1368-9800</t>
  </si>
  <si>
    <t>1475-2727</t>
  </si>
  <si>
    <t>10.1017/S1368980021002160</t>
  </si>
  <si>
    <t>WOS:000721004700008</t>
  </si>
  <si>
    <t>Stukalova, OV; Akhmadieva, RS; Khasyanov, OR; Faleeva, LV; Ashrafullina, GS; Fortova, LK; Kochneva, LV; Kryukova, NI</t>
  </si>
  <si>
    <t>Stukalova, Olga V.; Akhmadieva, Roza Sh.; Khasyanov, Oleg R.; Faleeva, Liya V.; Ashrafullina, Gulnaz Sh.; Fortova, Lyubov K.; Kochneva, Lyubov V.; Kryukova, Nina I.</t>
  </si>
  <si>
    <t>Modern Trends In Educational Institutions Education Quality Assessment</t>
  </si>
  <si>
    <t>Faleeva, Liya/W-9420-2018; Khasyanov, Oleg Renatovich/N-1730-2016; Stukalova, Olga Vadimovna/V-8824-2017; Kochneva, Lyubov Valentinovna/C-3025-2019; Ashrafullina, Gulnaz/M-2943-2015; Fortova, Lyubov/AAG-6726-2019; Kryukova, Nina Ivanovna/GQP-5523-2022</t>
  </si>
  <si>
    <t xml:space="preserve">Faleeva, Liya/0000-0001-9749-0533; </t>
  </si>
  <si>
    <t>WOS:000449115800022</t>
  </si>
  <si>
    <t>Shilov, MA; Smirnova, AI; Gvozdev, AA; Rozhkova, NN; Dyachkova, TP; Burkov, AA; Stolbov, DN; Savilov, SV; Usol'tseva, NV</t>
  </si>
  <si>
    <t>Shilov, M. A.; Smirnova, A. I.; Gvozdev, A. A.; Rozhkova, N. N.; Dyachkova, T. P.; Burkov, A. A.; Stolbov, D. N.; Savilov, S. V.; Usol'tseva, N. V.</t>
  </si>
  <si>
    <t>Rheology of Plastic Lubricants with Additives of Carbon Nanostructures of Various Type</t>
  </si>
  <si>
    <t>Burkov, Andrey/ABB-8219-2021; Stolbov, Dmitrii/GVS-7607-2022; Stolbov, Dmitrii/AAD-2560-2022; Stolbov, Dmitrii/U-4262-2019; Usol'tseva, Nadezhda V/I-9502-2017; Shilov, Mikhail Aleksandrovich/D-9621-2017; Smirnova, Antonina I/N-6946-2016; Dyachkova, Tatyana/Q-2145-2016</t>
  </si>
  <si>
    <t>Stolbov, Dmitrii/0000-0001-8682-2328; Stolbov, Dmitrii/0000-0001-8682-2328; Usol'tseva, Nadezhda V/0000-0001-8963-8024; Shilov, Mikhail Aleksandrovich/0000-0002-6445-3303; Smirnova, Antonina I/0000-0002-5234-1283; Dyachkova, Tatyana/0000-0002-4884-5171; Savilov, Serguei/0000-0002-5827-3912; Burkov, Andrey/0000-0002-3627-1262</t>
  </si>
  <si>
    <t>10.3103/S1068366619060217</t>
  </si>
  <si>
    <t>WOS:000511537300012</t>
  </si>
  <si>
    <t>Cherdymova, EI; Faleeva, LV; Ilkevich, TG; Sharonov, IA; Sayfutdinova, GB; Leusenko, IV; Popova, OV</t>
  </si>
  <si>
    <t>Cherdymova, Elena I.; Faleeva, Liya V.; Ilkevich, Tatyana G.; Sharonov, Ivan A.; Sayfutdinova, Guzel B.; Leusenko, Irina V.; Popova, Olga V.</t>
  </si>
  <si>
    <t>Socio-Psychological Factors that Contribute to and Impede the Process of Student Eco-Vocational Consciousness Formation</t>
  </si>
  <si>
    <t>Cherdymova, Elena/AAC-8866-2020; Faleeva, Liya/W-9420-2018; Alexandrovich, Sharonov Ivan/N-3655-2016</t>
  </si>
  <si>
    <t>Faleeva, Liya/0000-0001-9749-0533; Alexandrovich, Sharonov Ivan/0000-0001-9234-1299; Cherdymova, Elena I./0000-0002-0392-8483</t>
  </si>
  <si>
    <t>UNSP e107072</t>
  </si>
  <si>
    <t>WOS:000461678300017</t>
  </si>
  <si>
    <t>Natochaya, EN; Zhukova, MY; Aytuganova, JI; Nikitina, EL; Ezhikova, NY; Kharisova, RR; Alenina, EE; Spirina, EV</t>
  </si>
  <si>
    <t>Natochaya, Elena N.; Zhukova, Maria Ye; Aytuganova, Jhanna, I; Nikitina, Ekaterina L.; Ezhikova, Natalia Yu; Kharisova, Regina R.; Alenina, Elena E.; Spirina, Elena, V</t>
  </si>
  <si>
    <t>University Electronic Educational Resources: New Generation Of Multimedia Support For Educational Process</t>
  </si>
  <si>
    <t>Spirina, Elena/AAC-9470-2019; Natochaya, Elena/ABE-6664-2020; Alenina, Elena/AAG-8926-2020</t>
  </si>
  <si>
    <t>Alenina, Elena/0000-0002-0109-3064</t>
  </si>
  <si>
    <t>WOS:000451687800003</t>
  </si>
  <si>
    <t>Polyakova, LY; Nizamutdinova, GF; Zharikov, YS; Kartushina, IG; Minkova, ES; Plotnikov, DA; Popova, OV; Ukolova, LI</t>
  </si>
  <si>
    <t>Polyakova, Larisa Yu; Nizamutdinova, Gulnaz F.; Zharikov, Yuri S.; Kartushina, Irina G.; Minkova, Ekaterina S.; Plotnikov, Dmitry A.; Popova, Olga, V; Ukolova, Lyubov, I</t>
  </si>
  <si>
    <t>Design and Implementation of University Digital Campus Content as Educational Process Innovative Model</t>
  </si>
  <si>
    <t>Картушина, Ирина Г/G-3131-2019</t>
  </si>
  <si>
    <t>WOS:000451688200116</t>
  </si>
  <si>
    <t>Kovalenko, VL; Kotok, VA; Sykchin, A; Ananchenko, BA; Chernyad'ev, AV; Burkov, AA; Deabate, S; Mehdi, A; Henn, F; Bantignies, JL; Bychkov, KL; Verbitskiy, VV; Sukhyy, KM</t>
  </si>
  <si>
    <t>Kovalenko, V. L.; Kotok, V. A.; Sykchin, A.; Ananchenko, B. A.; Chernyad'ev, A. V.; Burkov, A. A.; Deabate, S.; Mehdi, A.; Henn, F.; Bantignies, J. -L.; Bychkov, K. L.; Verbitskiy, V. V.; Sukhyy, K. M.</t>
  </si>
  <si>
    <t>Al3+ Additive in the Nickel Hydroxide Obtained by High-Temperature Two-Step Synthesis: Activator or Poisoner for Chemical Power Source Application?</t>
  </si>
  <si>
    <t>Ananchenko, Boris/AAM-5831-2020; Kotok, Valerii/P-2977-2016; Burkov, Andrey/ABB-8219-2021; Kovalenko, Vadym/C-5386-2019</t>
  </si>
  <si>
    <t>Ananchenko, Boris/0000-0002-7975-7828; Kotok, Valerii/0000-0001-8879-7189; Kovalenko, Vadym/0000-0002-8012-6732; Burkov, Andrey/0000-0002-3627-1262</t>
  </si>
  <si>
    <t>JUN 16</t>
  </si>
  <si>
    <t>10.1149/1945-7111/ab9a2a</t>
  </si>
  <si>
    <t>WOS:000613254900001</t>
  </si>
  <si>
    <t>Philippov, DA; Ermilov, SG; Zaytseva, VL; Pestov, SV; Kuzmin, EA; Shabalina, JN; Sazhnev, AS; Ivicheva, KN; Sterlyagova, IN; Leonov, MM; Boychuk, MA; Czhobadze, AB; Prokina, KI; Dulin, MV; Joharchi, O; Shabunov, AB; Shiryaeva, OS; Levashov, AN; Komarova, AS; Yurchenko, VV</t>
  </si>
  <si>
    <t>Philippov, Dmitriy A.; Ermilov, Sergey G.; Zaytseva, Vera L.; Pestov, Sergey, V; Kuzmin, Eugeniy A.; Shabalina, Julia N.; Sazhnev, Alexey S.; Ivicheva, Ksenya N.; Sterlyagova, Irina N.; Leonov, Mikhail M.; Boychuk, Margarita A.; Czhobadze, Andrey B.; Prokina, Kristina, I; Dulin, Mikhail, V; Joharchi, Omid; Shabunov, Aleksey B.; Shiryaeva, Olga S.; Levashov, Andrey N.; Komarova, Aleksandra S.; Yurchenko, Victoria V.</t>
  </si>
  <si>
    <t>Biodiversity of a boreal mire, including its hydrographic network (Shichengskoe mire, north-western Russia)</t>
  </si>
  <si>
    <t>BIODIVERSITY DATA JOURNAL</t>
  </si>
  <si>
    <t>Yurchenko, Victoria V/R-3656-2016; Philippov, Dmitriy A./Q-5463-2016; Shiryaeva, Olga/AAR-3110-2021; Sterlyagova, Irina N/P-9584-2015; Sazhnev, Alexey/Q-6165-2016; Shabalina, Julia/F-2979-2016</t>
  </si>
  <si>
    <t>Yurchenko, Victoria V/0000-0001-8491-3621; Philippov, Dmitriy A./0000-0003-3075-1959; Sazhnev, Alexey/0000-0002-0907-5194; Shabalina, Julia/0000-0002-9728-8199; Ivicheva, Ksenya/0000-0002-4764-6138; Sterlyagova, Irina/0000-0003-2090-4114</t>
  </si>
  <si>
    <t>1314-2836</t>
  </si>
  <si>
    <t>1314-2828</t>
  </si>
  <si>
    <t>e77615</t>
  </si>
  <si>
    <t>10.3897/BDJ.9.e77615</t>
  </si>
  <si>
    <t>WOS:000723025300003</t>
  </si>
  <si>
    <t>Zolotareva, A; Khegay, A; Voevodina, E; Kritsky, I; Ibragimov, R; Nizovskih, N; Konstantinov, V; Malenova, A; Belasheva, I; Khodyreva, N; Preobrazhensky, V; Azanova, K; Sarapultseva, L; Galimova, A; Atamanova, I; Kulik, A; Neyaskina, Y; Lapshin, M; Mamonova, M; Kadyrov, R; Volkova, E; Drachkova, V; Seryy, A; Kosheleva, N; Osin, E</t>
  </si>
  <si>
    <t>Zolotareva, Alena; Khegay, Anna; Voevodina, Elena; Kritsky, Igor; Ibragimov, Roman; Nizovskih, Nina; Konstantinov, Vsevolod; Malenova, Arina; Belasheva, Irina; Khodyreva, Natalia; Preobrazhensky, Vladimir; Azanova, Kristina; Sarapultseva, Lilia; Galimova, Almira; Atamanova, Inna; Kulik, Anastasia; Neyaskina, Yulia; Lapshin, Maksim; Mamonova, Marina; Kadyrov, Ruslan; Volkova, Ekaterina; Drachkova, Viktoria; Seryy, Andrey; Kosheleva, Natalia; Osin, Evgeny</t>
  </si>
  <si>
    <t>Somatic burden in Russia during the COVID-19 pandemic</t>
  </si>
  <si>
    <t>Маленова, Арина Юрьевна/AAH-7974-2021; Konstantinov, Vsevolod/M-3235-2015; Seryy, Andrey/Q-7669-2018</t>
  </si>
  <si>
    <t>Маленова, Арина Юрьевна/0000-0001-5778-0739; Konstantinov, Vsevolod/0000-0002-1443-3195; Seryy, Andrey/0000-0002-9318-4333; Zolotareva, Alena/0000-0002-5724-2882</t>
  </si>
  <si>
    <t>MAR 10</t>
  </si>
  <si>
    <t>e0282345</t>
  </si>
  <si>
    <t>10.1371/journal.pone.0282345</t>
  </si>
  <si>
    <t>WOS:000995666700001</t>
  </si>
  <si>
    <t>Maslov, I; Volkov, O; Khorn, P; Orekhov, P; Gusach, A; Kuzmichev, P; Gerasimov, A; Luginina, A; Coucke, Q; Bogorodskiy, A; Gordeliy, V; Wanninger, S; Barth, A; Mishin, A; Hofkens, J; Cherezov, V; Gensch, T; Hendrix, J; Borshchevskiy, V</t>
  </si>
  <si>
    <t>Maslov, Ivan; Volkov, Oleksandr; Khorn, Polina; Orekhov, Philipp; Gusach, Anastasiia; Kuzmichev, Pavel; Gerasimov, Andrey; Luginina, Aleksandra; Coucke, Quinten; Bogorodskiy, Andrey; Gordeliy, Valentin; Wanninger, Simon; Barth, Anders; Mishin, Alexey; Hofkens, Johan; Cherezov, Vadim; Gensch, Thomas; Hendrix, Jelle; Borshchevskiy, Valentin</t>
  </si>
  <si>
    <t>Sub-millisecond conformational dynamics of the A(2A) adenosine receptor revealed by single-molecule FRET</t>
  </si>
  <si>
    <t>COMMUNICATIONS BIOLOGY</t>
  </si>
  <si>
    <t>Orekhov, Philipp/V-5214-2017; Hofkens, Johan/D-4284-2017; Borshchevskiy, Valentin/F-2287-2014; Khorn, Polina/K-5458-2015</t>
  </si>
  <si>
    <t>Orekhov, Philipp/0000-0003-4078-4762; Gerasimov, Andrey/0000-0002-3897-0622; Gusach, Anastasia/0000-0002-2594-8573; Hofkens, Johan/0000-0002-9101-0567; Borshchevskiy, Valentin/0000-0003-4398-9712; Khorn, Polina/0000-0002-2117-2130; Luginina, Aleksandra/0000-0003-2697-456X; Coucke, Quinten/0000-0002-2493-2668; Maslov, Ivan/0000-0003-3371-4416</t>
  </si>
  <si>
    <t>2399-3642</t>
  </si>
  <si>
    <t>APR 3</t>
  </si>
  <si>
    <t>10.1038/s42003-023-04727-z</t>
  </si>
  <si>
    <t>WOS:000962868600002</t>
  </si>
  <si>
    <t>Lyapina, E; Marin, E; Gusach, A; Orekhov, P; Gerasimov, A; Luginina, A; Vakhrameev, D; Ergasheva, M; Kovaleva, M; Khusainov, G; Khorn, P; Shevtsov, M; Kovalev, K; Bukhdruker, S; Okhrimenko, I; Popov, P; Hu, H; Weierstall, U; Liu, W; Cho, Y; Gushchin, I; Rogachev, A; Bourenkov, G; Park, S; Park, G; Hyun, HJ; Park, J; Gordeliy, V; Borshchevskiy, V; Mishin, A; Cherezov, V</t>
  </si>
  <si>
    <t>Lyapina, Elizaveta; Marin, Egor; Gusach, Anastasiia; Orekhov, Philipp; Gerasimov, Andrey; Luginina, Aleksandra; Vakhrameev, Daniil; Ergasheva, Margarita; Kovaleva, Margarita; Khusainov, Georgii; Khorn, Polina; Shevtsov, Mikhail; Kovalev, Kirill; Bukhdruker, Sergey; Okhrimenko, Ivan; Popov, Petr; Hu, Hao; Weierstall, Uwe; Liu, Wei; Cho, Yunje; Gushchin, Ivan; Rogachev, Andrey; Bourenkov, Gleb; Park, Sehan; Park, Gisu; Hyun, Hyo Jung; Park, Jaehyun; Gordeliy, Valentin; Borshchevskiy, Valentin; Mishin, Alexey; Cherezov, Vadim</t>
  </si>
  <si>
    <t>Structural basis for receptor selectivity and inverse agonism in S1P(5) receptors</t>
  </si>
  <si>
    <t>NATURE COMMUNICATIONS</t>
  </si>
  <si>
    <t>Marin, Egor/J-7381-2017; Orekhov, Philipp/V-5214-2017; Shevtsov, Mikhail B/I-1823-2014; Mishin, Alexey V/F-2960-2014; Borshchevskiy, Valentin I./F-2287-2014; Khorn, Polina/K-5458-2015; Rogachev, Andrey V/K-6829-2015; Okhrimenko, Ivan/I-4293-2016; Bourenkov, Gleb/C-7794-2017</t>
  </si>
  <si>
    <t>Marin, Egor/0000-0003-2369-1732; Orekhov, Philipp/0000-0003-4078-4762; Mishin, Alexey V/0000-0003-3759-380X; Borshchevskiy, Valentin I./0000-0003-4398-9712; Khorn, Polina/0000-0002-2117-2130; Rogachev, Andrey V/0000-0003-2872-7976; Okhrimenko, Ivan/0000-0002-1053-2778; Shevtsov, Mikhail/0000-0001-8160-2967; Kovaleva, Margarita/0000-0002-0753-3905; Popov, Petr/0000-0003-3745-7154; Lyapina, Elizaveta/0000-0003-0719-8497; Luginina, Aleksandra/0000-0003-2697-456X; Vakhrameev, Daniil/0000-0002-1430-0261; Bourenkov, Gleb/0000-0002-2617-5920; Gusach, Anastasia/0000-0002-2594-8573; Gerasimov, Andrey/0000-0002-3897-0622</t>
  </si>
  <si>
    <t>2041-1723</t>
  </si>
  <si>
    <t>AUG 12</t>
  </si>
  <si>
    <t>10.1038/s41467-022-32447-1</t>
  </si>
  <si>
    <t>WOS:000840114800006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</si>
</sst>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color rgb="FF000000"/>
      <name val="Arial"/>
    </font>
  </fonts>
  <fills count="3">
    <fill>
      <patternFill patternType="none"/>
    </fill>
    <fill>
      <patternFill patternType="gray125"/>
    </fill>
    <fill>
      <patternFill patternType="solid">
        <fgColor rgb="FFFFCC99"/>
        <bgColor rgb="FF000000"/>
      </patternFill>
    </fill>
  </fills>
  <borders count="1">
    <border>
      <left/>
      <right/>
      <top/>
      <bottom/>
      <diagonal/>
    </border>
  </borders>
  <cellStyleXfs count="1">
    <xf numFmtId="0" fontId="0" fillId="0" borderId="0"/>
  </cellStyleXfs>
  <cellXfs count="3">
    <xf numFmtId="0" fontId="0" fillId="0" borderId="0" xfId="0" applyProtection="1"/>
    <xf numFmtId="0" fontId="0" fillId="2" borderId="0" xfId="0" applyFill="1" applyProtection="1"/>
    <xf numFmtId="0" fontId="0" fillId="0" borderId="0" xfId="0" applyProtection="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3A%2F%2Fwww.webofscience.com%2Fwos%2Fwoscc%2Ffull-record%2FWOS:000574371400007" TargetMode="External"/><Relationship Id="rId1827" Type="http://schemas.openxmlformats.org/officeDocument/2006/relationships/hyperlink" Target="http://dx.doi.org/10.1149/2.0561910jes" TargetMode="External"/><Relationship Id="rId21" Type="http://schemas.openxmlformats.org/officeDocument/2006/relationships/hyperlink" Target="https%3A%2F%2Fwww.webofscience.com%2Fwos%2Fwoscc%2Ffull-record%2FWOS:000589557100156" TargetMode="External"/><Relationship Id="rId2089" Type="http://schemas.openxmlformats.org/officeDocument/2006/relationships/hyperlink" Target="https%3A%2F%2Fwww.webofscience.com%2Fwos%2Fwoscc%2Ffull-record%2FWOS:000791263100008" TargetMode="External"/><Relationship Id="rId170" Type="http://schemas.openxmlformats.org/officeDocument/2006/relationships/hyperlink" Target="http://dx.doi.org/10.1134/S0003683813030150" TargetMode="External"/><Relationship Id="rId2296" Type="http://schemas.openxmlformats.org/officeDocument/2006/relationships/hyperlink" Target="http://dx.doi.org/10.25750/1995-4301-2022-4-159-165" TargetMode="External"/><Relationship Id="rId268" Type="http://schemas.openxmlformats.org/officeDocument/2006/relationships/hyperlink" Target="https%3A%2F%2Fwww.webofscience.com%2Fwos%2Fwoscc%2Ffull-record%2FWOS:000357943500021" TargetMode="External"/><Relationship Id="rId475" Type="http://schemas.openxmlformats.org/officeDocument/2006/relationships/hyperlink" Target="https%3A%2F%2Fwww.webofscience.com%2Fwos%2Fwoscc%2Ffull-record%2FWOS:000885393200004" TargetMode="External"/><Relationship Id="rId682" Type="http://schemas.openxmlformats.org/officeDocument/2006/relationships/hyperlink" Target="https%3A%2F%2Fwww.webofscience.com%2Fwos%2Fwoscc%2Ffull-record%2FWOS:000478963800147" TargetMode="External"/><Relationship Id="rId2156" Type="http://schemas.openxmlformats.org/officeDocument/2006/relationships/hyperlink" Target="https%3A%2F%2Fwww.webofscience.com%2Fwos%2Fwoscc%2Ffull-record%2FWOS:000365043400037" TargetMode="External"/><Relationship Id="rId2363" Type="http://schemas.openxmlformats.org/officeDocument/2006/relationships/hyperlink" Target="http://dx.doi.org/10.3103/S1066369X18060087" TargetMode="External"/><Relationship Id="rId128" Type="http://schemas.openxmlformats.org/officeDocument/2006/relationships/hyperlink" Target="https%3A%2F%2Fwww.webofscience.com%2Fwos%2Fwoscc%2Ffull-record%2FWOS:000295100200008" TargetMode="External"/><Relationship Id="rId335" Type="http://schemas.openxmlformats.org/officeDocument/2006/relationships/hyperlink" Target="https%3A%2F%2Fwww.webofscience.com%2Fwos%2Fwoscc%2Ffull-record%2FWOS:000372373000011" TargetMode="External"/><Relationship Id="rId542" Type="http://schemas.openxmlformats.org/officeDocument/2006/relationships/hyperlink" Target="http://dx.doi.org/10.1007/s11041-021-00646-0" TargetMode="External"/><Relationship Id="rId987" Type="http://schemas.openxmlformats.org/officeDocument/2006/relationships/hyperlink" Target="https%3A%2F%2Fwww.webofscience.com%2Fwos%2Fwoscc%2Ffull-record%2FWOS:000429275000014" TargetMode="External"/><Relationship Id="rId1172" Type="http://schemas.openxmlformats.org/officeDocument/2006/relationships/hyperlink" Target="https%3A%2F%2Fwww.webofscience.com%2Fwos%2Fwoscc%2Ffull-record%2FWOS:000476942200001" TargetMode="External"/><Relationship Id="rId2016" Type="http://schemas.openxmlformats.org/officeDocument/2006/relationships/hyperlink" Target="http://dx.doi.org/10.1134/S1068162012070242" TargetMode="External"/><Relationship Id="rId2223" Type="http://schemas.openxmlformats.org/officeDocument/2006/relationships/hyperlink" Target="http://dx.doi.org/10.1134/S1995082918020086" TargetMode="External"/><Relationship Id="rId2430" Type="http://schemas.openxmlformats.org/officeDocument/2006/relationships/hyperlink" Target="https%3A%2F%2Fwww.webofscience.com%2Fwos%2Fwoscc%2Ffull-record%2FWOS:000493027100001" TargetMode="External"/><Relationship Id="rId402" Type="http://schemas.openxmlformats.org/officeDocument/2006/relationships/hyperlink" Target="http://dx.doi.org/10.24224/2227-1295-2020-5-171-191" TargetMode="External"/><Relationship Id="rId847" Type="http://schemas.openxmlformats.org/officeDocument/2006/relationships/hyperlink" Target="https%3A%2F%2Fwww.webofscience.com%2Fwos%2Fwoscc%2Ffull-record%2FWOS:000576831000025" TargetMode="External"/><Relationship Id="rId1032" Type="http://schemas.openxmlformats.org/officeDocument/2006/relationships/hyperlink" Target="https%3A%2F%2Fwww.webofscience.com%2Fwos%2Fwoscc%2Ffull-record%2FWOS:000504406100001" TargetMode="External"/><Relationship Id="rId1477" Type="http://schemas.openxmlformats.org/officeDocument/2006/relationships/hyperlink" Target="http://dx.doi.org/10.24874/IJQR15.04-08" TargetMode="External"/><Relationship Id="rId1684" Type="http://schemas.openxmlformats.org/officeDocument/2006/relationships/hyperlink" Target="https%3A%2F%2Fwww.webofscience.com%2Fwos%2Fwoscc%2Ffull-record%2FWOS:000405488900010" TargetMode="External"/><Relationship Id="rId1891" Type="http://schemas.openxmlformats.org/officeDocument/2006/relationships/hyperlink" Target="http://dx.doi.org/10.1134/S1064229319100132" TargetMode="External"/><Relationship Id="rId707" Type="http://schemas.openxmlformats.org/officeDocument/2006/relationships/hyperlink" Target="https%3A%2F%2Fwww.webofscience.com%2Fwos%2Fwoscc%2Ffull-record%2FWOS:000849737100034" TargetMode="External"/><Relationship Id="rId914" Type="http://schemas.openxmlformats.org/officeDocument/2006/relationships/hyperlink" Target="https%3A%2F%2Fwww.webofscience.com%2Fwos%2Fwoscc%2Ffull-record%2FWOS:000089912600010" TargetMode="External"/><Relationship Id="rId1337" Type="http://schemas.openxmlformats.org/officeDocument/2006/relationships/hyperlink" Target="https%3A%2F%2Fwww.webofscience.com%2Fwos%2Fwoscc%2Ffull-record%2FWOS:000312334000002" TargetMode="External"/><Relationship Id="rId1544" Type="http://schemas.openxmlformats.org/officeDocument/2006/relationships/hyperlink" Target="http://dx.doi.org/10.1111/tan.14683" TargetMode="External"/><Relationship Id="rId1751" Type="http://schemas.openxmlformats.org/officeDocument/2006/relationships/hyperlink" Target="https%3A%2F%2Fwww.webofscience.com%2Fwos%2Fwoscc%2Ffull-record%2FWOS:000814316500021" TargetMode="External"/><Relationship Id="rId1989" Type="http://schemas.openxmlformats.org/officeDocument/2006/relationships/hyperlink" Target="https%3A%2F%2Fwww.webofscience.com%2Fwos%2Fwoscc%2Ffull-record%2FWOS:000574746500014" TargetMode="External"/><Relationship Id="rId43" Type="http://schemas.openxmlformats.org/officeDocument/2006/relationships/hyperlink" Target="https%3A%2F%2Fwww.webofscience.com%2Fwos%2Fwoscc%2Ffull-record%2FWOS:000926386400001" TargetMode="External"/><Relationship Id="rId1404" Type="http://schemas.openxmlformats.org/officeDocument/2006/relationships/hyperlink" Target="https%3A%2F%2Fwww.webofscience.com%2Fwos%2Fwoscc%2Ffull-record%2FWOS:000476933600040" TargetMode="External"/><Relationship Id="rId1611" Type="http://schemas.openxmlformats.org/officeDocument/2006/relationships/hyperlink" Target="https%3A%2F%2Fwww.webofscience.com%2Fwos%2Fwoscc%2Ffull-record%2FWOS:000380571600028" TargetMode="External"/><Relationship Id="rId1849" Type="http://schemas.openxmlformats.org/officeDocument/2006/relationships/hyperlink" Target="https%3A%2F%2Fwww.webofscience.com%2Fwos%2Fwoscc%2Ffull-record%2FWOS:000572957200008" TargetMode="External"/><Relationship Id="rId192" Type="http://schemas.openxmlformats.org/officeDocument/2006/relationships/hyperlink" Target="http://dx.doi.org/10.1109/SIBCON50419.2021.9438922" TargetMode="External"/><Relationship Id="rId1709" Type="http://schemas.openxmlformats.org/officeDocument/2006/relationships/hyperlink" Target="https%3A%2F%2Fwww.webofscience.com%2Fwos%2Fwoscc%2Ffull-record%2FWOS:000395727400036" TargetMode="External"/><Relationship Id="rId1916" Type="http://schemas.openxmlformats.org/officeDocument/2006/relationships/hyperlink" Target="https%3A%2F%2Fwww.webofscience.com%2Fwos%2Fwoscc%2Ffull-record%2FWOS:000410474000001" TargetMode="External"/><Relationship Id="rId497" Type="http://schemas.openxmlformats.org/officeDocument/2006/relationships/hyperlink" Target="http://dx.doi.org/10.1134/S1023193515060129" TargetMode="External"/><Relationship Id="rId2080" Type="http://schemas.openxmlformats.org/officeDocument/2006/relationships/hyperlink" Target="http://dx.doi.org/10.12973/eurasia.2017.01217a" TargetMode="External"/><Relationship Id="rId2178" Type="http://schemas.openxmlformats.org/officeDocument/2006/relationships/hyperlink" Target="https%3A%2F%2Fwww.webofscience.com%2Fwos%2Fwoscc%2Ffull-record%2FWOS:000820802000003" TargetMode="External"/><Relationship Id="rId2385" Type="http://schemas.openxmlformats.org/officeDocument/2006/relationships/hyperlink" Target="https%3A%2F%2Fwww.webofscience.com%2Fwos%2Fwoscc%2Ffull-record%2FWOS:000445410200010" TargetMode="External"/><Relationship Id="rId357" Type="http://schemas.openxmlformats.org/officeDocument/2006/relationships/hyperlink" Target="https%3A%2F%2Fwww.webofscience.com%2Fwos%2Fwoscc%2Ffull-record%2FWOS:000632219100024" TargetMode="External"/><Relationship Id="rId1194" Type="http://schemas.openxmlformats.org/officeDocument/2006/relationships/hyperlink" Target="http://dx.doi.org/10.1088/1757-899X/262/1/012052" TargetMode="External"/><Relationship Id="rId2038" Type="http://schemas.openxmlformats.org/officeDocument/2006/relationships/hyperlink" Target="http://dx.doi.org/10.1134/S0026261710060263" TargetMode="External"/><Relationship Id="rId217" Type="http://schemas.openxmlformats.org/officeDocument/2006/relationships/hyperlink" Target="http://dx.doi.org/10.1134/S0040579508040040" TargetMode="External"/><Relationship Id="rId564" Type="http://schemas.openxmlformats.org/officeDocument/2006/relationships/hyperlink" Target="https%3A%2F%2Fwww.webofscience.com%2Fwos%2Fwoscc%2Ffull-record%2FWOS:000644432200031" TargetMode="External"/><Relationship Id="rId771" Type="http://schemas.openxmlformats.org/officeDocument/2006/relationships/hyperlink" Target="https%3A%2F%2Fwww.webofscience.com%2Fwos%2Fwoscc%2Ffull-record%2FWOS:000679066800151" TargetMode="External"/><Relationship Id="rId869" Type="http://schemas.openxmlformats.org/officeDocument/2006/relationships/hyperlink" Target="http://dx.doi.org/10.1134/S102319350906010X" TargetMode="External"/><Relationship Id="rId1499" Type="http://schemas.openxmlformats.org/officeDocument/2006/relationships/hyperlink" Target="http://dx.doi.org/10.15405/epsbs.2018.09.2" TargetMode="External"/><Relationship Id="rId2245" Type="http://schemas.openxmlformats.org/officeDocument/2006/relationships/hyperlink" Target="https%3A%2F%2Fwww.webofscience.com%2Fwos%2Fwoscc%2Ffull-record%2FWOS:001006884500003" TargetMode="External"/><Relationship Id="rId2452" Type="http://schemas.openxmlformats.org/officeDocument/2006/relationships/hyperlink" Target="https%3A%2F%2Fwww.webofscience.com%2Fwos%2Fwoscc%2Ffull-record%2FWOS:000447303600019" TargetMode="External"/><Relationship Id="rId424" Type="http://schemas.openxmlformats.org/officeDocument/2006/relationships/hyperlink" Target="https%3A%2F%2Fwww.webofscience.com%2Fwos%2Fwoscc%2Ffull-record%2FWOS:000083212500006" TargetMode="External"/><Relationship Id="rId631" Type="http://schemas.openxmlformats.org/officeDocument/2006/relationships/hyperlink" Target="http://dx.doi.org/10.3103/S0005105518010089" TargetMode="External"/><Relationship Id="rId729" Type="http://schemas.openxmlformats.org/officeDocument/2006/relationships/hyperlink" Target="http://dx.doi.org/10.1080/09668136.2018.1503891" TargetMode="External"/><Relationship Id="rId1054" Type="http://schemas.openxmlformats.org/officeDocument/2006/relationships/hyperlink" Target="http://dx.doi.org/10.3390/en16031237" TargetMode="External"/><Relationship Id="rId1261" Type="http://schemas.openxmlformats.org/officeDocument/2006/relationships/hyperlink" Target="http://dx.doi.org/10.1134/S1070363212050313" TargetMode="External"/><Relationship Id="rId1359" Type="http://schemas.openxmlformats.org/officeDocument/2006/relationships/hyperlink" Target="https%3A%2F%2Fwww.webofscience.com%2Fwos%2Fwoscc%2Ffull-record%2FWOS:000994185800011" TargetMode="External"/><Relationship Id="rId2105" Type="http://schemas.openxmlformats.org/officeDocument/2006/relationships/hyperlink" Target="http://dx.doi.org/10.51847/bzkZmBKa9f" TargetMode="External"/><Relationship Id="rId2312" Type="http://schemas.openxmlformats.org/officeDocument/2006/relationships/hyperlink" Target="http://dx.doi.org/10.1007/s10008-016-3405-2" TargetMode="External"/><Relationship Id="rId936" Type="http://schemas.openxmlformats.org/officeDocument/2006/relationships/hyperlink" Target="http://dx.doi.org/10.1051/e3sconf/201911002010" TargetMode="External"/><Relationship Id="rId1121" Type="http://schemas.openxmlformats.org/officeDocument/2006/relationships/hyperlink" Target="http://dx.doi.org/10.15826/qr.2020.1.453" TargetMode="External"/><Relationship Id="rId1219" Type="http://schemas.openxmlformats.org/officeDocument/2006/relationships/hyperlink" Target="http://dx.doi.org/10.17150/2500-4255.2021.15(2).229-237" TargetMode="External"/><Relationship Id="rId1566" Type="http://schemas.openxmlformats.org/officeDocument/2006/relationships/hyperlink" Target="https%3A%2F%2Fwww.webofscience.com%2Fwos%2Fwoscc%2Ffull-record%2FWOS:000409067500002" TargetMode="External"/><Relationship Id="rId1773" Type="http://schemas.openxmlformats.org/officeDocument/2006/relationships/hyperlink" Target="http://dx.doi.org/10.25750/1995-4301-2022-4-232-239" TargetMode="External"/><Relationship Id="rId1980" Type="http://schemas.openxmlformats.org/officeDocument/2006/relationships/hyperlink" Target="http://dx.doi.org/10.3390/plants8060172" TargetMode="External"/><Relationship Id="rId65" Type="http://schemas.openxmlformats.org/officeDocument/2006/relationships/hyperlink" Target="http://dx.doi.org/10.1007/978-3-319-60696-5_3" TargetMode="External"/><Relationship Id="rId1426" Type="http://schemas.openxmlformats.org/officeDocument/2006/relationships/hyperlink" Target="https%3A%2F%2Fwww.webofscience.com%2Fwos%2Fwoscc%2Ffull-record%2FWOS:000694843300004" TargetMode="External"/><Relationship Id="rId1633" Type="http://schemas.openxmlformats.org/officeDocument/2006/relationships/hyperlink" Target="http://dx.doi.org/10.1134/S1995425513050028" TargetMode="External"/><Relationship Id="rId1840" Type="http://schemas.openxmlformats.org/officeDocument/2006/relationships/hyperlink" Target="https%3A%2F%2Fwww.webofscience.com%2Fwos%2Fwoscc%2Ffull-record%2FWOS:000705970600015" TargetMode="External"/><Relationship Id="rId1700" Type="http://schemas.openxmlformats.org/officeDocument/2006/relationships/hyperlink" Target="http://dx.doi.org/10.6060/ivkkt.20196211.5979" TargetMode="External"/><Relationship Id="rId1938" Type="http://schemas.openxmlformats.org/officeDocument/2006/relationships/hyperlink" Target="http://dx.doi.org/10.13187/ejced.2021.3.638" TargetMode="External"/><Relationship Id="rId281" Type="http://schemas.openxmlformats.org/officeDocument/2006/relationships/hyperlink" Target="https%3A%2F%2Fwww.webofscience.com%2Fwos%2Fwoscc%2Ffull-record%2FWOS:000675525300065" TargetMode="External"/><Relationship Id="rId141" Type="http://schemas.openxmlformats.org/officeDocument/2006/relationships/hyperlink" Target="https%3A%2F%2Fwww.webofscience.com%2Fwos%2Fwoscc%2Ffull-record%2FWOS:000647641500043" TargetMode="External"/><Relationship Id="rId379" Type="http://schemas.openxmlformats.org/officeDocument/2006/relationships/hyperlink" Target="https%3A%2F%2Fwww.webofscience.com%2Fwos%2Fwoscc%2Ffull-record%2FWOS:000414282400176" TargetMode="External"/><Relationship Id="rId586" Type="http://schemas.openxmlformats.org/officeDocument/2006/relationships/hyperlink" Target="https%3A%2F%2Fwww.webofscience.com%2Fwos%2Fwoscc%2Ffull-record%2FWOS:000625435700025" TargetMode="External"/><Relationship Id="rId793" Type="http://schemas.openxmlformats.org/officeDocument/2006/relationships/hyperlink" Target="http://dx.doi.org/10.4025/actascihealthsci.v44i1.56397" TargetMode="External"/><Relationship Id="rId2267" Type="http://schemas.openxmlformats.org/officeDocument/2006/relationships/hyperlink" Target="https%3A%2F%2Fwww.webofscience.com%2Fwos%2Fwoscc%2Ffull-record%2FWOS:000881404100001" TargetMode="External"/><Relationship Id="rId2474" Type="http://schemas.openxmlformats.org/officeDocument/2006/relationships/hyperlink" Target="http://dx.doi.org/10.31857/S020595920000838-7" TargetMode="External"/><Relationship Id="rId7" Type="http://schemas.openxmlformats.org/officeDocument/2006/relationships/hyperlink" Target="https%3A%2F%2Fwww.webofscience.com%2Fwos%2Fwoscc%2Ffull-record%2FWOS:000868958500005" TargetMode="External"/><Relationship Id="rId239" Type="http://schemas.openxmlformats.org/officeDocument/2006/relationships/hyperlink" Target="https%3A%2F%2Fwww.webofscience.com%2Fwos%2Fwoscc%2Ffull-record%2FWOS:000414282400179" TargetMode="External"/><Relationship Id="rId446" Type="http://schemas.openxmlformats.org/officeDocument/2006/relationships/hyperlink" Target="https%3A%2F%2Fwww.webofscience.com%2Fwos%2Fwoscc%2Ffull-record%2FWOS:000469452600028" TargetMode="External"/><Relationship Id="rId653" Type="http://schemas.openxmlformats.org/officeDocument/2006/relationships/hyperlink" Target="http://dx.doi.org/10.1007/s11167-005-0056-y" TargetMode="External"/><Relationship Id="rId1076" Type="http://schemas.openxmlformats.org/officeDocument/2006/relationships/hyperlink" Target="http://dx.doi.org/10.1051/e3sconf/201911002090" TargetMode="External"/><Relationship Id="rId1283" Type="http://schemas.openxmlformats.org/officeDocument/2006/relationships/hyperlink" Target="https%3A%2F%2Fwww.webofscience.com%2Fwos%2Fwoscc%2Ffull-record%2FWOS:000468565300003" TargetMode="External"/><Relationship Id="rId1490" Type="http://schemas.openxmlformats.org/officeDocument/2006/relationships/hyperlink" Target="https%3A%2F%2Fwww.webofscience.com%2Fwos%2Fwoscc%2Ffull-record%2FWOS:000604530500010" TargetMode="External"/><Relationship Id="rId2127" Type="http://schemas.openxmlformats.org/officeDocument/2006/relationships/hyperlink" Target="http://dx.doi.org/10.25750/1995-4301-2022-4-006-013" TargetMode="External"/><Relationship Id="rId2334" Type="http://schemas.openxmlformats.org/officeDocument/2006/relationships/hyperlink" Target="https%3A%2F%2Fwww.webofscience.com%2Fwos%2Fwoscc%2Ffull-record%2FWOS:000428505300005" TargetMode="External"/><Relationship Id="rId306" Type="http://schemas.openxmlformats.org/officeDocument/2006/relationships/hyperlink" Target="https%3A%2F%2Fwww.webofscience.com%2Fwos%2Fwoscc%2Ffull-record%2FWOS:000403604400281" TargetMode="External"/><Relationship Id="rId860" Type="http://schemas.openxmlformats.org/officeDocument/2006/relationships/hyperlink" Target="http://dx.doi.org/10.18254/S207987840005469-4" TargetMode="External"/><Relationship Id="rId958" Type="http://schemas.openxmlformats.org/officeDocument/2006/relationships/hyperlink" Target="http://dx.doi.org/10.1134/S0869864322040096" TargetMode="External"/><Relationship Id="rId1143" Type="http://schemas.openxmlformats.org/officeDocument/2006/relationships/hyperlink" Target="https%3A%2F%2Fwww.webofscience.com%2Fwos%2Fwoscc%2Ffull-record%2FWOS:000414282400145" TargetMode="External"/><Relationship Id="rId1588" Type="http://schemas.openxmlformats.org/officeDocument/2006/relationships/hyperlink" Target="https%3A%2F%2Fwww.webofscience.com%2Fwos%2Fwoscc%2Ffull-record%2FWOS:000426426600264" TargetMode="External"/><Relationship Id="rId1795" Type="http://schemas.openxmlformats.org/officeDocument/2006/relationships/hyperlink" Target="https%3A%2F%2Fwww.webofscience.com%2Fwos%2Fwoscc%2Ffull-record%2FWOS:000755154100036" TargetMode="External"/><Relationship Id="rId87" Type="http://schemas.openxmlformats.org/officeDocument/2006/relationships/hyperlink" Target="https%3A%2F%2Fwww.webofscience.com%2Fwos%2Fwoscc%2Ffull-record%2FWOS:000522736400013" TargetMode="External"/><Relationship Id="rId513" Type="http://schemas.openxmlformats.org/officeDocument/2006/relationships/hyperlink" Target="http://dx.doi.org/10.16926/par.2020.08.06" TargetMode="External"/><Relationship Id="rId720" Type="http://schemas.openxmlformats.org/officeDocument/2006/relationships/hyperlink" Target="https%3A%2F%2Fwww.webofscience.com%2Fwos%2Fwoscc%2Ffull-record%2FWOS:000625435700039" TargetMode="External"/><Relationship Id="rId818" Type="http://schemas.openxmlformats.org/officeDocument/2006/relationships/hyperlink" Target="https%3A%2F%2Fwww.webofscience.com%2Fwos%2Fwoscc%2Ffull-record%2FWOS:000444121400010" TargetMode="External"/><Relationship Id="rId1350" Type="http://schemas.openxmlformats.org/officeDocument/2006/relationships/hyperlink" Target="http://dx.doi.org/10.1002/eqe.3785" TargetMode="External"/><Relationship Id="rId1448" Type="http://schemas.openxmlformats.org/officeDocument/2006/relationships/hyperlink" Target="http://dx.doi.org/10.52468/2542-1514.2021.5(4).55-77" TargetMode="External"/><Relationship Id="rId1655" Type="http://schemas.openxmlformats.org/officeDocument/2006/relationships/hyperlink" Target="http://dx.doi.org/10.15507/2658-4123.030.202001.043-059" TargetMode="External"/><Relationship Id="rId2401" Type="http://schemas.openxmlformats.org/officeDocument/2006/relationships/hyperlink" Target="https%3A%2F%2Fwww.webofscience.com%2Fwos%2Fwoscc%2Ffull-record%2FWOS:000597810500033" TargetMode="External"/><Relationship Id="rId1003" Type="http://schemas.openxmlformats.org/officeDocument/2006/relationships/hyperlink" Target="https%3A%2F%2Fwww.webofscience.com%2Fwos%2Fwoscc%2Ffull-record%2FWOS:000247977600017" TargetMode="External"/><Relationship Id="rId1210" Type="http://schemas.openxmlformats.org/officeDocument/2006/relationships/hyperlink" Target="https%3A%2F%2Fwww.webofscience.com%2Fwos%2Fwoscc%2Ffull-record%2FWOS:000748254500002" TargetMode="External"/><Relationship Id="rId1308" Type="http://schemas.openxmlformats.org/officeDocument/2006/relationships/hyperlink" Target="http://dx.doi.org/10.34069/AI/2020.27.03.29" TargetMode="External"/><Relationship Id="rId1862" Type="http://schemas.openxmlformats.org/officeDocument/2006/relationships/hyperlink" Target="http://dx.doi.org/10.1007/s00249-022-01592-2" TargetMode="External"/><Relationship Id="rId1515" Type="http://schemas.openxmlformats.org/officeDocument/2006/relationships/hyperlink" Target="http://dx.doi.org/10.1007/s11175-005-0116-x" TargetMode="External"/><Relationship Id="rId1722" Type="http://schemas.openxmlformats.org/officeDocument/2006/relationships/hyperlink" Target="http://dx.doi.org/10.1134/S1070427215020044" TargetMode="External"/><Relationship Id="rId14" Type="http://schemas.openxmlformats.org/officeDocument/2006/relationships/hyperlink" Target="http://dx.doi.org/10.5281/zenodo.4316637" TargetMode="External"/><Relationship Id="rId2191" Type="http://schemas.openxmlformats.org/officeDocument/2006/relationships/hyperlink" Target="http://dx.doi.org/10.25750/1995-4301-2020-4-162-168" TargetMode="External"/><Relationship Id="rId163" Type="http://schemas.openxmlformats.org/officeDocument/2006/relationships/hyperlink" Target="http://dx.doi.org/10.1109/EnT.2016.23" TargetMode="External"/><Relationship Id="rId370" Type="http://schemas.openxmlformats.org/officeDocument/2006/relationships/hyperlink" Target="https%3A%2F%2Fwww.webofscience.com%2Fwos%2Fwoscc%2Ffull-record%2FWOS:000478963800234" TargetMode="External"/><Relationship Id="rId2051" Type="http://schemas.openxmlformats.org/officeDocument/2006/relationships/hyperlink" Target="https%3A%2F%2Fwww.webofscience.com%2Fwos%2Fwoscc%2Ffull-record%2FWOS:000477826000005" TargetMode="External"/><Relationship Id="rId2289" Type="http://schemas.openxmlformats.org/officeDocument/2006/relationships/hyperlink" Target="https%3A%2F%2Fwww.webofscience.com%2Fwos%2Fwoscc%2Ffull-record%2FWOS:000885393200025" TargetMode="External"/><Relationship Id="rId2496" Type="http://schemas.openxmlformats.org/officeDocument/2006/relationships/hyperlink" Target="http://dx.doi.org/10.12973/eurasia.2017.01003a" TargetMode="External"/><Relationship Id="rId230" Type="http://schemas.openxmlformats.org/officeDocument/2006/relationships/hyperlink" Target="https%3A%2F%2Fwww.webofscience.com%2Fwos%2Fwoscc%2Ffull-record%2FWOS:000514803300005" TargetMode="External"/><Relationship Id="rId468" Type="http://schemas.openxmlformats.org/officeDocument/2006/relationships/hyperlink" Target="https%3A%2F%2Fwww.webofscience.com%2Fwos%2Fwoscc%2Ffull-record%2FWOS:000173770700008" TargetMode="External"/><Relationship Id="rId675" Type="http://schemas.openxmlformats.org/officeDocument/2006/relationships/hyperlink" Target="http://dx.doi.org/10.5281/zenodo.3562205" TargetMode="External"/><Relationship Id="rId882" Type="http://schemas.openxmlformats.org/officeDocument/2006/relationships/hyperlink" Target="http://dx.doi.org/10.1007/978-3-030-93244-2_47" TargetMode="External"/><Relationship Id="rId1098" Type="http://schemas.openxmlformats.org/officeDocument/2006/relationships/hyperlink" Target="http://dx.doi.org/10.1117/12.724894" TargetMode="External"/><Relationship Id="rId2149" Type="http://schemas.openxmlformats.org/officeDocument/2006/relationships/hyperlink" Target="http://dx.doi.org/10.25750/1995-4301-2021-4-230-236" TargetMode="External"/><Relationship Id="rId2356" Type="http://schemas.openxmlformats.org/officeDocument/2006/relationships/hyperlink" Target="https%3A%2F%2Fwww.webofscience.com%2Fwos%2Fwoscc%2Ffull-record%2FWOS:000433121200008" TargetMode="External"/><Relationship Id="rId328" Type="http://schemas.openxmlformats.org/officeDocument/2006/relationships/hyperlink" Target="http://dx.doi.org/10.6060/tcct.20186104-05.5596" TargetMode="External"/><Relationship Id="rId535" Type="http://schemas.openxmlformats.org/officeDocument/2006/relationships/hyperlink" Target="https%3A%2F%2Fwww.webofscience.com%2Fwos%2Fwoscc%2Ffull-record%2FWOS:000297357300027" TargetMode="External"/><Relationship Id="rId742" Type="http://schemas.openxmlformats.org/officeDocument/2006/relationships/hyperlink" Target="https%3A%2F%2Fwww.webofscience.com%2Fwos%2Fwoscc%2Ffull-record%2FWOS:000335735500004" TargetMode="External"/><Relationship Id="rId1165" Type="http://schemas.openxmlformats.org/officeDocument/2006/relationships/hyperlink" Target="https%3A%2F%2Fwww.webofscience.com%2Fwos%2Fwoscc%2Ffull-record%2FWOS:000755154100009" TargetMode="External"/><Relationship Id="rId1372" Type="http://schemas.openxmlformats.org/officeDocument/2006/relationships/hyperlink" Target="http://dx.doi.org/10.1051/e3sconf/201911002151" TargetMode="External"/><Relationship Id="rId2009" Type="http://schemas.openxmlformats.org/officeDocument/2006/relationships/hyperlink" Target="https%3A%2F%2Fwww.webofscience.com%2Fwos%2Fwoscc%2Ffull-record%2FWOS:000416073800002" TargetMode="External"/><Relationship Id="rId2216" Type="http://schemas.openxmlformats.org/officeDocument/2006/relationships/hyperlink" Target="https%3A%2F%2Fwww.webofscience.com%2Fwos%2Fwoscc%2Ffull-record%2FWOS:000700413300007" TargetMode="External"/><Relationship Id="rId2423" Type="http://schemas.openxmlformats.org/officeDocument/2006/relationships/hyperlink" Target="http://dx.doi.org/10.29333/ejmste/83561" TargetMode="External"/><Relationship Id="rId602" Type="http://schemas.openxmlformats.org/officeDocument/2006/relationships/hyperlink" Target="http://dx.doi.org/10.1134/S0036024411010134" TargetMode="External"/><Relationship Id="rId1025" Type="http://schemas.openxmlformats.org/officeDocument/2006/relationships/hyperlink" Target="https%3A%2F%2Fwww.webofscience.com%2Fwos%2Fwoscc%2Ffull-record%2FWOS:000527414300001" TargetMode="External"/><Relationship Id="rId1232" Type="http://schemas.openxmlformats.org/officeDocument/2006/relationships/hyperlink" Target="https%3A%2F%2Fwww.webofscience.com%2Fwos%2Fwoscc%2Ffull-record%2FWOS:000675572800011" TargetMode="External"/><Relationship Id="rId1677" Type="http://schemas.openxmlformats.org/officeDocument/2006/relationships/hyperlink" Target="https%3A%2F%2Fwww.webofscience.com%2Fwos%2Fwoscc%2Ffull-record%2FWOS:000426426600263" TargetMode="External"/><Relationship Id="rId1884" Type="http://schemas.openxmlformats.org/officeDocument/2006/relationships/hyperlink" Target="https%3A%2F%2Fwww.webofscience.com%2Fwos%2Fwoscc%2Ffull-record%2FWOS:000426426600262" TargetMode="External"/><Relationship Id="rId907" Type="http://schemas.openxmlformats.org/officeDocument/2006/relationships/hyperlink" Target="https%3A%2F%2Fwww.webofscience.com%2Fwos%2Fwoscc%2Ffull-record%2FWOS:000432421300017" TargetMode="External"/><Relationship Id="rId1537" Type="http://schemas.openxmlformats.org/officeDocument/2006/relationships/hyperlink" Target="http://dx.doi.org/10.1051/matecconf/201710608086" TargetMode="External"/><Relationship Id="rId1744" Type="http://schemas.openxmlformats.org/officeDocument/2006/relationships/hyperlink" Target="http://dx.doi.org/10.25750/1995-4301-2022-3-166-174" TargetMode="External"/><Relationship Id="rId1951" Type="http://schemas.openxmlformats.org/officeDocument/2006/relationships/hyperlink" Target="http://dx.doi.org/10.25750/1995-4301-2020-3-176-181" TargetMode="External"/><Relationship Id="rId36" Type="http://schemas.openxmlformats.org/officeDocument/2006/relationships/hyperlink" Target="https%3A%2F%2Fwww.webofscience.com%2Fwos%2Fwoscc%2Ffull-record%2FWOS:000358190200056" TargetMode="External"/><Relationship Id="rId1604" Type="http://schemas.openxmlformats.org/officeDocument/2006/relationships/hyperlink" Target="https%3A%2F%2Fwww.webofscience.com%2Fwos%2Fwoscc%2Ffull-record%2FWOS:000520005200048" TargetMode="External"/><Relationship Id="rId185" Type="http://schemas.openxmlformats.org/officeDocument/2006/relationships/hyperlink" Target="https%3A%2F%2Fwww.webofscience.com%2Fwos%2Fwoscc%2Ffull-record%2FWOS:A1996TY61200025" TargetMode="External"/><Relationship Id="rId1811" Type="http://schemas.openxmlformats.org/officeDocument/2006/relationships/hyperlink" Target="http://dx.doi.org/10.51847/1A2QGmzKEo" TargetMode="External"/><Relationship Id="rId1909" Type="http://schemas.openxmlformats.org/officeDocument/2006/relationships/hyperlink" Target="http://dx.doi.org/10.1134/S0021894418030173" TargetMode="External"/><Relationship Id="rId392" Type="http://schemas.openxmlformats.org/officeDocument/2006/relationships/hyperlink" Target="http://dx.doi.org/10.25750/1995-4301-2022-2-165-172" TargetMode="External"/><Relationship Id="rId697" Type="http://schemas.openxmlformats.org/officeDocument/2006/relationships/hyperlink" Target="https%3A%2F%2Fwww.webofscience.com%2Fwos%2Fwoscc%2Ffull-record%2FWOS:000787803600016" TargetMode="External"/><Relationship Id="rId2073" Type="http://schemas.openxmlformats.org/officeDocument/2006/relationships/hyperlink" Target="http://dx.doi.org/10.13187/ejced.2022.3.817" TargetMode="External"/><Relationship Id="rId2280" Type="http://schemas.openxmlformats.org/officeDocument/2006/relationships/hyperlink" Target="http://dx.doi.org/10.18470/1992-1098-2021-1-53-60" TargetMode="External"/><Relationship Id="rId2378" Type="http://schemas.openxmlformats.org/officeDocument/2006/relationships/hyperlink" Target="http://dx.doi.org/10.1080/09553002.2018.1492167" TargetMode="External"/><Relationship Id="rId252" Type="http://schemas.openxmlformats.org/officeDocument/2006/relationships/hyperlink" Target="https%3A%2F%2Fwww.webofscience.com%2Fwos%2Fwoscc%2Ffull-record%2FWOS:000814321000001" TargetMode="External"/><Relationship Id="rId1187" Type="http://schemas.openxmlformats.org/officeDocument/2006/relationships/hyperlink" Target="http://dx.doi.org/10.1134/S1064229318070074" TargetMode="External"/><Relationship Id="rId2140" Type="http://schemas.openxmlformats.org/officeDocument/2006/relationships/hyperlink" Target="https%3A%2F%2Fwww.webofscience.com%2Fwos%2Fwoscc%2Ffull-record%2FWOS:000490704900004" TargetMode="External"/><Relationship Id="rId112" Type="http://schemas.openxmlformats.org/officeDocument/2006/relationships/hyperlink" Target="http://dx.doi.org/10.24224/2227-1295-2020-1-400-421" TargetMode="External"/><Relationship Id="rId557" Type="http://schemas.openxmlformats.org/officeDocument/2006/relationships/hyperlink" Target="https%3A%2F%2Fwww.webofscience.com%2Fwos%2Fwoscc%2Ffull-record%2FWOS:000501202200004" TargetMode="External"/><Relationship Id="rId764" Type="http://schemas.openxmlformats.org/officeDocument/2006/relationships/hyperlink" Target="https%3A%2F%2Fwww.webofscience.com%2Fwos%2Fwoscc%2Ffull-record%2FWOS:000491071700001" TargetMode="External"/><Relationship Id="rId971" Type="http://schemas.openxmlformats.org/officeDocument/2006/relationships/hyperlink" Target="http://dx.doi.org/10.24833/2071-8160-2020-4-73-52-79" TargetMode="External"/><Relationship Id="rId1394" Type="http://schemas.openxmlformats.org/officeDocument/2006/relationships/hyperlink" Target="http://dx.doi.org/10.1007/s11175-005-0105-0" TargetMode="External"/><Relationship Id="rId1699" Type="http://schemas.openxmlformats.org/officeDocument/2006/relationships/hyperlink" Target="https%3A%2F%2Fwww.webofscience.com%2Fwos%2Fwoscc%2Ffull-record%2FWOS:000478667800002" TargetMode="External"/><Relationship Id="rId2000" Type="http://schemas.openxmlformats.org/officeDocument/2006/relationships/hyperlink" Target="http://dx.doi.org/10.1007/s10517-018-4180-0" TargetMode="External"/><Relationship Id="rId2238" Type="http://schemas.openxmlformats.org/officeDocument/2006/relationships/hyperlink" Target="https%3A%2F%2Fwww.webofscience.com%2Fwos%2Fwoscc%2Ffull-record%2FWOS:000907792500002" TargetMode="External"/><Relationship Id="rId2445" Type="http://schemas.openxmlformats.org/officeDocument/2006/relationships/hyperlink" Target="https%3A%2F%2Fwww.webofscience.com%2Fwos%2Fwoscc%2Ffull-record%2FWOS:000784659800003" TargetMode="External"/><Relationship Id="rId417" Type="http://schemas.openxmlformats.org/officeDocument/2006/relationships/hyperlink" Target="https%3A%2F%2Fwww.webofscience.com%2Fwos%2Fwoscc%2Ffull-record%2FWOS:000412901200004" TargetMode="External"/><Relationship Id="rId624" Type="http://schemas.openxmlformats.org/officeDocument/2006/relationships/hyperlink" Target="http://dx.doi.org/10.1134/S0361768819050074" TargetMode="External"/><Relationship Id="rId831" Type="http://schemas.openxmlformats.org/officeDocument/2006/relationships/hyperlink" Target="https%3A%2F%2Fwww.webofscience.com%2Fwos%2Fwoscc%2Ffull-record%2FWOS:000207860900009" TargetMode="External"/><Relationship Id="rId1047" Type="http://schemas.openxmlformats.org/officeDocument/2006/relationships/hyperlink" Target="http://dx.doi.org/10.1134/S0869593814070053" TargetMode="External"/><Relationship Id="rId1254" Type="http://schemas.openxmlformats.org/officeDocument/2006/relationships/hyperlink" Target="https%3A%2F%2Fwww.webofscience.com%2Fwos%2Fwoscc%2Ffull-record%2FWOS:000726493300002" TargetMode="External"/><Relationship Id="rId1461" Type="http://schemas.openxmlformats.org/officeDocument/2006/relationships/hyperlink" Target="https%3A%2F%2Fwww.webofscience.com%2Fwos%2Fwoscc%2Ffull-record%2FWOS:000912047300001" TargetMode="External"/><Relationship Id="rId2305" Type="http://schemas.openxmlformats.org/officeDocument/2006/relationships/hyperlink" Target="https%3A%2F%2Fwww.webofscience.com%2Fwos%2Fwoscc%2Ffull-record%2FWOS:000890601600001" TargetMode="External"/><Relationship Id="rId2512" Type="http://schemas.openxmlformats.org/officeDocument/2006/relationships/hyperlink" Target="http://dx.doi.org/10.1038/s42003-023-04727-z" TargetMode="External"/><Relationship Id="rId929" Type="http://schemas.openxmlformats.org/officeDocument/2006/relationships/hyperlink" Target="https%3A%2F%2Fwww.webofscience.com%2Fwos%2Fwoscc%2Ffull-record%2FWOS:000491196500008" TargetMode="External"/><Relationship Id="rId1114" Type="http://schemas.openxmlformats.org/officeDocument/2006/relationships/hyperlink" Target="https%3A%2F%2Fwww.webofscience.com%2Fwos%2Fwoscc%2Ffull-record%2FWOS:000698603400013" TargetMode="External"/><Relationship Id="rId1321" Type="http://schemas.openxmlformats.org/officeDocument/2006/relationships/hyperlink" Target="https%3A%2F%2Fwww.webofscience.com%2Fwos%2Fwoscc%2Ffull-record%2FWOS:000815085500095" TargetMode="External"/><Relationship Id="rId1559" Type="http://schemas.openxmlformats.org/officeDocument/2006/relationships/hyperlink" Target="https%3A%2F%2Fwww.webofscience.com%2Fwos%2Fwoscc%2Ffull-record%2FWOS:000702661000003" TargetMode="External"/><Relationship Id="rId1766" Type="http://schemas.openxmlformats.org/officeDocument/2006/relationships/hyperlink" Target="http://dx.doi.org/10.1134/S1070427210100290" TargetMode="External"/><Relationship Id="rId1973" Type="http://schemas.openxmlformats.org/officeDocument/2006/relationships/hyperlink" Target="https%3A%2F%2Fwww.webofscience.com%2Fwos%2Fwoscc%2Ffull-record%2FWOS:000437674102123" TargetMode="External"/><Relationship Id="rId58" Type="http://schemas.openxmlformats.org/officeDocument/2006/relationships/hyperlink" Target="http://dx.doi.org/10.17223/23062061/18/8" TargetMode="External"/><Relationship Id="rId1419" Type="http://schemas.openxmlformats.org/officeDocument/2006/relationships/hyperlink" Target="https%3A%2F%2Fwww.webofscience.com%2Fwos%2Fwoscc%2Ffull-record%2FWOS:000691814600100" TargetMode="External"/><Relationship Id="rId1626" Type="http://schemas.openxmlformats.org/officeDocument/2006/relationships/hyperlink" Target="https%3A%2F%2Fwww.webofscience.com%2Fwos%2Fwoscc%2Ffull-record%2FWOS:000384347800001" TargetMode="External"/><Relationship Id="rId1833" Type="http://schemas.openxmlformats.org/officeDocument/2006/relationships/hyperlink" Target="http://dx.doi.org/10.1088/1755-1315/90/1/012125" TargetMode="External"/><Relationship Id="rId1900" Type="http://schemas.openxmlformats.org/officeDocument/2006/relationships/hyperlink" Target="http://dx.doi.org/10.1080/13640461.2020.1822632" TargetMode="External"/><Relationship Id="rId2095" Type="http://schemas.openxmlformats.org/officeDocument/2006/relationships/hyperlink" Target="http://dx.doi.org/10.1134/S1067413613030144" TargetMode="External"/><Relationship Id="rId274" Type="http://schemas.openxmlformats.org/officeDocument/2006/relationships/hyperlink" Target="https%3A%2F%2Fwww.webofscience.com%2Fwos%2Fwoscc%2Ffull-record%2FWOS:A1997WU95900007" TargetMode="External"/><Relationship Id="rId481" Type="http://schemas.openxmlformats.org/officeDocument/2006/relationships/hyperlink" Target="https%3A%2F%2Fwww.webofscience.com%2Fwos%2Fwoscc%2Ffull-record%2FWOS:000657720900006" TargetMode="External"/><Relationship Id="rId2162" Type="http://schemas.openxmlformats.org/officeDocument/2006/relationships/hyperlink" Target="https%3A%2F%2Fwww.webofscience.com%2Fwos%2Fwoscc%2Ffull-record%2FWOS:000545295600002" TargetMode="External"/><Relationship Id="rId134" Type="http://schemas.openxmlformats.org/officeDocument/2006/relationships/hyperlink" Target="http://dx.doi.org/10.31166/VoprosyIstorii202201Statyi02" TargetMode="External"/><Relationship Id="rId579" Type="http://schemas.openxmlformats.org/officeDocument/2006/relationships/hyperlink" Target="http://dx.doi.org/10.1134/S0040579510040056" TargetMode="External"/><Relationship Id="rId786" Type="http://schemas.openxmlformats.org/officeDocument/2006/relationships/hyperlink" Target="https%3A%2F%2Fwww.webofscience.com%2Fwos%2Fwoscc%2Ffull-record%2FWOS:000229563300003" TargetMode="External"/><Relationship Id="rId993" Type="http://schemas.openxmlformats.org/officeDocument/2006/relationships/hyperlink" Target="https%3A%2F%2Fwww.webofscience.com%2Fwos%2Fwoscc%2Ffull-record%2FWOS:000343135900015" TargetMode="External"/><Relationship Id="rId2467" Type="http://schemas.openxmlformats.org/officeDocument/2006/relationships/hyperlink" Target="http://dx.doi.org/10.3390/biom10121694" TargetMode="External"/><Relationship Id="rId341" Type="http://schemas.openxmlformats.org/officeDocument/2006/relationships/hyperlink" Target="http://dx.doi.org/10.1134/S107042720808020X" TargetMode="External"/><Relationship Id="rId439" Type="http://schemas.openxmlformats.org/officeDocument/2006/relationships/hyperlink" Target="https%3A%2F%2Fwww.webofscience.com%2Fwos%2Fwoscc%2Ffull-record%2FWOS:000649745900025" TargetMode="External"/><Relationship Id="rId646" Type="http://schemas.openxmlformats.org/officeDocument/2006/relationships/hyperlink" Target="https%3A%2F%2Fwww.webofscience.com%2Fwos%2Fwoscc%2Ffull-record%2FWOS:000367967600001" TargetMode="External"/><Relationship Id="rId1069" Type="http://schemas.openxmlformats.org/officeDocument/2006/relationships/hyperlink" Target="https%3A%2F%2Fwww.webofscience.com%2Fwos%2Fwoscc%2Ffull-record%2FWOS:000507408400011" TargetMode="External"/><Relationship Id="rId1276" Type="http://schemas.openxmlformats.org/officeDocument/2006/relationships/hyperlink" Target="http://dx.doi.org/10.1007/s10527-021-10028-8" TargetMode="External"/><Relationship Id="rId1483" Type="http://schemas.openxmlformats.org/officeDocument/2006/relationships/hyperlink" Target="http://dx.doi.org/10.1007/s11029-016-9566-3" TargetMode="External"/><Relationship Id="rId2022" Type="http://schemas.openxmlformats.org/officeDocument/2006/relationships/hyperlink" Target="http://dx.doi.org/10.25750/1995-4301-2020-3-036-040" TargetMode="External"/><Relationship Id="rId2327" Type="http://schemas.openxmlformats.org/officeDocument/2006/relationships/hyperlink" Target="http://dx.doi.org/10.1134/S1062359022010137" TargetMode="External"/><Relationship Id="rId201" Type="http://schemas.openxmlformats.org/officeDocument/2006/relationships/hyperlink" Target="https%3A%2F%2Fwww.webofscience.com%2Fwos%2Fwoscc%2Ffull-record%2FWOS:000502525400009" TargetMode="External"/><Relationship Id="rId506" Type="http://schemas.openxmlformats.org/officeDocument/2006/relationships/hyperlink" Target="https%3A%2F%2Fwww.webofscience.com%2Fwos%2Fwoscc%2Ffull-record%2FWOS:000996323100002" TargetMode="External"/><Relationship Id="rId853" Type="http://schemas.openxmlformats.org/officeDocument/2006/relationships/hyperlink" Target="https%3A%2F%2Fwww.webofscience.com%2Fwos%2Fwoscc%2Ffull-record%2FWOS:000471325700073" TargetMode="External"/><Relationship Id="rId1136" Type="http://schemas.openxmlformats.org/officeDocument/2006/relationships/hyperlink" Target="http://dx.doi.org/10.1134/S1995080219010128" TargetMode="External"/><Relationship Id="rId1690" Type="http://schemas.openxmlformats.org/officeDocument/2006/relationships/hyperlink" Target="https%3A%2F%2Fwww.webofscience.com%2Fwos%2Fwoscc%2Ffull-record%2FWOS:000323258500007" TargetMode="External"/><Relationship Id="rId1788" Type="http://schemas.openxmlformats.org/officeDocument/2006/relationships/hyperlink" Target="https%3A%2F%2Fwww.webofscience.com%2Fwos%2Fwoscc%2Ffull-record%2FWOS:000993913200006" TargetMode="External"/><Relationship Id="rId1995" Type="http://schemas.openxmlformats.org/officeDocument/2006/relationships/hyperlink" Target="https%3A%2F%2Fwww.webofscience.com%2Fwos%2Fwoscc%2Ffull-record%2FWOS:001000528300015" TargetMode="External"/><Relationship Id="rId713" Type="http://schemas.openxmlformats.org/officeDocument/2006/relationships/hyperlink" Target="https%3A%2F%2Fwww.webofscience.com%2Fwos%2Fwoscc%2Ffull-record%2FWOS:000607584700007" TargetMode="External"/><Relationship Id="rId920" Type="http://schemas.openxmlformats.org/officeDocument/2006/relationships/hyperlink" Target="https%3A%2F%2Fwww.webofscience.com%2Fwos%2Fwoscc%2Ffull-record%2FWOS:000742349400006" TargetMode="External"/><Relationship Id="rId1343" Type="http://schemas.openxmlformats.org/officeDocument/2006/relationships/hyperlink" Target="https%3A%2F%2Fwww.webofscience.com%2Fwos%2Fwoscc%2Ffull-record%2FWOS:000643937900010" TargetMode="External"/><Relationship Id="rId1550" Type="http://schemas.openxmlformats.org/officeDocument/2006/relationships/hyperlink" Target="http://dx.doi.org/10.1088/1757-899X/940/1/012053" TargetMode="External"/><Relationship Id="rId1648" Type="http://schemas.openxmlformats.org/officeDocument/2006/relationships/hyperlink" Target="http://dx.doi.org/10.1007/s10720-005-0066-0" TargetMode="External"/><Relationship Id="rId1203" Type="http://schemas.openxmlformats.org/officeDocument/2006/relationships/hyperlink" Target="https%3A%2F%2Fwww.webofscience.com%2Fwos%2Fwoscc%2Ffull-record%2FWOS:000259462900013" TargetMode="External"/><Relationship Id="rId1410" Type="http://schemas.openxmlformats.org/officeDocument/2006/relationships/hyperlink" Target="http://dx.doi.org/10.1111/tan.14748" TargetMode="External"/><Relationship Id="rId1508" Type="http://schemas.openxmlformats.org/officeDocument/2006/relationships/hyperlink" Target="https%3A%2F%2Fwww.webofscience.com%2Fwos%2Fwoscc%2Ffull-record%2FWOS:000527288900003" TargetMode="External"/><Relationship Id="rId1855" Type="http://schemas.openxmlformats.org/officeDocument/2006/relationships/hyperlink" Target="https%3A%2F%2Fwww.webofscience.com%2Fwos%2Fwoscc%2Ffull-record%2FWOS:000929704700002" TargetMode="External"/><Relationship Id="rId1715" Type="http://schemas.openxmlformats.org/officeDocument/2006/relationships/hyperlink" Target="http://dx.doi.org/10.15826/izv2.2020.22.2.038" TargetMode="External"/><Relationship Id="rId1922" Type="http://schemas.openxmlformats.org/officeDocument/2006/relationships/hyperlink" Target="https%3A%2F%2Fwww.webofscience.com%2Fwos%2Fwoscc%2Ffull-record%2FWOS:000475476600021" TargetMode="External"/><Relationship Id="rId296" Type="http://schemas.openxmlformats.org/officeDocument/2006/relationships/hyperlink" Target="https%3A%2F%2Fwww.webofscience.com%2Fwos%2Fwoscc%2Ffull-record%2FWOS:000454273600015" TargetMode="External"/><Relationship Id="rId2184" Type="http://schemas.openxmlformats.org/officeDocument/2006/relationships/hyperlink" Target="https%3A%2F%2Fwww.webofscience.com%2Fwos%2Fwoscc%2Ffull-record%2FWOS:000632219100019" TargetMode="External"/><Relationship Id="rId2391" Type="http://schemas.openxmlformats.org/officeDocument/2006/relationships/hyperlink" Target="https%3A%2F%2Fwww.webofscience.com%2Fwos%2Fwoscc%2Ffull-record%2FWOS:000454748800001" TargetMode="External"/><Relationship Id="rId156" Type="http://schemas.openxmlformats.org/officeDocument/2006/relationships/hyperlink" Target="http://dx.doi.org/10.1088/1742-6596/944/1/012089" TargetMode="External"/><Relationship Id="rId363" Type="http://schemas.openxmlformats.org/officeDocument/2006/relationships/hyperlink" Target="https%3A%2F%2Fwww.webofscience.com%2Fwos%2Fwoscc%2Ffull-record%2FWOS:000491196500016" TargetMode="External"/><Relationship Id="rId570" Type="http://schemas.openxmlformats.org/officeDocument/2006/relationships/hyperlink" Target="https%3A%2F%2Fwww.webofscience.com%2Fwos%2Fwoscc%2Ffull-record%2FWOS:000447487200018" TargetMode="External"/><Relationship Id="rId2044" Type="http://schemas.openxmlformats.org/officeDocument/2006/relationships/hyperlink" Target="http://dx.doi.org/10.25750/1995-4301-2021-4-218-223" TargetMode="External"/><Relationship Id="rId2251" Type="http://schemas.openxmlformats.org/officeDocument/2006/relationships/hyperlink" Target="https%3A%2F%2Fwww.webofscience.com%2Fwos%2Fwoscc%2Ffull-record%2FWOS:000392506300020" TargetMode="External"/><Relationship Id="rId2489" Type="http://schemas.openxmlformats.org/officeDocument/2006/relationships/hyperlink" Target="http://dx.doi.org/10.1134/S1995078018020040" TargetMode="External"/><Relationship Id="rId223" Type="http://schemas.openxmlformats.org/officeDocument/2006/relationships/hyperlink" Target="https%3A%2F%2Fwww.webofscience.com%2Fwos%2Fwoscc%2Ffull-record%2FWOS:000239755800008" TargetMode="External"/><Relationship Id="rId430" Type="http://schemas.openxmlformats.org/officeDocument/2006/relationships/hyperlink" Target="https%3A%2F%2Fwww.webofscience.com%2Fwos%2Fwoscc%2Ffull-record%2FWOS:000787851100019" TargetMode="External"/><Relationship Id="rId668" Type="http://schemas.openxmlformats.org/officeDocument/2006/relationships/hyperlink" Target="https%3A%2F%2Fwww.webofscience.com%2Fwos%2Fwoscc%2Ffull-record%2FWOS:000671896200205" TargetMode="External"/><Relationship Id="rId875" Type="http://schemas.openxmlformats.org/officeDocument/2006/relationships/hyperlink" Target="https%3A%2F%2Fwww.webofscience.com%2Fwos%2Fwoscc%2Ffull-record%2FWOS:000869093900011" TargetMode="External"/><Relationship Id="rId1060" Type="http://schemas.openxmlformats.org/officeDocument/2006/relationships/hyperlink" Target="http://dx.doi.org/10.13187/bg.2021.3.1203" TargetMode="External"/><Relationship Id="rId1298" Type="http://schemas.openxmlformats.org/officeDocument/2006/relationships/hyperlink" Target="https%3A%2F%2Fwww.webofscience.com%2Fwos%2Fwoscc%2Ffull-record%2FWOS:000632219100005" TargetMode="External"/><Relationship Id="rId2111" Type="http://schemas.openxmlformats.org/officeDocument/2006/relationships/hyperlink" Target="http://dx.doi.org/10.1002/etc.3956" TargetMode="External"/><Relationship Id="rId2349" Type="http://schemas.openxmlformats.org/officeDocument/2006/relationships/hyperlink" Target="http://dx.doi.org/10.25750/1995-4301-2019-2-014-031" TargetMode="External"/><Relationship Id="rId528" Type="http://schemas.openxmlformats.org/officeDocument/2006/relationships/hyperlink" Target="https%3A%2F%2Fwww.webofscience.com%2Fwos%2Fwoscc%2Ffull-record%2FWOS:000423728200010" TargetMode="External"/><Relationship Id="rId735" Type="http://schemas.openxmlformats.org/officeDocument/2006/relationships/hyperlink" Target="https%3A%2F%2Fwww.webofscience.com%2Fwos%2Fwoscc%2Ffull-record%2FWOS:000427144900030" TargetMode="External"/><Relationship Id="rId942" Type="http://schemas.openxmlformats.org/officeDocument/2006/relationships/hyperlink" Target="https%3A%2F%2Fwww.webofscience.com%2Fwos%2Fwoscc%2Ffull-record%2FWOS:000426114200010" TargetMode="External"/><Relationship Id="rId1158" Type="http://schemas.openxmlformats.org/officeDocument/2006/relationships/hyperlink" Target="http://dx.doi.org/10.1007/BF02537553" TargetMode="External"/><Relationship Id="rId1365" Type="http://schemas.openxmlformats.org/officeDocument/2006/relationships/hyperlink" Target="https%3A%2F%2Fwww.webofscience.com%2Fwos%2Fwoscc%2Ffull-record%2FWOS:000611219500022" TargetMode="External"/><Relationship Id="rId1572" Type="http://schemas.openxmlformats.org/officeDocument/2006/relationships/hyperlink" Target="https%3A%2F%2Fwww.webofscience.com%2Fwos%2Fwoscc%2Ffull-record%2FWOS:000230552700013" TargetMode="External"/><Relationship Id="rId2209" Type="http://schemas.openxmlformats.org/officeDocument/2006/relationships/hyperlink" Target="http://dx.doi.org/10.31407/ijees12.240" TargetMode="External"/><Relationship Id="rId2416" Type="http://schemas.openxmlformats.org/officeDocument/2006/relationships/hyperlink" Target="https%3A%2F%2Fwww.webofscience.com%2Fwos%2Fwoscc%2Ffull-record%2FWOS:000828158500045" TargetMode="External"/><Relationship Id="rId1018" Type="http://schemas.openxmlformats.org/officeDocument/2006/relationships/hyperlink" Target="http://dx.doi.org/10.52254/1857-0070.2021.4-52.08" TargetMode="External"/><Relationship Id="rId1225" Type="http://schemas.openxmlformats.org/officeDocument/2006/relationships/hyperlink" Target="http://dx.doi.org/10.5281/zenodo.4018949" TargetMode="External"/><Relationship Id="rId1432" Type="http://schemas.openxmlformats.org/officeDocument/2006/relationships/hyperlink" Target="https%3A%2F%2Fwww.webofscience.com%2Fwos%2Fwoscc%2Ffull-record%2FWOS:000815085500148" TargetMode="External"/><Relationship Id="rId1877" Type="http://schemas.openxmlformats.org/officeDocument/2006/relationships/hyperlink" Target="https%3A%2F%2Fwww.webofscience.com%2Fwos%2Fwoscc%2Ffull-record%2FWOS:000294413400033" TargetMode="External"/><Relationship Id="rId71" Type="http://schemas.openxmlformats.org/officeDocument/2006/relationships/hyperlink" Target="http://dx.doi.org/10.1023/A:1025776212553" TargetMode="External"/><Relationship Id="rId802" Type="http://schemas.openxmlformats.org/officeDocument/2006/relationships/hyperlink" Target="https%3A%2F%2Fwww.webofscience.com%2Fwos%2Fwoscc%2Ffull-record%2FWOS:000607937300011" TargetMode="External"/><Relationship Id="rId1737" Type="http://schemas.openxmlformats.org/officeDocument/2006/relationships/hyperlink" Target="https%3A%2F%2Fwww.webofscience.com%2Fwos%2Fwoscc%2Ffull-record%2FWOS:000646359100160" TargetMode="External"/><Relationship Id="rId1944" Type="http://schemas.openxmlformats.org/officeDocument/2006/relationships/hyperlink" Target="https%3A%2F%2Fwww.webofscience.com%2Fwos%2Fwoscc%2Ffull-record%2FWOS:000390059500166" TargetMode="External"/><Relationship Id="rId29" Type="http://schemas.openxmlformats.org/officeDocument/2006/relationships/hyperlink" Target="https%3A%2F%2Fwww.webofscience.com%2Fwos%2Fwoscc%2Ffull-record%2FWOS:000435422600001" TargetMode="External"/><Relationship Id="rId178" Type="http://schemas.openxmlformats.org/officeDocument/2006/relationships/hyperlink" Target="https%3A%2F%2Fwww.webofscience.com%2Fwos%2Fwoscc%2Ffull-record%2FWOS:000248054600007" TargetMode="External"/><Relationship Id="rId1804" Type="http://schemas.openxmlformats.org/officeDocument/2006/relationships/hyperlink" Target="https%3A%2F%2Fwww.webofscience.com%2Fwos%2Fwoscc%2Ffull-record%2FWOS:000717100900001" TargetMode="External"/><Relationship Id="rId385" Type="http://schemas.openxmlformats.org/officeDocument/2006/relationships/hyperlink" Target="https%3A%2F%2Fwww.webofscience.com%2Fwos%2Fwoscc%2Ffull-record%2FWOS:000263675600017" TargetMode="External"/><Relationship Id="rId592" Type="http://schemas.openxmlformats.org/officeDocument/2006/relationships/hyperlink" Target="https%3A%2F%2Fwww.webofscience.com%2Fwos%2Fwoscc%2Ffull-record%2FWOS:000427548200006" TargetMode="External"/><Relationship Id="rId2066" Type="http://schemas.openxmlformats.org/officeDocument/2006/relationships/hyperlink" Target="http://dx.doi.org/10.1016/j.matchar.2020.110537" TargetMode="External"/><Relationship Id="rId2273" Type="http://schemas.openxmlformats.org/officeDocument/2006/relationships/hyperlink" Target="https%3A%2F%2Fwww.webofscience.com%2Fwos%2Fwoscc%2Ffull-record%2FWOS:000597810500020" TargetMode="External"/><Relationship Id="rId2480" Type="http://schemas.openxmlformats.org/officeDocument/2006/relationships/hyperlink" Target="http://dx.doi.org/10.1108/978-1-78973-881-020191012" TargetMode="External"/><Relationship Id="rId245" Type="http://schemas.openxmlformats.org/officeDocument/2006/relationships/hyperlink" Target="https%3A%2F%2Fwww.webofscience.com%2Fwos%2Fwoscc%2Ffull-record%2FWOS:000386510300012" TargetMode="External"/><Relationship Id="rId452" Type="http://schemas.openxmlformats.org/officeDocument/2006/relationships/hyperlink" Target="https%3A%2F%2Fwww.webofscience.com%2Fwos%2Fwoscc%2Ffull-record%2FWOS:000451192400007" TargetMode="External"/><Relationship Id="rId897" Type="http://schemas.openxmlformats.org/officeDocument/2006/relationships/hyperlink" Target="http://dx.doi.org/10.3897/ap.1.e0254" TargetMode="External"/><Relationship Id="rId1082" Type="http://schemas.openxmlformats.org/officeDocument/2006/relationships/hyperlink" Target="https%3A%2F%2Fwww.webofscience.com%2Fwos%2Fwoscc%2Ffull-record%2FWOS:000467048800009" TargetMode="External"/><Relationship Id="rId2133" Type="http://schemas.openxmlformats.org/officeDocument/2006/relationships/hyperlink" Target="http://dx.doi.org/10.1080/09205063.2016.1268461" TargetMode="External"/><Relationship Id="rId2340" Type="http://schemas.openxmlformats.org/officeDocument/2006/relationships/hyperlink" Target="https%3A%2F%2Fwww.webofscience.com%2Fwos%2Fwoscc%2Ffull-record%2FWOS:000522789400019" TargetMode="External"/><Relationship Id="rId105" Type="http://schemas.openxmlformats.org/officeDocument/2006/relationships/hyperlink" Target="https%3A%2F%2Fwww.webofscience.com%2Fwos%2Fwoscc%2Ffull-record%2FWOS:000787124400009" TargetMode="External"/><Relationship Id="rId312" Type="http://schemas.openxmlformats.org/officeDocument/2006/relationships/hyperlink" Target="https%3A%2F%2Fwww.webofscience.com%2Fwos%2Fwoscc%2Ffull-record%2FWOS:000077454300020" TargetMode="External"/><Relationship Id="rId757" Type="http://schemas.openxmlformats.org/officeDocument/2006/relationships/hyperlink" Target="http://dx.doi.org/10.12911/22998993/125459" TargetMode="External"/><Relationship Id="rId964" Type="http://schemas.openxmlformats.org/officeDocument/2006/relationships/hyperlink" Target="http://dx.doi.org/10.25750/1995-4301-2022-1-056-063" TargetMode="External"/><Relationship Id="rId1387" Type="http://schemas.openxmlformats.org/officeDocument/2006/relationships/hyperlink" Target="https%3A%2F%2Fwww.webofscience.com%2Fwos%2Fwoscc%2Ffull-record%2FWOS:000489097600015" TargetMode="External"/><Relationship Id="rId1594" Type="http://schemas.openxmlformats.org/officeDocument/2006/relationships/hyperlink" Target="http://dx.doi.org/10.1111/tan.15042" TargetMode="External"/><Relationship Id="rId2200" Type="http://schemas.openxmlformats.org/officeDocument/2006/relationships/hyperlink" Target="https%3A%2F%2Fwww.webofscience.com%2Fwos%2Fwoscc%2Ffull-record%2FWOS:000700413300031" TargetMode="External"/><Relationship Id="rId2438" Type="http://schemas.openxmlformats.org/officeDocument/2006/relationships/hyperlink" Target="https%3A%2F%2Fwww.webofscience.com%2Fwos%2Fwoscc%2Ffull-record%2FWOS:000441014600030" TargetMode="External"/><Relationship Id="rId93" Type="http://schemas.openxmlformats.org/officeDocument/2006/relationships/hyperlink" Target="http://dx.doi.org/10.18720/MCE.89.6" TargetMode="External"/><Relationship Id="rId617" Type="http://schemas.openxmlformats.org/officeDocument/2006/relationships/hyperlink" Target="https%3A%2F%2Fwww.webofscience.com%2Fwos%2Fwoscc%2Ffull-record%2FWOS:000618381400019" TargetMode="External"/><Relationship Id="rId824" Type="http://schemas.openxmlformats.org/officeDocument/2006/relationships/hyperlink" Target="https%3A%2F%2Fwww.webofscience.com%2Fwos%2Fwoscc%2Ffull-record%2FWOS:000414282400359" TargetMode="External"/><Relationship Id="rId1247" Type="http://schemas.openxmlformats.org/officeDocument/2006/relationships/hyperlink" Target="https%3A%2F%2Fwww.webofscience.com%2Fwos%2Fwoscc%2Ffull-record%2FWOS:000940113100001" TargetMode="External"/><Relationship Id="rId1454" Type="http://schemas.openxmlformats.org/officeDocument/2006/relationships/hyperlink" Target="http://dx.doi.org/10.25750/1995-4301-2019-4-037-044" TargetMode="External"/><Relationship Id="rId1661" Type="http://schemas.openxmlformats.org/officeDocument/2006/relationships/hyperlink" Target="https%3A%2F%2Fwww.webofscience.com%2Fwos%2Fwoscc%2Ffull-record%2FWOS:000309341303039" TargetMode="External"/><Relationship Id="rId1899" Type="http://schemas.openxmlformats.org/officeDocument/2006/relationships/hyperlink" Target="https%3A%2F%2Fwww.webofscience.com%2Fwos%2Fwoscc%2Ffull-record%2FWOS:000608058700021" TargetMode="External"/><Relationship Id="rId2505" Type="http://schemas.openxmlformats.org/officeDocument/2006/relationships/hyperlink" Target="https%3A%2F%2Fwww.webofscience.com%2Fwos%2Fwoscc%2Ffull-record%2FWOS:000451688200116" TargetMode="External"/><Relationship Id="rId1107" Type="http://schemas.openxmlformats.org/officeDocument/2006/relationships/hyperlink" Target="http://dx.doi.org/10.24833/2071-8160-2022-4-85-7-42" TargetMode="External"/><Relationship Id="rId1314" Type="http://schemas.openxmlformats.org/officeDocument/2006/relationships/hyperlink" Target="http://dx.doi.org/10.15244/pjoes/139375" TargetMode="External"/><Relationship Id="rId1521" Type="http://schemas.openxmlformats.org/officeDocument/2006/relationships/hyperlink" Target="http://dx.doi.org/10.17223/23062061/23/7" TargetMode="External"/><Relationship Id="rId1759" Type="http://schemas.openxmlformats.org/officeDocument/2006/relationships/hyperlink" Target="https%3A%2F%2Fwww.webofscience.com%2Fwos%2Fwoscc%2Ffull-record%2FWOS:000531047700008" TargetMode="External"/><Relationship Id="rId1966" Type="http://schemas.openxmlformats.org/officeDocument/2006/relationships/hyperlink" Target="https%3A%2F%2Fwww.webofscience.com%2Fwos%2Fwoscc%2Ffull-record%2FWOS:000522789400022" TargetMode="External"/><Relationship Id="rId1619" Type="http://schemas.openxmlformats.org/officeDocument/2006/relationships/hyperlink" Target="https%3A%2F%2Fwww.webofscience.com%2Fwos%2Fwoscc%2Ffull-record%2FWOS:000561105300065" TargetMode="External"/><Relationship Id="rId1826" Type="http://schemas.openxmlformats.org/officeDocument/2006/relationships/hyperlink" Target="https%3A%2F%2Fwww.webofscience.com%2Fwos%2Fwoscc%2Ffull-record%2FWOS:000659867302022" TargetMode="External"/><Relationship Id="rId20" Type="http://schemas.openxmlformats.org/officeDocument/2006/relationships/hyperlink" Target="http://dx.doi.org/10.1088/1742-6596/1399/3/033094" TargetMode="External"/><Relationship Id="rId2088" Type="http://schemas.openxmlformats.org/officeDocument/2006/relationships/hyperlink" Target="http://dx.doi.org/10.1016/j.ssi.2021.115850" TargetMode="External"/><Relationship Id="rId2295" Type="http://schemas.openxmlformats.org/officeDocument/2006/relationships/hyperlink" Target="https%3A%2F%2Fwww.webofscience.com%2Fwos%2Fwoscc%2Ffull-record%2FWOS:000468565300012" TargetMode="External"/><Relationship Id="rId267" Type="http://schemas.openxmlformats.org/officeDocument/2006/relationships/hyperlink" Target="https%3A%2F%2Fwww.webofscience.com%2Fwos%2Fwoscc%2Ffull-record%2FWOS:000373156600007" TargetMode="External"/><Relationship Id="rId474" Type="http://schemas.openxmlformats.org/officeDocument/2006/relationships/hyperlink" Target="http://dx.doi.org/10.25750/1995-4301-2022-3-034-040" TargetMode="External"/><Relationship Id="rId2155" Type="http://schemas.openxmlformats.org/officeDocument/2006/relationships/hyperlink" Target="http://dx.doi.org/10.1088/1757-899X/98/1/012038" TargetMode="External"/><Relationship Id="rId127" Type="http://schemas.openxmlformats.org/officeDocument/2006/relationships/hyperlink" Target="https%3A%2F%2Fwww.webofscience.com%2Fwos%2Fwoscc%2Ffull-record%2FWOS:000383090900046" TargetMode="External"/><Relationship Id="rId681" Type="http://schemas.openxmlformats.org/officeDocument/2006/relationships/hyperlink" Target="https%3A%2F%2Fwww.webofscience.com%2Fwos%2Fwoscc%2Ffull-record%2FWOS:000456115100005" TargetMode="External"/><Relationship Id="rId779" Type="http://schemas.openxmlformats.org/officeDocument/2006/relationships/hyperlink" Target="https%3A%2F%2Fwww.webofscience.com%2Fwos%2Fwoscc%2Ffull-record%2FWOS:000403604400117" TargetMode="External"/><Relationship Id="rId986" Type="http://schemas.openxmlformats.org/officeDocument/2006/relationships/hyperlink" Target="http://dx.doi.org/10.1007/978-3-319-55669-7_14" TargetMode="External"/><Relationship Id="rId2362" Type="http://schemas.openxmlformats.org/officeDocument/2006/relationships/hyperlink" Target="https%3A%2F%2Fwww.webofscience.com%2Fwos%2Fwoscc%2Ffull-record%2FWOS:000468564900002" TargetMode="External"/><Relationship Id="rId334" Type="http://schemas.openxmlformats.org/officeDocument/2006/relationships/hyperlink" Target="https%3A%2F%2Fwww.webofscience.com%2Fwos%2Fwoscc%2Ffull-record%2FWOS:000423138700013" TargetMode="External"/><Relationship Id="rId541" Type="http://schemas.openxmlformats.org/officeDocument/2006/relationships/hyperlink" Target="https%3A%2F%2Fwww.webofscience.com%2Fwos%2Fwoscc%2Ffull-record%2FWOS:000906584000023" TargetMode="External"/><Relationship Id="rId639" Type="http://schemas.openxmlformats.org/officeDocument/2006/relationships/hyperlink" Target="https%3A%2F%2Fwww.webofscience.com%2Fwos%2Fwoscc%2Ffull-record%2FWOS:000374618600005" TargetMode="External"/><Relationship Id="rId1171" Type="http://schemas.openxmlformats.org/officeDocument/2006/relationships/hyperlink" Target="http://dx.doi.org/10.20339/PhS.4-19.003" TargetMode="External"/><Relationship Id="rId1269" Type="http://schemas.openxmlformats.org/officeDocument/2006/relationships/hyperlink" Target="http://dx.doi.org/10.1134/S0040601521040066" TargetMode="External"/><Relationship Id="rId1476" Type="http://schemas.openxmlformats.org/officeDocument/2006/relationships/hyperlink" Target="https%3A%2F%2Fwww.webofscience.com%2Fwos%2Fwoscc%2Ffull-record%2FWOS:000819811100016" TargetMode="External"/><Relationship Id="rId2015" Type="http://schemas.openxmlformats.org/officeDocument/2006/relationships/hyperlink" Target="https%3A%2F%2Fwww.webofscience.com%2Fwos%2Fwoscc%2Ffull-record%2FWOS:000416378300189" TargetMode="External"/><Relationship Id="rId2222" Type="http://schemas.openxmlformats.org/officeDocument/2006/relationships/hyperlink" Target="https%3A%2F%2Fwww.webofscience.com%2Fwos%2Fwoscc%2Ffull-record%2FWOS:000811266700001" TargetMode="External"/><Relationship Id="rId401" Type="http://schemas.openxmlformats.org/officeDocument/2006/relationships/hyperlink" Target="https%3A%2F%2Fwww.webofscience.com%2Fwos%2Fwoscc%2Ffull-record%2FWOS:000773993800016" TargetMode="External"/><Relationship Id="rId846" Type="http://schemas.openxmlformats.org/officeDocument/2006/relationships/hyperlink" Target="http://dx.doi.org/10.24224/2227-1295-2020-9-420-433" TargetMode="External"/><Relationship Id="rId1031" Type="http://schemas.openxmlformats.org/officeDocument/2006/relationships/hyperlink" Target="http://dx.doi.org/10.5281/zenodo.3562179" TargetMode="External"/><Relationship Id="rId1129" Type="http://schemas.openxmlformats.org/officeDocument/2006/relationships/hyperlink" Target="http://dx.doi.org/10.13187/bg.2019.4.1811" TargetMode="External"/><Relationship Id="rId1683" Type="http://schemas.openxmlformats.org/officeDocument/2006/relationships/hyperlink" Target="http://dx.doi.org/10.3103/S0025654417020108" TargetMode="External"/><Relationship Id="rId1890" Type="http://schemas.openxmlformats.org/officeDocument/2006/relationships/hyperlink" Target="https%3A%2F%2Fwww.webofscience.com%2Fwos%2Fwoscc%2Ffull-record%2FWOS:000386562700017" TargetMode="External"/><Relationship Id="rId1988" Type="http://schemas.openxmlformats.org/officeDocument/2006/relationships/hyperlink" Target="http://dx.doi.org/10.1134/S0021894420040148" TargetMode="External"/><Relationship Id="rId706" Type="http://schemas.openxmlformats.org/officeDocument/2006/relationships/hyperlink" Target="http://dx.doi.org/10.1007/978-3-030-70194-9_35" TargetMode="External"/><Relationship Id="rId913" Type="http://schemas.openxmlformats.org/officeDocument/2006/relationships/hyperlink" Target="https%3A%2F%2Fwww.webofscience.com%2Fwos%2Fwoscc%2Ffull-record%2FWOS:000246945000011" TargetMode="External"/><Relationship Id="rId1336" Type="http://schemas.openxmlformats.org/officeDocument/2006/relationships/hyperlink" Target="http://dx.doi.org/10.1007/s10517-012-1905-3" TargetMode="External"/><Relationship Id="rId1543" Type="http://schemas.openxmlformats.org/officeDocument/2006/relationships/hyperlink" Target="https%3A%2F%2Fwww.webofscience.com%2Fwos%2Fwoscc%2Ffull-record%2FWOS:000853301800001" TargetMode="External"/><Relationship Id="rId1750" Type="http://schemas.openxmlformats.org/officeDocument/2006/relationships/hyperlink" Target="http://dx.doi.org/10.31166/VoprosyIstorii202206Statyi23" TargetMode="External"/><Relationship Id="rId42" Type="http://schemas.openxmlformats.org/officeDocument/2006/relationships/hyperlink" Target="http://dx.doi.org/10.17853/1994-5639-2022-9-11-42" TargetMode="External"/><Relationship Id="rId1403" Type="http://schemas.openxmlformats.org/officeDocument/2006/relationships/hyperlink" Target="http://dx.doi.org/10.1051/matecconf/201822401040" TargetMode="External"/><Relationship Id="rId1610" Type="http://schemas.openxmlformats.org/officeDocument/2006/relationships/hyperlink" Target="https%3A%2F%2Fwww.webofscience.com%2Fwos%2Fwoscc%2Ffull-record%2FWOS:000426426600267" TargetMode="External"/><Relationship Id="rId1848" Type="http://schemas.openxmlformats.org/officeDocument/2006/relationships/hyperlink" Target="https%3A%2F%2Fwww.webofscience.com%2Fwos%2Fwoscc%2Ffull-record%2FWOS:000430522400106" TargetMode="External"/><Relationship Id="rId191" Type="http://schemas.openxmlformats.org/officeDocument/2006/relationships/hyperlink" Target="https%3A%2F%2Fwww.webofscience.com%2Fwos%2Fwoscc%2Ffull-record%2FWOS:000694881900005" TargetMode="External"/><Relationship Id="rId1708" Type="http://schemas.openxmlformats.org/officeDocument/2006/relationships/hyperlink" Target="https%3A%2F%2Fwww.webofscience.com%2Fwos%2Fwoscc%2Ffull-record%2FWOS:000520005200105" TargetMode="External"/><Relationship Id="rId1915" Type="http://schemas.openxmlformats.org/officeDocument/2006/relationships/hyperlink" Target="http://dx.doi.org/10.1007/s11029-017-9673-9" TargetMode="External"/><Relationship Id="rId289" Type="http://schemas.openxmlformats.org/officeDocument/2006/relationships/hyperlink" Target="https%3A%2F%2Fwww.webofscience.com%2Fwos%2Fwoscc%2Ffull-record%2FWOS:000471936000009" TargetMode="External"/><Relationship Id="rId496" Type="http://schemas.openxmlformats.org/officeDocument/2006/relationships/hyperlink" Target="https%3A%2F%2Fwww.webofscience.com%2Fwos%2Fwoscc%2Ffull-record%2FWOS:000383090900118" TargetMode="External"/><Relationship Id="rId2177" Type="http://schemas.openxmlformats.org/officeDocument/2006/relationships/hyperlink" Target="http://dx.doi.org/10.25750/1995-4301-2022-2-026-034" TargetMode="External"/><Relationship Id="rId2384" Type="http://schemas.openxmlformats.org/officeDocument/2006/relationships/hyperlink" Target="http://dx.doi.org/10.3390/polym10080817" TargetMode="External"/><Relationship Id="rId149" Type="http://schemas.openxmlformats.org/officeDocument/2006/relationships/hyperlink" Target="https%3A%2F%2Fwww.webofscience.com%2Fwos%2Fwoscc%2Ffull-record%2FWOS:000468214400006" TargetMode="External"/><Relationship Id="rId356" Type="http://schemas.openxmlformats.org/officeDocument/2006/relationships/hyperlink" Target="http://dx.doi.org/10.25750/1995-4301-2021-1-181-187" TargetMode="External"/><Relationship Id="rId563" Type="http://schemas.openxmlformats.org/officeDocument/2006/relationships/hyperlink" Target="https%3A%2F%2Fwww.webofscience.com%2Fwos%2Fwoscc%2Ffull-record%2FWOS:000805412200175" TargetMode="External"/><Relationship Id="rId770" Type="http://schemas.openxmlformats.org/officeDocument/2006/relationships/hyperlink" Target="https%3A%2F%2Fwww.webofscience.com%2Fwos%2Fwoscc%2Ffull-record%2FWOS:000431622000045" TargetMode="External"/><Relationship Id="rId1193" Type="http://schemas.openxmlformats.org/officeDocument/2006/relationships/hyperlink" Target="https%3A%2F%2Fwww.webofscience.com%2Fwos%2Fwoscc%2Ffull-record%2FWOS:000426785900169" TargetMode="External"/><Relationship Id="rId2037" Type="http://schemas.openxmlformats.org/officeDocument/2006/relationships/hyperlink" Target="https%3A%2F%2Fwww.webofscience.com%2Fwos%2Fwoscc%2Ffull-record%2FWOS:000336053700010" TargetMode="External"/><Relationship Id="rId2244" Type="http://schemas.openxmlformats.org/officeDocument/2006/relationships/hyperlink" Target="https%3A%2F%2Fwww.webofscience.com%2Fwos%2Fwoscc%2Ffull-record%2FWOS:000288681100008" TargetMode="External"/><Relationship Id="rId2451" Type="http://schemas.openxmlformats.org/officeDocument/2006/relationships/hyperlink" Target="http://dx.doi.org/10.1002/masy.201800130" TargetMode="External"/><Relationship Id="rId216" Type="http://schemas.openxmlformats.org/officeDocument/2006/relationships/hyperlink" Target="https%3A%2F%2Fwww.webofscience.com%2Fwos%2Fwoscc%2Ffull-record%2FWOS:000263171600013" TargetMode="External"/><Relationship Id="rId423" Type="http://schemas.openxmlformats.org/officeDocument/2006/relationships/hyperlink" Target="https%3A%2F%2Fwww.webofscience.com%2Fwos%2Fwoscc%2Ffull-record%2FWOS:000230025900016" TargetMode="External"/><Relationship Id="rId868" Type="http://schemas.openxmlformats.org/officeDocument/2006/relationships/hyperlink" Target="https%3A%2F%2Fwww.webofscience.com%2Fwos%2Fwoscc%2Ffull-record%2FWOS:000400700700089" TargetMode="External"/><Relationship Id="rId1053" Type="http://schemas.openxmlformats.org/officeDocument/2006/relationships/hyperlink" Target="https%3A%2F%2Fwww.webofscience.com%2Fwos%2Fwoscc%2Ffull-record%2FWOS:A1995RQ36400016" TargetMode="External"/><Relationship Id="rId1260" Type="http://schemas.openxmlformats.org/officeDocument/2006/relationships/hyperlink" Target="https%3A%2F%2Fwww.webofscience.com%2Fwos%2Fwoscc%2Ffull-record%2FWOS:000428106400009" TargetMode="External"/><Relationship Id="rId1498" Type="http://schemas.openxmlformats.org/officeDocument/2006/relationships/hyperlink" Target="https%3A%2F%2Fwww.webofscience.com%2Fwos%2Fwoscc%2Ffull-record%2FWOS:000471174700030" TargetMode="External"/><Relationship Id="rId2104" Type="http://schemas.openxmlformats.org/officeDocument/2006/relationships/hyperlink" Target="https%3A%2F%2Fwww.webofscience.com%2Fwos%2Fwoscc%2Ffull-record%2FWOS:000667025400003" TargetMode="External"/><Relationship Id="rId630" Type="http://schemas.openxmlformats.org/officeDocument/2006/relationships/hyperlink" Target="https%3A%2F%2Fwww.webofscience.com%2Fwos%2Fwoscc%2Ffull-record%2FWOS:000454273600016" TargetMode="External"/><Relationship Id="rId728" Type="http://schemas.openxmlformats.org/officeDocument/2006/relationships/hyperlink" Target="https%3A%2F%2Fwww.webofscience.com%2Fwos%2Fwoscc%2Ffull-record%2FWOS:000437301200012" TargetMode="External"/><Relationship Id="rId935" Type="http://schemas.openxmlformats.org/officeDocument/2006/relationships/hyperlink" Target="https%3A%2F%2Fwww.webofscience.com%2Fwos%2Fwoscc%2Ffull-record%2FWOS:000490917500004" TargetMode="External"/><Relationship Id="rId1358" Type="http://schemas.openxmlformats.org/officeDocument/2006/relationships/hyperlink" Target="http://dx.doi.org/10.54905/disssi/v27i134/e200ms3017" TargetMode="External"/><Relationship Id="rId1565" Type="http://schemas.openxmlformats.org/officeDocument/2006/relationships/hyperlink" Target="http://dx.doi.org/10.12973/eurasia.2017.00931a" TargetMode="External"/><Relationship Id="rId1772" Type="http://schemas.openxmlformats.org/officeDocument/2006/relationships/hyperlink" Target="https%3A%2F%2Fwww.webofscience.com%2Fwos%2Fwoscc%2Ffull-record%2FWOS:000943276600001" TargetMode="External"/><Relationship Id="rId2311" Type="http://schemas.openxmlformats.org/officeDocument/2006/relationships/hyperlink" Target="https%3A%2F%2Fwww.webofscience.com%2Fwos%2Fwoscc%2Ffull-record%2FWOS:000823569900017" TargetMode="External"/><Relationship Id="rId2409" Type="http://schemas.openxmlformats.org/officeDocument/2006/relationships/hyperlink" Target="http://dx.doi.org/10.25750/1995-4301-2019-3-072-079" TargetMode="External"/><Relationship Id="rId64" Type="http://schemas.openxmlformats.org/officeDocument/2006/relationships/hyperlink" Target="https%3A%2F%2Fwww.webofscience.com%2Fwos%2Fwoscc%2Ffull-record%2FWOS:000445743100013" TargetMode="External"/><Relationship Id="rId1120" Type="http://schemas.openxmlformats.org/officeDocument/2006/relationships/hyperlink" Target="https%3A%2F%2Fwww.webofscience.com%2Fwos%2Fwoscc%2Ffull-record%2FWOS:000588252000019" TargetMode="External"/><Relationship Id="rId1218" Type="http://schemas.openxmlformats.org/officeDocument/2006/relationships/hyperlink" Target="https%3A%2F%2Fwww.webofscience.com%2Fwos%2Fwoscc%2Ffull-record%2FWOS:000654172900015" TargetMode="External"/><Relationship Id="rId1425" Type="http://schemas.openxmlformats.org/officeDocument/2006/relationships/hyperlink" Target="http://dx.doi.org/10.1134/S1023193521070107" TargetMode="External"/><Relationship Id="rId1632" Type="http://schemas.openxmlformats.org/officeDocument/2006/relationships/hyperlink" Target="https%3A%2F%2Fwww.webofscience.com%2Fwos%2Fwoscc%2Ffull-record%2FWOS:000426426600274" TargetMode="External"/><Relationship Id="rId1937" Type="http://schemas.openxmlformats.org/officeDocument/2006/relationships/hyperlink" Target="https%3A%2F%2Fwww.webofscience.com%2Fwos%2Fwoscc%2Ffull-record%2FWOS:000406338900017" TargetMode="External"/><Relationship Id="rId2199" Type="http://schemas.openxmlformats.org/officeDocument/2006/relationships/hyperlink" Target="http://dx.doi.org/10.25750/1995-4301-2021-3-219-227" TargetMode="External"/><Relationship Id="rId280" Type="http://schemas.openxmlformats.org/officeDocument/2006/relationships/hyperlink" Target="http://dx.doi.org/10.1007/978-3-030-39225-3_65" TargetMode="External"/><Relationship Id="rId140" Type="http://schemas.openxmlformats.org/officeDocument/2006/relationships/hyperlink" Target="http://dx.doi.org/10.1109/ITNT49337.2020.9253206" TargetMode="External"/><Relationship Id="rId378" Type="http://schemas.openxmlformats.org/officeDocument/2006/relationships/hyperlink" Target="https%3A%2F%2Fwww.webofscience.com%2Fwos%2Fwoscc%2Ffull-record%2FWOS:000432421300064" TargetMode="External"/><Relationship Id="rId585" Type="http://schemas.openxmlformats.org/officeDocument/2006/relationships/hyperlink" Target="https%3A%2F%2Fwww.webofscience.com%2Fwos%2Fwoscc%2Ffull-record%2FWOS:000517821700012" TargetMode="External"/><Relationship Id="rId792" Type="http://schemas.openxmlformats.org/officeDocument/2006/relationships/hyperlink" Target="https%3A%2F%2Fwww.webofscience.com%2Fwos%2Fwoscc%2Ffull-record%2FWOS:000814439200009" TargetMode="External"/><Relationship Id="rId2059" Type="http://schemas.openxmlformats.org/officeDocument/2006/relationships/hyperlink" Target="https%3A%2F%2Fwww.webofscience.com%2Fwos%2Fwoscc%2Ffull-record%2FWOS:000820802000026" TargetMode="External"/><Relationship Id="rId2266" Type="http://schemas.openxmlformats.org/officeDocument/2006/relationships/hyperlink" Target="http://dx.doi.org/10.3390/risks10110206" TargetMode="External"/><Relationship Id="rId2473" Type="http://schemas.openxmlformats.org/officeDocument/2006/relationships/hyperlink" Target="https%3A%2F%2Fwww.webofscience.com%2Fwos%2Fwoscc%2Ffull-record%2FWOS:000631706900069" TargetMode="External"/><Relationship Id="rId6" Type="http://schemas.openxmlformats.org/officeDocument/2006/relationships/hyperlink" Target="http://dx.doi.org/10.28995/2073-0101-2022-2-384-395" TargetMode="External"/><Relationship Id="rId238" Type="http://schemas.openxmlformats.org/officeDocument/2006/relationships/hyperlink" Target="https%3A%2F%2Fwww.webofscience.com%2Fwos%2Fwoscc%2Ffull-record%2FWOS:000414282400134" TargetMode="External"/><Relationship Id="rId445" Type="http://schemas.openxmlformats.org/officeDocument/2006/relationships/hyperlink" Target="https%3A%2F%2Fwww.webofscience.com%2Fwos%2Fwoscc%2Ffull-record%2FWOS:000569050000110" TargetMode="External"/><Relationship Id="rId652" Type="http://schemas.openxmlformats.org/officeDocument/2006/relationships/hyperlink" Target="https%3A%2F%2Fwww.webofscience.com%2Fwos%2Fwoscc%2Ffull-record%2FWOS:000241086700008" TargetMode="External"/><Relationship Id="rId1075" Type="http://schemas.openxmlformats.org/officeDocument/2006/relationships/hyperlink" Target="https%3A%2F%2Fwww.webofscience.com%2Fwos%2Fwoscc%2Ffull-record%2FWOS:000498897100011" TargetMode="External"/><Relationship Id="rId1282" Type="http://schemas.openxmlformats.org/officeDocument/2006/relationships/hyperlink" Target="http://dx.doi.org/10.25750/1995-4301-2018-4-024-030" TargetMode="External"/><Relationship Id="rId2126" Type="http://schemas.openxmlformats.org/officeDocument/2006/relationships/hyperlink" Target="https%3A%2F%2Fwww.webofscience.com%2Fwos%2Fwoscc%2Ffull-record%2FWOS:000934358700002" TargetMode="External"/><Relationship Id="rId2333" Type="http://schemas.openxmlformats.org/officeDocument/2006/relationships/hyperlink" Target="http://dx.doi.org/10.3390/biomedicines6010005" TargetMode="External"/><Relationship Id="rId305" Type="http://schemas.openxmlformats.org/officeDocument/2006/relationships/hyperlink" Target="https%3A%2F%2Fwww.webofscience.com%2Fwos%2Fwoscc%2Ffull-record%2FWOS:000389919500024" TargetMode="External"/><Relationship Id="rId512" Type="http://schemas.openxmlformats.org/officeDocument/2006/relationships/hyperlink" Target="https%3A%2F%2Fwww.webofscience.com%2Fwos%2Fwoscc%2Ffull-record%2FWOS:000685513200017" TargetMode="External"/><Relationship Id="rId957" Type="http://schemas.openxmlformats.org/officeDocument/2006/relationships/hyperlink" Target="https%3A%2F%2Fwww.webofscience.com%2Fwos%2Fwoscc%2Ffull-record%2FWOS:000935399800015" TargetMode="External"/><Relationship Id="rId1142" Type="http://schemas.openxmlformats.org/officeDocument/2006/relationships/hyperlink" Target="https%3A%2F%2Fwww.webofscience.com%2Fwos%2Fwoscc%2Ffull-record%2FWOS:000431046900006" TargetMode="External"/><Relationship Id="rId1587" Type="http://schemas.openxmlformats.org/officeDocument/2006/relationships/hyperlink" Target="http://dx.doi.org/10.1051/matecconf/201710608079" TargetMode="External"/><Relationship Id="rId1794" Type="http://schemas.openxmlformats.org/officeDocument/2006/relationships/hyperlink" Target="https%3A%2F%2Fwww.webofscience.com%2Fwos%2Fwoscc%2Ffull-record%2FWOS:000908076200001" TargetMode="External"/><Relationship Id="rId2400" Type="http://schemas.openxmlformats.org/officeDocument/2006/relationships/hyperlink" Target="http://dx.doi.org/10.25750/1995-4301-2020-4-216-222" TargetMode="External"/><Relationship Id="rId86" Type="http://schemas.openxmlformats.org/officeDocument/2006/relationships/hyperlink" Target="http://dx.doi.org/10.13187/ejced.2020.1.160" TargetMode="External"/><Relationship Id="rId817" Type="http://schemas.openxmlformats.org/officeDocument/2006/relationships/hyperlink" Target="http://dx.doi.org/10.15507/0236-2910.028.201803.416-428" TargetMode="External"/><Relationship Id="rId1002" Type="http://schemas.openxmlformats.org/officeDocument/2006/relationships/hyperlink" Target="http://dx.doi.org/10.1134/S1023193507060171" TargetMode="External"/><Relationship Id="rId1447" Type="http://schemas.openxmlformats.org/officeDocument/2006/relationships/hyperlink" Target="https%3A%2F%2Fwww.webofscience.com%2Fwos%2Fwoscc%2Ffull-record%2FWOS:000275748500011" TargetMode="External"/><Relationship Id="rId1654" Type="http://schemas.openxmlformats.org/officeDocument/2006/relationships/hyperlink" Target="https%3A%2F%2Fwww.webofscience.com%2Fwos%2Fwoscc%2Ffull-record%2FWOS:000528195000005" TargetMode="External"/><Relationship Id="rId1861" Type="http://schemas.openxmlformats.org/officeDocument/2006/relationships/hyperlink" Target="https%3A%2F%2Fwww.webofscience.com%2Fwos%2Fwoscc%2Ffull-record%2FWOS:000864642400013" TargetMode="External"/><Relationship Id="rId1307" Type="http://schemas.openxmlformats.org/officeDocument/2006/relationships/hyperlink" Target="https%3A%2F%2Fwww.webofscience.com%2Fwos%2Fwoscc%2Ffull-record%2FWOS:000254501900003" TargetMode="External"/><Relationship Id="rId1514" Type="http://schemas.openxmlformats.org/officeDocument/2006/relationships/hyperlink" Target="https%3A%2F%2Fwww.webofscience.com%2Fwos%2Fwoscc%2Ffull-record%2FWOS:000389501300131" TargetMode="External"/><Relationship Id="rId1721" Type="http://schemas.openxmlformats.org/officeDocument/2006/relationships/hyperlink" Target="https%3A%2F%2Fwww.webofscience.com%2Fwos%2Fwoscc%2Ffull-record%2FWOS:000390059500167" TargetMode="External"/><Relationship Id="rId1959" Type="http://schemas.openxmlformats.org/officeDocument/2006/relationships/hyperlink" Target="http://dx.doi.org/10.13187/ejced.2022.2.432" TargetMode="External"/><Relationship Id="rId13" Type="http://schemas.openxmlformats.org/officeDocument/2006/relationships/hyperlink" Target="https%3A%2F%2Fwww.webofscience.com%2Fwos%2Fwoscc%2Ffull-record%2FWOS:000635166900008" TargetMode="External"/><Relationship Id="rId1819" Type="http://schemas.openxmlformats.org/officeDocument/2006/relationships/hyperlink" Target="http://dx.doi.org/10.31166/VoprosyIstorii202111Statyi33" TargetMode="External"/><Relationship Id="rId2190" Type="http://schemas.openxmlformats.org/officeDocument/2006/relationships/hyperlink" Target="https%3A%2F%2Fwww.webofscience.com%2Fwos%2Fwoscc%2Ffull-record%2FWOS:000757089800024" TargetMode="External"/><Relationship Id="rId2288" Type="http://schemas.openxmlformats.org/officeDocument/2006/relationships/hyperlink" Target="http://dx.doi.org/10.25750/1995-4301-2022-3-199-205" TargetMode="External"/><Relationship Id="rId2495" Type="http://schemas.openxmlformats.org/officeDocument/2006/relationships/hyperlink" Target="https%3A%2F%2Fwww.webofscience.com%2Fwos%2Fwoscc%2Ffull-record%2FWOS:000443674500040" TargetMode="External"/><Relationship Id="rId162" Type="http://schemas.openxmlformats.org/officeDocument/2006/relationships/hyperlink" Target="https%3A%2F%2Fwww.webofscience.com%2Fwos%2Fwoscc%2Ffull-record%2FWOS:000426878200006" TargetMode="External"/><Relationship Id="rId467" Type="http://schemas.openxmlformats.org/officeDocument/2006/relationships/hyperlink" Target="https%3A%2F%2Fwww.webofscience.com%2Fwos%2Fwoscc%2Ffull-record%2FWOS:000180718300010" TargetMode="External"/><Relationship Id="rId1097" Type="http://schemas.openxmlformats.org/officeDocument/2006/relationships/hyperlink" Target="https%3A%2F%2Fwww.webofscience.com%2Fwos%2Fwoscc%2Ffull-record%2FWOS:000253186900013" TargetMode="External"/><Relationship Id="rId2050" Type="http://schemas.openxmlformats.org/officeDocument/2006/relationships/hyperlink" Target="http://dx.doi.org/10.25750/1995-4301-2019-2-044-052" TargetMode="External"/><Relationship Id="rId2148" Type="http://schemas.openxmlformats.org/officeDocument/2006/relationships/hyperlink" Target="https%3A%2F%2Fwww.webofscience.com%2Fwos%2Fwoscc%2Ffull-record%2FWOS:000426426600272" TargetMode="External"/><Relationship Id="rId674" Type="http://schemas.openxmlformats.org/officeDocument/2006/relationships/hyperlink" Target="https%3A%2F%2Fwww.webofscience.com%2Fwos%2Fwoscc%2Ffull-record%2FWOS:000582461100067" TargetMode="External"/><Relationship Id="rId881" Type="http://schemas.openxmlformats.org/officeDocument/2006/relationships/hyperlink" Target="https%3A%2F%2Fwww.webofscience.com%2Fwos%2Fwoscc%2Ffull-record%2FWOS:000957611400015" TargetMode="External"/><Relationship Id="rId979" Type="http://schemas.openxmlformats.org/officeDocument/2006/relationships/hyperlink" Target="https%3A%2F%2Fwww.webofscience.com%2Fwos%2Fwoscc%2Ffull-record%2FWOS:000435214800002" TargetMode="External"/><Relationship Id="rId2355" Type="http://schemas.openxmlformats.org/officeDocument/2006/relationships/hyperlink" Target="http://dx.doi.org/10.1134/S1064229318030031" TargetMode="External"/><Relationship Id="rId327" Type="http://schemas.openxmlformats.org/officeDocument/2006/relationships/hyperlink" Target="https%3A%2F%2Fwww.webofscience.com%2Fwos%2Fwoscc%2Ffull-record%2FWOS:000460557600014" TargetMode="External"/><Relationship Id="rId534" Type="http://schemas.openxmlformats.org/officeDocument/2006/relationships/hyperlink" Target="http://dx.doi.org/10.1134/S1070427211090278" TargetMode="External"/><Relationship Id="rId741" Type="http://schemas.openxmlformats.org/officeDocument/2006/relationships/hyperlink" Target="http://dx.doi.org/10.3103/S1067821214020096" TargetMode="External"/><Relationship Id="rId839" Type="http://schemas.openxmlformats.org/officeDocument/2006/relationships/hyperlink" Target="https%3A%2F%2Fwww.webofscience.com%2Fwos%2Fwoscc%2Ffull-record%2FWOS:000541974200007" TargetMode="External"/><Relationship Id="rId1164" Type="http://schemas.openxmlformats.org/officeDocument/2006/relationships/hyperlink" Target="http://dx.doi.org/10.25750/1995-4301-2021-4-064-070" TargetMode="External"/><Relationship Id="rId1371" Type="http://schemas.openxmlformats.org/officeDocument/2006/relationships/hyperlink" Target="https%3A%2F%2Fwww.webofscience.com%2Fwos%2Fwoscc%2Ffull-record%2FWOS:000487855200003" TargetMode="External"/><Relationship Id="rId1469" Type="http://schemas.openxmlformats.org/officeDocument/2006/relationships/hyperlink" Target="http://dx.doi.org/10.1134/S1064229306130151" TargetMode="External"/><Relationship Id="rId2008" Type="http://schemas.openxmlformats.org/officeDocument/2006/relationships/hyperlink" Target="http://dx.doi.org/10.15405/epsbs.2017.08.2" TargetMode="External"/><Relationship Id="rId2215" Type="http://schemas.openxmlformats.org/officeDocument/2006/relationships/hyperlink" Target="http://dx.doi.org/10.25750/1995-4301-2021-3-052-059" TargetMode="External"/><Relationship Id="rId2422" Type="http://schemas.openxmlformats.org/officeDocument/2006/relationships/hyperlink" Target="https%3A%2F%2Fwww.webofscience.com%2Fwos%2Fwoscc%2Ffull-record%2FWOS:000360965800053" TargetMode="External"/><Relationship Id="rId601" Type="http://schemas.openxmlformats.org/officeDocument/2006/relationships/hyperlink" Target="https%3A%2F%2Fwww.webofscience.com%2Fwos%2Fwoscc%2Ffull-record%2FWOS:000403604400114" TargetMode="External"/><Relationship Id="rId1024" Type="http://schemas.openxmlformats.org/officeDocument/2006/relationships/hyperlink" Target="http://dx.doi.org/10.1109/ACCESS.2020.2982365" TargetMode="External"/><Relationship Id="rId1231" Type="http://schemas.openxmlformats.org/officeDocument/2006/relationships/hyperlink" Target="http://dx.doi.org/10.1134/S0869864321020116" TargetMode="External"/><Relationship Id="rId1676" Type="http://schemas.openxmlformats.org/officeDocument/2006/relationships/hyperlink" Target="http://dx.doi.org/10.1051/matecconf/201710608078" TargetMode="External"/><Relationship Id="rId1883" Type="http://schemas.openxmlformats.org/officeDocument/2006/relationships/hyperlink" Target="http://dx.doi.org/10.1051/matecconf/201710608077" TargetMode="External"/><Relationship Id="rId906" Type="http://schemas.openxmlformats.org/officeDocument/2006/relationships/hyperlink" Target="http://dx.doi.org/10.15405/epsbs.2017.08.02.17" TargetMode="External"/><Relationship Id="rId1329" Type="http://schemas.openxmlformats.org/officeDocument/2006/relationships/hyperlink" Target="https%3A%2F%2Fwww.webofscience.com%2Fwos%2Fwoscc%2Ffull-record%2FWOS:000686366800016" TargetMode="External"/><Relationship Id="rId1536" Type="http://schemas.openxmlformats.org/officeDocument/2006/relationships/hyperlink" Target="https%3A%2F%2Fwww.webofscience.com%2Fwos%2Fwoscc%2Ffull-record%2FWOS:000426426600268" TargetMode="External"/><Relationship Id="rId1743" Type="http://schemas.openxmlformats.org/officeDocument/2006/relationships/hyperlink" Target="https%3A%2F%2Fwww.webofscience.com%2Fwos%2Fwoscc%2Ffull-record%2FWOS:000996372300018" TargetMode="External"/><Relationship Id="rId1950" Type="http://schemas.openxmlformats.org/officeDocument/2006/relationships/hyperlink" Target="https%3A%2F%2Fwww.webofscience.com%2Fwos%2Fwoscc%2Ffull-record%2FWOS:000700413300008" TargetMode="External"/><Relationship Id="rId35" Type="http://schemas.openxmlformats.org/officeDocument/2006/relationships/hyperlink" Target="https%3A%2F%2Fwww.webofscience.com%2Fwos%2Fwoscc%2Ffull-record%2FWOS:000370908700007" TargetMode="External"/><Relationship Id="rId1603" Type="http://schemas.openxmlformats.org/officeDocument/2006/relationships/hyperlink" Target="http://dx.doi.org/10.3897/ap.1.e0448" TargetMode="External"/><Relationship Id="rId1810" Type="http://schemas.openxmlformats.org/officeDocument/2006/relationships/hyperlink" Target="https%3A%2F%2Fwww.webofscience.com%2Fwos%2Fwoscc%2Ffull-record%2FWOS:000908688000001" TargetMode="External"/><Relationship Id="rId184" Type="http://schemas.openxmlformats.org/officeDocument/2006/relationships/hyperlink" Target="https%3A%2F%2Fwww.webofscience.com%2Fwos%2Fwoscc%2Ffull-record%2FWOS:000077330900001" TargetMode="External"/><Relationship Id="rId391" Type="http://schemas.openxmlformats.org/officeDocument/2006/relationships/hyperlink" Target="https%3A%2F%2Fwww.webofscience.com%2Fwos%2Fwoscc%2Ffull-record%2FWOS:000904073900003" TargetMode="External"/><Relationship Id="rId1908" Type="http://schemas.openxmlformats.org/officeDocument/2006/relationships/hyperlink" Target="https%3A%2F%2Fwww.webofscience.com%2Fwos%2Fwoscc%2Ffull-record%2FWOS:000717948200021" TargetMode="External"/><Relationship Id="rId2072" Type="http://schemas.openxmlformats.org/officeDocument/2006/relationships/hyperlink" Target="https%3A%2F%2Fwww.webofscience.com%2Fwos%2Fwoscc%2Ffull-record%2FWOS:000457701400004" TargetMode="External"/><Relationship Id="rId251" Type="http://schemas.openxmlformats.org/officeDocument/2006/relationships/hyperlink" Target="http://dx.doi.org/10.12911/22998993/148148" TargetMode="External"/><Relationship Id="rId489" Type="http://schemas.openxmlformats.org/officeDocument/2006/relationships/hyperlink" Target="https%3A%2F%2Fwww.webofscience.com%2Fwos%2Fwoscc%2Ffull-record%2FWOS:000487855400004" TargetMode="External"/><Relationship Id="rId696" Type="http://schemas.openxmlformats.org/officeDocument/2006/relationships/hyperlink" Target="http://dx.doi.org/10.1134/S0036029522020033" TargetMode="External"/><Relationship Id="rId2377" Type="http://schemas.openxmlformats.org/officeDocument/2006/relationships/hyperlink" Target="https%3A%2F%2Fwww.webofscience.com%2Fwos%2Fwoscc%2Ffull-record%2FWOS:000640077600013" TargetMode="External"/><Relationship Id="rId349" Type="http://schemas.openxmlformats.org/officeDocument/2006/relationships/hyperlink" Target="https%3A%2F%2Fwww.webofscience.com%2Fwos%2Fwoscc%2Ffull-record%2FWOS:000871088800006" TargetMode="External"/><Relationship Id="rId556" Type="http://schemas.openxmlformats.org/officeDocument/2006/relationships/hyperlink" Target="http://dx.doi.org/10.4018/IJCINI.2019040104" TargetMode="External"/><Relationship Id="rId763" Type="http://schemas.openxmlformats.org/officeDocument/2006/relationships/hyperlink" Target="http://dx.doi.org/10.33048/semi.2019.16.103" TargetMode="External"/><Relationship Id="rId1186" Type="http://schemas.openxmlformats.org/officeDocument/2006/relationships/hyperlink" Target="https%3A%2F%2Fwww.webofscience.com%2Fwos%2Fwoscc%2Ffull-record%2FWOS:000453622300017" TargetMode="External"/><Relationship Id="rId1393" Type="http://schemas.openxmlformats.org/officeDocument/2006/relationships/hyperlink" Target="https%3A%2F%2Fwww.webofscience.com%2Fwos%2Fwoscc%2Ffull-record%2FWOS:000569050000239" TargetMode="External"/><Relationship Id="rId2237" Type="http://schemas.openxmlformats.org/officeDocument/2006/relationships/hyperlink" Target="http://dx.doi.org/10.1007/s10517-023-05681-w" TargetMode="External"/><Relationship Id="rId2444" Type="http://schemas.openxmlformats.org/officeDocument/2006/relationships/hyperlink" Target="http://dx.doi.org/10.1057/s41599-022-01151-2" TargetMode="External"/><Relationship Id="rId111" Type="http://schemas.openxmlformats.org/officeDocument/2006/relationships/hyperlink" Target="https%3A%2F%2Fwww.webofscience.com%2Fwos%2Fwoscc%2Ffull-record%2FWOS:000523598300015" TargetMode="External"/><Relationship Id="rId209" Type="http://schemas.openxmlformats.org/officeDocument/2006/relationships/hyperlink" Target="https%3A%2F%2Fwww.webofscience.com%2Fwos%2Fwoscc%2Ffull-record%2FWOS:000644432200078" TargetMode="External"/><Relationship Id="rId416" Type="http://schemas.openxmlformats.org/officeDocument/2006/relationships/hyperlink" Target="http://dx.doi.org/10.1134/S0965544117110068" TargetMode="External"/><Relationship Id="rId970" Type="http://schemas.openxmlformats.org/officeDocument/2006/relationships/hyperlink" Target="https%3A%2F%2Fwww.webofscience.com%2Fwos%2Fwoscc%2Ffull-record%2FWOS:000521784200013" TargetMode="External"/><Relationship Id="rId1046" Type="http://schemas.openxmlformats.org/officeDocument/2006/relationships/hyperlink" Target="https%3A%2F%2Fwww.webofscience.com%2Fwos%2Fwoscc%2Ffull-record%2FWOS:000378098500003" TargetMode="External"/><Relationship Id="rId1253" Type="http://schemas.openxmlformats.org/officeDocument/2006/relationships/hyperlink" Target="http://dx.doi.org/10.24224/2227-1295-2021-11-28-49" TargetMode="External"/><Relationship Id="rId1698" Type="http://schemas.openxmlformats.org/officeDocument/2006/relationships/hyperlink" Target="http://dx.doi.org/10.3390/v11070624" TargetMode="External"/><Relationship Id="rId623" Type="http://schemas.openxmlformats.org/officeDocument/2006/relationships/hyperlink" Target="https%3A%2F%2Fwww.webofscience.com%2Fwos%2Fwoscc%2Ffull-record%2FWOS:000491196500007" TargetMode="External"/><Relationship Id="rId830" Type="http://schemas.openxmlformats.org/officeDocument/2006/relationships/hyperlink" Target="http://dx.doi.org/10.1007/s11141-007-0030-z" TargetMode="External"/><Relationship Id="rId928" Type="http://schemas.openxmlformats.org/officeDocument/2006/relationships/hyperlink" Target="http://dx.doi.org/10.1108/OTH-07-2019-0040" TargetMode="External"/><Relationship Id="rId1460" Type="http://schemas.openxmlformats.org/officeDocument/2006/relationships/hyperlink" Target="http://dx.doi.org/10.22376/ijlpr.2023.13.1.L104-108" TargetMode="External"/><Relationship Id="rId1558" Type="http://schemas.openxmlformats.org/officeDocument/2006/relationships/hyperlink" Target="http://dx.doi.org/10.1134/S1023193521090056" TargetMode="External"/><Relationship Id="rId1765" Type="http://schemas.openxmlformats.org/officeDocument/2006/relationships/hyperlink" Target="https%3A%2F%2Fwww.webofscience.com%2Fwos%2Fwoscc%2Ffull-record%2FWOS:000739150200013" TargetMode="External"/><Relationship Id="rId2304" Type="http://schemas.openxmlformats.org/officeDocument/2006/relationships/hyperlink" Target="http://dx.doi.org/10.3389/feduc.2022.1016919" TargetMode="External"/><Relationship Id="rId2511" Type="http://schemas.openxmlformats.org/officeDocument/2006/relationships/hyperlink" Target="https%3A%2F%2Fwww.webofscience.com%2Fwos%2Fwoscc%2Ffull-record%2FWOS:000995666700001" TargetMode="External"/><Relationship Id="rId57" Type="http://schemas.openxmlformats.org/officeDocument/2006/relationships/hyperlink" Target="https%3A%2F%2Fwww.webofscience.com%2Fwos%2Fwoscc%2Ffull-record%2FWOS:000492146100119" TargetMode="External"/><Relationship Id="rId1113" Type="http://schemas.openxmlformats.org/officeDocument/2006/relationships/hyperlink" Target="http://dx.doi.org/10.28995/2073-0101-2021-2-482-495" TargetMode="External"/><Relationship Id="rId1320" Type="http://schemas.openxmlformats.org/officeDocument/2006/relationships/hyperlink" Target="http://dx.doi.org/10.22616/ERDev.2020.19.TF157" TargetMode="External"/><Relationship Id="rId1418" Type="http://schemas.openxmlformats.org/officeDocument/2006/relationships/hyperlink" Target="http://dx.doi.org/10.53350/pjmhs211562072" TargetMode="External"/><Relationship Id="rId1972" Type="http://schemas.openxmlformats.org/officeDocument/2006/relationships/hyperlink" Target="https%3A%2F%2Fwww.webofscience.com%2Fwos%2Fwoscc%2Ffull-record%2FWOS:000485895800002" TargetMode="External"/><Relationship Id="rId1625" Type="http://schemas.openxmlformats.org/officeDocument/2006/relationships/hyperlink" Target="http://dx.doi.org/10.1007/s11029-016-9596-x" TargetMode="External"/><Relationship Id="rId1832" Type="http://schemas.openxmlformats.org/officeDocument/2006/relationships/hyperlink" Target="https%3A%2F%2Fwww.webofscience.com%2Fwos%2Fwoscc%2Ffull-record%2FWOS:000659867301032" TargetMode="External"/><Relationship Id="rId2094" Type="http://schemas.openxmlformats.org/officeDocument/2006/relationships/hyperlink" Target="https%3A%2F%2Fwww.webofscience.com%2Fwos%2Fwoscc%2Ffull-record%2FWOS:000380532400067" TargetMode="External"/><Relationship Id="rId273" Type="http://schemas.openxmlformats.org/officeDocument/2006/relationships/hyperlink" Target="https%3A%2F%2Fwww.webofscience.com%2Fwos%2Fwoscc%2Ffull-record%2FWOS:000241086700004" TargetMode="External"/><Relationship Id="rId480" Type="http://schemas.openxmlformats.org/officeDocument/2006/relationships/hyperlink" Target="http://dx.doi.org/10.31166/VoprosyIstorii202005Statyi06" TargetMode="External"/><Relationship Id="rId2161" Type="http://schemas.openxmlformats.org/officeDocument/2006/relationships/hyperlink" Target="http://dx.doi.org/10.25750/1995-4301-2020-2-014-025" TargetMode="External"/><Relationship Id="rId2399" Type="http://schemas.openxmlformats.org/officeDocument/2006/relationships/hyperlink" Target="https%3A%2F%2Fwww.webofscience.com%2Fwos%2Fwoscc%2Ffull-record%2FWOS:000884345100001" TargetMode="External"/><Relationship Id="rId133" Type="http://schemas.openxmlformats.org/officeDocument/2006/relationships/hyperlink" Target="https%3A%2F%2Fwww.webofscience.com%2Fwos%2Fwoscc%2Ffull-record%2FWOS:000624313400081" TargetMode="External"/><Relationship Id="rId340" Type="http://schemas.openxmlformats.org/officeDocument/2006/relationships/hyperlink" Target="https%3A%2F%2Fwww.webofscience.com%2Fwos%2Fwoscc%2Ffull-record%2FWOS:000345395800012" TargetMode="External"/><Relationship Id="rId578" Type="http://schemas.openxmlformats.org/officeDocument/2006/relationships/hyperlink" Target="https%3A%2F%2Fwww.webofscience.com%2Fwos%2Fwoscc%2Ffull-record%2FWOS:000289763200005" TargetMode="External"/><Relationship Id="rId785" Type="http://schemas.openxmlformats.org/officeDocument/2006/relationships/hyperlink" Target="https%3A%2F%2Fwww.webofscience.com%2Fwos%2Fwoscc%2Ffull-record%2FWOS:000243338000007" TargetMode="External"/><Relationship Id="rId992" Type="http://schemas.openxmlformats.org/officeDocument/2006/relationships/hyperlink" Target="http://dx.doi.org/10.1007/s10517-014-2623-9" TargetMode="External"/><Relationship Id="rId2021" Type="http://schemas.openxmlformats.org/officeDocument/2006/relationships/hyperlink" Target="https%3A%2F%2Fwww.webofscience.com%2Fwos%2Fwoscc%2Ffull-record%2FWOS:000667025400015" TargetMode="External"/><Relationship Id="rId2259" Type="http://schemas.openxmlformats.org/officeDocument/2006/relationships/hyperlink" Target="https%3A%2F%2Fwww.webofscience.com%2Fwos%2Fwoscc%2Ffull-record%2FWOS:000640149200002" TargetMode="External"/><Relationship Id="rId2466" Type="http://schemas.openxmlformats.org/officeDocument/2006/relationships/hyperlink" Target="https%3A%2F%2Fwww.webofscience.com%2Fwos%2Fwoscc%2Ffull-record%2FWOS:000610339500001" TargetMode="External"/><Relationship Id="rId200" Type="http://schemas.openxmlformats.org/officeDocument/2006/relationships/hyperlink" Target="http://dx.doi.org/10.6060/ivkkt.20206301.6051" TargetMode="External"/><Relationship Id="rId438" Type="http://schemas.openxmlformats.org/officeDocument/2006/relationships/hyperlink" Target="https%3A%2F%2Fwww.webofscience.com%2Fwos%2Fwoscc%2Ffull-record%2FWOS:000567722400005" TargetMode="External"/><Relationship Id="rId645" Type="http://schemas.openxmlformats.org/officeDocument/2006/relationships/hyperlink" Target="https%3A%2F%2Fwww.webofscience.com%2Fwos%2Fwoscc%2Ffull-record%2FWOS:000380571600167" TargetMode="External"/><Relationship Id="rId852" Type="http://schemas.openxmlformats.org/officeDocument/2006/relationships/hyperlink" Target="http://dx.doi.org/10.15405/epsbs.2019.03.73" TargetMode="External"/><Relationship Id="rId1068" Type="http://schemas.openxmlformats.org/officeDocument/2006/relationships/hyperlink" Target="http://dx.doi.org/10.17223/19996195/47/11" TargetMode="External"/><Relationship Id="rId1275" Type="http://schemas.openxmlformats.org/officeDocument/2006/relationships/hyperlink" Target="https%3A%2F%2Fwww.webofscience.com%2Fwos%2Fwoscc%2Ffull-record%2FWOS:000628793100004" TargetMode="External"/><Relationship Id="rId1482" Type="http://schemas.openxmlformats.org/officeDocument/2006/relationships/hyperlink" Target="https%3A%2F%2Fwww.webofscience.com%2Fwos%2Fwoscc%2Ffull-record%2FWOS:000426426600273" TargetMode="External"/><Relationship Id="rId2119" Type="http://schemas.openxmlformats.org/officeDocument/2006/relationships/hyperlink" Target="http://dx.doi.org/10.1007/978-3-030-28163-2_15" TargetMode="External"/><Relationship Id="rId2326" Type="http://schemas.openxmlformats.org/officeDocument/2006/relationships/hyperlink" Target="https%3A%2F%2Fwww.webofscience.com%2Fwos%2Fwoscc%2Ffull-record%2FWOS:000929704700027" TargetMode="External"/><Relationship Id="rId505" Type="http://schemas.openxmlformats.org/officeDocument/2006/relationships/hyperlink" Target="http://dx.doi.org/10.17853/1994-5639-2023-5-49-76" TargetMode="External"/><Relationship Id="rId712" Type="http://schemas.openxmlformats.org/officeDocument/2006/relationships/hyperlink" Target="http://dx.doi.org/10.17323/1813-8918-2020-4-696-718" TargetMode="External"/><Relationship Id="rId1135" Type="http://schemas.openxmlformats.org/officeDocument/2006/relationships/hyperlink" Target="https%3A%2F%2Fwww.webofscience.com%2Fwos%2Fwoscc%2Ffull-record%2FWOS:000521649200015" TargetMode="External"/><Relationship Id="rId1342" Type="http://schemas.openxmlformats.org/officeDocument/2006/relationships/hyperlink" Target="http://dx.doi.org/10.22038/ijp.2021.57107.4477" TargetMode="External"/><Relationship Id="rId1787" Type="http://schemas.openxmlformats.org/officeDocument/2006/relationships/hyperlink" Target="http://dx.doi.org/10.25178/nit.2019.1.6" TargetMode="External"/><Relationship Id="rId1994" Type="http://schemas.openxmlformats.org/officeDocument/2006/relationships/hyperlink" Target="http://dx.doi.org/10.1134/S0021894423020153" TargetMode="External"/><Relationship Id="rId79" Type="http://schemas.openxmlformats.org/officeDocument/2006/relationships/hyperlink" Target="https%3A%2F%2Fwww.webofscience.com%2Fwos%2Fwoscc%2Ffull-record%2FWOS:000869082400002" TargetMode="External"/><Relationship Id="rId1202" Type="http://schemas.openxmlformats.org/officeDocument/2006/relationships/hyperlink" Target="http://dx.doi.org/10.1134/S1995082908030139" TargetMode="External"/><Relationship Id="rId1647" Type="http://schemas.openxmlformats.org/officeDocument/2006/relationships/hyperlink" Target="https%3A%2F%2Fwww.webofscience.com%2Fwos%2Fwoscc%2Ffull-record%2FWOS:000246338500017" TargetMode="External"/><Relationship Id="rId1854" Type="http://schemas.openxmlformats.org/officeDocument/2006/relationships/hyperlink" Target="http://dx.doi.org/10.25750/1995-4301-2022-4-014-021" TargetMode="External"/><Relationship Id="rId1507" Type="http://schemas.openxmlformats.org/officeDocument/2006/relationships/hyperlink" Target="http://dx.doi.org/10.1016/j.jpdc.2020.02.006" TargetMode="External"/><Relationship Id="rId1714" Type="http://schemas.openxmlformats.org/officeDocument/2006/relationships/hyperlink" Target="https%3A%2F%2Fwww.webofscience.com%2Fwos%2Fwoscc%2Ffull-record%2FWOS:A1996WM80200035" TargetMode="External"/><Relationship Id="rId295" Type="http://schemas.openxmlformats.org/officeDocument/2006/relationships/hyperlink" Target="http://dx.doi.org/10.1134/S0036029518080049" TargetMode="External"/><Relationship Id="rId1921" Type="http://schemas.openxmlformats.org/officeDocument/2006/relationships/hyperlink" Target="http://dx.doi.org/10.1002/jbm.a.36721" TargetMode="External"/><Relationship Id="rId2183" Type="http://schemas.openxmlformats.org/officeDocument/2006/relationships/hyperlink" Target="http://dx.doi.org/10.25750/1995-4301-2021-1-139-146" TargetMode="External"/><Relationship Id="rId2390" Type="http://schemas.openxmlformats.org/officeDocument/2006/relationships/hyperlink" Target="http://dx.doi.org/10.1134/S1990747818020058" TargetMode="External"/><Relationship Id="rId2488" Type="http://schemas.openxmlformats.org/officeDocument/2006/relationships/hyperlink" Target="https%3A%2F%2Fwww.webofscience.com%2Fwos%2Fwoscc%2Ffull-record%2FWOS:000839796000001" TargetMode="External"/><Relationship Id="rId155" Type="http://schemas.openxmlformats.org/officeDocument/2006/relationships/hyperlink" Target="https%3A%2F%2Fwww.webofscience.com%2Fwos%2Fwoscc%2Ffull-record%2FWOS:000429273100001" TargetMode="External"/><Relationship Id="rId362" Type="http://schemas.openxmlformats.org/officeDocument/2006/relationships/hyperlink" Target="http://dx.doi.org/10.1108/OTH-07-2019-0042" TargetMode="External"/><Relationship Id="rId1297" Type="http://schemas.openxmlformats.org/officeDocument/2006/relationships/hyperlink" Target="http://dx.doi.org/10.25750/1995-4301-2021-1-040-052" TargetMode="External"/><Relationship Id="rId2043" Type="http://schemas.openxmlformats.org/officeDocument/2006/relationships/hyperlink" Target="https%3A%2F%2Fwww.webofscience.com%2Fwos%2Fwoscc%2Ffull-record%2FWOS:000709344500012" TargetMode="External"/><Relationship Id="rId2250" Type="http://schemas.openxmlformats.org/officeDocument/2006/relationships/hyperlink" Target="http://dx.doi.org/10.1002/jbm.a.35936" TargetMode="External"/><Relationship Id="rId222" Type="http://schemas.openxmlformats.org/officeDocument/2006/relationships/hyperlink" Target="http://dx.doi.org/10.1016/j.quaint.2006.02.018" TargetMode="External"/><Relationship Id="rId667" Type="http://schemas.openxmlformats.org/officeDocument/2006/relationships/hyperlink" Target="http://dx.doi.org/10.3897/ap.2.e2633" TargetMode="External"/><Relationship Id="rId874" Type="http://schemas.openxmlformats.org/officeDocument/2006/relationships/hyperlink" Target="http://dx.doi.org/10.17223/19988613/76/11" TargetMode="External"/><Relationship Id="rId2110" Type="http://schemas.openxmlformats.org/officeDocument/2006/relationships/hyperlink" Target="https%3A%2F%2Fwww.webofscience.com%2Fwos%2Fwoscc%2Ffull-record%2FWOS:000470169700004" TargetMode="External"/><Relationship Id="rId2348" Type="http://schemas.openxmlformats.org/officeDocument/2006/relationships/hyperlink" Target="https%3A%2F%2Fwww.webofscience.com%2Fwos%2Fwoscc%2Ffull-record%2FWOS:000820802000029" TargetMode="External"/><Relationship Id="rId527" Type="http://schemas.openxmlformats.org/officeDocument/2006/relationships/hyperlink" Target="http://dx.doi.org/10.1088/1757-899X/262/1/012010" TargetMode="External"/><Relationship Id="rId734" Type="http://schemas.openxmlformats.org/officeDocument/2006/relationships/hyperlink" Target="http://dx.doi.org/10.1109/ICEnT.2017.36" TargetMode="External"/><Relationship Id="rId941" Type="http://schemas.openxmlformats.org/officeDocument/2006/relationships/hyperlink" Target="http://dx.doi.org/10.1007/978-3-319-60696-5_10" TargetMode="External"/><Relationship Id="rId1157" Type="http://schemas.openxmlformats.org/officeDocument/2006/relationships/hyperlink" Target="https%3A%2F%2Fwww.webofscience.com%2Fwos%2Fwoscc%2Ffull-record%2FWOS:000189119800014" TargetMode="External"/><Relationship Id="rId1364" Type="http://schemas.openxmlformats.org/officeDocument/2006/relationships/hyperlink" Target="http://dx.doi.org/10.31166/VoprosyIstorii202012Statyi70" TargetMode="External"/><Relationship Id="rId1571" Type="http://schemas.openxmlformats.org/officeDocument/2006/relationships/hyperlink" Target="http://dx.doi.org/10.1007/s10720-005-0067-z" TargetMode="External"/><Relationship Id="rId2208" Type="http://schemas.openxmlformats.org/officeDocument/2006/relationships/hyperlink" Target="https%3A%2F%2Fwww.webofscience.com%2Fwos%2Fwoscc%2Ffull-record%2FWOS:000332737500013" TargetMode="External"/><Relationship Id="rId2415" Type="http://schemas.openxmlformats.org/officeDocument/2006/relationships/hyperlink" Target="http://dx.doi.org/10.31407/ijees12.345" TargetMode="External"/><Relationship Id="rId70" Type="http://schemas.openxmlformats.org/officeDocument/2006/relationships/hyperlink" Target="https%3A%2F%2Fwww.webofscience.com%2Fwos%2Fwoscc%2Ffull-record%2FWOS:000330336600010" TargetMode="External"/><Relationship Id="rId801" Type="http://schemas.openxmlformats.org/officeDocument/2006/relationships/hyperlink" Target="http://dx.doi.org/10.26170/FK20-03-11" TargetMode="External"/><Relationship Id="rId1017" Type="http://schemas.openxmlformats.org/officeDocument/2006/relationships/hyperlink" Target="https%3A%2F%2Fwww.webofscience.com%2Fwos%2Fwoscc%2Ffull-record%2FWOS:000617169900018" TargetMode="External"/><Relationship Id="rId1224" Type="http://schemas.openxmlformats.org/officeDocument/2006/relationships/hyperlink" Target="https%3A%2F%2Fwww.webofscience.com%2Fwos%2Fwoscc%2Ffull-record%2FWOS:000671896200024" TargetMode="External"/><Relationship Id="rId1431" Type="http://schemas.openxmlformats.org/officeDocument/2006/relationships/hyperlink" Target="http://dx.doi.org/10.22616/ERDev.2020.19.TF249" TargetMode="External"/><Relationship Id="rId1669" Type="http://schemas.openxmlformats.org/officeDocument/2006/relationships/hyperlink" Target="https%3A%2F%2Fwww.webofscience.com%2Fwos%2Fwoscc%2Ffull-record%2FWOS:000409067500004" TargetMode="External"/><Relationship Id="rId1876" Type="http://schemas.openxmlformats.org/officeDocument/2006/relationships/hyperlink" Target="http://dx.doi.org/10.1515/POLYENG.2011.058" TargetMode="External"/><Relationship Id="rId1529" Type="http://schemas.openxmlformats.org/officeDocument/2006/relationships/hyperlink" Target="http://dx.doi.org/10.37482/0536-1036-2020-3-128-142" TargetMode="External"/><Relationship Id="rId1736" Type="http://schemas.openxmlformats.org/officeDocument/2006/relationships/hyperlink" Target="http://dx.doi.org/10.1088/1757-899X/971/3/032059" TargetMode="External"/><Relationship Id="rId1943" Type="http://schemas.openxmlformats.org/officeDocument/2006/relationships/hyperlink" Target="https%3A%2F%2Fwww.webofscience.com%2Fwos%2Fwoscc%2Ffull-record%2FWOS:000456760100035" TargetMode="External"/><Relationship Id="rId28" Type="http://schemas.openxmlformats.org/officeDocument/2006/relationships/hyperlink" Target="https%3A%2F%2Fwww.webofscience.com%2Fwos%2Fwoscc%2Ffull-record%2FWOS:000446952000078" TargetMode="External"/><Relationship Id="rId1803" Type="http://schemas.openxmlformats.org/officeDocument/2006/relationships/hyperlink" Target="http://dx.doi.org/10.3390/sym13101869" TargetMode="External"/><Relationship Id="rId177" Type="http://schemas.openxmlformats.org/officeDocument/2006/relationships/hyperlink" Target="http://dx.doi.org/10.1134/S0003683807040072" TargetMode="External"/><Relationship Id="rId384" Type="http://schemas.openxmlformats.org/officeDocument/2006/relationships/hyperlink" Target="http://dx.doi.org/10.1134/S0036024409030170" TargetMode="External"/><Relationship Id="rId591" Type="http://schemas.openxmlformats.org/officeDocument/2006/relationships/hyperlink" Target="https%3A%2F%2Fwww.webofscience.com%2Fwos%2Fwoscc%2Ffull-record%2FWOS:000443674500030" TargetMode="External"/><Relationship Id="rId2065" Type="http://schemas.openxmlformats.org/officeDocument/2006/relationships/hyperlink" Target="https%3A%2F%2Fwww.webofscience.com%2Fwos%2Fwoscc%2Ffull-record%2FWOS:000741358800004" TargetMode="External"/><Relationship Id="rId2272" Type="http://schemas.openxmlformats.org/officeDocument/2006/relationships/hyperlink" Target="http://dx.doi.org/10.25750/1995-4301-2020-4-129-135" TargetMode="External"/><Relationship Id="rId244" Type="http://schemas.openxmlformats.org/officeDocument/2006/relationships/hyperlink" Target="http://dx.doi.org/10.1007/978-3-319-41920-6_12" TargetMode="External"/><Relationship Id="rId689" Type="http://schemas.openxmlformats.org/officeDocument/2006/relationships/hyperlink" Target="http://dx.doi.org/10.1134/S1023193511070068" TargetMode="External"/><Relationship Id="rId896" Type="http://schemas.openxmlformats.org/officeDocument/2006/relationships/hyperlink" Target="https%3A%2F%2Fwww.webofscience.com%2Fwos%2Fwoscc%2Ffull-record%2FWOS:000468971700031" TargetMode="External"/><Relationship Id="rId1081" Type="http://schemas.openxmlformats.org/officeDocument/2006/relationships/hyperlink" Target="http://dx.doi.org/10.1134/S1062359019010114" TargetMode="External"/><Relationship Id="rId451" Type="http://schemas.openxmlformats.org/officeDocument/2006/relationships/hyperlink" Target="http://dx.doi.org/10.17223/23062061/16/7" TargetMode="External"/><Relationship Id="rId549" Type="http://schemas.openxmlformats.org/officeDocument/2006/relationships/hyperlink" Target="https%3A%2F%2Fwww.webofscience.com%2Fwos%2Fwoscc%2Ffull-record%2FWOS:000605204300002" TargetMode="External"/><Relationship Id="rId756" Type="http://schemas.openxmlformats.org/officeDocument/2006/relationships/hyperlink" Target="https%3A%2F%2Fwww.webofscience.com%2Fwos%2Fwoscc%2Ffull-record%2FWOS:000624428700023" TargetMode="External"/><Relationship Id="rId1179" Type="http://schemas.openxmlformats.org/officeDocument/2006/relationships/hyperlink" Target="http://dx.doi.org/10.12841/wood.1644-3985.268.06" TargetMode="External"/><Relationship Id="rId1386" Type="http://schemas.openxmlformats.org/officeDocument/2006/relationships/hyperlink" Target="http://dx.doi.org/10.26170/FK19-02-15" TargetMode="External"/><Relationship Id="rId1593" Type="http://schemas.openxmlformats.org/officeDocument/2006/relationships/hyperlink" Target="https%3A%2F%2Fwww.webofscience.com%2Fwos%2Fwoscc%2Ffull-record%2FWOS:000323258500008" TargetMode="External"/><Relationship Id="rId2132" Type="http://schemas.openxmlformats.org/officeDocument/2006/relationships/hyperlink" Target="https%3A%2F%2Fwww.webofscience.com%2Fwos%2Fwoscc%2Ffull-record%2FWOS:000477826000006" TargetMode="External"/><Relationship Id="rId2437" Type="http://schemas.openxmlformats.org/officeDocument/2006/relationships/hyperlink" Target="http://dx.doi.org/10.17223/15617793/431/30" TargetMode="External"/><Relationship Id="rId104" Type="http://schemas.openxmlformats.org/officeDocument/2006/relationships/hyperlink" Target="http://dx.doi.org/10.15688/jvolsu4.2022.2.8" TargetMode="External"/><Relationship Id="rId311" Type="http://schemas.openxmlformats.org/officeDocument/2006/relationships/hyperlink" Target="https%3A%2F%2Fwww.webofscience.com%2Fwos%2Fwoscc%2Ffull-record%2FWOS:000223263200010" TargetMode="External"/><Relationship Id="rId409" Type="http://schemas.openxmlformats.org/officeDocument/2006/relationships/hyperlink" Target="https%3A%2F%2Fwww.webofscience.com%2Fwos%2Fwoscc%2Ffull-record%2FWOS:000457011900011" TargetMode="External"/><Relationship Id="rId963" Type="http://schemas.openxmlformats.org/officeDocument/2006/relationships/hyperlink" Target="https%3A%2F%2Fwww.webofscience.com%2Fwos%2Fwoscc%2Ffull-record%2FWOS:000753334600003" TargetMode="External"/><Relationship Id="rId1039" Type="http://schemas.openxmlformats.org/officeDocument/2006/relationships/hyperlink" Target="http://dx.doi.org/10.18720/MCE.82.16" TargetMode="External"/><Relationship Id="rId1246" Type="http://schemas.openxmlformats.org/officeDocument/2006/relationships/hyperlink" Target="http://dx.doi.org/10.3390/risks11020037" TargetMode="External"/><Relationship Id="rId1898" Type="http://schemas.openxmlformats.org/officeDocument/2006/relationships/hyperlink" Target="http://dx.doi.org/10.1134/S1062359020100179" TargetMode="External"/><Relationship Id="rId92" Type="http://schemas.openxmlformats.org/officeDocument/2006/relationships/hyperlink" Target="https%3A%2F%2Fwww.webofscience.com%2Fwos%2Fwoscc%2Ffull-record%2FWOS:000469999300031" TargetMode="External"/><Relationship Id="rId616" Type="http://schemas.openxmlformats.org/officeDocument/2006/relationships/hyperlink" Target="http://dx.doi.org/10.31166/VoprosyIstorii202012Statyi19" TargetMode="External"/><Relationship Id="rId823" Type="http://schemas.openxmlformats.org/officeDocument/2006/relationships/hyperlink" Target="https%3A%2F%2Fwww.webofscience.com%2Fwos%2Fwoscc%2Ffull-record%2FWOS:000398165000003" TargetMode="External"/><Relationship Id="rId1453" Type="http://schemas.openxmlformats.org/officeDocument/2006/relationships/hyperlink" Target="https%3A%2F%2Fwww.webofscience.com%2Fwos%2Fwoscc%2Ffull-record%2FWOS:000565173800011" TargetMode="External"/><Relationship Id="rId1660" Type="http://schemas.openxmlformats.org/officeDocument/2006/relationships/hyperlink" Target="https%3A%2F%2Fwww.webofscience.com%2Fwos%2Fwoscc%2Ffull-record%2FWOS:000504079400001" TargetMode="External"/><Relationship Id="rId1758" Type="http://schemas.openxmlformats.org/officeDocument/2006/relationships/hyperlink" Target="http://dx.doi.org/10.24874/IJQR14.02-08" TargetMode="External"/><Relationship Id="rId2504" Type="http://schemas.openxmlformats.org/officeDocument/2006/relationships/hyperlink" Target="https%3A%2F%2Fwww.webofscience.com%2Fwos%2Fwoscc%2Ffull-record%2FWOS:000451687800003" TargetMode="External"/><Relationship Id="rId1106" Type="http://schemas.openxmlformats.org/officeDocument/2006/relationships/hyperlink" Target="https%3A%2F%2Fwww.webofscience.com%2Fwos%2Fwoscc%2Ffull-record%2FWOS:000805642800025" TargetMode="External"/><Relationship Id="rId1313" Type="http://schemas.openxmlformats.org/officeDocument/2006/relationships/hyperlink" Target="https%3A%2F%2Fwww.webofscience.com%2Fwos%2Fwoscc%2Ffull-record%2FWOS:000915249500014" TargetMode="External"/><Relationship Id="rId1520" Type="http://schemas.openxmlformats.org/officeDocument/2006/relationships/hyperlink" Target="https%3A%2F%2Fwww.webofscience.com%2Fwos%2Fwoscc%2Ffull-record%2FWOS:000749250800001" TargetMode="External"/><Relationship Id="rId1965" Type="http://schemas.openxmlformats.org/officeDocument/2006/relationships/hyperlink" Target="http://dx.doi.org/10.25750/1995-4301-2020-1-151-159" TargetMode="External"/><Relationship Id="rId1618" Type="http://schemas.openxmlformats.org/officeDocument/2006/relationships/hyperlink" Target="http://dx.doi.org/10.1088/1757-899X/537/2/022064" TargetMode="External"/><Relationship Id="rId1825" Type="http://schemas.openxmlformats.org/officeDocument/2006/relationships/hyperlink" Target="http://dx.doi.org/10.1051/e3sconf/202021016021" TargetMode="External"/><Relationship Id="rId199" Type="http://schemas.openxmlformats.org/officeDocument/2006/relationships/hyperlink" Target="https%3A%2F%2Fwww.webofscience.com%2Fwos%2Fwoscc%2Ffull-record%2FWOS:000528195000009" TargetMode="External"/><Relationship Id="rId2087" Type="http://schemas.openxmlformats.org/officeDocument/2006/relationships/hyperlink" Target="https%3A%2F%2Fwww.webofscience.com%2Fwos%2Fwoscc%2Ffull-record%2FWOS:000959623400007" TargetMode="External"/><Relationship Id="rId2294" Type="http://schemas.openxmlformats.org/officeDocument/2006/relationships/hyperlink" Target="http://dx.doi.org/10.25750/1995-4301-2018-4-093-098" TargetMode="External"/><Relationship Id="rId266" Type="http://schemas.openxmlformats.org/officeDocument/2006/relationships/hyperlink" Target="http://dx.doi.org/10.1134/S1064230715060106" TargetMode="External"/><Relationship Id="rId473" Type="http://schemas.openxmlformats.org/officeDocument/2006/relationships/hyperlink" Target="https%3A%2F%2Fwww.webofscience.com%2Fwos%2Fwoscc%2Ffull-record%2FWOS:000971558700003" TargetMode="External"/><Relationship Id="rId680" Type="http://schemas.openxmlformats.org/officeDocument/2006/relationships/hyperlink" Target="http://dx.doi.org/10.17072/2219-3111-2018-4-40-49" TargetMode="External"/><Relationship Id="rId2154" Type="http://schemas.openxmlformats.org/officeDocument/2006/relationships/hyperlink" Target="https%3A%2F%2Fwww.webofscience.com%2Fwos%2Fwoscc%2Ffull-record%2FWOS:000504049400014" TargetMode="External"/><Relationship Id="rId2361" Type="http://schemas.openxmlformats.org/officeDocument/2006/relationships/hyperlink" Target="http://dx.doi.org/10.25750/1995-4301-2018-3-012-018" TargetMode="External"/><Relationship Id="rId126" Type="http://schemas.openxmlformats.org/officeDocument/2006/relationships/hyperlink" Target="https%3A%2F%2Fwww.webofscience.com%2Fwos%2Fwoscc%2Ffull-record%2FWOS:000400700700024" TargetMode="External"/><Relationship Id="rId333" Type="http://schemas.openxmlformats.org/officeDocument/2006/relationships/hyperlink" Target="https%3A%2F%2Fwww.webofscience.com%2Fwos%2Fwoscc%2Ffull-record%2FWOS:000648426900046" TargetMode="External"/><Relationship Id="rId540" Type="http://schemas.openxmlformats.org/officeDocument/2006/relationships/hyperlink" Target="http://dx.doi.org/10.28995/2073-0101-2022-4-1271-1279" TargetMode="External"/><Relationship Id="rId778" Type="http://schemas.openxmlformats.org/officeDocument/2006/relationships/hyperlink" Target="https%3A%2F%2Fwww.webofscience.com%2Fwos%2Fwoscc%2Ffull-record%2FWOS:000428759500042" TargetMode="External"/><Relationship Id="rId985" Type="http://schemas.openxmlformats.org/officeDocument/2006/relationships/hyperlink" Target="https%3A%2F%2Fwww.webofscience.com%2Fwos%2Fwoscc%2Ffull-record%2FWOS:000414282400252" TargetMode="External"/><Relationship Id="rId1170" Type="http://schemas.openxmlformats.org/officeDocument/2006/relationships/hyperlink" Target="https%3A%2F%2Fwww.webofscience.com%2Fwos%2Fwoscc%2Ffull-record%2FWOS:000604183000013" TargetMode="External"/><Relationship Id="rId2014" Type="http://schemas.openxmlformats.org/officeDocument/2006/relationships/hyperlink" Target="http://dx.doi.org/10.22616/ERDev2017.16.N269" TargetMode="External"/><Relationship Id="rId2221" Type="http://schemas.openxmlformats.org/officeDocument/2006/relationships/hyperlink" Target="http://dx.doi.org/10.3389/fenrg.2022.908489" TargetMode="External"/><Relationship Id="rId2459" Type="http://schemas.openxmlformats.org/officeDocument/2006/relationships/hyperlink" Target="http://dx.doi.org/10.3390/app122412681" TargetMode="External"/><Relationship Id="rId638" Type="http://schemas.openxmlformats.org/officeDocument/2006/relationships/hyperlink" Target="https%3A%2F%2Fwww.webofscience.com%2Fwos%2Fwoscc%2Ffull-record%2FWOS:000426878200109" TargetMode="External"/><Relationship Id="rId845" Type="http://schemas.openxmlformats.org/officeDocument/2006/relationships/hyperlink" Target="https%3A%2F%2Fwww.webofscience.com%2Fwos%2Fwoscc%2Ffull-record%2FWOS:000528268000005" TargetMode="External"/><Relationship Id="rId1030" Type="http://schemas.openxmlformats.org/officeDocument/2006/relationships/hyperlink" Target="https%3A%2F%2Fwww.webofscience.com%2Fwos%2Fwoscc%2Ffull-record%2FWOS:000590145400016" TargetMode="External"/><Relationship Id="rId1268" Type="http://schemas.openxmlformats.org/officeDocument/2006/relationships/hyperlink" Target="https%3A%2F%2Fwww.webofscience.com%2Fwos%2Fwoscc%2Ffull-record%2FWOS:000670636000005" TargetMode="External"/><Relationship Id="rId1475" Type="http://schemas.openxmlformats.org/officeDocument/2006/relationships/hyperlink" Target="http://dx.doi.org/10.25750/1995-4301-2022-1-115-123" TargetMode="External"/><Relationship Id="rId1682" Type="http://schemas.openxmlformats.org/officeDocument/2006/relationships/hyperlink" Target="https%3A%2F%2Fwww.webofscience.com%2Fwos%2Fwoscc%2Ffull-record%2FWOS:000409067500057" TargetMode="External"/><Relationship Id="rId2319" Type="http://schemas.openxmlformats.org/officeDocument/2006/relationships/hyperlink" Target="https%3A%2F%2Fwww.webofscience.com%2Fwos%2Fwoscc%2Ffull-record%2FWOS:000419175500012" TargetMode="External"/><Relationship Id="rId400" Type="http://schemas.openxmlformats.org/officeDocument/2006/relationships/hyperlink" Target="http://dx.doi.org/10.18254/S207987840017862-7" TargetMode="External"/><Relationship Id="rId705" Type="http://schemas.openxmlformats.org/officeDocument/2006/relationships/hyperlink" Target="https%3A%2F%2Fwww.webofscience.com%2Fwos%2Fwoscc%2Ffull-record%2FWOS:000739852400005" TargetMode="External"/><Relationship Id="rId1128" Type="http://schemas.openxmlformats.org/officeDocument/2006/relationships/hyperlink" Target="https%3A%2F%2Fwww.webofscience.com%2Fwos%2Fwoscc%2Ffull-record%2FWOS:000502010700008" TargetMode="External"/><Relationship Id="rId1335" Type="http://schemas.openxmlformats.org/officeDocument/2006/relationships/hyperlink" Target="https%3A%2F%2Fwww.webofscience.com%2Fwos%2Fwoscc%2Ffull-record%2FWOS:000187861200004" TargetMode="External"/><Relationship Id="rId1542" Type="http://schemas.openxmlformats.org/officeDocument/2006/relationships/hyperlink" Target="http://dx.doi.org/10.1111/tan.14802" TargetMode="External"/><Relationship Id="rId1987" Type="http://schemas.openxmlformats.org/officeDocument/2006/relationships/hyperlink" Target="https%3A%2F%2Fwww.webofscience.com%2Fwos%2Fwoscc%2Ffull-record%2FWOS:000755154100025" TargetMode="External"/><Relationship Id="rId912" Type="http://schemas.openxmlformats.org/officeDocument/2006/relationships/hyperlink" Target="https%3A%2F%2Fwww.webofscience.com%2Fwos%2Fwoscc%2Ffull-record%2FWOS:000287838000014" TargetMode="External"/><Relationship Id="rId1847" Type="http://schemas.openxmlformats.org/officeDocument/2006/relationships/hyperlink" Target="http://dx.doi.org/10.1016/j.ijbiomac.2018.02.053" TargetMode="External"/><Relationship Id="rId41" Type="http://schemas.openxmlformats.org/officeDocument/2006/relationships/hyperlink" Target="https%3A%2F%2Fwww.webofscience.com%2Fwos%2Fwoscc%2Ffull-record%2FWOS:000223571800010" TargetMode="External"/><Relationship Id="rId1402" Type="http://schemas.openxmlformats.org/officeDocument/2006/relationships/hyperlink" Target="https%3A%2F%2Fwww.webofscience.com%2Fwos%2Fwoscc%2Ffull-record%2FWOS:000611787800022" TargetMode="External"/><Relationship Id="rId1707" Type="http://schemas.openxmlformats.org/officeDocument/2006/relationships/hyperlink" Target="http://dx.doi.org/10.3897/ap.1.e1014" TargetMode="External"/><Relationship Id="rId190" Type="http://schemas.openxmlformats.org/officeDocument/2006/relationships/hyperlink" Target="http://dx.doi.org/10.3103/S0147688221020064" TargetMode="External"/><Relationship Id="rId288" Type="http://schemas.openxmlformats.org/officeDocument/2006/relationships/hyperlink" Target="http://dx.doi.org/10.13187/ejced.2019.2.357" TargetMode="External"/><Relationship Id="rId1914" Type="http://schemas.openxmlformats.org/officeDocument/2006/relationships/hyperlink" Target="https%3A%2F%2Fwww.webofscience.com%2Fwos%2Fwoscc%2Ffull-record%2FWOS:000921018100018" TargetMode="External"/><Relationship Id="rId495" Type="http://schemas.openxmlformats.org/officeDocument/2006/relationships/hyperlink" Target="https%3A%2F%2Fwww.webofscience.com%2Fwos%2Fwoscc%2Ffull-record%2FWOS:000413946100011" TargetMode="External"/><Relationship Id="rId2176" Type="http://schemas.openxmlformats.org/officeDocument/2006/relationships/hyperlink" Target="https%3A%2F%2Fwww.webofscience.com%2Fwos%2Fwoscc%2Ffull-record%2FWOS:000468564100009" TargetMode="External"/><Relationship Id="rId2383" Type="http://schemas.openxmlformats.org/officeDocument/2006/relationships/hyperlink" Target="https%3A%2F%2Fwww.webofscience.com%2Fwos%2Fwoscc%2Ffull-record%2FWOS:000482200500004" TargetMode="External"/><Relationship Id="rId148" Type="http://schemas.openxmlformats.org/officeDocument/2006/relationships/hyperlink" Target="http://dx.doi.org/10.17223/15617793/441/6" TargetMode="External"/><Relationship Id="rId355" Type="http://schemas.openxmlformats.org/officeDocument/2006/relationships/hyperlink" Target="https%3A%2F%2Fwww.webofscience.com%2Fwos%2Fwoscc%2Ffull-record%2FWOS:000624911700007" TargetMode="External"/><Relationship Id="rId562" Type="http://schemas.openxmlformats.org/officeDocument/2006/relationships/hyperlink" Target="http://dx.doi.org/10.22616/ERDev2018.17.N241" TargetMode="External"/><Relationship Id="rId1192" Type="http://schemas.openxmlformats.org/officeDocument/2006/relationships/hyperlink" Target="https%3A%2F%2Fwww.webofscience.com%2Fwos%2Fwoscc%2Ffull-record%2FWOS:000452895600011" TargetMode="External"/><Relationship Id="rId2036" Type="http://schemas.openxmlformats.org/officeDocument/2006/relationships/hyperlink" Target="http://dx.doi.org/10.1134/S1068162014020162" TargetMode="External"/><Relationship Id="rId2243" Type="http://schemas.openxmlformats.org/officeDocument/2006/relationships/hyperlink" Target="http://dx.doi.org/10.1134/S1064229311020116" TargetMode="External"/><Relationship Id="rId2450" Type="http://schemas.openxmlformats.org/officeDocument/2006/relationships/hyperlink" Target="https%3A%2F%2Fwww.webofscience.com%2Fwos%2Fwoscc%2Ffull-record%2FWOS:000423586100043" TargetMode="External"/><Relationship Id="rId215" Type="http://schemas.openxmlformats.org/officeDocument/2006/relationships/hyperlink" Target="http://dx.doi.org/10.1134/S1070427208100133" TargetMode="External"/><Relationship Id="rId422" Type="http://schemas.openxmlformats.org/officeDocument/2006/relationships/hyperlink" Target="http://dx.doi.org/10.1007/s11236-005-0083-7" TargetMode="External"/><Relationship Id="rId867" Type="http://schemas.openxmlformats.org/officeDocument/2006/relationships/hyperlink" Target="https%3A%2F%2Fwww.webofscience.com%2Fwos%2Fwoscc%2Ffull-record%2FWOS:000391650700009" TargetMode="External"/><Relationship Id="rId1052" Type="http://schemas.openxmlformats.org/officeDocument/2006/relationships/hyperlink" Target="https%3A%2F%2Fwww.webofscience.com%2Fwos%2Fwoscc%2Ffull-record%2FWOS:000169595300014" TargetMode="External"/><Relationship Id="rId1497" Type="http://schemas.openxmlformats.org/officeDocument/2006/relationships/hyperlink" Target="http://dx.doi.org/10.1088/1757-899X/489/1/012030" TargetMode="External"/><Relationship Id="rId2103" Type="http://schemas.openxmlformats.org/officeDocument/2006/relationships/hyperlink" Target="http://dx.doi.org/10.25750/1995-4301-2021-2-022-030" TargetMode="External"/><Relationship Id="rId2310" Type="http://schemas.openxmlformats.org/officeDocument/2006/relationships/hyperlink" Target="http://dx.doi.org/10.13187/ejced.2022.2.526" TargetMode="External"/><Relationship Id="rId727" Type="http://schemas.openxmlformats.org/officeDocument/2006/relationships/hyperlink" Target="http://dx.doi.org/10.1007/978-3-319-71746-3_12" TargetMode="External"/><Relationship Id="rId934" Type="http://schemas.openxmlformats.org/officeDocument/2006/relationships/hyperlink" Target="http://dx.doi.org/10.21638/spbu14.2019.304" TargetMode="External"/><Relationship Id="rId1357" Type="http://schemas.openxmlformats.org/officeDocument/2006/relationships/hyperlink" Target="https%3A%2F%2Fwww.webofscience.com%2Fwos%2Fwoscc%2Ffull-record%2FWOS:000409067500025" TargetMode="External"/><Relationship Id="rId1564" Type="http://schemas.openxmlformats.org/officeDocument/2006/relationships/hyperlink" Target="https%3A%2F%2Fwww.webofscience.com%2Fwos%2Fwoscc%2Ffull-record%2FWOS:000679066800117" TargetMode="External"/><Relationship Id="rId1771" Type="http://schemas.openxmlformats.org/officeDocument/2006/relationships/hyperlink" Target="http://dx.doi.org/10.1111/tan.15007" TargetMode="External"/><Relationship Id="rId2408" Type="http://schemas.openxmlformats.org/officeDocument/2006/relationships/hyperlink" Target="https%3A%2F%2Fwww.webofscience.com%2Fwos%2Fwoscc%2Ffull-record%2FWOS:000490704900014" TargetMode="External"/><Relationship Id="rId63" Type="http://schemas.openxmlformats.org/officeDocument/2006/relationships/hyperlink" Target="http://dx.doi.org/10.24833/2071-8160-2018-4-61-241-261" TargetMode="External"/><Relationship Id="rId1217" Type="http://schemas.openxmlformats.org/officeDocument/2006/relationships/hyperlink" Target="http://dx.doi.org/10.1134/S106422932105015X" TargetMode="External"/><Relationship Id="rId1424" Type="http://schemas.openxmlformats.org/officeDocument/2006/relationships/hyperlink" Target="https%3A%2F%2Fwww.webofscience.com%2Fwos%2Fwoscc%2Ffull-record%2FWOS:000994427200002" TargetMode="External"/><Relationship Id="rId1631" Type="http://schemas.openxmlformats.org/officeDocument/2006/relationships/hyperlink" Target="http://dx.doi.org/10.1051/matecconf/201710608089" TargetMode="External"/><Relationship Id="rId1869" Type="http://schemas.openxmlformats.org/officeDocument/2006/relationships/hyperlink" Target="https%3A%2F%2Fwww.webofscience.com%2Fwos%2Fwoscc%2Ffull-record%2FWOS:000522216800010" TargetMode="External"/><Relationship Id="rId1729" Type="http://schemas.openxmlformats.org/officeDocument/2006/relationships/hyperlink" Target="https%3A%2F%2Fwww.webofscience.com%2Fwos%2Fwoscc%2Ffull-record%2FWOS:000312062700003" TargetMode="External"/><Relationship Id="rId1936" Type="http://schemas.openxmlformats.org/officeDocument/2006/relationships/hyperlink" Target="http://dx.doi.org/10.1134/S0021894417030178" TargetMode="External"/><Relationship Id="rId2198" Type="http://schemas.openxmlformats.org/officeDocument/2006/relationships/hyperlink" Target="https%3A%2F%2Fwww.webofscience.com%2Fwos%2Fwoscc%2Ffull-record%2FWOS:000678055500003" TargetMode="External"/><Relationship Id="rId377" Type="http://schemas.openxmlformats.org/officeDocument/2006/relationships/hyperlink" Target="http://dx.doi.org/10.15405/epsbs.2017.08.02.64" TargetMode="External"/><Relationship Id="rId584" Type="http://schemas.openxmlformats.org/officeDocument/2006/relationships/hyperlink" Target="http://dx.doi.org/10.17223/19988613/63/12" TargetMode="External"/><Relationship Id="rId2058" Type="http://schemas.openxmlformats.org/officeDocument/2006/relationships/hyperlink" Target="http://dx.doi.org/10.5750/1995-4301-2022-2-209-215" TargetMode="External"/><Relationship Id="rId2265" Type="http://schemas.openxmlformats.org/officeDocument/2006/relationships/hyperlink" Target="https%3A%2F%2Fwww.webofscience.com%2Fwos%2Fwoscc%2Ffull-record%2FWOS:000236688100018" TargetMode="External"/><Relationship Id="rId5" Type="http://schemas.openxmlformats.org/officeDocument/2006/relationships/hyperlink" Target="https%3A%2F%2Fwww.webofscience.com%2Fwos%2Fwoscc%2Ffull-record%2FWOS:000819811100033" TargetMode="External"/><Relationship Id="rId237" Type="http://schemas.openxmlformats.org/officeDocument/2006/relationships/hyperlink" Target="https%3A%2F%2Fwww.webofscience.com%2Fwos%2Fwoscc%2Ffull-record%2FWOS:000468564900003" TargetMode="External"/><Relationship Id="rId791" Type="http://schemas.openxmlformats.org/officeDocument/2006/relationships/hyperlink" Target="http://dx.doi.org/10.1080/09668136.2022.2083309" TargetMode="External"/><Relationship Id="rId889" Type="http://schemas.openxmlformats.org/officeDocument/2006/relationships/hyperlink" Target="https%3A%2F%2Fwww.webofscience.com%2Fwos%2Fwoscc%2Ffull-record%2FWOS:000680842100054" TargetMode="External"/><Relationship Id="rId1074" Type="http://schemas.openxmlformats.org/officeDocument/2006/relationships/hyperlink" Target="http://dx.doi.org/10.24224/2227-1295-2019-11-144-154" TargetMode="External"/><Relationship Id="rId2472" Type="http://schemas.openxmlformats.org/officeDocument/2006/relationships/hyperlink" Target="http://dx.doi.org/10.20511/pyr2021.v9nSPE3.1133" TargetMode="External"/><Relationship Id="rId444" Type="http://schemas.openxmlformats.org/officeDocument/2006/relationships/hyperlink" Target="http://dx.doi.org/10.1051/e3sconf/201911002021" TargetMode="External"/><Relationship Id="rId651" Type="http://schemas.openxmlformats.org/officeDocument/2006/relationships/hyperlink" Target="https%3A%2F%2Fwww.webofscience.com%2Fwos%2Fwoscc%2Ffull-record%2FWOS:000247212300007" TargetMode="External"/><Relationship Id="rId749" Type="http://schemas.openxmlformats.org/officeDocument/2006/relationships/hyperlink" Target="http://dx.doi.org/10.15507/2658-4123.032.202202.279-294" TargetMode="External"/><Relationship Id="rId1281" Type="http://schemas.openxmlformats.org/officeDocument/2006/relationships/hyperlink" Target="https%3A%2F%2Fwww.webofscience.com%2Fwos%2Fwoscc%2Ffull-record%2FWOS:000581820600006" TargetMode="External"/><Relationship Id="rId1379" Type="http://schemas.openxmlformats.org/officeDocument/2006/relationships/hyperlink" Target="https%3A%2F%2Fwww.webofscience.com%2Fwos%2Fwoscc%2Ffull-record%2FWOS:000776605400001" TargetMode="External"/><Relationship Id="rId1586" Type="http://schemas.openxmlformats.org/officeDocument/2006/relationships/hyperlink" Target="https%3A%2F%2Fwww.webofscience.com%2Fwos%2Fwoscc%2Ffull-record%2FWOS:000409010200001" TargetMode="External"/><Relationship Id="rId2125" Type="http://schemas.openxmlformats.org/officeDocument/2006/relationships/hyperlink" Target="https%3A%2F%2Fwww.webofscience.com%2Fwos%2Fwoscc%2Ffull-record%2FWOS:000824879100006" TargetMode="External"/><Relationship Id="rId2332" Type="http://schemas.openxmlformats.org/officeDocument/2006/relationships/hyperlink" Target="https%3A%2F%2Fwww.webofscience.com%2Fwos%2Fwoscc%2Ffull-record%2FWOS:000545295600023" TargetMode="External"/><Relationship Id="rId304" Type="http://schemas.openxmlformats.org/officeDocument/2006/relationships/hyperlink" Target="http://dx.doi.org/10.1088/1755-1315/41/1/012024" TargetMode="External"/><Relationship Id="rId511" Type="http://schemas.openxmlformats.org/officeDocument/2006/relationships/hyperlink" Target="http://dx.doi.org/10.18254/S207987840016048-1" TargetMode="External"/><Relationship Id="rId609" Type="http://schemas.openxmlformats.org/officeDocument/2006/relationships/hyperlink" Target="https%3A%2F%2Fwww.webofscience.com%2Fwos%2Fwoscc%2Ffull-record%2FWOS:000241852800011" TargetMode="External"/><Relationship Id="rId956" Type="http://schemas.openxmlformats.org/officeDocument/2006/relationships/hyperlink" Target="http://dx.doi.org/10.17223/19996195/60/15" TargetMode="External"/><Relationship Id="rId1141" Type="http://schemas.openxmlformats.org/officeDocument/2006/relationships/hyperlink" Target="http://dx.doi.org/10.15561/18189172.2018.0106" TargetMode="External"/><Relationship Id="rId1239" Type="http://schemas.openxmlformats.org/officeDocument/2006/relationships/hyperlink" Target="https%3A%2F%2Fwww.webofscience.com%2Fwos%2Fwoscc%2Ffull-record%2FWOS:000906501300006" TargetMode="External"/><Relationship Id="rId1793" Type="http://schemas.openxmlformats.org/officeDocument/2006/relationships/hyperlink" Target="http://dx.doi.org/10.1111/tan.14962" TargetMode="External"/><Relationship Id="rId85" Type="http://schemas.openxmlformats.org/officeDocument/2006/relationships/hyperlink" Target="https%3A%2F%2Fwww.webofscience.com%2Fwos%2Fwoscc%2Ffull-record%2FWOS:000606408000001" TargetMode="External"/><Relationship Id="rId816" Type="http://schemas.openxmlformats.org/officeDocument/2006/relationships/hyperlink" Target="https%3A%2F%2Fwww.webofscience.com%2Fwos%2Fwoscc%2Ffull-record%2FWOS:000408205300004" TargetMode="External"/><Relationship Id="rId1001" Type="http://schemas.openxmlformats.org/officeDocument/2006/relationships/hyperlink" Target="https%3A%2F%2Fwww.webofscience.com%2Fwos%2Fwoscc%2Ffull-record%2FWOS:000255862200011" TargetMode="External"/><Relationship Id="rId1446" Type="http://schemas.openxmlformats.org/officeDocument/2006/relationships/hyperlink" Target="http://dx.doi.org/10.1134/S0020168510030118" TargetMode="External"/><Relationship Id="rId1653" Type="http://schemas.openxmlformats.org/officeDocument/2006/relationships/hyperlink" Target="http://dx.doi.org/10.37358/mp.20.1.5309" TargetMode="External"/><Relationship Id="rId1860" Type="http://schemas.openxmlformats.org/officeDocument/2006/relationships/hyperlink" Target="http://dx.doi.org/10.1134/S1070428022080139" TargetMode="External"/><Relationship Id="rId1306" Type="http://schemas.openxmlformats.org/officeDocument/2006/relationships/hyperlink" Target="https%3A%2F%2Fwww.webofscience.com%2Fwos%2Fwoscc%2Ffull-record%2FWOS:000296795300017" TargetMode="External"/><Relationship Id="rId1513" Type="http://schemas.openxmlformats.org/officeDocument/2006/relationships/hyperlink" Target="http://dx.doi.org/10.1109/IIAI-AAI.2016.92" TargetMode="External"/><Relationship Id="rId1720" Type="http://schemas.openxmlformats.org/officeDocument/2006/relationships/hyperlink" Target="https%3A%2F%2Fwww.webofscience.com%2Fwos%2Fwoscc%2Ffull-record%2FWOS:000766948600023" TargetMode="External"/><Relationship Id="rId1958" Type="http://schemas.openxmlformats.org/officeDocument/2006/relationships/hyperlink" Target="https%3A%2F%2Fwww.webofscience.com%2Fwos%2Fwoscc%2Ffull-record%2FWOS:000419816700126" TargetMode="External"/><Relationship Id="rId12" Type="http://schemas.openxmlformats.org/officeDocument/2006/relationships/hyperlink" Target="http://dx.doi.org/10.14529/hsm20s208" TargetMode="External"/><Relationship Id="rId1818" Type="http://schemas.openxmlformats.org/officeDocument/2006/relationships/hyperlink" Target="https%3A%2F%2Fwww.webofscience.com%2Fwos%2Fwoscc%2Ffull-record%2FWOS:000740198900003" TargetMode="External"/><Relationship Id="rId161" Type="http://schemas.openxmlformats.org/officeDocument/2006/relationships/hyperlink" Target="https%3A%2F%2Fwww.webofscience.com%2Fwos%2Fwoscc%2Ffull-record%2FWOS:000425674300290" TargetMode="External"/><Relationship Id="rId399" Type="http://schemas.openxmlformats.org/officeDocument/2006/relationships/hyperlink" Target="https%3A%2F%2Fwww.webofscience.com%2Fwos%2Fwoscc%2Ffull-record%2FWOS:000757029100020" TargetMode="External"/><Relationship Id="rId2287" Type="http://schemas.openxmlformats.org/officeDocument/2006/relationships/hyperlink" Target="https%3A%2F%2Fwww.webofscience.com%2Fwos%2Fwoscc%2Ffull-record%2FWOS:000868947100031" TargetMode="External"/><Relationship Id="rId2494" Type="http://schemas.openxmlformats.org/officeDocument/2006/relationships/hyperlink" Target="https%3A%2F%2Fwww.webofscience.com%2Fwos%2Fwoscc%2Ffull-record%2FWOS:000795947000024" TargetMode="External"/><Relationship Id="rId259" Type="http://schemas.openxmlformats.org/officeDocument/2006/relationships/hyperlink" Target="http://dx.doi.org/10.3897/ap.1.e0698" TargetMode="External"/><Relationship Id="rId466" Type="http://schemas.openxmlformats.org/officeDocument/2006/relationships/hyperlink" Target="https%3A%2F%2Fwww.webofscience.com%2Fwos%2Fwoscc%2Ffull-record%2FWOS:000232940300011" TargetMode="External"/><Relationship Id="rId673" Type="http://schemas.openxmlformats.org/officeDocument/2006/relationships/hyperlink" Target="http://dx.doi.org/10.15405/epsbs.2019.08.03.67" TargetMode="External"/><Relationship Id="rId880" Type="http://schemas.openxmlformats.org/officeDocument/2006/relationships/hyperlink" Target="http://dx.doi.org/10.14529/hsm220415" TargetMode="External"/><Relationship Id="rId1096" Type="http://schemas.openxmlformats.org/officeDocument/2006/relationships/hyperlink" Target="https%3A%2F%2Fwww.webofscience.com%2Fwos%2Fwoscc%2Ffull-record%2FWOS:000272589500216" TargetMode="External"/><Relationship Id="rId2147" Type="http://schemas.openxmlformats.org/officeDocument/2006/relationships/hyperlink" Target="http://dx.doi.org/10.1051/matecconf/201710608087" TargetMode="External"/><Relationship Id="rId2354" Type="http://schemas.openxmlformats.org/officeDocument/2006/relationships/hyperlink" Target="https%3A%2F%2Fwww.webofscience.com%2Fwos%2Fwoscc%2Ffull-record%2FWOS:000597810500027" TargetMode="External"/><Relationship Id="rId119" Type="http://schemas.openxmlformats.org/officeDocument/2006/relationships/hyperlink" Target="https%3A%2F%2Fwww.webofscience.com%2Fwos%2Fwoscc%2Ffull-record%2FWOS:000490704900012" TargetMode="External"/><Relationship Id="rId326" Type="http://schemas.openxmlformats.org/officeDocument/2006/relationships/hyperlink" Target="http://dx.doi.org/10.1007/978-3-030-01204-5_14" TargetMode="External"/><Relationship Id="rId533" Type="http://schemas.openxmlformats.org/officeDocument/2006/relationships/hyperlink" Target="https%3A%2F%2Fwww.webofscience.com%2Fwos%2Fwoscc%2Ffull-record%2FWOS:000323258500006" TargetMode="External"/><Relationship Id="rId978" Type="http://schemas.openxmlformats.org/officeDocument/2006/relationships/hyperlink" Target="https%3A%2F%2Fwww.webofscience.com%2Fwos%2Fwoscc%2Ffull-record%2FWOS:000472144400095" TargetMode="External"/><Relationship Id="rId1163" Type="http://schemas.openxmlformats.org/officeDocument/2006/relationships/hyperlink" Target="https%3A%2F%2Fwww.webofscience.com%2Fwos%2Fwoscc%2Ffull-record%2FWOS:000819811100027" TargetMode="External"/><Relationship Id="rId1370" Type="http://schemas.openxmlformats.org/officeDocument/2006/relationships/hyperlink" Target="http://dx.doi.org/10.15507/2658-4123.029.201902.187-204" TargetMode="External"/><Relationship Id="rId2007" Type="http://schemas.openxmlformats.org/officeDocument/2006/relationships/hyperlink" Target="https%3A%2F%2Fwww.webofscience.com%2Fwos%2Fwoscc%2Ffull-record%2FWOS:000449892800095" TargetMode="External"/><Relationship Id="rId2214" Type="http://schemas.openxmlformats.org/officeDocument/2006/relationships/hyperlink" Target="https%3A%2F%2Fwww.webofscience.com%2Fwos%2Fwoscc%2Ffull-record%2FWOS:000667025400026" TargetMode="External"/><Relationship Id="rId740" Type="http://schemas.openxmlformats.org/officeDocument/2006/relationships/hyperlink" Target="https%3A%2F%2Fwww.webofscience.com%2Fwos%2Fwoscc%2Ffull-record%2FWOS:000426114200051" TargetMode="External"/><Relationship Id="rId838" Type="http://schemas.openxmlformats.org/officeDocument/2006/relationships/hyperlink" Target="http://dx.doi.org/10.1016/j.dib.2020.105506" TargetMode="External"/><Relationship Id="rId1023" Type="http://schemas.openxmlformats.org/officeDocument/2006/relationships/hyperlink" Target="https%3A%2F%2Fwww.webofscience.com%2Fwos%2Fwoscc%2Ffull-record%2FWOS:000546888000006" TargetMode="External"/><Relationship Id="rId1468" Type="http://schemas.openxmlformats.org/officeDocument/2006/relationships/hyperlink" Target="https%3A%2F%2Fwww.webofscience.com%2Fwos%2Fwoscc%2Ffull-record%2FWOS:000414282400059" TargetMode="External"/><Relationship Id="rId1675" Type="http://schemas.openxmlformats.org/officeDocument/2006/relationships/hyperlink" Target="https%3A%2F%2Fwww.webofscience.com%2Fwos%2Fwoscc%2Ffull-record%2FWOS:000423728200024" TargetMode="External"/><Relationship Id="rId1882" Type="http://schemas.openxmlformats.org/officeDocument/2006/relationships/hyperlink" Target="https%3A%2F%2Fwww.webofscience.com%2Fwos%2Fwoscc%2Ffull-record%2FWOS:000522789400006" TargetMode="External"/><Relationship Id="rId2421" Type="http://schemas.openxmlformats.org/officeDocument/2006/relationships/hyperlink" Target="http://dx.doi.org/10.1371/journal.pone.0137517" TargetMode="External"/><Relationship Id="rId600" Type="http://schemas.openxmlformats.org/officeDocument/2006/relationships/hyperlink" Target="https%3A%2F%2Fwww.webofscience.com%2Fwos%2Fwoscc%2Ffull-record%2FWOS:000427690500083" TargetMode="External"/><Relationship Id="rId1230" Type="http://schemas.openxmlformats.org/officeDocument/2006/relationships/hyperlink" Target="https%3A%2F%2Fwww.webofscience.com%2Fwos%2Fwoscc%2Ffull-record%2FWOS:000261789200009" TargetMode="External"/><Relationship Id="rId1328" Type="http://schemas.openxmlformats.org/officeDocument/2006/relationships/hyperlink" Target="http://dx.doi.org/10.24874/IJQR15.03-16" TargetMode="External"/><Relationship Id="rId1535" Type="http://schemas.openxmlformats.org/officeDocument/2006/relationships/hyperlink" Target="http://dx.doi.org/10.1051/matecconf/201710608083" TargetMode="External"/><Relationship Id="rId905" Type="http://schemas.openxmlformats.org/officeDocument/2006/relationships/hyperlink" Target="https%3A%2F%2Fwww.webofscience.com%2Fwos%2Fwoscc%2Ffull-record%2FWOS:000644432200115" TargetMode="External"/><Relationship Id="rId1742" Type="http://schemas.openxmlformats.org/officeDocument/2006/relationships/hyperlink" Target="http://dx.doi.org/10.37816/2073-9567-2023-67-277-292" TargetMode="External"/><Relationship Id="rId34" Type="http://schemas.openxmlformats.org/officeDocument/2006/relationships/hyperlink" Target="https%3A%2F%2Fwww.webofscience.com%2Fwos%2Fwoscc%2Ffull-record%2FWOS:000383393800008" TargetMode="External"/><Relationship Id="rId1602" Type="http://schemas.openxmlformats.org/officeDocument/2006/relationships/hyperlink" Target="https%3A%2F%2Fwww.webofscience.com%2Fwos%2Fwoscc%2Ffull-record%2FWOS:000463193400042" TargetMode="External"/><Relationship Id="rId183" Type="http://schemas.openxmlformats.org/officeDocument/2006/relationships/hyperlink" Target="http://dx.doi.org/10.1007/BF02467476" TargetMode="External"/><Relationship Id="rId390" Type="http://schemas.openxmlformats.org/officeDocument/2006/relationships/hyperlink" Target="http://dx.doi.org/10.31166/VoprosyIstorii202212Statyi52" TargetMode="External"/><Relationship Id="rId1907" Type="http://schemas.openxmlformats.org/officeDocument/2006/relationships/hyperlink" Target="https%3A%2F%2Fwww.webofscience.com%2Fwos%2Fwoscc%2Ffull-record%2FWOS:000315199600006" TargetMode="External"/><Relationship Id="rId2071" Type="http://schemas.openxmlformats.org/officeDocument/2006/relationships/hyperlink" Target="http://dx.doi.org/10.21638/spbu14.2018.404" TargetMode="External"/><Relationship Id="rId250" Type="http://schemas.openxmlformats.org/officeDocument/2006/relationships/hyperlink" Target="https%3A%2F%2Fwww.webofscience.com%2Fwos%2Fwoscc%2Ffull-record%2FWOS:000286985400027" TargetMode="External"/><Relationship Id="rId488" Type="http://schemas.openxmlformats.org/officeDocument/2006/relationships/hyperlink" Target="http://dx.doi.org/10.15507/2658-4123.029.201903.383-395" TargetMode="External"/><Relationship Id="rId695" Type="http://schemas.openxmlformats.org/officeDocument/2006/relationships/hyperlink" Target="https%3A%2F%2Fwww.webofscience.com%2Fwos%2Fwoscc%2Ffull-record%2FWOS:000894195500008" TargetMode="External"/><Relationship Id="rId2169" Type="http://schemas.openxmlformats.org/officeDocument/2006/relationships/hyperlink" Target="http://dx.doi.org/10.25750/1995-4301-2020-3-217-223" TargetMode="External"/><Relationship Id="rId2376" Type="http://schemas.openxmlformats.org/officeDocument/2006/relationships/hyperlink" Target="https%3A%2F%2Fwww.webofscience.com%2Fwos%2Fwoscc%2Ffull-record%2FWOS:000580337700024" TargetMode="External"/><Relationship Id="rId110" Type="http://schemas.openxmlformats.org/officeDocument/2006/relationships/hyperlink" Target="http://dx.doi.org/10.17759/psylaw.2020100115" TargetMode="External"/><Relationship Id="rId348" Type="http://schemas.openxmlformats.org/officeDocument/2006/relationships/hyperlink" Target="http://dx.doi.org/10.1134/S0001434622090061" TargetMode="External"/><Relationship Id="rId555" Type="http://schemas.openxmlformats.org/officeDocument/2006/relationships/hyperlink" Target="https%3A%2F%2Fwww.webofscience.com%2Fwos%2Fwoscc%2Ffull-record%2FWOS:000518782500001" TargetMode="External"/><Relationship Id="rId762" Type="http://schemas.openxmlformats.org/officeDocument/2006/relationships/hyperlink" Target="https%3A%2F%2Fwww.webofscience.com%2Fwos%2Fwoscc%2Ffull-record%2FWOS:000560311400085" TargetMode="External"/><Relationship Id="rId1185" Type="http://schemas.openxmlformats.org/officeDocument/2006/relationships/hyperlink" Target="http://dx.doi.org/10.13187/ejced.2018.4.845" TargetMode="External"/><Relationship Id="rId1392" Type="http://schemas.openxmlformats.org/officeDocument/2006/relationships/hyperlink" Target="http://dx.doi.org/10.1051/e3sconf/201911002150" TargetMode="External"/><Relationship Id="rId2029" Type="http://schemas.openxmlformats.org/officeDocument/2006/relationships/hyperlink" Target="https%3A%2F%2Fwww.webofscience.com%2Fwos%2Fwoscc%2Ffull-record%2FWOS:000477826000004" TargetMode="External"/><Relationship Id="rId2236" Type="http://schemas.openxmlformats.org/officeDocument/2006/relationships/hyperlink" Target="https%3A%2F%2Fwww.webofscience.com%2Fwos%2Fwoscc%2Ffull-record%2FWOS:000406973000009" TargetMode="External"/><Relationship Id="rId2443" Type="http://schemas.openxmlformats.org/officeDocument/2006/relationships/hyperlink" Target="https%3A%2F%2Fwww.webofscience.com%2Fwos%2Fwoscc%2Ffull-record%2FWOS:000629197300019" TargetMode="External"/><Relationship Id="rId208" Type="http://schemas.openxmlformats.org/officeDocument/2006/relationships/hyperlink" Target="https%3A%2F%2Fwww.webofscience.com%2Fwos%2Fwoscc%2Ffull-record%2FWOS:000453449700017" TargetMode="External"/><Relationship Id="rId415" Type="http://schemas.openxmlformats.org/officeDocument/2006/relationships/hyperlink" Target="https%3A%2F%2Fwww.webofscience.com%2Fwos%2Fwoscc%2Ffull-record%2FWOS:000455584700011" TargetMode="External"/><Relationship Id="rId622" Type="http://schemas.openxmlformats.org/officeDocument/2006/relationships/hyperlink" Target="http://dx.doi.org/10.1108/OTH-07-2019-0034" TargetMode="External"/><Relationship Id="rId1045" Type="http://schemas.openxmlformats.org/officeDocument/2006/relationships/hyperlink" Target="https%3A%2F%2Fwww.webofscience.com%2Fwos%2Fwoscc%2Ffull-record%2FWOS:000360647500012" TargetMode="External"/><Relationship Id="rId1252" Type="http://schemas.openxmlformats.org/officeDocument/2006/relationships/hyperlink" Target="https%3A%2F%2Fwww.webofscience.com%2Fwos%2Fwoscc%2Ffull-record%2FWOS:000438631600002" TargetMode="External"/><Relationship Id="rId1697" Type="http://schemas.openxmlformats.org/officeDocument/2006/relationships/hyperlink" Target="https%3A%2F%2Fwww.webofscience.com%2Fwos%2Fwoscc%2Ffull-record%2FWOS:000469999300036" TargetMode="External"/><Relationship Id="rId2303" Type="http://schemas.openxmlformats.org/officeDocument/2006/relationships/hyperlink" Target="https%3A%2F%2Fwww.webofscience.com%2Fwos%2Fwoscc%2Ffull-record%2FWOS:000336390500009" TargetMode="External"/><Relationship Id="rId2510" Type="http://schemas.openxmlformats.org/officeDocument/2006/relationships/hyperlink" Target="http://dx.doi.org/10.1371/journal.pone.0282345" TargetMode="External"/><Relationship Id="rId927" Type="http://schemas.openxmlformats.org/officeDocument/2006/relationships/hyperlink" Target="https%3A%2F%2Fwww.webofscience.com%2Fwos%2Fwoscc%2Ffull-record%2FWOS:000649745900031" TargetMode="External"/><Relationship Id="rId1112" Type="http://schemas.openxmlformats.org/officeDocument/2006/relationships/hyperlink" Target="https%3A%2F%2Fwww.webofscience.com%2Fwos%2Fwoscc%2Ffull-record%2FWOS:000664516800022" TargetMode="External"/><Relationship Id="rId1557" Type="http://schemas.openxmlformats.org/officeDocument/2006/relationships/hyperlink" Target="https%3A%2F%2Fwww.webofscience.com%2Fwos%2Fwoscc%2Ffull-record%2FWOS:000865644000001" TargetMode="External"/><Relationship Id="rId1764" Type="http://schemas.openxmlformats.org/officeDocument/2006/relationships/hyperlink" Target="http://dx.doi.org/10.13187/ejced.2021.4.987" TargetMode="External"/><Relationship Id="rId1971" Type="http://schemas.openxmlformats.org/officeDocument/2006/relationships/hyperlink" Target="http://dx.doi.org/10.1007/s12033-019-00202-5" TargetMode="External"/><Relationship Id="rId56" Type="http://schemas.openxmlformats.org/officeDocument/2006/relationships/hyperlink" Target="https%3A%2F%2Fwww.webofscience.com%2Fwos%2Fwoscc%2Ffull-record%2FWOS:000458750500010" TargetMode="External"/><Relationship Id="rId1417" Type="http://schemas.openxmlformats.org/officeDocument/2006/relationships/hyperlink" Target="https%3A%2F%2Fwww.webofscience.com%2Fwos%2Fwoscc%2Ffull-record%2FWOS:000905209900004" TargetMode="External"/><Relationship Id="rId1624" Type="http://schemas.openxmlformats.org/officeDocument/2006/relationships/hyperlink" Target="https%3A%2F%2Fwww.webofscience.com%2Fwos%2Fwoscc%2Ffull-record%2FWOS:000759318000002" TargetMode="External"/><Relationship Id="rId1831" Type="http://schemas.openxmlformats.org/officeDocument/2006/relationships/hyperlink" Target="http://dx.doi.org/10.1051/e3sconf/202021010007" TargetMode="External"/><Relationship Id="rId1929" Type="http://schemas.openxmlformats.org/officeDocument/2006/relationships/hyperlink" Target="http://dx.doi.org/10.17223/15617793/462/31" TargetMode="External"/><Relationship Id="rId2093" Type="http://schemas.openxmlformats.org/officeDocument/2006/relationships/hyperlink" Target="https%3A%2F%2Fwww.webofscience.com%2Fwos%2Fwoscc%2Ffull-record%2FWOS:000636280500015" TargetMode="External"/><Relationship Id="rId2398" Type="http://schemas.openxmlformats.org/officeDocument/2006/relationships/hyperlink" Target="http://dx.doi.org/10.3390/membranes12111084" TargetMode="External"/><Relationship Id="rId272" Type="http://schemas.openxmlformats.org/officeDocument/2006/relationships/hyperlink" Target="https%3A%2F%2Fwww.webofscience.com%2Fwos%2Fwoscc%2Ffull-record%2FWOS:000247859600017" TargetMode="External"/><Relationship Id="rId577" Type="http://schemas.openxmlformats.org/officeDocument/2006/relationships/hyperlink" Target="https%3A%2F%2Fwww.webofscience.com%2Fwos%2Fwoscc%2Ffull-record%2FWOS:000370730601064" TargetMode="External"/><Relationship Id="rId2160" Type="http://schemas.openxmlformats.org/officeDocument/2006/relationships/hyperlink" Target="https%3A%2F%2Fwww.webofscience.com%2Fwos%2Fwoscc%2Ffull-record%2FWOS:000597810500036" TargetMode="External"/><Relationship Id="rId2258" Type="http://schemas.openxmlformats.org/officeDocument/2006/relationships/hyperlink" Target="http://dx.doi.org/10.1007/s10008-021-04942-w" TargetMode="External"/><Relationship Id="rId132" Type="http://schemas.openxmlformats.org/officeDocument/2006/relationships/hyperlink" Target="http://dx.doi.org/10.1016/j.matpr.2020.08.165" TargetMode="External"/><Relationship Id="rId784" Type="http://schemas.openxmlformats.org/officeDocument/2006/relationships/hyperlink" Target="http://dx.doi.org/10.1134/S102319350612007X" TargetMode="External"/><Relationship Id="rId991" Type="http://schemas.openxmlformats.org/officeDocument/2006/relationships/hyperlink" Target="https%3A%2F%2Fwww.webofscience.com%2Fwos%2Fwoscc%2Ffull-record%2FWOS:000380571600163" TargetMode="External"/><Relationship Id="rId1067" Type="http://schemas.openxmlformats.org/officeDocument/2006/relationships/hyperlink" Target="https%3A%2F%2Fwww.webofscience.com%2Fwos%2Fwoscc%2Ffull-record%2FWOS:000518417300003" TargetMode="External"/><Relationship Id="rId2020" Type="http://schemas.openxmlformats.org/officeDocument/2006/relationships/hyperlink" Target="http://dx.doi.org/10.25750/1995-4301-2021-2-107-114" TargetMode="External"/><Relationship Id="rId2465" Type="http://schemas.openxmlformats.org/officeDocument/2006/relationships/hyperlink" Target="http://dx.doi.org/10.3390/jrfm14010038" TargetMode="External"/><Relationship Id="rId437" Type="http://schemas.openxmlformats.org/officeDocument/2006/relationships/hyperlink" Target="http://dx.doi.org/10.13187/ejced.2020.3.529" TargetMode="External"/><Relationship Id="rId644" Type="http://schemas.openxmlformats.org/officeDocument/2006/relationships/hyperlink" Target="https%3A%2F%2Fwww.webofscience.com%2Fwos%2Fwoscc%2Ffull-record%2FWOS:000367543100016" TargetMode="External"/><Relationship Id="rId851" Type="http://schemas.openxmlformats.org/officeDocument/2006/relationships/hyperlink" Target="https%3A%2F%2Fwww.webofscience.com%2Fwos%2Fwoscc%2Ffull-record%2FWOS:000593143400009" TargetMode="External"/><Relationship Id="rId1274" Type="http://schemas.openxmlformats.org/officeDocument/2006/relationships/hyperlink" Target="http://dx.doi.org/10.20542/0131-2227-2021-65-2-37-44" TargetMode="External"/><Relationship Id="rId1481" Type="http://schemas.openxmlformats.org/officeDocument/2006/relationships/hyperlink" Target="http://dx.doi.org/10.1051/matecconf/201710608088" TargetMode="External"/><Relationship Id="rId1579" Type="http://schemas.openxmlformats.org/officeDocument/2006/relationships/hyperlink" Target="https%3A%2F%2Fwww.webofscience.com%2Fwos%2Fwoscc%2Ffull-record%2FWOS:000416099600006" TargetMode="External"/><Relationship Id="rId2118" Type="http://schemas.openxmlformats.org/officeDocument/2006/relationships/hyperlink" Target="https%3A%2F%2Fwww.webofscience.com%2Fwos%2Fwoscc%2Ffull-record%2FWOS:000817951600028" TargetMode="External"/><Relationship Id="rId2325" Type="http://schemas.openxmlformats.org/officeDocument/2006/relationships/hyperlink" Target="http://dx.doi.org/10.25750/1995-4301-2022-4-196-203" TargetMode="External"/><Relationship Id="rId504" Type="http://schemas.openxmlformats.org/officeDocument/2006/relationships/hyperlink" Target="https%3A%2F%2Fwww.webofscience.com%2Fwos%2Fwoscc%2Ffull-record%2FWOS:A1996WR53300012" TargetMode="External"/><Relationship Id="rId711" Type="http://schemas.openxmlformats.org/officeDocument/2006/relationships/hyperlink" Target="https%3A%2F%2Fwww.webofscience.com%2Fwos%2Fwoscc%2Ffull-record%2FWOS:000530049500008" TargetMode="External"/><Relationship Id="rId949" Type="http://schemas.openxmlformats.org/officeDocument/2006/relationships/hyperlink" Target="http://dx.doi.org/10.1023/B:MSAT.0000043100.72622.0e" TargetMode="External"/><Relationship Id="rId1134" Type="http://schemas.openxmlformats.org/officeDocument/2006/relationships/hyperlink" Target="http://dx.doi.org/10.14529/hsm19s215" TargetMode="External"/><Relationship Id="rId1341" Type="http://schemas.openxmlformats.org/officeDocument/2006/relationships/hyperlink" Target="https%3A%2F%2Fwww.webofscience.com%2Fwos%2Fwoscc%2Ffull-record%2FWOS:000748252900016" TargetMode="External"/><Relationship Id="rId1786" Type="http://schemas.openxmlformats.org/officeDocument/2006/relationships/hyperlink" Target="https%3A%2F%2Fwww.webofscience.com%2Fwos%2Fwoscc%2Ffull-record%2FWOS:000497425100002" TargetMode="External"/><Relationship Id="rId1993" Type="http://schemas.openxmlformats.org/officeDocument/2006/relationships/hyperlink" Target="https%3A%2F%2Fwww.webofscience.com%2Fwos%2Fwoscc%2Ffull-record%2FWOS:000758186600015" TargetMode="External"/><Relationship Id="rId78" Type="http://schemas.openxmlformats.org/officeDocument/2006/relationships/hyperlink" Target="http://dx.doi.org/10.17223/22274200/22/2" TargetMode="External"/><Relationship Id="rId809" Type="http://schemas.openxmlformats.org/officeDocument/2006/relationships/hyperlink" Target="https%3A%2F%2Fwww.webofscience.com%2Fwos%2Fwoscc%2Ffull-record%2FWOS:000484392200010" TargetMode="External"/><Relationship Id="rId1201" Type="http://schemas.openxmlformats.org/officeDocument/2006/relationships/hyperlink" Target="https%3A%2F%2Fwww.webofscience.com%2Fwos%2Fwoscc%2Ffull-record%2FWOS:000267486100016" TargetMode="External"/><Relationship Id="rId1439" Type="http://schemas.openxmlformats.org/officeDocument/2006/relationships/hyperlink" Target="http://dx.doi.org/10.51847/zTI27OVMot" TargetMode="External"/><Relationship Id="rId1646" Type="http://schemas.openxmlformats.org/officeDocument/2006/relationships/hyperlink" Target="http://dx.doi.org/10.1134/S1023193507040179" TargetMode="External"/><Relationship Id="rId1853" Type="http://schemas.openxmlformats.org/officeDocument/2006/relationships/hyperlink" Target="https%3A%2F%2Fwww.webofscience.com%2Fwos%2Fwoscc%2Ffull-record%2FWOS:000373646500022" TargetMode="External"/><Relationship Id="rId1506" Type="http://schemas.openxmlformats.org/officeDocument/2006/relationships/hyperlink" Target="https%3A%2F%2Fwww.webofscience.com%2Fwos%2Fwoscc%2Ffull-record%2FWOS:000166725200018" TargetMode="External"/><Relationship Id="rId1713" Type="http://schemas.openxmlformats.org/officeDocument/2006/relationships/hyperlink" Target="https%3A%2F%2Fwww.webofscience.com%2Fwos%2Fwoscc%2Ffull-record%2FWOS:000913829400001" TargetMode="External"/><Relationship Id="rId1920" Type="http://schemas.openxmlformats.org/officeDocument/2006/relationships/hyperlink" Target="https%3A%2F%2Fwww.webofscience.com%2Fwos%2Fwoscc%2Ffull-record%2FWOS:000545295600016" TargetMode="External"/><Relationship Id="rId294" Type="http://schemas.openxmlformats.org/officeDocument/2006/relationships/hyperlink" Target="https%3A%2F%2Fwww.webofscience.com%2Fwos%2Fwoscc%2Ffull-record%2FWOS:000739878500009" TargetMode="External"/><Relationship Id="rId2182" Type="http://schemas.openxmlformats.org/officeDocument/2006/relationships/hyperlink" Target="https%3A%2F%2Fwww.webofscience.com%2Fwos%2Fwoscc%2Ffull-record%2FWOS:000885393200002" TargetMode="External"/><Relationship Id="rId154" Type="http://schemas.openxmlformats.org/officeDocument/2006/relationships/hyperlink" Target="http://dx.doi.org/10.15561/20755279.2018.0101" TargetMode="External"/><Relationship Id="rId361" Type="http://schemas.openxmlformats.org/officeDocument/2006/relationships/hyperlink" Target="https%3A%2F%2Fwww.webofscience.com%2Fwos%2Fwoscc%2Ffull-record%2FWOS:000518417300007" TargetMode="External"/><Relationship Id="rId599" Type="http://schemas.openxmlformats.org/officeDocument/2006/relationships/hyperlink" Target="https%3A%2F%2Fwww.webofscience.com%2Fwos%2Fwoscc%2Ffull-record%2FWOS:000428759500052" TargetMode="External"/><Relationship Id="rId2042" Type="http://schemas.openxmlformats.org/officeDocument/2006/relationships/hyperlink" Target="http://dx.doi.org/10.1134/S1068162021040099" TargetMode="External"/><Relationship Id="rId2487" Type="http://schemas.openxmlformats.org/officeDocument/2006/relationships/hyperlink" Target="http://dx.doi.org/10.3390/molecules27154812" TargetMode="External"/><Relationship Id="rId459" Type="http://schemas.openxmlformats.org/officeDocument/2006/relationships/hyperlink" Target="https%3A%2F%2Fwww.webofscience.com%2Fwos%2Fwoscc%2Ffull-record%2FWOS:000383090900086" TargetMode="External"/><Relationship Id="rId666" Type="http://schemas.openxmlformats.org/officeDocument/2006/relationships/hyperlink" Target="https%3A%2F%2Fwww.webofscience.com%2Fwos%2Fwoscc%2Ffull-record%2FWOS:000605445400019" TargetMode="External"/><Relationship Id="rId873" Type="http://schemas.openxmlformats.org/officeDocument/2006/relationships/hyperlink" Target="https%3A%2F%2Fwww.webofscience.com%2Fwos%2Fwoscc%2Ffull-record%2FWOS:000946882600010" TargetMode="External"/><Relationship Id="rId1089" Type="http://schemas.openxmlformats.org/officeDocument/2006/relationships/hyperlink" Target="https%3A%2F%2Fwww.webofscience.com%2Fwos%2Fwoscc%2Ffull-record%2FWOS:000426114200050" TargetMode="External"/><Relationship Id="rId1296" Type="http://schemas.openxmlformats.org/officeDocument/2006/relationships/hyperlink" Target="https%3A%2F%2Fwww.webofscience.com%2Fwos%2Fwoscc%2Ffull-record%2FWOS:000899445600012" TargetMode="External"/><Relationship Id="rId2347" Type="http://schemas.openxmlformats.org/officeDocument/2006/relationships/hyperlink" Target="http://dx.doi.org/10.5750/1995-4301-2022-2-228-233" TargetMode="External"/><Relationship Id="rId221" Type="http://schemas.openxmlformats.org/officeDocument/2006/relationships/hyperlink" Target="https%3A%2F%2Fwww.webofscience.com%2Fwos%2Fwoscc%2Ffull-record%2FWOS:000256667200009" TargetMode="External"/><Relationship Id="rId319" Type="http://schemas.openxmlformats.org/officeDocument/2006/relationships/hyperlink" Target="https%3A%2F%2Fwww.webofscience.com%2Fwos%2Fwoscc%2Ffull-record%2FWOS:000491196500005" TargetMode="External"/><Relationship Id="rId526" Type="http://schemas.openxmlformats.org/officeDocument/2006/relationships/hyperlink" Target="https%3A%2F%2Fwww.webofscience.com%2Fwos%2Fwoscc%2Ffull-record%2FWOS:000407274400015" TargetMode="External"/><Relationship Id="rId1156" Type="http://schemas.openxmlformats.org/officeDocument/2006/relationships/hyperlink" Target="https%3A%2F%2Fwww.webofscience.com%2Fwos%2Fwoscc%2Ffull-record%2FWOS:000244828900012" TargetMode="External"/><Relationship Id="rId1363" Type="http://schemas.openxmlformats.org/officeDocument/2006/relationships/hyperlink" Target="https%3A%2F%2Fwww.webofscience.com%2Fwos%2Fwoscc%2Ffull-record%2FWOS:000426426600269" TargetMode="External"/><Relationship Id="rId2207" Type="http://schemas.openxmlformats.org/officeDocument/2006/relationships/hyperlink" Target="http://dx.doi.org/10.1134/S0003683814020070" TargetMode="External"/><Relationship Id="rId733" Type="http://schemas.openxmlformats.org/officeDocument/2006/relationships/hyperlink" Target="https%3A%2F%2Fwww.webofscience.com%2Fwos%2Fwoscc%2Ffull-record%2FWOS:000408075600011" TargetMode="External"/><Relationship Id="rId940" Type="http://schemas.openxmlformats.org/officeDocument/2006/relationships/hyperlink" Target="https%3A%2F%2Fwww.webofscience.com%2Fwos%2Fwoscc%2Ffull-record%2FWOS:000478963800128" TargetMode="External"/><Relationship Id="rId1016" Type="http://schemas.openxmlformats.org/officeDocument/2006/relationships/hyperlink" Target="http://dx.doi.org/10.24874/IJQR15.01-18" TargetMode="External"/><Relationship Id="rId1570" Type="http://schemas.openxmlformats.org/officeDocument/2006/relationships/hyperlink" Target="https%3A%2F%2Fwww.webofscience.com%2Fwos%2Fwoscc%2Ffull-record%2FWOS:000380396100006" TargetMode="External"/><Relationship Id="rId1668" Type="http://schemas.openxmlformats.org/officeDocument/2006/relationships/hyperlink" Target="http://dx.doi.org/10.12973/eurasia.2017.00933a" TargetMode="External"/><Relationship Id="rId1875" Type="http://schemas.openxmlformats.org/officeDocument/2006/relationships/hyperlink" Target="https%3A%2F%2Fwww.webofscience.com%2Fwos%2Fwoscc%2Ffull-record%2FWOS:000419816700208" TargetMode="External"/><Relationship Id="rId2193" Type="http://schemas.openxmlformats.org/officeDocument/2006/relationships/hyperlink" Target="http://dx.doi.org/10.1134/S1068162019060165" TargetMode="External"/><Relationship Id="rId2414" Type="http://schemas.openxmlformats.org/officeDocument/2006/relationships/hyperlink" Target="https%3A%2F%2Fwww.webofscience.com%2Fwos%2Fwoscc%2Ffull-record%2FWOS:000434479000003" TargetMode="External"/><Relationship Id="rId2498" Type="http://schemas.openxmlformats.org/officeDocument/2006/relationships/hyperlink" Target="http://dx.doi.org/10.1017/S1368980021002160" TargetMode="External"/><Relationship Id="rId165" Type="http://schemas.openxmlformats.org/officeDocument/2006/relationships/hyperlink" Target="http://dx.doi.org/10.1007/s11041-015-9821-6" TargetMode="External"/><Relationship Id="rId372" Type="http://schemas.openxmlformats.org/officeDocument/2006/relationships/hyperlink" Target="https%3A%2F%2Fwww.webofscience.com%2Fwos%2Fwoscc%2Ffull-record%2FWOS:000456115100012" TargetMode="External"/><Relationship Id="rId677" Type="http://schemas.openxmlformats.org/officeDocument/2006/relationships/hyperlink" Target="http://dx.doi.org/10.1007/978-3-319-70987-1_34" TargetMode="External"/><Relationship Id="rId800" Type="http://schemas.openxmlformats.org/officeDocument/2006/relationships/hyperlink" Target="https%3A%2F%2Fwww.webofscience.com%2Fwos%2Fwoscc%2Ffull-record%2FWOS:000771919100046" TargetMode="External"/><Relationship Id="rId1223" Type="http://schemas.openxmlformats.org/officeDocument/2006/relationships/hyperlink" Target="http://dx.doi.org/10.3897/ap.2.e0323" TargetMode="External"/><Relationship Id="rId1430" Type="http://schemas.openxmlformats.org/officeDocument/2006/relationships/hyperlink" Target="https%3A%2F%2Fwww.webofscience.com%2Fwos%2Fwoscc%2Ffull-record%2FWOS:000704104400001" TargetMode="External"/><Relationship Id="rId1528" Type="http://schemas.openxmlformats.org/officeDocument/2006/relationships/hyperlink" Target="https%3A%2F%2Fwww.webofscience.com%2Fwos%2Fwoscc%2Ffull-record%2FWOS:000899154600008" TargetMode="External"/><Relationship Id="rId2053" Type="http://schemas.openxmlformats.org/officeDocument/2006/relationships/hyperlink" Target="https%3A%2F%2Fwww.webofscience.com%2Fwos%2Fwoscc%2Ffull-record%2FWOS:000498886400012" TargetMode="External"/><Relationship Id="rId2260" Type="http://schemas.openxmlformats.org/officeDocument/2006/relationships/hyperlink" Target="http://dx.doi.org/10.25750/1995-4301-2019-3-134-141" TargetMode="External"/><Relationship Id="rId2358" Type="http://schemas.openxmlformats.org/officeDocument/2006/relationships/hyperlink" Target="https%3A%2F%2Fwww.webofscience.com%2Fwos%2Fwoscc%2Ffull-record%2FWOS:000366640300004" TargetMode="External"/><Relationship Id="rId232" Type="http://schemas.openxmlformats.org/officeDocument/2006/relationships/hyperlink" Target="https%3A%2F%2Fwww.webofscience.com%2Fwos%2Fwoscc%2Ffull-record%2FWOS:000569050000115" TargetMode="External"/><Relationship Id="rId884" Type="http://schemas.openxmlformats.org/officeDocument/2006/relationships/hyperlink" Target="http://dx.doi.org/10.1080/08974454.2021.1980483" TargetMode="External"/><Relationship Id="rId1735" Type="http://schemas.openxmlformats.org/officeDocument/2006/relationships/hyperlink" Target="https%3A%2F%2Fwww.webofscience.com%2Fwos%2Fwoscc%2Ffull-record%2FWOS:000653905200008" TargetMode="External"/><Relationship Id="rId1942" Type="http://schemas.openxmlformats.org/officeDocument/2006/relationships/hyperlink" Target="http://dx.doi.org/10.1016/j.ijbiomac.2018.11.081" TargetMode="External"/><Relationship Id="rId2120" Type="http://schemas.openxmlformats.org/officeDocument/2006/relationships/hyperlink" Target="https%3A%2F%2Fwww.webofscience.com%2Fwos%2Fwoscc%2Ffull-record%2FWOS:000558285700015" TargetMode="External"/><Relationship Id="rId27" Type="http://schemas.openxmlformats.org/officeDocument/2006/relationships/hyperlink" Target="http://dx.doi.org/10.1088/1742-6596/1015/3/032059" TargetMode="External"/><Relationship Id="rId537" Type="http://schemas.openxmlformats.org/officeDocument/2006/relationships/hyperlink" Target="https%3A%2F%2Fwww.webofscience.com%2Fwos%2Fwoscc%2Ffull-record%2FWOS:000175980800015" TargetMode="External"/><Relationship Id="rId744" Type="http://schemas.openxmlformats.org/officeDocument/2006/relationships/hyperlink" Target="https%3A%2F%2Fwww.webofscience.com%2Fwos%2Fwoscc%2Ffull-record%2FWOS:000292270900007" TargetMode="External"/><Relationship Id="rId951" Type="http://schemas.openxmlformats.org/officeDocument/2006/relationships/hyperlink" Target="https%3A%2F%2Fwww.webofscience.com%2Fwos%2Fwoscc%2Ffull-record%2FWOS:000089082400005" TargetMode="External"/><Relationship Id="rId1167" Type="http://schemas.openxmlformats.org/officeDocument/2006/relationships/hyperlink" Target="https%3A%2F%2Fwww.webofscience.com%2Fwos%2Fwoscc%2Ffull-record%2FWOS:000532483500140" TargetMode="External"/><Relationship Id="rId1374" Type="http://schemas.openxmlformats.org/officeDocument/2006/relationships/hyperlink" Target="http://dx.doi.org/10.1016/j.matpr.2019.07.068" TargetMode="External"/><Relationship Id="rId1581" Type="http://schemas.openxmlformats.org/officeDocument/2006/relationships/hyperlink" Target="https%3A%2F%2Fwww.webofscience.com%2Fwos%2Fwoscc%2Ffull-record%2FWOS:000425674300061" TargetMode="External"/><Relationship Id="rId1679" Type="http://schemas.openxmlformats.org/officeDocument/2006/relationships/hyperlink" Target="http://dx.doi.org/10.1134/S1023193519080111" TargetMode="External"/><Relationship Id="rId1802" Type="http://schemas.openxmlformats.org/officeDocument/2006/relationships/hyperlink" Target="https%3A%2F%2Fwww.webofscience.com%2Fwos%2Fwoscc%2Ffull-record%2FWOS:000891388900001" TargetMode="External"/><Relationship Id="rId2218" Type="http://schemas.openxmlformats.org/officeDocument/2006/relationships/hyperlink" Target="https%3A%2F%2Fwww.webofscience.com%2Fwos%2Fwoscc%2Ffull-record%2FWOS:000426426600270" TargetMode="External"/><Relationship Id="rId2425" Type="http://schemas.openxmlformats.org/officeDocument/2006/relationships/hyperlink" Target="http://dx.doi.org/10.1007/978-3-030-01514-5_10" TargetMode="External"/><Relationship Id="rId80" Type="http://schemas.openxmlformats.org/officeDocument/2006/relationships/hyperlink" Target="http://dx.doi.org/10.52254/1857-0070.2021.4-52.01" TargetMode="External"/><Relationship Id="rId176" Type="http://schemas.openxmlformats.org/officeDocument/2006/relationships/hyperlink" Target="https%3A%2F%2Fwww.webofscience.com%2Fwos%2Fwoscc%2Ffull-record%2FWOS:000267684500019" TargetMode="External"/><Relationship Id="rId383" Type="http://schemas.openxmlformats.org/officeDocument/2006/relationships/hyperlink" Target="https%3A%2F%2Fwww.webofscience.com%2Fwos%2Fwoscc%2Ffull-record%2FWOS:000298396000009" TargetMode="External"/><Relationship Id="rId590" Type="http://schemas.openxmlformats.org/officeDocument/2006/relationships/hyperlink" Target="https%3A%2F%2Fwww.webofscience.com%2Fwos%2Fwoscc%2Ffull-record%2FWOS:000489097600025" TargetMode="External"/><Relationship Id="rId604" Type="http://schemas.openxmlformats.org/officeDocument/2006/relationships/hyperlink" Target="https%3A%2F%2Fwww.webofscience.com%2Fwos%2Fwoscc%2Ffull-record%2FWOS:000255228700011" TargetMode="External"/><Relationship Id="rId811" Type="http://schemas.openxmlformats.org/officeDocument/2006/relationships/hyperlink" Target="https%3A%2F%2Fwww.webofscience.com%2Fwos%2Fwoscc%2Ffull-record%2FWOS:000518414100009" TargetMode="External"/><Relationship Id="rId1027" Type="http://schemas.openxmlformats.org/officeDocument/2006/relationships/hyperlink" Target="http://dx.doi.org/10.28995/2073-0101-2020-4-1007-1019" TargetMode="External"/><Relationship Id="rId1234" Type="http://schemas.openxmlformats.org/officeDocument/2006/relationships/hyperlink" Target="https%3A%2F%2Fwww.webofscience.com%2Fwos%2Fwoscc%2Ffull-record%2FWOS:000632219100033" TargetMode="External"/><Relationship Id="rId1441" Type="http://schemas.openxmlformats.org/officeDocument/2006/relationships/hyperlink" Target="http://dx.doi.org/10.1109/ElConRus51938.2021.9396681" TargetMode="External"/><Relationship Id="rId1886" Type="http://schemas.openxmlformats.org/officeDocument/2006/relationships/hyperlink" Target="https%3A%2F%2Fwww.webofscience.com%2Fwos%2Fwoscc%2Ffull-record%2FWOS:000659867301085" TargetMode="External"/><Relationship Id="rId2064" Type="http://schemas.openxmlformats.org/officeDocument/2006/relationships/hyperlink" Target="http://dx.doi.org/10.51847/oCGvk8tmjd" TargetMode="External"/><Relationship Id="rId2271" Type="http://schemas.openxmlformats.org/officeDocument/2006/relationships/hyperlink" Target="https%3A%2F%2Fwww.webofscience.com%2Fwos%2Fwoscc%2Ffull-record%2FWOS:000731323500002" TargetMode="External"/><Relationship Id="rId243" Type="http://schemas.openxmlformats.org/officeDocument/2006/relationships/hyperlink" Target="https%3A%2F%2Fwww.webofscience.com%2Fwos%2Fwoscc%2Ffull-record%2FWOS:000403853500001" TargetMode="External"/><Relationship Id="rId450" Type="http://schemas.openxmlformats.org/officeDocument/2006/relationships/hyperlink" Target="https%3A%2F%2Fwww.webofscience.com%2Fwos%2Fwoscc%2Ffull-record%2FWOS:000510178900019" TargetMode="External"/><Relationship Id="rId688" Type="http://schemas.openxmlformats.org/officeDocument/2006/relationships/hyperlink" Target="https%3A%2F%2Fwww.webofscience.com%2Fwos%2Fwoscc%2Ffull-record%2FWOS:000353450900007" TargetMode="External"/><Relationship Id="rId895" Type="http://schemas.openxmlformats.org/officeDocument/2006/relationships/hyperlink" Target="http://dx.doi.org/10.18421/TEM82-31" TargetMode="External"/><Relationship Id="rId909" Type="http://schemas.openxmlformats.org/officeDocument/2006/relationships/hyperlink" Target="https%3A%2F%2Fwww.webofscience.com%2Fwos%2Fwoscc%2Ffull-record%2FWOS:000335425700007" TargetMode="External"/><Relationship Id="rId1080" Type="http://schemas.openxmlformats.org/officeDocument/2006/relationships/hyperlink" Target="https%3A%2F%2Fwww.webofscience.com%2Fwos%2Fwoscc%2Ffull-record%2FWOS:000506663000033" TargetMode="External"/><Relationship Id="rId1301" Type="http://schemas.openxmlformats.org/officeDocument/2006/relationships/hyperlink" Target="http://dx.doi.org/10.5281/zenodo.3713430" TargetMode="External"/><Relationship Id="rId1539" Type="http://schemas.openxmlformats.org/officeDocument/2006/relationships/hyperlink" Target="https%3A%2F%2Fwww.webofscience.com%2Fwos%2Fwoscc%2Ffull-record%2FWOS:000378098500062" TargetMode="External"/><Relationship Id="rId1746" Type="http://schemas.openxmlformats.org/officeDocument/2006/relationships/hyperlink" Target="http://dx.doi.org/10.22038/IJP.2021.58495.4571" TargetMode="External"/><Relationship Id="rId1953" Type="http://schemas.openxmlformats.org/officeDocument/2006/relationships/hyperlink" Target="http://dx.doi.org/10.25750/1995-4301-2019-4-015-023" TargetMode="External"/><Relationship Id="rId2131" Type="http://schemas.openxmlformats.org/officeDocument/2006/relationships/hyperlink" Target="http://dx.doi.org/10.25750/1995-4301-2019-2-053-060" TargetMode="External"/><Relationship Id="rId2369" Type="http://schemas.openxmlformats.org/officeDocument/2006/relationships/hyperlink" Target="http://dx.doi.org/10.3389/fenrg.2022.1025441" TargetMode="External"/><Relationship Id="rId38" Type="http://schemas.openxmlformats.org/officeDocument/2006/relationships/hyperlink" Target="https%3A%2F%2Fwww.webofscience.com%2Fwos%2Fwoscc%2Ffull-record%2FWOS:000271159400002" TargetMode="External"/><Relationship Id="rId103" Type="http://schemas.openxmlformats.org/officeDocument/2006/relationships/hyperlink" Target="https%3A%2F%2Fwww.webofscience.com%2Fwos%2Fwoscc%2Ffull-record%2FWOS:000929704700016" TargetMode="External"/><Relationship Id="rId310" Type="http://schemas.openxmlformats.org/officeDocument/2006/relationships/hyperlink" Target="https%3A%2F%2Fwww.webofscience.com%2Fwos%2Fwoscc%2Ffull-record%2FWOS:000245753200011" TargetMode="External"/><Relationship Id="rId548" Type="http://schemas.openxmlformats.org/officeDocument/2006/relationships/hyperlink" Target="http://dx.doi.org/10.24833/2071-8160-2020-6-75-53-76" TargetMode="External"/><Relationship Id="rId755" Type="http://schemas.openxmlformats.org/officeDocument/2006/relationships/hyperlink" Target="http://dx.doi.org/10.17223/15617793/460/23" TargetMode="External"/><Relationship Id="rId962" Type="http://schemas.openxmlformats.org/officeDocument/2006/relationships/hyperlink" Target="http://dx.doi.org/10.1007/s13762-022-03971-w" TargetMode="External"/><Relationship Id="rId1178" Type="http://schemas.openxmlformats.org/officeDocument/2006/relationships/hyperlink" Target="https%3A%2F%2Fwww.webofscience.com%2Fwos%2Fwoscc%2Ffull-record%2FWOS:000493393100027" TargetMode="External"/><Relationship Id="rId1385" Type="http://schemas.openxmlformats.org/officeDocument/2006/relationships/hyperlink" Target="https%3A%2F%2Fwww.webofscience.com%2Fwos%2Fwoscc%2Ffull-record%2FWOS:000569050000244" TargetMode="External"/><Relationship Id="rId1592" Type="http://schemas.openxmlformats.org/officeDocument/2006/relationships/hyperlink" Target="http://dx.doi.org/10.1134/S1023193513080132" TargetMode="External"/><Relationship Id="rId1606" Type="http://schemas.openxmlformats.org/officeDocument/2006/relationships/hyperlink" Target="https%3A%2F%2Fwww.webofscience.com%2Fwos%2Fwoscc%2Ffull-record%2FWOS:000448064100004" TargetMode="External"/><Relationship Id="rId1813" Type="http://schemas.openxmlformats.org/officeDocument/2006/relationships/hyperlink" Target="http://dx.doi.org/10.1088/1757-899X/971/3/032060" TargetMode="External"/><Relationship Id="rId2229" Type="http://schemas.openxmlformats.org/officeDocument/2006/relationships/hyperlink" Target="http://dx.doi.org/10.22616/ERDev2017.16.N061" TargetMode="External"/><Relationship Id="rId2436" Type="http://schemas.openxmlformats.org/officeDocument/2006/relationships/hyperlink" Target="https%3A%2F%2Fwww.webofscience.com%2Fwos%2Fwoscc%2Ffull-record%2FWOS:000461273700005" TargetMode="External"/><Relationship Id="rId91" Type="http://schemas.openxmlformats.org/officeDocument/2006/relationships/hyperlink" Target="https%3A%2F%2Fwww.webofscience.com%2Fwos%2Fwoscc%2Ffull-record%2FWOS:000471203300011" TargetMode="External"/><Relationship Id="rId187" Type="http://schemas.openxmlformats.org/officeDocument/2006/relationships/hyperlink" Target="https%3A%2F%2Fwww.webofscience.com%2Fwos%2Fwoscc%2Ffull-record%2FWOS:000840844200004" TargetMode="External"/><Relationship Id="rId394" Type="http://schemas.openxmlformats.org/officeDocument/2006/relationships/hyperlink" Target="http://dx.doi.org/10.24224/2227-1295-2021-12-396-412" TargetMode="External"/><Relationship Id="rId408" Type="http://schemas.openxmlformats.org/officeDocument/2006/relationships/hyperlink" Target="http://dx.doi.org/10.30472/ijaep.v8i1.303" TargetMode="External"/><Relationship Id="rId615" Type="http://schemas.openxmlformats.org/officeDocument/2006/relationships/hyperlink" Target="https%3A%2F%2Fwww.webofscience.com%2Fwos%2Fwoscc%2Ffull-record%2FWOS:000539044700010" TargetMode="External"/><Relationship Id="rId822" Type="http://schemas.openxmlformats.org/officeDocument/2006/relationships/hyperlink" Target="http://dx.doi.org/10.1007/s11185-016-9174-9" TargetMode="External"/><Relationship Id="rId1038" Type="http://schemas.openxmlformats.org/officeDocument/2006/relationships/hyperlink" Target="https%3A%2F%2Fwww.webofscience.com%2Fwos%2Fwoscc%2Ffull-record%2FWOS:000451192400006" TargetMode="External"/><Relationship Id="rId1245" Type="http://schemas.openxmlformats.org/officeDocument/2006/relationships/hyperlink" Target="https%3A%2F%2Fwww.webofscience.com%2Fwos%2Fwoscc%2Ffull-record%2FWOS:000330971500009" TargetMode="External"/><Relationship Id="rId1452" Type="http://schemas.openxmlformats.org/officeDocument/2006/relationships/hyperlink" Target="http://dx.doi.org/10.1134/S0031918X2007011X" TargetMode="External"/><Relationship Id="rId1897" Type="http://schemas.openxmlformats.org/officeDocument/2006/relationships/hyperlink" Target="https%3A%2F%2Fwww.webofscience.com%2Fwos%2Fwoscc%2Ffull-record%2FWOS:000419816700122" TargetMode="External"/><Relationship Id="rId2075" Type="http://schemas.openxmlformats.org/officeDocument/2006/relationships/hyperlink" Target="http://dx.doi.org/10.25750/1995-4301-2021-1-104-111" TargetMode="External"/><Relationship Id="rId2282" Type="http://schemas.openxmlformats.org/officeDocument/2006/relationships/hyperlink" Target="http://dx.doi.org/10.25750/1995-4301-2019-2-108-112" TargetMode="External"/><Relationship Id="rId2503" Type="http://schemas.openxmlformats.org/officeDocument/2006/relationships/hyperlink" Target="https%3A%2F%2Fwww.webofscience.com%2Fwos%2Fwoscc%2Ffull-record%2FWOS:000461678300017" TargetMode="External"/><Relationship Id="rId254" Type="http://schemas.openxmlformats.org/officeDocument/2006/relationships/hyperlink" Target="https%3A%2F%2Fwww.webofscience.com%2Fwos%2Fwoscc%2Ffull-record%2FWOS:000849737100032" TargetMode="External"/><Relationship Id="rId699" Type="http://schemas.openxmlformats.org/officeDocument/2006/relationships/hyperlink" Target="https%3A%2F%2Fwww.webofscience.com%2Fwos%2Fwoscc%2Ffull-record%2FWOS:000885393200005" TargetMode="External"/><Relationship Id="rId1091" Type="http://schemas.openxmlformats.org/officeDocument/2006/relationships/hyperlink" Target="http://dx.doi.org/10.1007/978-3-319-60696-5_40" TargetMode="External"/><Relationship Id="rId1105" Type="http://schemas.openxmlformats.org/officeDocument/2006/relationships/hyperlink" Target="https%3A%2F%2Fwww.webofscience.com%2Fwos%2Fwoscc%2Ffull-record%2FWOS:000929704700029" TargetMode="External"/><Relationship Id="rId1312" Type="http://schemas.openxmlformats.org/officeDocument/2006/relationships/hyperlink" Target="http://dx.doi.org/10.18149/MPM.5022022_14" TargetMode="External"/><Relationship Id="rId1757" Type="http://schemas.openxmlformats.org/officeDocument/2006/relationships/hyperlink" Target="https%3A%2F%2Fwww.webofscience.com%2Fwos%2Fwoscc%2Ffull-record%2FWOS:000597810500003" TargetMode="External"/><Relationship Id="rId1964" Type="http://schemas.openxmlformats.org/officeDocument/2006/relationships/hyperlink" Target="https%3A%2F%2Fwww.webofscience.com%2Fwos%2Fwoscc%2Ffull-record%2FWOS:000588093700082" TargetMode="External"/><Relationship Id="rId49" Type="http://schemas.openxmlformats.org/officeDocument/2006/relationships/hyperlink" Target="http://dx.doi.org/10.24874/IJQR14.02-12" TargetMode="External"/><Relationship Id="rId114" Type="http://schemas.openxmlformats.org/officeDocument/2006/relationships/hyperlink" Target="http://dx.doi.org/10.18254/S207987840013183-0" TargetMode="External"/><Relationship Id="rId461" Type="http://schemas.openxmlformats.org/officeDocument/2006/relationships/hyperlink" Target="https%3A%2F%2Fwww.webofscience.com%2Fwos%2Fwoscc%2Ffull-record%2FWOS:000363241200002" TargetMode="External"/><Relationship Id="rId559" Type="http://schemas.openxmlformats.org/officeDocument/2006/relationships/hyperlink" Target="https%3A%2F%2Fwww.webofscience.com%2Fwos%2Fwoscc%2Ffull-record%2FWOS:000445146400009" TargetMode="External"/><Relationship Id="rId766" Type="http://schemas.openxmlformats.org/officeDocument/2006/relationships/hyperlink" Target="https%3A%2F%2Fwww.webofscience.com%2Fwos%2Fwoscc%2Ffull-record%2FWOS:000437910300016" TargetMode="External"/><Relationship Id="rId1189" Type="http://schemas.openxmlformats.org/officeDocument/2006/relationships/hyperlink" Target="http://dx.doi.org/10.14529/hsm180415" TargetMode="External"/><Relationship Id="rId1396" Type="http://schemas.openxmlformats.org/officeDocument/2006/relationships/hyperlink" Target="http://dx.doi.org/10.1111/tan.14952" TargetMode="External"/><Relationship Id="rId1617" Type="http://schemas.openxmlformats.org/officeDocument/2006/relationships/hyperlink" Target="https%3A%2F%2Fwww.webofscience.com%2Fwos%2Fwoscc%2Ffull-record%2FWOS:000474306700012" TargetMode="External"/><Relationship Id="rId1824" Type="http://schemas.openxmlformats.org/officeDocument/2006/relationships/hyperlink" Target="https%3A%2F%2Fwww.webofscience.com%2Fwos%2Fwoscc%2Ffull-record%2FWOS:000613140000019" TargetMode="External"/><Relationship Id="rId2142" Type="http://schemas.openxmlformats.org/officeDocument/2006/relationships/hyperlink" Target="https%3A%2F%2Fwww.webofscience.com%2Fwos%2Fwoscc%2Ffull-record%2FWOS:000395058300010" TargetMode="External"/><Relationship Id="rId2447" Type="http://schemas.openxmlformats.org/officeDocument/2006/relationships/hyperlink" Target="https%3A%2F%2Fwww.webofscience.com%2Fwos%2Fwoscc%2Ffull-record%2FWOS:000757328000001" TargetMode="External"/><Relationship Id="rId198" Type="http://schemas.openxmlformats.org/officeDocument/2006/relationships/hyperlink" Target="http://dx.doi.org/10.37358/mp.20.1.5313" TargetMode="External"/><Relationship Id="rId321" Type="http://schemas.openxmlformats.org/officeDocument/2006/relationships/hyperlink" Target="https%3A%2F%2Fwww.webofscience.com%2Fwos%2Fwoscc%2Ffull-record%2FWOS:000502575300009" TargetMode="External"/><Relationship Id="rId419" Type="http://schemas.openxmlformats.org/officeDocument/2006/relationships/hyperlink" Target="https%3A%2F%2Fwww.webofscience.com%2Fwos%2Fwoscc%2Ffull-record%2FWOS:000414282400348" TargetMode="External"/><Relationship Id="rId626" Type="http://schemas.openxmlformats.org/officeDocument/2006/relationships/hyperlink" Target="http://dx.doi.org/10.1051/e3sconf/201911002005" TargetMode="External"/><Relationship Id="rId973" Type="http://schemas.openxmlformats.org/officeDocument/2006/relationships/hyperlink" Target="http://dx.doi.org/10.25750/1995-4301-2019-1-041-046" TargetMode="External"/><Relationship Id="rId1049" Type="http://schemas.openxmlformats.org/officeDocument/2006/relationships/hyperlink" Target="https%3A%2F%2Fwww.webofscience.com%2Fwos%2Fwoscc%2Ffull-record%2FWOS:000380470800042" TargetMode="External"/><Relationship Id="rId1256" Type="http://schemas.openxmlformats.org/officeDocument/2006/relationships/hyperlink" Target="https%3A%2F%2Fwww.webofscience.com%2Fwos%2Fwoscc%2Ffull-record%2FWOS:000625366100007" TargetMode="External"/><Relationship Id="rId2002" Type="http://schemas.openxmlformats.org/officeDocument/2006/relationships/hyperlink" Target="http://dx.doi.org/10.1051/matecconf/201817001046" TargetMode="External"/><Relationship Id="rId2086" Type="http://schemas.openxmlformats.org/officeDocument/2006/relationships/hyperlink" Target="http://dx.doi.org/10.1134/S1070428023010074" TargetMode="External"/><Relationship Id="rId2307" Type="http://schemas.openxmlformats.org/officeDocument/2006/relationships/hyperlink" Target="https%3A%2F%2Fwww.webofscience.com%2Fwos%2Fwoscc%2Ffull-record%2FWOS:000632219100001" TargetMode="External"/><Relationship Id="rId833" Type="http://schemas.openxmlformats.org/officeDocument/2006/relationships/hyperlink" Target="https%3A%2F%2Fwww.webofscience.com%2Fwos%2Fwoscc%2Ffull-record%2FWOS:000180094300016" TargetMode="External"/><Relationship Id="rId1116" Type="http://schemas.openxmlformats.org/officeDocument/2006/relationships/hyperlink" Target="https%3A%2F%2Fwww.webofscience.com%2Fwos%2Fwoscc%2Ffull-record%2FWOS:000545314100010" TargetMode="External"/><Relationship Id="rId1463" Type="http://schemas.openxmlformats.org/officeDocument/2006/relationships/hyperlink" Target="https%3A%2F%2Fwww.webofscience.com%2Fwos%2Fwoscc%2Ffull-record%2FWOS:000904502200001" TargetMode="External"/><Relationship Id="rId1670" Type="http://schemas.openxmlformats.org/officeDocument/2006/relationships/hyperlink" Target="http://dx.doi.org/10.12973/eurasia.2017.01248a" TargetMode="External"/><Relationship Id="rId1768" Type="http://schemas.openxmlformats.org/officeDocument/2006/relationships/hyperlink" Target="http://dx.doi.org/10.29051/el.v7iesp.2.15150" TargetMode="External"/><Relationship Id="rId2293" Type="http://schemas.openxmlformats.org/officeDocument/2006/relationships/hyperlink" Target="https%3A%2F%2Fwww.webofscience.com%2Fwos%2Fwoscc%2Ffull-record%2FWOS:000375837100026" TargetMode="External"/><Relationship Id="rId2514" Type="http://schemas.openxmlformats.org/officeDocument/2006/relationships/hyperlink" Target="http://dx.doi.org/10.1038/s41467-022-32447-1" TargetMode="External"/><Relationship Id="rId265" Type="http://schemas.openxmlformats.org/officeDocument/2006/relationships/hyperlink" Target="https%3A%2F%2Fwww.webofscience.com%2Fwos%2Fwoscc%2Ffull-record%2FWOS:000468565300014" TargetMode="External"/><Relationship Id="rId472" Type="http://schemas.openxmlformats.org/officeDocument/2006/relationships/hyperlink" Target="http://dx.doi.org/10.54770/20729286_2023_1_50" TargetMode="External"/><Relationship Id="rId900" Type="http://schemas.openxmlformats.org/officeDocument/2006/relationships/hyperlink" Target="http://dx.doi.org/10.1088/1742-6596/1399/3/033050" TargetMode="External"/><Relationship Id="rId1323" Type="http://schemas.openxmlformats.org/officeDocument/2006/relationships/hyperlink" Target="https%3A%2F%2Fwww.webofscience.com%2Fwos%2Fwoscc%2Ffull-record%2FWOS:000755490600005" TargetMode="External"/><Relationship Id="rId1530" Type="http://schemas.openxmlformats.org/officeDocument/2006/relationships/hyperlink" Target="https%3A%2F%2Fwww.webofscience.com%2Fwos%2Fwoscc%2Ffull-record%2FWOS:000540068900010" TargetMode="External"/><Relationship Id="rId1628" Type="http://schemas.openxmlformats.org/officeDocument/2006/relationships/hyperlink" Target="https%3A%2F%2Fwww.webofscience.com%2Fwos%2Fwoscc%2Ffull-record%2FWOS:000251159400020" TargetMode="External"/><Relationship Id="rId1975" Type="http://schemas.openxmlformats.org/officeDocument/2006/relationships/hyperlink" Target="https%3A%2F%2Fwww.webofscience.com%2Fwos%2Fwoscc%2Ffull-record%2FWOS:000777005100001" TargetMode="External"/><Relationship Id="rId2153" Type="http://schemas.openxmlformats.org/officeDocument/2006/relationships/hyperlink" Target="http://dx.doi.org/10.25750/1995-4301-2019-4-103-109" TargetMode="External"/><Relationship Id="rId2360" Type="http://schemas.openxmlformats.org/officeDocument/2006/relationships/hyperlink" Target="https%3A%2F%2Fwww.webofscience.com%2Fwos%2Fwoscc%2Ffull-record%2FWOS:000805874800051" TargetMode="External"/><Relationship Id="rId125" Type="http://schemas.openxmlformats.org/officeDocument/2006/relationships/hyperlink" Target="https%3A%2F%2Fwww.webofscience.com%2Fwos%2Fwoscc%2Ffull-record%2FWOS:000399357000012" TargetMode="External"/><Relationship Id="rId332" Type="http://schemas.openxmlformats.org/officeDocument/2006/relationships/hyperlink" Target="http://dx.doi.org/10.1088/1757-899X/451/1/012046" TargetMode="External"/><Relationship Id="rId777" Type="http://schemas.openxmlformats.org/officeDocument/2006/relationships/hyperlink" Target="https%3A%2F%2Fwww.webofscience.com%2Fwos%2Fwoscc%2Ffull-record%2FWOS:000444105600018" TargetMode="External"/><Relationship Id="rId984" Type="http://schemas.openxmlformats.org/officeDocument/2006/relationships/hyperlink" Target="https%3A%2F%2Fwww.webofscience.com%2Fwos%2Fwoscc%2Ffull-record%2FWOS:000805412200171" TargetMode="External"/><Relationship Id="rId1835" Type="http://schemas.openxmlformats.org/officeDocument/2006/relationships/hyperlink" Target="http://dx.doi.org/10.25750/1995-4301-2022-3-110-117" TargetMode="External"/><Relationship Id="rId2013" Type="http://schemas.openxmlformats.org/officeDocument/2006/relationships/hyperlink" Target="https%3A%2F%2Fwww.webofscience.com%2Fwos%2Fwoscc%2Ffull-record%2FWOS:000570248200117" TargetMode="External"/><Relationship Id="rId2220" Type="http://schemas.openxmlformats.org/officeDocument/2006/relationships/hyperlink" Target="https%3A%2F%2Fwww.webofscience.com%2Fwos%2Fwoscc%2Ffull-record%2FWOS:000319159900011" TargetMode="External"/><Relationship Id="rId2458" Type="http://schemas.openxmlformats.org/officeDocument/2006/relationships/hyperlink" Target="https%3A%2F%2Fwww.webofscience.com%2Fwos%2Fwoscc%2Ffull-record%2FWOS:000684132500001" TargetMode="External"/><Relationship Id="rId637" Type="http://schemas.openxmlformats.org/officeDocument/2006/relationships/hyperlink" Target="https%3A%2F%2Fwww.webofscience.com%2Fwos%2Fwoscc%2Ffull-record%2FWOS:000426878200134" TargetMode="External"/><Relationship Id="rId844" Type="http://schemas.openxmlformats.org/officeDocument/2006/relationships/hyperlink" Target="http://dx.doi.org/10.15393/j9.art.2020.6882" TargetMode="External"/><Relationship Id="rId1267" Type="http://schemas.openxmlformats.org/officeDocument/2006/relationships/hyperlink" Target="http://dx.doi.org/10.30547/vestnik.journ.3.2021.102120" TargetMode="External"/><Relationship Id="rId1474" Type="http://schemas.openxmlformats.org/officeDocument/2006/relationships/hyperlink" Target="https%3A%2F%2Fwww.webofscience.com%2Fwos%2Fwoscc%2Ffull-record%2FWOS:000906730900003" TargetMode="External"/><Relationship Id="rId1681" Type="http://schemas.openxmlformats.org/officeDocument/2006/relationships/hyperlink" Target="http://dx.doi.org/10.12973/eurasia.2017.00989a" TargetMode="External"/><Relationship Id="rId1902" Type="http://schemas.openxmlformats.org/officeDocument/2006/relationships/hyperlink" Target="http://dx.doi.org/10.25750/1995-4301-2020-1-089-096" TargetMode="External"/><Relationship Id="rId2097" Type="http://schemas.openxmlformats.org/officeDocument/2006/relationships/hyperlink" Target="http://dx.doi.org/10.25750/1995-4301-2022-1-198-204" TargetMode="External"/><Relationship Id="rId2318" Type="http://schemas.openxmlformats.org/officeDocument/2006/relationships/hyperlink" Target="http://dx.doi.org/10.1149/2.0071712jss" TargetMode="External"/><Relationship Id="rId276" Type="http://schemas.openxmlformats.org/officeDocument/2006/relationships/hyperlink" Target="http://dx.doi.org/10.31166/VoprosyIstorii202106Statyi39" TargetMode="External"/><Relationship Id="rId483" Type="http://schemas.openxmlformats.org/officeDocument/2006/relationships/hyperlink" Target="https%3A%2F%2Fwww.webofscience.com%2Fwos%2Fwoscc%2Ffull-record%2FWOS:000531047700013" TargetMode="External"/><Relationship Id="rId690" Type="http://schemas.openxmlformats.org/officeDocument/2006/relationships/hyperlink" Target="https%3A%2F%2Fwww.webofscience.com%2Fwos%2Fwoscc%2Ffull-record%2FWOS:000295530300015" TargetMode="External"/><Relationship Id="rId704" Type="http://schemas.openxmlformats.org/officeDocument/2006/relationships/hyperlink" Target="http://dx.doi.org/10.17759/psylaw.2021110405" TargetMode="External"/><Relationship Id="rId911" Type="http://schemas.openxmlformats.org/officeDocument/2006/relationships/hyperlink" Target="https%3A%2F%2Fwww.webofscience.com%2Fwos%2Fwoscc%2Ffull-record%2FWOS:000305421400001" TargetMode="External"/><Relationship Id="rId1127" Type="http://schemas.openxmlformats.org/officeDocument/2006/relationships/hyperlink" Target="http://dx.doi.org/10.14529/hsm190308" TargetMode="External"/><Relationship Id="rId1334" Type="http://schemas.openxmlformats.org/officeDocument/2006/relationships/hyperlink" Target="http://dx.doi.org/10.1023/A:1026068208764" TargetMode="External"/><Relationship Id="rId1541" Type="http://schemas.openxmlformats.org/officeDocument/2006/relationships/hyperlink" Target="https%3A%2F%2Fwww.webofscience.com%2Fwos%2Fwoscc%2Ffull-record%2FWOS:000303357200005" TargetMode="External"/><Relationship Id="rId1779" Type="http://schemas.openxmlformats.org/officeDocument/2006/relationships/hyperlink" Target="http://dx.doi.org/10.1111/tan.14559" TargetMode="External"/><Relationship Id="rId1986" Type="http://schemas.openxmlformats.org/officeDocument/2006/relationships/hyperlink" Target="http://dx.doi.org/10.25750/1995-4301-2021-4-174-180" TargetMode="External"/><Relationship Id="rId2164" Type="http://schemas.openxmlformats.org/officeDocument/2006/relationships/hyperlink" Target="https%3A%2F%2Fwww.webofscience.com%2Fwos%2Fwoscc%2Ffull-record%2FWOS:000667025400017" TargetMode="External"/><Relationship Id="rId2371" Type="http://schemas.openxmlformats.org/officeDocument/2006/relationships/hyperlink" Target="http://dx.doi.org/10.20511/pyr2021.v9nSPE1.1223" TargetMode="External"/><Relationship Id="rId40" Type="http://schemas.openxmlformats.org/officeDocument/2006/relationships/hyperlink" Target="http://dx.doi.org/10.1023/B:TFCE.0000036967.86553.56" TargetMode="External"/><Relationship Id="rId136" Type="http://schemas.openxmlformats.org/officeDocument/2006/relationships/hyperlink" Target="http://dx.doi.org/10.15826/qr.2021.3.628" TargetMode="External"/><Relationship Id="rId343" Type="http://schemas.openxmlformats.org/officeDocument/2006/relationships/hyperlink" Target="http://dx.doi.org/10.1134/S004057950803007X" TargetMode="External"/><Relationship Id="rId550" Type="http://schemas.openxmlformats.org/officeDocument/2006/relationships/hyperlink" Target="http://dx.doi.org/10.24224/2227-1295-2020-4-401-419" TargetMode="External"/><Relationship Id="rId788" Type="http://schemas.openxmlformats.org/officeDocument/2006/relationships/hyperlink" Target="https%3A%2F%2Fwww.webofscience.com%2Fwos%2Fwoscc%2Ffull-record%2FWOS:000168892900016" TargetMode="External"/><Relationship Id="rId995" Type="http://schemas.openxmlformats.org/officeDocument/2006/relationships/hyperlink" Target="https%3A%2F%2Fwww.webofscience.com%2Fwos%2Fwoscc%2Ffull-record%2FWOS:000327218300009" TargetMode="External"/><Relationship Id="rId1180" Type="http://schemas.openxmlformats.org/officeDocument/2006/relationships/hyperlink" Target="https%3A%2F%2Fwww.webofscience.com%2Fwos%2Fwoscc%2Ffull-record%2FWOS:000500693100002" TargetMode="External"/><Relationship Id="rId1401" Type="http://schemas.openxmlformats.org/officeDocument/2006/relationships/hyperlink" Target="http://dx.doi.org/10.1007/978-3-030-37334-4_22" TargetMode="External"/><Relationship Id="rId1639" Type="http://schemas.openxmlformats.org/officeDocument/2006/relationships/hyperlink" Target="https%3A%2F%2Fwww.webofscience.com%2Fwos%2Fwoscc%2Ffull-record%2FWOS:000919397900001" TargetMode="External"/><Relationship Id="rId1846" Type="http://schemas.openxmlformats.org/officeDocument/2006/relationships/hyperlink" Target="https%3A%2F%2Fwww.webofscience.com%2Fwos%2Fwoscc%2Ffull-record%2FWOS:000451954700078" TargetMode="External"/><Relationship Id="rId2024" Type="http://schemas.openxmlformats.org/officeDocument/2006/relationships/hyperlink" Target="http://dx.doi.org/10.1016/j.ijbiomac.2019.07.122" TargetMode="External"/><Relationship Id="rId2231" Type="http://schemas.openxmlformats.org/officeDocument/2006/relationships/hyperlink" Target="http://dx.doi.org/10.12911/22998993/146330" TargetMode="External"/><Relationship Id="rId2469" Type="http://schemas.openxmlformats.org/officeDocument/2006/relationships/hyperlink" Target="http://dx.doi.org/10.15376/biores.18.3.4492-4509" TargetMode="External"/><Relationship Id="rId203" Type="http://schemas.openxmlformats.org/officeDocument/2006/relationships/hyperlink" Target="https%3A%2F%2Fwww.webofscience.com%2Fwos%2Fwoscc%2Ffull-record%2FWOS:000613138500113" TargetMode="External"/><Relationship Id="rId648" Type="http://schemas.openxmlformats.org/officeDocument/2006/relationships/hyperlink" Target="http://dx.doi.org/10.1134/S0001434609070165" TargetMode="External"/><Relationship Id="rId855" Type="http://schemas.openxmlformats.org/officeDocument/2006/relationships/hyperlink" Target="https%3A%2F%2Fwww.webofscience.com%2Fwos%2Fwoscc%2Ffull-record%2FWOS:000514212900023" TargetMode="External"/><Relationship Id="rId1040" Type="http://schemas.openxmlformats.org/officeDocument/2006/relationships/hyperlink" Target="https%3A%2F%2Fwww.webofscience.com%2Fwos%2Fwoscc%2Ffull-record%2FWOS:000457172600016" TargetMode="External"/><Relationship Id="rId1278" Type="http://schemas.openxmlformats.org/officeDocument/2006/relationships/hyperlink" Target="http://dx.doi.org/10.25750/1995-4301-2020-4-055-060" TargetMode="External"/><Relationship Id="rId1485" Type="http://schemas.openxmlformats.org/officeDocument/2006/relationships/hyperlink" Target="http://dx.doi.org/10.1111/tan.14944" TargetMode="External"/><Relationship Id="rId1692" Type="http://schemas.openxmlformats.org/officeDocument/2006/relationships/hyperlink" Target="https%3A%2F%2Fwww.webofscience.com%2Fwos%2Fwoscc%2Ffull-record%2FWOS:000305517000014" TargetMode="External"/><Relationship Id="rId1706" Type="http://schemas.openxmlformats.org/officeDocument/2006/relationships/hyperlink" Target="https%3A%2F%2Fwww.webofscience.com%2Fwos%2Fwoscc%2Ffull-record%2FWOS:000638769200001" TargetMode="External"/><Relationship Id="rId1913" Type="http://schemas.openxmlformats.org/officeDocument/2006/relationships/hyperlink" Target="http://dx.doi.org/10.15789/2220-7619-IAO-2007" TargetMode="External"/><Relationship Id="rId2329" Type="http://schemas.openxmlformats.org/officeDocument/2006/relationships/hyperlink" Target="http://dx.doi.org/10.22633/rpge.v25iesp.2.15282" TargetMode="External"/><Relationship Id="rId287" Type="http://schemas.openxmlformats.org/officeDocument/2006/relationships/hyperlink" Target="https%3A%2F%2Fwww.webofscience.com%2Fwos%2Fwoscc%2Ffull-record%2FWOS:000604555300006" TargetMode="External"/><Relationship Id="rId410" Type="http://schemas.openxmlformats.org/officeDocument/2006/relationships/hyperlink" Target="http://dx.doi.org/10.28995/2073-0101-2019-2-458-466" TargetMode="External"/><Relationship Id="rId494" Type="http://schemas.openxmlformats.org/officeDocument/2006/relationships/hyperlink" Target="http://dx.doi.org/10.1080/09668136.2017.1371496" TargetMode="External"/><Relationship Id="rId508" Type="http://schemas.openxmlformats.org/officeDocument/2006/relationships/hyperlink" Target="https%3A%2F%2Fwww.webofscience.com%2Fwos%2Fwoscc%2Ffull-record%2FWOS:000953399900003" TargetMode="External"/><Relationship Id="rId715" Type="http://schemas.openxmlformats.org/officeDocument/2006/relationships/hyperlink" Target="https%3A%2F%2Fwww.webofscience.com%2Fwos%2Fwoscc%2Ffull-record%2FWOS:000599902400007" TargetMode="External"/><Relationship Id="rId922" Type="http://schemas.openxmlformats.org/officeDocument/2006/relationships/hyperlink" Target="https%3A%2F%2Fwww.webofscience.com%2Fwos%2Fwoscc%2Ffull-record%2FWOS:000542265300011" TargetMode="External"/><Relationship Id="rId1138" Type="http://schemas.openxmlformats.org/officeDocument/2006/relationships/hyperlink" Target="http://dx.doi.org/10.24833/2071-8160-2019-1-64-59-82" TargetMode="External"/><Relationship Id="rId1345" Type="http://schemas.openxmlformats.org/officeDocument/2006/relationships/hyperlink" Target="https%3A%2F%2Fwww.webofscience.com%2Fwos%2Fwoscc%2Ffull-record%2FWOS:000700413300017" TargetMode="External"/><Relationship Id="rId1552" Type="http://schemas.openxmlformats.org/officeDocument/2006/relationships/hyperlink" Target="http://dx.doi.org/10.1007/978-3-319-13186-3_21" TargetMode="External"/><Relationship Id="rId1997" Type="http://schemas.openxmlformats.org/officeDocument/2006/relationships/hyperlink" Target="https%3A%2F%2Fwww.webofscience.com%2Fwos%2Fwoscc%2Ffull-record%2FWOS:000475492100030" TargetMode="External"/><Relationship Id="rId2175" Type="http://schemas.openxmlformats.org/officeDocument/2006/relationships/hyperlink" Target="https%3A%2F%2Fwww.webofscience.com%2Fwos%2Fwoscc%2Ffull-record%2FWOS:000468565300006" TargetMode="External"/><Relationship Id="rId2382" Type="http://schemas.openxmlformats.org/officeDocument/2006/relationships/hyperlink" Target="http://dx.doi.org/10.15561/18189172.2019.0404" TargetMode="External"/><Relationship Id="rId147" Type="http://schemas.openxmlformats.org/officeDocument/2006/relationships/hyperlink" Target="https%3A%2F%2Fwww.webofscience.com%2Fwos%2Fwoscc%2Ffull-record%2FWOS:000497661800007" TargetMode="External"/><Relationship Id="rId354" Type="http://schemas.openxmlformats.org/officeDocument/2006/relationships/hyperlink" Target="http://dx.doi.org/10.22363/2312-8674-2021-20-1-108-124" TargetMode="External"/><Relationship Id="rId799" Type="http://schemas.openxmlformats.org/officeDocument/2006/relationships/hyperlink" Target="http://dx.doi.org/10.15405/epsbs.2021.07.02.46" TargetMode="External"/><Relationship Id="rId1191" Type="http://schemas.openxmlformats.org/officeDocument/2006/relationships/hyperlink" Target="http://dx.doi.org/10.28995/2073-0101-2018-2-455-462" TargetMode="External"/><Relationship Id="rId1205" Type="http://schemas.openxmlformats.org/officeDocument/2006/relationships/hyperlink" Target="http://dx.doi.org/10.1134/S0965544114080040" TargetMode="External"/><Relationship Id="rId1857" Type="http://schemas.openxmlformats.org/officeDocument/2006/relationships/hyperlink" Target="https%3A%2F%2Fwww.webofscience.com%2Fwos%2Fwoscc%2Ffull-record%2FWOS:000819811100026" TargetMode="External"/><Relationship Id="rId2035" Type="http://schemas.openxmlformats.org/officeDocument/2006/relationships/hyperlink" Target="https%3A%2F%2Fwww.webofscience.com%2Fwos%2Fwoscc%2Ffull-record%2FWOS:000404607800001" TargetMode="External"/><Relationship Id="rId51" Type="http://schemas.openxmlformats.org/officeDocument/2006/relationships/hyperlink" Target="http://dx.doi.org/10.25750/1995-4301-2020-2-057-063" TargetMode="External"/><Relationship Id="rId561" Type="http://schemas.openxmlformats.org/officeDocument/2006/relationships/hyperlink" Target="https%3A%2F%2Fwww.webofscience.com%2Fwos%2Fwoscc%2Ffull-record%2FWOS:000644432200112" TargetMode="External"/><Relationship Id="rId659" Type="http://schemas.openxmlformats.org/officeDocument/2006/relationships/hyperlink" Target="http://dx.doi.org/10.25750/1995-4301-2022-4-224-231" TargetMode="External"/><Relationship Id="rId866" Type="http://schemas.openxmlformats.org/officeDocument/2006/relationships/hyperlink" Target="https%3A%2F%2Fwww.webofscience.com%2Fwos%2Fwoscc%2Ffull-record%2FWOS:000414282400174" TargetMode="External"/><Relationship Id="rId1289" Type="http://schemas.openxmlformats.org/officeDocument/2006/relationships/hyperlink" Target="https%3A%2F%2Fwww.webofscience.com%2Fwos%2Fwoscc%2Ffull-record%2FWOS:000885425500001" TargetMode="External"/><Relationship Id="rId1412" Type="http://schemas.openxmlformats.org/officeDocument/2006/relationships/hyperlink" Target="https%3A%2F%2Fwww.webofscience.com%2Fwos%2Fwoscc%2Ffull-record%2FWOS:000382516300009" TargetMode="External"/><Relationship Id="rId1496" Type="http://schemas.openxmlformats.org/officeDocument/2006/relationships/hyperlink" Target="https%3A%2F%2Fwww.webofscience.com%2Fwos%2Fwoscc%2Ffull-record%2FWOS:000613005500037" TargetMode="External"/><Relationship Id="rId1717" Type="http://schemas.openxmlformats.org/officeDocument/2006/relationships/hyperlink" Target="http://dx.doi.org/10.3389/fenrg.2022.943447" TargetMode="External"/><Relationship Id="rId1924" Type="http://schemas.openxmlformats.org/officeDocument/2006/relationships/hyperlink" Target="https%3A%2F%2Fwww.webofscience.com%2Fwos%2Fwoscc%2Ffull-record%2FWOS:000554931000012" TargetMode="External"/><Relationship Id="rId2242" Type="http://schemas.openxmlformats.org/officeDocument/2006/relationships/hyperlink" Target="https%3A%2F%2Fwww.webofscience.com%2Fwos%2Fwoscc%2Ffull-record%2FWOS:000391896800002" TargetMode="External"/><Relationship Id="rId214" Type="http://schemas.openxmlformats.org/officeDocument/2006/relationships/hyperlink" Target="https%3A%2F%2Fwww.webofscience.com%2Fwos%2Fwoscc%2Ffull-record%2FWOS:000300088400026" TargetMode="External"/><Relationship Id="rId298" Type="http://schemas.openxmlformats.org/officeDocument/2006/relationships/hyperlink" Target="https%3A%2F%2Fwww.webofscience.com%2Fwos%2Fwoscc%2Ffull-record%2FWOS:000435602100004" TargetMode="External"/><Relationship Id="rId421" Type="http://schemas.openxmlformats.org/officeDocument/2006/relationships/hyperlink" Target="https%3A%2F%2Fwww.webofscience.com%2Fwos%2Fwoscc%2Ffull-record%2FWOS:000358190200019" TargetMode="External"/><Relationship Id="rId519" Type="http://schemas.openxmlformats.org/officeDocument/2006/relationships/hyperlink" Target="https%3A%2F%2Fwww.webofscience.com%2Fwos%2Fwoscc%2Ffull-record%2FWOS:000461474100020" TargetMode="External"/><Relationship Id="rId1051" Type="http://schemas.openxmlformats.org/officeDocument/2006/relationships/hyperlink" Target="http://dx.doi.org/10.1023/A:1010410711855" TargetMode="External"/><Relationship Id="rId1149" Type="http://schemas.openxmlformats.org/officeDocument/2006/relationships/hyperlink" Target="http://dx.doi.org/10.1134/S10704272150110105" TargetMode="External"/><Relationship Id="rId1356" Type="http://schemas.openxmlformats.org/officeDocument/2006/relationships/hyperlink" Target="http://dx.doi.org/10.12973/eurasia.2017.00960a" TargetMode="External"/><Relationship Id="rId2102" Type="http://schemas.openxmlformats.org/officeDocument/2006/relationships/hyperlink" Target="https%3A%2F%2Fwww.webofscience.com%2Fwos%2Fwoscc%2Ffull-record%2FWOS:000669709801068" TargetMode="External"/><Relationship Id="rId158" Type="http://schemas.openxmlformats.org/officeDocument/2006/relationships/hyperlink" Target="http://dx.doi.org/10.13187/bg.2018.4.1725" TargetMode="External"/><Relationship Id="rId726" Type="http://schemas.openxmlformats.org/officeDocument/2006/relationships/hyperlink" Target="https%3A%2F%2Fwww.webofscience.com%2Fwos%2Fwoscc%2Ffull-record%2FWOS:000432656200010" TargetMode="External"/><Relationship Id="rId933" Type="http://schemas.openxmlformats.org/officeDocument/2006/relationships/hyperlink" Target="https%3A%2F%2Fwww.webofscience.com%2Fwos%2Fwoscc%2Ffull-record%2FWOS:000492146100124" TargetMode="External"/><Relationship Id="rId1009" Type="http://schemas.openxmlformats.org/officeDocument/2006/relationships/hyperlink" Target="https%3A%2F%2Fwww.webofscience.com%2Fwos%2Fwoscc%2Ffull-record%2FWOS:000088980400006" TargetMode="External"/><Relationship Id="rId1563" Type="http://schemas.openxmlformats.org/officeDocument/2006/relationships/hyperlink" Target="https%3A%2F%2Fwww.webofscience.com%2Fwos%2Fwoscc%2Ffull-record%2FWOS:000477826000016" TargetMode="External"/><Relationship Id="rId1770" Type="http://schemas.openxmlformats.org/officeDocument/2006/relationships/hyperlink" Target="https%3A%2F%2Fwww.webofscience.com%2Fwos%2Fwoscc%2Ffull-record%2FWOS:000254496200012" TargetMode="External"/><Relationship Id="rId1868" Type="http://schemas.openxmlformats.org/officeDocument/2006/relationships/hyperlink" Target="http://dx.doi.org/10.18083/LCAppl.2020.1.85" TargetMode="External"/><Relationship Id="rId2186" Type="http://schemas.openxmlformats.org/officeDocument/2006/relationships/hyperlink" Target="https%3A%2F%2Fwww.webofscience.com%2Fwos%2Fwoscc%2Ffull-record%2FWOS:000569050000077" TargetMode="External"/><Relationship Id="rId2393" Type="http://schemas.openxmlformats.org/officeDocument/2006/relationships/hyperlink" Target="https%3A%2F%2Fwww.webofscience.com%2Fwos%2Fwoscc%2Ffull-record%2FWOS:000661318700020" TargetMode="External"/><Relationship Id="rId2407" Type="http://schemas.openxmlformats.org/officeDocument/2006/relationships/hyperlink" Target="http://dx.doi.org/10.25750/1995-4301-2019-3-101-108" TargetMode="External"/><Relationship Id="rId62" Type="http://schemas.openxmlformats.org/officeDocument/2006/relationships/hyperlink" Target="https%3A%2F%2Fwww.webofscience.com%2Fwos%2Fwoscc%2Ffull-record%2FWOS:000517795800002" TargetMode="External"/><Relationship Id="rId365" Type="http://schemas.openxmlformats.org/officeDocument/2006/relationships/hyperlink" Target="https%3A%2F%2Fwww.webofscience.com%2Fwos%2Fwoscc%2Ffull-record%2FWOS:000477706200026" TargetMode="External"/><Relationship Id="rId572" Type="http://schemas.openxmlformats.org/officeDocument/2006/relationships/hyperlink" Target="https%3A%2F%2Fwww.webofscience.com%2Fwos%2Fwoscc%2Ffull-record%2FWOS:000518798300028" TargetMode="External"/><Relationship Id="rId1216" Type="http://schemas.openxmlformats.org/officeDocument/2006/relationships/hyperlink" Target="https%3A%2F%2Fwww.webofscience.com%2Fwos%2Fwoscc%2Ffull-record%2FWOS:000221647800010" TargetMode="External"/><Relationship Id="rId1423" Type="http://schemas.openxmlformats.org/officeDocument/2006/relationships/hyperlink" Target="http://dx.doi.org/10.15507/2658-4123.033.202301.037-051" TargetMode="External"/><Relationship Id="rId1630" Type="http://schemas.openxmlformats.org/officeDocument/2006/relationships/hyperlink" Target="https%3A%2F%2Fwww.webofscience.com%2Fwos%2Fwoscc%2Ffull-record%2FWOS:000592231900020" TargetMode="External"/><Relationship Id="rId2046" Type="http://schemas.openxmlformats.org/officeDocument/2006/relationships/hyperlink" Target="http://dx.doi.org/10.1016/j.ijbiomac.2020.04.055" TargetMode="External"/><Relationship Id="rId2253" Type="http://schemas.openxmlformats.org/officeDocument/2006/relationships/hyperlink" Target="https%3A%2F%2Fwww.webofscience.com%2Fwos%2Fwoscc%2Ffull-record%2FWOS:000349913100015" TargetMode="External"/><Relationship Id="rId2460" Type="http://schemas.openxmlformats.org/officeDocument/2006/relationships/hyperlink" Target="https%3A%2F%2Fwww.webofscience.com%2Fwos%2Fwoscc%2Ffull-record%2FWOS:000902084800001" TargetMode="External"/><Relationship Id="rId225" Type="http://schemas.openxmlformats.org/officeDocument/2006/relationships/hyperlink" Target="https%3A%2F%2Fwww.webofscience.com%2Fwos%2Fwoscc%2Ffull-record%2FWOS:000243768200024" TargetMode="External"/><Relationship Id="rId432" Type="http://schemas.openxmlformats.org/officeDocument/2006/relationships/hyperlink" Target="https%3A%2F%2Fwww.webofscience.com%2Fwos%2Fwoscc%2Ffull-record%2FWOS:000865406500015" TargetMode="External"/><Relationship Id="rId877" Type="http://schemas.openxmlformats.org/officeDocument/2006/relationships/hyperlink" Target="https%3A%2F%2Fwww.webofscience.com%2Fwos%2Fwoscc%2Ffull-record%2FWOS:000761143200002" TargetMode="External"/><Relationship Id="rId1062" Type="http://schemas.openxmlformats.org/officeDocument/2006/relationships/hyperlink" Target="http://dx.doi.org/10.24874/IJQR15.04-05" TargetMode="External"/><Relationship Id="rId1728" Type="http://schemas.openxmlformats.org/officeDocument/2006/relationships/hyperlink" Target="http://dx.doi.org/10.1134/S1068162012070230" TargetMode="External"/><Relationship Id="rId1935" Type="http://schemas.openxmlformats.org/officeDocument/2006/relationships/hyperlink" Target="https%3A%2F%2Fwww.webofscience.com%2Fwos%2Fwoscc%2Ffull-record%2FWOS:000461883000041" TargetMode="External"/><Relationship Id="rId2113" Type="http://schemas.openxmlformats.org/officeDocument/2006/relationships/hyperlink" Target="http://dx.doi.org/10.25750/1995-4301-2022-2-006-014" TargetMode="External"/><Relationship Id="rId2320" Type="http://schemas.openxmlformats.org/officeDocument/2006/relationships/hyperlink" Target="http://dx.doi.org/10.1134/S1995425515060189" TargetMode="External"/><Relationship Id="rId737" Type="http://schemas.openxmlformats.org/officeDocument/2006/relationships/hyperlink" Target="http://dx.doi.org/10.1007/978-3-319-60696-5_4" TargetMode="External"/><Relationship Id="rId944" Type="http://schemas.openxmlformats.org/officeDocument/2006/relationships/hyperlink" Target="https%3A%2F%2Fwww.webofscience.com%2Fwos%2Fwoscc%2Ffull-record%2FWOS:000403604400349" TargetMode="External"/><Relationship Id="rId1367" Type="http://schemas.openxmlformats.org/officeDocument/2006/relationships/hyperlink" Target="https%3A%2F%2Fwww.webofscience.com%2Fwos%2Fwoscc%2Ffull-record%2FWOS:000472958800010" TargetMode="External"/><Relationship Id="rId1574" Type="http://schemas.openxmlformats.org/officeDocument/2006/relationships/hyperlink" Target="https%3A%2F%2Fwww.webofscience.com%2Fwos%2Fwoscc%2Ffull-record%2FWOS:000229725000015" TargetMode="External"/><Relationship Id="rId1781" Type="http://schemas.openxmlformats.org/officeDocument/2006/relationships/hyperlink" Target="http://dx.doi.org/10.25750/1995-4301-2022-4-088-095" TargetMode="External"/><Relationship Id="rId2197" Type="http://schemas.openxmlformats.org/officeDocument/2006/relationships/hyperlink" Target="http://dx.doi.org/10.1134/S0003683821040049" TargetMode="External"/><Relationship Id="rId2418" Type="http://schemas.openxmlformats.org/officeDocument/2006/relationships/hyperlink" Target="https%3A%2F%2Fwww.webofscience.com%2Fwos%2Fwoscc%2Ffull-record%2FWOS:000468214400031" TargetMode="External"/><Relationship Id="rId73" Type="http://schemas.openxmlformats.org/officeDocument/2006/relationships/hyperlink" Target="https%3A%2F%2Fwww.webofscience.com%2Fwos%2Fwoscc%2Ffull-record%2FWOS:000165979500020" TargetMode="External"/><Relationship Id="rId169" Type="http://schemas.openxmlformats.org/officeDocument/2006/relationships/hyperlink" Target="https%3A%2F%2Fwww.webofscience.com%2Fwos%2Fwoscc%2Ffull-record%2FWOS:000358190200039" TargetMode="External"/><Relationship Id="rId376" Type="http://schemas.openxmlformats.org/officeDocument/2006/relationships/hyperlink" Target="https%3A%2F%2Fwww.webofscience.com%2Fwos%2Fwoscc%2Ffull-record%2FWOS:000426426600197" TargetMode="External"/><Relationship Id="rId583" Type="http://schemas.openxmlformats.org/officeDocument/2006/relationships/hyperlink" Target="https%3A%2F%2Fwww.webofscience.com%2Fwos%2Fwoscc%2Ffull-record%2FWOS:000607234900037" TargetMode="External"/><Relationship Id="rId790" Type="http://schemas.openxmlformats.org/officeDocument/2006/relationships/hyperlink" Target="https%3A%2F%2Fwww.webofscience.com%2Fwos%2Fwoscc%2Ffull-record%2FWOS:000981905100001" TargetMode="External"/><Relationship Id="rId804" Type="http://schemas.openxmlformats.org/officeDocument/2006/relationships/hyperlink" Target="https%3A%2F%2Fwww.webofscience.com%2Fwos%2Fwoscc%2Ffull-record%2FWOS:000518417300016" TargetMode="External"/><Relationship Id="rId1227" Type="http://schemas.openxmlformats.org/officeDocument/2006/relationships/hyperlink" Target="http://dx.doi.org/10.3897/ap.1.e0526" TargetMode="External"/><Relationship Id="rId1434" Type="http://schemas.openxmlformats.org/officeDocument/2006/relationships/hyperlink" Target="https%3A%2F%2Fwww.webofscience.com%2Fwos%2Fwoscc%2Ffull-record%2FWOS:000404607800063" TargetMode="External"/><Relationship Id="rId1641" Type="http://schemas.openxmlformats.org/officeDocument/2006/relationships/hyperlink" Target="https%3A%2F%2Fwww.webofscience.com%2Fwos%2Fwoscc%2Ffull-record%2FWOS:000835616400005" TargetMode="External"/><Relationship Id="rId1879" Type="http://schemas.openxmlformats.org/officeDocument/2006/relationships/hyperlink" Target="https%3A%2F%2Fwww.webofscience.com%2Fwos%2Fwoscc%2Ffull-record%2FWOS:000700413300015" TargetMode="External"/><Relationship Id="rId2057" Type="http://schemas.openxmlformats.org/officeDocument/2006/relationships/hyperlink" Target="https%3A%2F%2Fwww.webofscience.com%2Fwos%2Fwoscc%2Ffull-record%2FWOS:000404607800043" TargetMode="External"/><Relationship Id="rId2264" Type="http://schemas.openxmlformats.org/officeDocument/2006/relationships/hyperlink" Target="http://dx.doi.org/10.1134/S0026261706020184" TargetMode="External"/><Relationship Id="rId2471" Type="http://schemas.openxmlformats.org/officeDocument/2006/relationships/hyperlink" Target="https%3A%2F%2Fwww.webofscience.com%2Fwos%2Fwoscc%2Ffull-record%2FWOS:000461678300026" TargetMode="External"/><Relationship Id="rId4" Type="http://schemas.openxmlformats.org/officeDocument/2006/relationships/hyperlink" Target="http://dx.doi.org/10.25750/1995-4301-2022-1-235-242" TargetMode="External"/><Relationship Id="rId236" Type="http://schemas.openxmlformats.org/officeDocument/2006/relationships/hyperlink" Target="http://dx.doi.org/10.25750/1995-4301-2018-3-019-026" TargetMode="External"/><Relationship Id="rId443" Type="http://schemas.openxmlformats.org/officeDocument/2006/relationships/hyperlink" Target="https%3A%2F%2Fwww.webofscience.com%2Fwos%2Fwoscc%2Ffull-record%2FWOS:000491261400002" TargetMode="External"/><Relationship Id="rId650" Type="http://schemas.openxmlformats.org/officeDocument/2006/relationships/hyperlink" Target="http://dx.doi.org/10.1134/S1023193507050072" TargetMode="External"/><Relationship Id="rId888" Type="http://schemas.openxmlformats.org/officeDocument/2006/relationships/hyperlink" Target="http://dx.doi.org/10.1109/SIBCON50419.2021.9438904" TargetMode="External"/><Relationship Id="rId1073" Type="http://schemas.openxmlformats.org/officeDocument/2006/relationships/hyperlink" Target="https%3A%2F%2Fwww.webofscience.com%2Fwos%2Fwoscc%2Ffull-record%2FWOS:000465587600001" TargetMode="External"/><Relationship Id="rId1280" Type="http://schemas.openxmlformats.org/officeDocument/2006/relationships/hyperlink" Target="http://dx.doi.org/10.14529/hsm20s106" TargetMode="External"/><Relationship Id="rId1501" Type="http://schemas.openxmlformats.org/officeDocument/2006/relationships/hyperlink" Target="https%3A%2F%2Fwww.webofscience.com%2Fwos%2Fwoscc%2Ffull-record%2FWOS:000455325300065" TargetMode="External"/><Relationship Id="rId1739" Type="http://schemas.openxmlformats.org/officeDocument/2006/relationships/hyperlink" Target="https%3A%2F%2Fwww.webofscience.com%2Fwos%2Fwoscc%2Ffull-record%2FWOS:000914027400001" TargetMode="External"/><Relationship Id="rId1946" Type="http://schemas.openxmlformats.org/officeDocument/2006/relationships/hyperlink" Target="https%3A%2F%2Fwww.webofscience.com%2Fwos%2Fwoscc%2Ffull-record%2FWOS:000885393200010" TargetMode="External"/><Relationship Id="rId2124" Type="http://schemas.openxmlformats.org/officeDocument/2006/relationships/hyperlink" Target="http://dx.doi.org/10.1134/S0003683822040081" TargetMode="External"/><Relationship Id="rId2331" Type="http://schemas.openxmlformats.org/officeDocument/2006/relationships/hyperlink" Target="http://dx.doi.org/10.25750/1995-4301-2020-2-166-171" TargetMode="External"/><Relationship Id="rId303" Type="http://schemas.openxmlformats.org/officeDocument/2006/relationships/hyperlink" Target="https%3A%2F%2Fwww.webofscience.com%2Fwos%2Fwoscc%2Ffull-record%2FWOS:000387945700001" TargetMode="External"/><Relationship Id="rId748" Type="http://schemas.openxmlformats.org/officeDocument/2006/relationships/hyperlink" Target="https%3A%2F%2Fwww.webofscience.com%2Fwos%2Fwoscc%2Ffull-record%2FWOS:000759460600083" TargetMode="External"/><Relationship Id="rId955" Type="http://schemas.openxmlformats.org/officeDocument/2006/relationships/hyperlink" Target="https%3A%2F%2Fwww.webofscience.com%2Fwos%2Fwoscc%2Ffull-record%2FWOS:000976016100017" TargetMode="External"/><Relationship Id="rId1140" Type="http://schemas.openxmlformats.org/officeDocument/2006/relationships/hyperlink" Target="https%3A%2F%2Fwww.webofscience.com%2Fwos%2Fwoscc%2Ffull-record%2FWOS:000438854600005" TargetMode="External"/><Relationship Id="rId1378" Type="http://schemas.openxmlformats.org/officeDocument/2006/relationships/hyperlink" Target="http://dx.doi.org/10.1111/tan.14615" TargetMode="External"/><Relationship Id="rId1585" Type="http://schemas.openxmlformats.org/officeDocument/2006/relationships/hyperlink" Target="http://dx.doi.org/10.1134/S102319351708002X" TargetMode="External"/><Relationship Id="rId1792" Type="http://schemas.openxmlformats.org/officeDocument/2006/relationships/hyperlink" Target="https%3A%2F%2Fwww.webofscience.com%2Fwos%2Fwoscc%2Ffull-record%2FWOS:000911908900001" TargetMode="External"/><Relationship Id="rId1806" Type="http://schemas.openxmlformats.org/officeDocument/2006/relationships/hyperlink" Target="https%3A%2F%2Fwww.webofscience.com%2Fwos%2Fwoscc%2Ffull-record%2FWOS:000567722400011" TargetMode="External"/><Relationship Id="rId2429" Type="http://schemas.openxmlformats.org/officeDocument/2006/relationships/hyperlink" Target="http://dx.doi.org/10.1080/07420528.2019.1683858" TargetMode="External"/><Relationship Id="rId84" Type="http://schemas.openxmlformats.org/officeDocument/2006/relationships/hyperlink" Target="http://dx.doi.org/10.3390/w13010047" TargetMode="External"/><Relationship Id="rId387" Type="http://schemas.openxmlformats.org/officeDocument/2006/relationships/hyperlink" Target="https%3A%2F%2Fwww.webofscience.com%2Fwos%2Fwoscc%2Ffull-record%2FWOS:000254752400008" TargetMode="External"/><Relationship Id="rId510" Type="http://schemas.openxmlformats.org/officeDocument/2006/relationships/hyperlink" Target="https%3A%2F%2Fwww.webofscience.com%2Fwos%2Fwoscc%2Ffull-record%2FWOS:000773381800091" TargetMode="External"/><Relationship Id="rId594" Type="http://schemas.openxmlformats.org/officeDocument/2006/relationships/hyperlink" Target="https%3A%2F%2Fwww.webofscience.com%2Fwos%2Fwoscc%2Ffull-record%2FWOS:000468389000002" TargetMode="External"/><Relationship Id="rId608" Type="http://schemas.openxmlformats.org/officeDocument/2006/relationships/hyperlink" Target="https%3A%2F%2Fwww.webofscience.com%2Fwos%2Fwoscc%2Ffull-record%2FWOS:000247977600004" TargetMode="External"/><Relationship Id="rId815" Type="http://schemas.openxmlformats.org/officeDocument/2006/relationships/hyperlink" Target="http://dx.doi.org/10.1142/S0218126618500044" TargetMode="External"/><Relationship Id="rId1238" Type="http://schemas.openxmlformats.org/officeDocument/2006/relationships/hyperlink" Target="http://dx.doi.org/10.17223/23062061/30/6" TargetMode="External"/><Relationship Id="rId1445" Type="http://schemas.openxmlformats.org/officeDocument/2006/relationships/hyperlink" Target="https%3A%2F%2Fwww.webofscience.com%2Fwos%2Fwoscc%2Ffull-record%2FWOS:000389992300001" TargetMode="External"/><Relationship Id="rId1652" Type="http://schemas.openxmlformats.org/officeDocument/2006/relationships/hyperlink" Target="https%3A%2F%2Fwww.webofscience.com%2Fwos%2Fwoscc%2Ffull-record%2FWOS:000583783100022" TargetMode="External"/><Relationship Id="rId2068" Type="http://schemas.openxmlformats.org/officeDocument/2006/relationships/hyperlink" Target="https%3A%2F%2Fwww.webofscience.com%2Fwos%2Fwoscc%2Ffull-record%2FWOS:000583783100003" TargetMode="External"/><Relationship Id="rId2275" Type="http://schemas.openxmlformats.org/officeDocument/2006/relationships/hyperlink" Target="https%3A%2F%2Fwww.webofscience.com%2Fwos%2Fwoscc%2Ffull-record%2FWOS:000580337700018" TargetMode="External"/><Relationship Id="rId247" Type="http://schemas.openxmlformats.org/officeDocument/2006/relationships/hyperlink" Target="https%3A%2F%2Fwww.webofscience.com%2Fwos%2Fwoscc%2Ffull-record%2FWOS:000385237600019" TargetMode="External"/><Relationship Id="rId899" Type="http://schemas.openxmlformats.org/officeDocument/2006/relationships/hyperlink" Target="https%3A%2F%2Fwww.webofscience.com%2Fwos%2Fwoscc%2Ffull-record%2FWOS:000560311400076" TargetMode="External"/><Relationship Id="rId1000" Type="http://schemas.openxmlformats.org/officeDocument/2006/relationships/hyperlink" Target="http://dx.doi.org/10.1134/S1064230708020111" TargetMode="External"/><Relationship Id="rId1084" Type="http://schemas.openxmlformats.org/officeDocument/2006/relationships/hyperlink" Target="https%3A%2F%2Fwww.webofscience.com%2Fwos%2Fwoscc%2Ffull-record%2FWOS:000448064100001" TargetMode="External"/><Relationship Id="rId1305" Type="http://schemas.openxmlformats.org/officeDocument/2006/relationships/hyperlink" Target="http://dx.doi.org/10.1007/s11041-011-9384-0" TargetMode="External"/><Relationship Id="rId1957" Type="http://schemas.openxmlformats.org/officeDocument/2006/relationships/hyperlink" Target="http://dx.doi.org/10.1088/1755-1315/90/1/012126" TargetMode="External"/><Relationship Id="rId2482" Type="http://schemas.openxmlformats.org/officeDocument/2006/relationships/hyperlink" Target="http://dx.doi.org/10.1007/s40519-020-01064-6" TargetMode="External"/><Relationship Id="rId107" Type="http://schemas.openxmlformats.org/officeDocument/2006/relationships/hyperlink" Target="https%3A%2F%2Fwww.webofscience.com%2Fwos%2Fwoscc%2Ffull-record%2FWOS:000945576100007" TargetMode="External"/><Relationship Id="rId454" Type="http://schemas.openxmlformats.org/officeDocument/2006/relationships/hyperlink" Target="https%3A%2F%2Fwww.webofscience.com%2Fwos%2Fwoscc%2Ffull-record%2FWOS:000527800600059" TargetMode="External"/><Relationship Id="rId661" Type="http://schemas.openxmlformats.org/officeDocument/2006/relationships/hyperlink" Target="http://dx.doi.org/10.1080/09668136.2021.1948972" TargetMode="External"/><Relationship Id="rId759" Type="http://schemas.openxmlformats.org/officeDocument/2006/relationships/hyperlink" Target="https%3A%2F%2Fwww.webofscience.com%2Fwos%2Fwoscc%2Ffull-record%2FWOS:000612854100118" TargetMode="External"/><Relationship Id="rId966" Type="http://schemas.openxmlformats.org/officeDocument/2006/relationships/hyperlink" Target="http://dx.doi.org/10.25750/1995-4301-2020-2-187-192" TargetMode="External"/><Relationship Id="rId1291" Type="http://schemas.openxmlformats.org/officeDocument/2006/relationships/hyperlink" Target="https%3A%2F%2Fwww.webofscience.com%2Fwos%2Fwoscc%2Ffull-record%2FWOS:000755154100007" TargetMode="External"/><Relationship Id="rId1389" Type="http://schemas.openxmlformats.org/officeDocument/2006/relationships/hyperlink" Target="https%3A%2F%2Fwww.webofscience.com%2Fwos%2Fwoscc%2Ffull-record%2FWOS:000245667100028" TargetMode="External"/><Relationship Id="rId1512" Type="http://schemas.openxmlformats.org/officeDocument/2006/relationships/hyperlink" Target="https%3A%2F%2Fwww.webofscience.com%2Fwos%2Fwoscc%2Ffull-record%2FWOS:000507473500119" TargetMode="External"/><Relationship Id="rId1596" Type="http://schemas.openxmlformats.org/officeDocument/2006/relationships/hyperlink" Target="http://dx.doi.org/10.1134/S0001434622030014" TargetMode="External"/><Relationship Id="rId1817" Type="http://schemas.openxmlformats.org/officeDocument/2006/relationships/hyperlink" Target="http://dx.doi.org/10.1007/s10800-022-01667-0" TargetMode="External"/><Relationship Id="rId2135" Type="http://schemas.openxmlformats.org/officeDocument/2006/relationships/hyperlink" Target="http://dx.doi.org/10.1134/S1064229318050113" TargetMode="External"/><Relationship Id="rId2342" Type="http://schemas.openxmlformats.org/officeDocument/2006/relationships/hyperlink" Target="https%3A%2F%2Fwww.webofscience.com%2Fwos%2Fwoscc%2Ffull-record%2FWOS:000540781400006" TargetMode="External"/><Relationship Id="rId11" Type="http://schemas.openxmlformats.org/officeDocument/2006/relationships/hyperlink" Target="https%3A%2F%2Fwww.webofscience.com%2Fwos%2Fwoscc%2Ffull-record%2FWOS:000672663900013" TargetMode="External"/><Relationship Id="rId314" Type="http://schemas.openxmlformats.org/officeDocument/2006/relationships/hyperlink" Target="https%3A%2F%2Fwww.webofscience.com%2Fwos%2Fwoscc%2Ffull-record%2FWOS:000698672500002" TargetMode="External"/><Relationship Id="rId398" Type="http://schemas.openxmlformats.org/officeDocument/2006/relationships/hyperlink" Target="http://dx.doi.org/10.15826/qr.2021.4.651" TargetMode="External"/><Relationship Id="rId521" Type="http://schemas.openxmlformats.org/officeDocument/2006/relationships/hyperlink" Target="https%3A%2F%2Fwww.webofscience.com%2Fwos%2Fwoscc%2Ffull-record%2FWOS:000473107100007" TargetMode="External"/><Relationship Id="rId619" Type="http://schemas.openxmlformats.org/officeDocument/2006/relationships/hyperlink" Target="https%3A%2F%2Fwww.webofscience.com%2Fwos%2Fwoscc%2Ffull-record%2FWOS:000648432000041" TargetMode="External"/><Relationship Id="rId1151" Type="http://schemas.openxmlformats.org/officeDocument/2006/relationships/hyperlink" Target="http://dx.doi.org/10.1134/S1064230713050122" TargetMode="External"/><Relationship Id="rId1249" Type="http://schemas.openxmlformats.org/officeDocument/2006/relationships/hyperlink" Target="https%3A%2F%2Fwww.webofscience.com%2Fwos%2Fwoscc%2Ffull-record%2FWOS:000770333700005" TargetMode="External"/><Relationship Id="rId2079" Type="http://schemas.openxmlformats.org/officeDocument/2006/relationships/hyperlink" Target="https%3A%2F%2Fwww.webofscience.com%2Fwos%2Fwoscc%2Ffull-record%2FWOS:000454872800010" TargetMode="External"/><Relationship Id="rId2202" Type="http://schemas.openxmlformats.org/officeDocument/2006/relationships/hyperlink" Target="https%3A%2F%2Fwww.webofscience.com%2Fwos%2Fwoscc%2Ffull-record%2FWOS:000414360100007" TargetMode="External"/><Relationship Id="rId95" Type="http://schemas.openxmlformats.org/officeDocument/2006/relationships/hyperlink" Target="https%3A%2F%2Fwww.webofscience.com%2Fwos%2Fwoscc%2Ffull-record%2FWOS:000443674500029" TargetMode="External"/><Relationship Id="rId160" Type="http://schemas.openxmlformats.org/officeDocument/2006/relationships/hyperlink" Target="http://dx.doi.org/10.1016/j.proeng.2017.10.716" TargetMode="External"/><Relationship Id="rId826" Type="http://schemas.openxmlformats.org/officeDocument/2006/relationships/hyperlink" Target="https%3A%2F%2Fwww.webofscience.com%2Fwos%2Fwoscc%2Ffull-record%2FWOS:000425674300266" TargetMode="External"/><Relationship Id="rId1011" Type="http://schemas.openxmlformats.org/officeDocument/2006/relationships/hyperlink" Target="https%3A%2F%2Fwww.webofscience.com%2Fwos%2Fwoscc%2Ffull-record%2FWOS:000759460600046" TargetMode="External"/><Relationship Id="rId1109" Type="http://schemas.openxmlformats.org/officeDocument/2006/relationships/hyperlink" Target="http://dx.doi.org/10.14529/hsm210413" TargetMode="External"/><Relationship Id="rId1456" Type="http://schemas.openxmlformats.org/officeDocument/2006/relationships/hyperlink" Target="http://dx.doi.org/10.1007/s11029-016-9548-5" TargetMode="External"/><Relationship Id="rId1663" Type="http://schemas.openxmlformats.org/officeDocument/2006/relationships/hyperlink" Target="https%3A%2F%2Fwww.webofscience.com%2Fwos%2Fwoscc%2Ffull-record%2FWOS:000994185800021" TargetMode="External"/><Relationship Id="rId1870" Type="http://schemas.openxmlformats.org/officeDocument/2006/relationships/hyperlink" Target="http://dx.doi.org/10.1088/1742-6596/1158/3/032044" TargetMode="External"/><Relationship Id="rId1968" Type="http://schemas.openxmlformats.org/officeDocument/2006/relationships/hyperlink" Target="https%3A%2F%2Fwww.webofscience.com%2Fwos%2Fwoscc%2Ffull-record%2FWOS:000460082200025" TargetMode="External"/><Relationship Id="rId2286" Type="http://schemas.openxmlformats.org/officeDocument/2006/relationships/hyperlink" Target="http://dx.doi.org/10.17223/15617793/476/31" TargetMode="External"/><Relationship Id="rId2493" Type="http://schemas.openxmlformats.org/officeDocument/2006/relationships/hyperlink" Target="http://dx.doi.org/10.15376/biores.17.2.3025-3041" TargetMode="External"/><Relationship Id="rId2507" Type="http://schemas.openxmlformats.org/officeDocument/2006/relationships/hyperlink" Target="https%3A%2F%2Fwww.webofscience.com%2Fwos%2Fwoscc%2Ffull-record%2FWOS:000613254900001" TargetMode="External"/><Relationship Id="rId258" Type="http://schemas.openxmlformats.org/officeDocument/2006/relationships/hyperlink" Target="https%3A%2F%2Fwww.webofscience.com%2Fwos%2Fwoscc%2Ffull-record%2FWOS:000481530700008" TargetMode="External"/><Relationship Id="rId465" Type="http://schemas.openxmlformats.org/officeDocument/2006/relationships/hyperlink" Target="http://dx.doi.org/10.1007/s11236-005-0112-6" TargetMode="External"/><Relationship Id="rId672" Type="http://schemas.openxmlformats.org/officeDocument/2006/relationships/hyperlink" Target="https%3A%2F%2Fwww.webofscience.com%2Fwos%2Fwoscc%2Ffull-record%2FWOS:000520005200058" TargetMode="External"/><Relationship Id="rId1095" Type="http://schemas.openxmlformats.org/officeDocument/2006/relationships/hyperlink" Target="http://dx.doi.org/10.1109/EURCON.2009.5167811" TargetMode="External"/><Relationship Id="rId1316" Type="http://schemas.openxmlformats.org/officeDocument/2006/relationships/hyperlink" Target="http://dx.doi.org/10.25750/1995-4301-2020-2-111-116" TargetMode="External"/><Relationship Id="rId1523" Type="http://schemas.openxmlformats.org/officeDocument/2006/relationships/hyperlink" Target="http://dx.doi.org/10.1051/matecconf/201710608076" TargetMode="External"/><Relationship Id="rId1730" Type="http://schemas.openxmlformats.org/officeDocument/2006/relationships/hyperlink" Target="http://dx.doi.org/10.1111/tan.14639" TargetMode="External"/><Relationship Id="rId2146" Type="http://schemas.openxmlformats.org/officeDocument/2006/relationships/hyperlink" Target="https%3A%2F%2Fwww.webofscience.com%2Fwos%2Fwoscc%2Ffull-record%2FWOS:000700413300006" TargetMode="External"/><Relationship Id="rId2353" Type="http://schemas.openxmlformats.org/officeDocument/2006/relationships/hyperlink" Target="http://dx.doi.org/10.25750/1995-4301-2020-4-176-184" TargetMode="External"/><Relationship Id="rId22" Type="http://schemas.openxmlformats.org/officeDocument/2006/relationships/hyperlink" Target="http://dx.doi.org/10.17223/23062061/16/9" TargetMode="External"/><Relationship Id="rId118" Type="http://schemas.openxmlformats.org/officeDocument/2006/relationships/hyperlink" Target="http://dx.doi.org/10.25750/1995-4301-2019-3-087-094" TargetMode="External"/><Relationship Id="rId325" Type="http://schemas.openxmlformats.org/officeDocument/2006/relationships/hyperlink" Target="https%3A%2F%2Fwww.webofscience.com%2Fwos%2Fwoscc%2Ffull-record%2FWOS:000443793600009" TargetMode="External"/><Relationship Id="rId532" Type="http://schemas.openxmlformats.org/officeDocument/2006/relationships/hyperlink" Target="http://dx.doi.org/10.1134/S102319351308003X" TargetMode="External"/><Relationship Id="rId977" Type="http://schemas.openxmlformats.org/officeDocument/2006/relationships/hyperlink" Target="http://dx.doi.org/10.15405/epsbs.2018.09.103" TargetMode="External"/><Relationship Id="rId1162" Type="http://schemas.openxmlformats.org/officeDocument/2006/relationships/hyperlink" Target="http://dx.doi.org/10.25750/1995-4301-2022-1-191-197" TargetMode="External"/><Relationship Id="rId1828" Type="http://schemas.openxmlformats.org/officeDocument/2006/relationships/hyperlink" Target="https%3A%2F%2Fwww.webofscience.com%2Fwos%2Fwoscc%2Ffull-record%2FWOS:000470231700001" TargetMode="External"/><Relationship Id="rId2006" Type="http://schemas.openxmlformats.org/officeDocument/2006/relationships/hyperlink" Target="http://dx.doi.org/10.1016/j.ijbiomac.2018.07.078" TargetMode="External"/><Relationship Id="rId2213" Type="http://schemas.openxmlformats.org/officeDocument/2006/relationships/hyperlink" Target="http://dx.doi.org/10.25750/1995-4301-2021-2-183-188" TargetMode="External"/><Relationship Id="rId2420" Type="http://schemas.openxmlformats.org/officeDocument/2006/relationships/hyperlink" Target="https%3A%2F%2Fwww.webofscience.com%2Fwos%2Fwoscc%2Ffull-record%2FWOS:000667025400031" TargetMode="External"/><Relationship Id="rId171" Type="http://schemas.openxmlformats.org/officeDocument/2006/relationships/hyperlink" Target="https%3A%2F%2Fwww.webofscience.com%2Fwos%2Fwoscc%2Ffull-record%2FWOS:000318798500010" TargetMode="External"/><Relationship Id="rId837" Type="http://schemas.openxmlformats.org/officeDocument/2006/relationships/hyperlink" Target="https%3A%2F%2Fwww.webofscience.com%2Fwos%2Fwoscc%2Ffull-record%2FWOS:000598224000002" TargetMode="External"/><Relationship Id="rId1022" Type="http://schemas.openxmlformats.org/officeDocument/2006/relationships/hyperlink" Target="http://dx.doi.org/10.15382/sturI202089.113-128" TargetMode="External"/><Relationship Id="rId1467" Type="http://schemas.openxmlformats.org/officeDocument/2006/relationships/hyperlink" Target="https%3A%2F%2Fwww.webofscience.com%2Fwos%2Fwoscc%2Ffull-record%2FWOS:000426114200002" TargetMode="External"/><Relationship Id="rId1674" Type="http://schemas.openxmlformats.org/officeDocument/2006/relationships/hyperlink" Target="http://dx.doi.org/10.1088/1757-899X/262/1/012024" TargetMode="External"/><Relationship Id="rId1881" Type="http://schemas.openxmlformats.org/officeDocument/2006/relationships/hyperlink" Target="http://dx.doi.org/10.25750/1995-4301-2020-1-042-046" TargetMode="External"/><Relationship Id="rId2297" Type="http://schemas.openxmlformats.org/officeDocument/2006/relationships/hyperlink" Target="https%3A%2F%2Fwww.webofscience.com%2Fwos%2Fwoscc%2Ffull-record%2FWOS:000929704700022" TargetMode="External"/><Relationship Id="rId269" Type="http://schemas.openxmlformats.org/officeDocument/2006/relationships/hyperlink" Target="https%3A%2F%2Fwww.webofscience.com%2Fwos%2Fwoscc%2Ffull-record%2FWOS:000316525400002" TargetMode="External"/><Relationship Id="rId476" Type="http://schemas.openxmlformats.org/officeDocument/2006/relationships/hyperlink" Target="http://dx.doi.org/10.17150/2500-4255.2022.16(2).257-267" TargetMode="External"/><Relationship Id="rId683" Type="http://schemas.openxmlformats.org/officeDocument/2006/relationships/hyperlink" Target="https%3A%2F%2Fwww.webofscience.com%2Fwos%2Fwoscc%2Ffull-record%2FWOS:000517795800124" TargetMode="External"/><Relationship Id="rId890" Type="http://schemas.openxmlformats.org/officeDocument/2006/relationships/hyperlink" Target="http://dx.doi.org/10.24224/2227-1295-2020-7-158-176" TargetMode="External"/><Relationship Id="rId904" Type="http://schemas.openxmlformats.org/officeDocument/2006/relationships/hyperlink" Target="https%3A%2F%2Fwww.webofscience.com%2Fwos%2Fwoscc%2Ffull-record%2FWOS:000438455300022" TargetMode="External"/><Relationship Id="rId1327" Type="http://schemas.openxmlformats.org/officeDocument/2006/relationships/hyperlink" Target="https%3A%2F%2Fwww.webofscience.com%2Fwos%2Fwoscc%2Ffull-record%2FWOS:000312342200016" TargetMode="External"/><Relationship Id="rId1534" Type="http://schemas.openxmlformats.org/officeDocument/2006/relationships/hyperlink" Target="https%3A%2F%2Fwww.webofscience.com%2Fwos%2Fwoscc%2Ffull-record%2FWOS:000648426900205" TargetMode="External"/><Relationship Id="rId1741" Type="http://schemas.openxmlformats.org/officeDocument/2006/relationships/hyperlink" Target="https%3A%2F%2Fwww.webofscience.com%2Fwos%2Fwoscc%2Ffull-record%2FWOS:000522789400020" TargetMode="External"/><Relationship Id="rId1979" Type="http://schemas.openxmlformats.org/officeDocument/2006/relationships/hyperlink" Target="https%3A%2F%2Fwww.webofscience.com%2Fwos%2Fwoscc%2Ffull-record%2FWOS:000556993500007" TargetMode="External"/><Relationship Id="rId2157" Type="http://schemas.openxmlformats.org/officeDocument/2006/relationships/hyperlink" Target="http://dx.doi.org/10.1016/j.jasrep.2017.01.005" TargetMode="External"/><Relationship Id="rId2364" Type="http://schemas.openxmlformats.org/officeDocument/2006/relationships/hyperlink" Target="https%3A%2F%2Fwww.webofscience.com%2Fwos%2Fwoscc%2Ffull-record%2FWOS:000433579100008" TargetMode="External"/><Relationship Id="rId33" Type="http://schemas.openxmlformats.org/officeDocument/2006/relationships/hyperlink" Target="http://dx.doi.org/10.15405/epsbs.2016.07.8" TargetMode="External"/><Relationship Id="rId129" Type="http://schemas.openxmlformats.org/officeDocument/2006/relationships/hyperlink" Target="https%3A%2F%2Fwww.webofscience.com%2Fwos%2Fwoscc%2Ffull-record%2FWOS:000169540600013" TargetMode="External"/><Relationship Id="rId336" Type="http://schemas.openxmlformats.org/officeDocument/2006/relationships/hyperlink" Target="http://dx.doi.org/10.1134/S102319351505002X" TargetMode="External"/><Relationship Id="rId543" Type="http://schemas.openxmlformats.org/officeDocument/2006/relationships/hyperlink" Target="https%3A%2F%2Fwww.webofscience.com%2Fwos%2Fwoscc%2Ffull-record%2FWOS:000659035900005" TargetMode="External"/><Relationship Id="rId988" Type="http://schemas.openxmlformats.org/officeDocument/2006/relationships/hyperlink" Target="http://dx.doi.org/10.1016/j.proeng.2016.07.237" TargetMode="External"/><Relationship Id="rId1173" Type="http://schemas.openxmlformats.org/officeDocument/2006/relationships/hyperlink" Target="https%3A%2F%2Fwww.webofscience.com%2Fwos%2Fwoscc%2Ffull-record%2FWOS:000470308600018" TargetMode="External"/><Relationship Id="rId1380" Type="http://schemas.openxmlformats.org/officeDocument/2006/relationships/hyperlink" Target="http://dx.doi.org/10.1111/tan.14610" TargetMode="External"/><Relationship Id="rId1601" Type="http://schemas.openxmlformats.org/officeDocument/2006/relationships/hyperlink" Target="http://dx.doi.org/10.1016/j.matpr.2018.12.138" TargetMode="External"/><Relationship Id="rId1839" Type="http://schemas.openxmlformats.org/officeDocument/2006/relationships/hyperlink" Target="http://dx.doi.org/10.13187/ejced.2021.3.726" TargetMode="External"/><Relationship Id="rId2017" Type="http://schemas.openxmlformats.org/officeDocument/2006/relationships/hyperlink" Target="https%3A%2F%2Fwww.webofscience.com%2Fwos%2Fwoscc%2Ffull-record%2FWOS:000312062700004" TargetMode="External"/><Relationship Id="rId2224" Type="http://schemas.openxmlformats.org/officeDocument/2006/relationships/hyperlink" Target="https%3A%2F%2Fwww.webofscience.com%2Fwos%2Fwoscc%2Ffull-record%2FWOS:000434910800001" TargetMode="External"/><Relationship Id="rId182" Type="http://schemas.openxmlformats.org/officeDocument/2006/relationships/hyperlink" Target="https%3A%2F%2Fwww.webofscience.com%2Fwos%2Fwoscc%2Ffull-record%2FWOS:000171839100018" TargetMode="External"/><Relationship Id="rId403" Type="http://schemas.openxmlformats.org/officeDocument/2006/relationships/hyperlink" Target="https%3A%2F%2Fwww.webofscience.com%2Fwos%2Fwoscc%2Ffull-record%2FWOS:000538093300011" TargetMode="External"/><Relationship Id="rId750" Type="http://schemas.openxmlformats.org/officeDocument/2006/relationships/hyperlink" Target="https%3A%2F%2Fwww.webofscience.com%2Fwos%2Fwoscc%2Ffull-record%2FWOS:000822052400007" TargetMode="External"/><Relationship Id="rId848" Type="http://schemas.openxmlformats.org/officeDocument/2006/relationships/hyperlink" Target="http://dx.doi.org/10.21538/0134-4889-2020-26-3-171-186" TargetMode="External"/><Relationship Id="rId1033" Type="http://schemas.openxmlformats.org/officeDocument/2006/relationships/hyperlink" Target="http://dx.doi.org/10.24224/2227-1295-2019-11-418-432" TargetMode="External"/><Relationship Id="rId1478" Type="http://schemas.openxmlformats.org/officeDocument/2006/relationships/hyperlink" Target="https%3A%2F%2Fwww.webofscience.com%2Fwos%2Fwoscc%2Ffull-record%2FWOS:000720953800008" TargetMode="External"/><Relationship Id="rId1685" Type="http://schemas.openxmlformats.org/officeDocument/2006/relationships/hyperlink" Target="http://dx.doi.org/10.1051/matecconf/201712901023" TargetMode="External"/><Relationship Id="rId1892" Type="http://schemas.openxmlformats.org/officeDocument/2006/relationships/hyperlink" Target="https%3A%2F%2Fwww.webofscience.com%2Fwos%2Fwoscc%2Ffull-record%2FWOS:000491515600009" TargetMode="External"/><Relationship Id="rId1906" Type="http://schemas.openxmlformats.org/officeDocument/2006/relationships/hyperlink" Target="http://dx.doi.org/10.1134/S0005117913020069" TargetMode="External"/><Relationship Id="rId2431" Type="http://schemas.openxmlformats.org/officeDocument/2006/relationships/hyperlink" Target="http://dx.doi.org/10.30935/ojcmt/12877" TargetMode="External"/><Relationship Id="rId487" Type="http://schemas.openxmlformats.org/officeDocument/2006/relationships/hyperlink" Target="https%3A%2F%2Fwww.webofscience.com%2Fwos%2Fwoscc%2Ffull-record%2FWOS:000518853200004" TargetMode="External"/><Relationship Id="rId610" Type="http://schemas.openxmlformats.org/officeDocument/2006/relationships/hyperlink" Target="http://dx.doi.org/10.1007/978-3-030-70194-9_36" TargetMode="External"/><Relationship Id="rId694" Type="http://schemas.openxmlformats.org/officeDocument/2006/relationships/hyperlink" Target="http://dx.doi.org/10.31857/S0201708322040088" TargetMode="External"/><Relationship Id="rId708" Type="http://schemas.openxmlformats.org/officeDocument/2006/relationships/hyperlink" Target="http://dx.doi.org/10.25750/995-4301-2021-4-058-063" TargetMode="External"/><Relationship Id="rId915" Type="http://schemas.openxmlformats.org/officeDocument/2006/relationships/hyperlink" Target="http://dx.doi.org/10.1016/j.tate.2023.104064" TargetMode="External"/><Relationship Id="rId1240" Type="http://schemas.openxmlformats.org/officeDocument/2006/relationships/hyperlink" Target="http://dx.doi.org/10.5281/zenodo.3898322" TargetMode="External"/><Relationship Id="rId1338" Type="http://schemas.openxmlformats.org/officeDocument/2006/relationships/hyperlink" Target="http://dx.doi.org/10.1007/s11041-007-0041-6" TargetMode="External"/><Relationship Id="rId1545" Type="http://schemas.openxmlformats.org/officeDocument/2006/relationships/hyperlink" Target="https%3A%2F%2Fwww.webofscience.com%2Fwos%2Fwoscc%2Ffull-record%2FWOS:000807523600001" TargetMode="External"/><Relationship Id="rId2070" Type="http://schemas.openxmlformats.org/officeDocument/2006/relationships/hyperlink" Target="https%3A%2F%2Fwww.webofscience.com%2Fwos%2Fwoscc%2Ffull-record%2FWOS:000580337700006" TargetMode="External"/><Relationship Id="rId2168" Type="http://schemas.openxmlformats.org/officeDocument/2006/relationships/hyperlink" Target="https%3A%2F%2Fwww.webofscience.com%2Fwos%2Fwoscc%2Ffull-record%2FWOS:000586664900014" TargetMode="External"/><Relationship Id="rId2375" Type="http://schemas.openxmlformats.org/officeDocument/2006/relationships/hyperlink" Target="http://dx.doi.org/10.25750/1995-4301-2020-3-161-167" TargetMode="External"/><Relationship Id="rId347" Type="http://schemas.openxmlformats.org/officeDocument/2006/relationships/hyperlink" Target="https%3A%2F%2Fwww.webofscience.com%2Fwos%2Fwoscc%2Ffull-record%2FWOS:A1996VT67800011" TargetMode="External"/><Relationship Id="rId999" Type="http://schemas.openxmlformats.org/officeDocument/2006/relationships/hyperlink" Target="https%3A%2F%2Fwww.webofscience.com%2Fwos%2Fwoscc%2Ffull-record%2FWOS:000314271400009" TargetMode="External"/><Relationship Id="rId1100" Type="http://schemas.openxmlformats.org/officeDocument/2006/relationships/hyperlink" Target="https%3A%2F%2Fwww.webofscience.com%2Fwos%2Fwoscc%2Ffull-record%2FWOS:000225664900020" TargetMode="External"/><Relationship Id="rId1184" Type="http://schemas.openxmlformats.org/officeDocument/2006/relationships/hyperlink" Target="https%3A%2F%2Fwww.webofscience.com%2Fwos%2Fwoscc%2Ffull-record%2FWOS:000468565900013" TargetMode="External"/><Relationship Id="rId1405" Type="http://schemas.openxmlformats.org/officeDocument/2006/relationships/hyperlink" Target="https%3A%2F%2Fwww.webofscience.com%2Fwos%2Fwoscc%2Ffull-record%2FWOS:000417887400021" TargetMode="External"/><Relationship Id="rId1752" Type="http://schemas.openxmlformats.org/officeDocument/2006/relationships/hyperlink" Target="http://dx.doi.org/10.15211/soveurope62019161171" TargetMode="External"/><Relationship Id="rId2028" Type="http://schemas.openxmlformats.org/officeDocument/2006/relationships/hyperlink" Target="http://dx.doi.org/10.25750/1995-4301-2019-2-039-043" TargetMode="External"/><Relationship Id="rId44" Type="http://schemas.openxmlformats.org/officeDocument/2006/relationships/hyperlink" Target="http://dx.doi.org/10.24874/IJQR16.03-20" TargetMode="External"/><Relationship Id="rId554" Type="http://schemas.openxmlformats.org/officeDocument/2006/relationships/hyperlink" Target="http://dx.doi.org/10.33048/semi.2020.17.021" TargetMode="External"/><Relationship Id="rId761" Type="http://schemas.openxmlformats.org/officeDocument/2006/relationships/hyperlink" Target="https%3A%2F%2Fwww.webofscience.com%2Fwos%2Fwoscc%2Ffull-record%2FWOS:000503762800001" TargetMode="External"/><Relationship Id="rId859" Type="http://schemas.openxmlformats.org/officeDocument/2006/relationships/hyperlink" Target="https%3A%2F%2Fwww.webofscience.com%2Fwos%2Fwoscc%2Ffull-record%2FWOS:000460581800114" TargetMode="External"/><Relationship Id="rId1391" Type="http://schemas.openxmlformats.org/officeDocument/2006/relationships/hyperlink" Target="https%3A%2F%2Fwww.webofscience.com%2Fwos%2Fwoscc%2Ffull-record%2FWOS:000463193400058" TargetMode="External"/><Relationship Id="rId1489" Type="http://schemas.openxmlformats.org/officeDocument/2006/relationships/hyperlink" Target="http://dx.doi.org/10.18083/LCAppl.2020.4.93" TargetMode="External"/><Relationship Id="rId1612" Type="http://schemas.openxmlformats.org/officeDocument/2006/relationships/hyperlink" Target="http://dx.doi.org/10.20542/0131-2227-2020-64-8-91-100" TargetMode="External"/><Relationship Id="rId1696" Type="http://schemas.openxmlformats.org/officeDocument/2006/relationships/hyperlink" Target="https%3A%2F%2Fwww.webofscience.com%2Fwos%2Fwoscc%2Ffull-record%2FWOS:000795506200006" TargetMode="External"/><Relationship Id="rId1917" Type="http://schemas.openxmlformats.org/officeDocument/2006/relationships/hyperlink" Target="http://dx.doi.org/10.1007/s11696-022-02234-9" TargetMode="External"/><Relationship Id="rId2235" Type="http://schemas.openxmlformats.org/officeDocument/2006/relationships/hyperlink" Target="http://dx.doi.org/10.1007/978-3-319-45462-7_9" TargetMode="External"/><Relationship Id="rId2442" Type="http://schemas.openxmlformats.org/officeDocument/2006/relationships/hyperlink" Target="https%3A%2F%2Fwww.webofscience.com%2Fwos%2Fwoscc%2Ffull-record%2FWOS:000442506100007" TargetMode="External"/><Relationship Id="rId193" Type="http://schemas.openxmlformats.org/officeDocument/2006/relationships/hyperlink" Target="https%3A%2F%2Fwww.webofscience.com%2Fwos%2Fwoscc%2Ffull-record%2FWOS:000680842100070" TargetMode="External"/><Relationship Id="rId207" Type="http://schemas.openxmlformats.org/officeDocument/2006/relationships/hyperlink" Target="http://dx.doi.org/10.25789/YMJ.2018.64.17" TargetMode="External"/><Relationship Id="rId414" Type="http://schemas.openxmlformats.org/officeDocument/2006/relationships/hyperlink" Target="http://dx.doi.org/10.17323/2072-8166.2018.4.196.215" TargetMode="External"/><Relationship Id="rId498" Type="http://schemas.openxmlformats.org/officeDocument/2006/relationships/hyperlink" Target="https%3A%2F%2Fwww.webofscience.com%2Fwos%2Fwoscc%2Ffull-record%2FWOS:000356494600008" TargetMode="External"/><Relationship Id="rId621" Type="http://schemas.openxmlformats.org/officeDocument/2006/relationships/hyperlink" Target="https%3A%2F%2Fwww.webofscience.com%2Fwos%2Fwoscc%2Ffull-record%2FWOS:000597810500023" TargetMode="External"/><Relationship Id="rId1044" Type="http://schemas.openxmlformats.org/officeDocument/2006/relationships/hyperlink" Target="http://dx.doi.org/10.1134/S0869864315030129" TargetMode="External"/><Relationship Id="rId1251" Type="http://schemas.openxmlformats.org/officeDocument/2006/relationships/hyperlink" Target="https%3A%2F%2Fwww.webofscience.com%2Fwos%2Fwoscc%2Ffull-record%2FWOS:000539044700002" TargetMode="External"/><Relationship Id="rId1349" Type="http://schemas.openxmlformats.org/officeDocument/2006/relationships/hyperlink" Target="https%3A%2F%2Fwww.webofscience.com%2Fwos%2Fwoscc%2Ffull-record%2FWOS:000994427200005" TargetMode="External"/><Relationship Id="rId2081" Type="http://schemas.openxmlformats.org/officeDocument/2006/relationships/hyperlink" Target="https%3A%2F%2Fwww.webofscience.com%2Fwos%2Fwoscc%2Ffull-record%2FWOS:000404604700031" TargetMode="External"/><Relationship Id="rId2179" Type="http://schemas.openxmlformats.org/officeDocument/2006/relationships/hyperlink" Target="http://dx.doi.org/10.1051/e3sconf/202021012005" TargetMode="External"/><Relationship Id="rId2302" Type="http://schemas.openxmlformats.org/officeDocument/2006/relationships/hyperlink" Target="http://dx.doi.org/10.1007/s11029-014-9408-0" TargetMode="External"/><Relationship Id="rId260" Type="http://schemas.openxmlformats.org/officeDocument/2006/relationships/hyperlink" Target="https%3A%2F%2Fwww.webofscience.com%2Fwos%2Fwoscc%2Ffull-record%2FWOS:000520005200072" TargetMode="External"/><Relationship Id="rId719" Type="http://schemas.openxmlformats.org/officeDocument/2006/relationships/hyperlink" Target="https%3A%2F%2Fwww.webofscience.com%2Fwos%2Fwoscc%2Ffull-record%2FWOS:000477826000018" TargetMode="External"/><Relationship Id="rId926" Type="http://schemas.openxmlformats.org/officeDocument/2006/relationships/hyperlink" Target="https%3A%2F%2Fwww.webofscience.com%2Fwos%2Fwoscc%2Ffull-record%2FWOS:000586248800017" TargetMode="External"/><Relationship Id="rId1111" Type="http://schemas.openxmlformats.org/officeDocument/2006/relationships/hyperlink" Target="http://dx.doi.org/10.37220/MIT.2021.52.2.023" TargetMode="External"/><Relationship Id="rId1556" Type="http://schemas.openxmlformats.org/officeDocument/2006/relationships/hyperlink" Target="http://dx.doi.org/10.1111/tan.14838" TargetMode="External"/><Relationship Id="rId1763" Type="http://schemas.openxmlformats.org/officeDocument/2006/relationships/hyperlink" Target="https%3A%2F%2Fwww.webofscience.com%2Fwos%2Fwoscc%2Ffull-record%2FWOS:000914876300009" TargetMode="External"/><Relationship Id="rId1970" Type="http://schemas.openxmlformats.org/officeDocument/2006/relationships/hyperlink" Target="https%3A%2F%2Fwww.webofscience.com%2Fwos%2Fwoscc%2Ffull-record%2FWOS:000700413300005" TargetMode="External"/><Relationship Id="rId2386" Type="http://schemas.openxmlformats.org/officeDocument/2006/relationships/hyperlink" Target="http://dx.doi.org/10.1177/0883911516637374" TargetMode="External"/><Relationship Id="rId55" Type="http://schemas.openxmlformats.org/officeDocument/2006/relationships/hyperlink" Target="https%3A%2F%2Fwww.webofscience.com%2Fwos%2Fwoscc%2Ffull-record%2FWOS:000675525300070" TargetMode="External"/><Relationship Id="rId120" Type="http://schemas.openxmlformats.org/officeDocument/2006/relationships/hyperlink" Target="https%3A%2F%2Fwww.webofscience.com%2Fwos%2Fwoscc%2Ffull-record%2FWOS:000457012100053" TargetMode="External"/><Relationship Id="rId358" Type="http://schemas.openxmlformats.org/officeDocument/2006/relationships/hyperlink" Target="http://dx.doi.org/10.3897/ap.2.e1227" TargetMode="External"/><Relationship Id="rId565" Type="http://schemas.openxmlformats.org/officeDocument/2006/relationships/hyperlink" Target="http://dx.doi.org/10.1088/1755-1315/177/1/012007" TargetMode="External"/><Relationship Id="rId772" Type="http://schemas.openxmlformats.org/officeDocument/2006/relationships/hyperlink" Target="http://dx.doi.org/10.21638/11701/spbu02.2018.417" TargetMode="External"/><Relationship Id="rId1195" Type="http://schemas.openxmlformats.org/officeDocument/2006/relationships/hyperlink" Target="https%3A%2F%2Fwww.webofscience.com%2Fwos%2Fwoscc%2Ffull-record%2FWOS:000423728200052" TargetMode="External"/><Relationship Id="rId1209" Type="http://schemas.openxmlformats.org/officeDocument/2006/relationships/hyperlink" Target="http://dx.doi.org/10.1007/s10527-020-09947-9" TargetMode="External"/><Relationship Id="rId1416" Type="http://schemas.openxmlformats.org/officeDocument/2006/relationships/hyperlink" Target="http://dx.doi.org/10.21538/0134-4889-2022-28-2-56-65" TargetMode="External"/><Relationship Id="rId1623" Type="http://schemas.openxmlformats.org/officeDocument/2006/relationships/hyperlink" Target="https%3A%2F%2Fwww.webofscience.com%2Fwos%2Fwoscc%2Ffull-record%2FWOS:000409067500005" TargetMode="External"/><Relationship Id="rId1830" Type="http://schemas.openxmlformats.org/officeDocument/2006/relationships/hyperlink" Target="https%3A%2F%2Fwww.webofscience.com%2Fwos%2Fwoscc%2Ffull-record%2FWOS:000296792700008" TargetMode="External"/><Relationship Id="rId2039" Type="http://schemas.openxmlformats.org/officeDocument/2006/relationships/hyperlink" Target="https%3A%2F%2Fwww.webofscience.com%2Fwos%2Fwoscc%2Ffull-record%2FWOS:000285067700025" TargetMode="External"/><Relationship Id="rId2246" Type="http://schemas.openxmlformats.org/officeDocument/2006/relationships/hyperlink" Target="http://dx.doi.org/10.25750/1995-4301-2022-3-219-225" TargetMode="External"/><Relationship Id="rId2453" Type="http://schemas.openxmlformats.org/officeDocument/2006/relationships/hyperlink" Target="http://dx.doi.org/10.20511/pyr2020.v8nSPE2.643" TargetMode="External"/><Relationship Id="rId218" Type="http://schemas.openxmlformats.org/officeDocument/2006/relationships/hyperlink" Target="https%3A%2F%2Fwww.webofscience.com%2Fwos%2Fwoscc%2Ffull-record%2FWOS:000258408800004" TargetMode="External"/><Relationship Id="rId425" Type="http://schemas.openxmlformats.org/officeDocument/2006/relationships/hyperlink" Target="http://dx.doi.org/10.34910/MCE.117.13" TargetMode="External"/><Relationship Id="rId632" Type="http://schemas.openxmlformats.org/officeDocument/2006/relationships/hyperlink" Target="https%3A%2F%2Fwww.webofscience.com%2Fwos%2Fwoscc%2Ffull-record%2FWOS:000435445400003" TargetMode="External"/><Relationship Id="rId1055" Type="http://schemas.openxmlformats.org/officeDocument/2006/relationships/hyperlink" Target="https%3A%2F%2Fwww.webofscience.com%2Fwos%2Fwoscc%2Ffull-record%2FWOS:000930351400001" TargetMode="External"/><Relationship Id="rId1262" Type="http://schemas.openxmlformats.org/officeDocument/2006/relationships/hyperlink" Target="https%3A%2F%2Fwww.webofscience.com%2Fwos%2Fwoscc%2Ffull-record%2FWOS:000305479400031" TargetMode="External"/><Relationship Id="rId1928" Type="http://schemas.openxmlformats.org/officeDocument/2006/relationships/hyperlink" Target="https%3A%2F%2Fwww.webofscience.com%2Fwos%2Fwoscc%2Ffull-record%2FWOS:000819811100011" TargetMode="External"/><Relationship Id="rId2092" Type="http://schemas.openxmlformats.org/officeDocument/2006/relationships/hyperlink" Target="http://dx.doi.org/10.1016/j.mtla.2020.100981" TargetMode="External"/><Relationship Id="rId2106" Type="http://schemas.openxmlformats.org/officeDocument/2006/relationships/hyperlink" Target="https%3A%2F%2Fwww.webofscience.com%2Fwos%2Fwoscc%2Ffull-record%2FWOS:000741358800008" TargetMode="External"/><Relationship Id="rId2313" Type="http://schemas.openxmlformats.org/officeDocument/2006/relationships/hyperlink" Target="https%3A%2F%2Fwww.webofscience.com%2Fwos%2Fwoscc%2Ffull-record%2FWOS:000394379600007" TargetMode="External"/><Relationship Id="rId271" Type="http://schemas.openxmlformats.org/officeDocument/2006/relationships/hyperlink" Target="https%3A%2F%2Fwww.webofscience.com%2Fwos%2Fwoscc%2Ffull-record%2FWOS:000308813500010" TargetMode="External"/><Relationship Id="rId937" Type="http://schemas.openxmlformats.org/officeDocument/2006/relationships/hyperlink" Target="https%3A%2F%2Fwww.webofscience.com%2Fwos%2Fwoscc%2Ffull-record%2FWOS:000569050000099" TargetMode="External"/><Relationship Id="rId1122" Type="http://schemas.openxmlformats.org/officeDocument/2006/relationships/hyperlink" Target="https%3A%2F%2Fwww.webofscience.com%2Fwos%2Fwoscc%2Ffull-record%2FWOS:000579426800010" TargetMode="External"/><Relationship Id="rId1567" Type="http://schemas.openxmlformats.org/officeDocument/2006/relationships/hyperlink" Target="http://dx.doi.org/10.1007/s11029-015-9531-6" TargetMode="External"/><Relationship Id="rId1774" Type="http://schemas.openxmlformats.org/officeDocument/2006/relationships/hyperlink" Target="https%3A%2F%2Fwww.webofscience.com%2Fwos%2Fwoscc%2Ffull-record%2FWOS:000929704700031" TargetMode="External"/><Relationship Id="rId1981" Type="http://schemas.openxmlformats.org/officeDocument/2006/relationships/hyperlink" Target="https%3A%2F%2Fwww.webofscience.com%2Fwos%2Fwoscc%2Ffull-record%2FWOS:000475326400033" TargetMode="External"/><Relationship Id="rId2397" Type="http://schemas.openxmlformats.org/officeDocument/2006/relationships/hyperlink" Target="https%3A%2F%2Fwww.webofscience.com%2Fwos%2Fwoscc%2Ffull-record%2FWOS:000468564500001" TargetMode="External"/><Relationship Id="rId66" Type="http://schemas.openxmlformats.org/officeDocument/2006/relationships/hyperlink" Target="https%3A%2F%2Fwww.webofscience.com%2Fwos%2Fwoscc%2Ffull-record%2FWOS:000426114200003" TargetMode="External"/><Relationship Id="rId131" Type="http://schemas.openxmlformats.org/officeDocument/2006/relationships/hyperlink" Target="https%3A%2F%2Fwww.webofscience.com%2Fwos%2Fwoscc%2Ffull-record%2FWOS:000662849700024" TargetMode="External"/><Relationship Id="rId369" Type="http://schemas.openxmlformats.org/officeDocument/2006/relationships/hyperlink" Target="https%3A%2F%2Fwww.webofscience.com%2Fwos%2Fwoscc%2Ffull-record%2FWOS:000478963800033" TargetMode="External"/><Relationship Id="rId576" Type="http://schemas.openxmlformats.org/officeDocument/2006/relationships/hyperlink" Target="https%3A%2F%2Fwww.webofscience.com%2Fwos%2Fwoscc%2Ffull-record%2FWOS:000382527700045" TargetMode="External"/><Relationship Id="rId783" Type="http://schemas.openxmlformats.org/officeDocument/2006/relationships/hyperlink" Target="https%3A%2F%2Fwww.webofscience.com%2Fwos%2Fwoscc%2Ffull-record%2FWOS:000247727000013" TargetMode="External"/><Relationship Id="rId990" Type="http://schemas.openxmlformats.org/officeDocument/2006/relationships/hyperlink" Target="https%3A%2F%2Fwww.webofscience.com%2Fwos%2Fwoscc%2Ffull-record%2FWOS:000383090900161" TargetMode="External"/><Relationship Id="rId1427" Type="http://schemas.openxmlformats.org/officeDocument/2006/relationships/hyperlink" Target="http://dx.doi.org/10.21538/0134-4889-2021-27-4-48-60" TargetMode="External"/><Relationship Id="rId1634" Type="http://schemas.openxmlformats.org/officeDocument/2006/relationships/hyperlink" Target="https%3A%2F%2Fwww.webofscience.com%2Fwos%2Fwoscc%2Ffull-record%2FWOS:000325009100015" TargetMode="External"/><Relationship Id="rId1841" Type="http://schemas.openxmlformats.org/officeDocument/2006/relationships/hyperlink" Target="http://dx.doi.org/10.1051/e3sconf/202021017027" TargetMode="External"/><Relationship Id="rId2257" Type="http://schemas.openxmlformats.org/officeDocument/2006/relationships/hyperlink" Target="https%3A%2F%2Fwww.webofscience.com%2Fwos%2Fwoscc%2Ffull-record%2FWOS:000708456300018" TargetMode="External"/><Relationship Id="rId2464" Type="http://schemas.openxmlformats.org/officeDocument/2006/relationships/hyperlink" Target="https%3A%2F%2Fwww.webofscience.com%2Fwos%2Fwoscc%2Ffull-record%2FWOS:000944253000003" TargetMode="External"/><Relationship Id="rId229" Type="http://schemas.openxmlformats.org/officeDocument/2006/relationships/hyperlink" Target="https%3A%2F%2Fwww.webofscience.com%2Fwos%2Fwoscc%2Ffull-record%2FWOS:000624287900073" TargetMode="External"/><Relationship Id="rId436" Type="http://schemas.openxmlformats.org/officeDocument/2006/relationships/hyperlink" Target="https%3A%2F%2Fwww.webofscience.com%2Fwos%2Fwoscc%2Ffull-record%2FWOS:000849737100033" TargetMode="External"/><Relationship Id="rId643" Type="http://schemas.openxmlformats.org/officeDocument/2006/relationships/hyperlink" Target="http://dx.doi.org/10.1134/S0031030115140166" TargetMode="External"/><Relationship Id="rId1066" Type="http://schemas.openxmlformats.org/officeDocument/2006/relationships/hyperlink" Target="http://dx.doi.org/10.24874/IJQR14.01-03" TargetMode="External"/><Relationship Id="rId1273" Type="http://schemas.openxmlformats.org/officeDocument/2006/relationships/hyperlink" Target="https%3A%2F%2Fwww.webofscience.com%2Fwos%2Fwoscc%2Ffull-record%2FWOS:000853294700001" TargetMode="External"/><Relationship Id="rId1480" Type="http://schemas.openxmlformats.org/officeDocument/2006/relationships/hyperlink" Target="https%3A%2F%2Fwww.webofscience.com%2Fwos%2Fwoscc%2Ffull-record%2FWOS:000659867301086" TargetMode="External"/><Relationship Id="rId1939" Type="http://schemas.openxmlformats.org/officeDocument/2006/relationships/hyperlink" Target="https%3A%2F%2Fwww.webofscience.com%2Fwos%2Fwoscc%2Ffull-record%2FWOS:000705970600008" TargetMode="External"/><Relationship Id="rId2117" Type="http://schemas.openxmlformats.org/officeDocument/2006/relationships/hyperlink" Target="http://dx.doi.org/10.22616/ERDev.2021.20.TF043" TargetMode="External"/><Relationship Id="rId2324" Type="http://schemas.openxmlformats.org/officeDocument/2006/relationships/hyperlink" Target="https%3A%2F%2Fwww.webofscience.com%2Fwos%2Fwoscc%2Ffull-record%2FWOS:000862890700018" TargetMode="External"/><Relationship Id="rId850" Type="http://schemas.openxmlformats.org/officeDocument/2006/relationships/hyperlink" Target="http://dx.doi.org/10.18720/MCE.95.9" TargetMode="External"/><Relationship Id="rId948" Type="http://schemas.openxmlformats.org/officeDocument/2006/relationships/hyperlink" Target="https%3A%2F%2Fwww.webofscience.com%2Fwos%2Fwoscc%2Ffull-record%2FWOS:000249387600012" TargetMode="External"/><Relationship Id="rId1133" Type="http://schemas.openxmlformats.org/officeDocument/2006/relationships/hyperlink" Target="https%3A%2F%2Fwww.webofscience.com%2Fwos%2Fwoscc%2Ffull-record%2FWOS:000492146100097" TargetMode="External"/><Relationship Id="rId1578" Type="http://schemas.openxmlformats.org/officeDocument/2006/relationships/hyperlink" Target="https%3A%2F%2Fwww.webofscience.com%2Fwos%2Fwoscc%2Ffull-record%2FWOS:000597810500005" TargetMode="External"/><Relationship Id="rId1701" Type="http://schemas.openxmlformats.org/officeDocument/2006/relationships/hyperlink" Target="https%3A%2F%2Fwww.webofscience.com%2Fwos%2Fwoscc%2Ffull-record%2FWOS:000497988300011" TargetMode="External"/><Relationship Id="rId1785" Type="http://schemas.openxmlformats.org/officeDocument/2006/relationships/hyperlink" Target="http://dx.doi.org/10.15789/2220-7619-2019-3-4-437-448" TargetMode="External"/><Relationship Id="rId1992" Type="http://schemas.openxmlformats.org/officeDocument/2006/relationships/hyperlink" Target="http://dx.doi.org/10.15405/epsbs.2019.12.15" TargetMode="External"/><Relationship Id="rId77" Type="http://schemas.openxmlformats.org/officeDocument/2006/relationships/hyperlink" Target="https%3A%2F%2Fwww.webofscience.com%2Fwos%2Fwoscc%2Ffull-record%2FWOS:000806210500002" TargetMode="External"/><Relationship Id="rId282" Type="http://schemas.openxmlformats.org/officeDocument/2006/relationships/hyperlink" Target="http://dx.doi.org/10.31166/VoprosyIstorii202006Statyi08" TargetMode="External"/><Relationship Id="rId503" Type="http://schemas.openxmlformats.org/officeDocument/2006/relationships/hyperlink" Target="https%3A%2F%2Fwww.webofscience.com%2Fwos%2Fwoscc%2Ffull-record%2FWOS:000252876100012" TargetMode="External"/><Relationship Id="rId587" Type="http://schemas.openxmlformats.org/officeDocument/2006/relationships/hyperlink" Target="http://dx.doi.org/10.15561/18189172.2019.0107" TargetMode="External"/><Relationship Id="rId710" Type="http://schemas.openxmlformats.org/officeDocument/2006/relationships/hyperlink" Target="http://dx.doi.org/10.17223/15617793/451/8" TargetMode="External"/><Relationship Id="rId808" Type="http://schemas.openxmlformats.org/officeDocument/2006/relationships/hyperlink" Target="http://dx.doi.org/10.24224/2227-1295-2019-9-159-172" TargetMode="External"/><Relationship Id="rId1340" Type="http://schemas.openxmlformats.org/officeDocument/2006/relationships/hyperlink" Target="http://dx.doi.org/10.1007/s10527-019-09848-6" TargetMode="External"/><Relationship Id="rId1438" Type="http://schemas.openxmlformats.org/officeDocument/2006/relationships/hyperlink" Target="https%3A%2F%2Fwww.webofscience.com%2Fwos%2Fwoscc%2Ffull-record%2FWOS:000820802000009" TargetMode="External"/><Relationship Id="rId1645" Type="http://schemas.openxmlformats.org/officeDocument/2006/relationships/hyperlink" Target="https%3A%2F%2Fwww.webofscience.com%2Fwos%2Fwoscc%2Ffull-record%2FWOS:000651202100002" TargetMode="External"/><Relationship Id="rId2170" Type="http://schemas.openxmlformats.org/officeDocument/2006/relationships/hyperlink" Target="https%3A%2F%2Fwww.webofscience.com%2Fwos%2Fwoscc%2Ffull-record%2FWOS:000580337700032" TargetMode="External"/><Relationship Id="rId2268" Type="http://schemas.openxmlformats.org/officeDocument/2006/relationships/hyperlink" Target="http://dx.doi.org/10.1007/s10853-021-06645-z" TargetMode="External"/><Relationship Id="rId8" Type="http://schemas.openxmlformats.org/officeDocument/2006/relationships/hyperlink" Target="http://dx.doi.org/10.15688/jvolsu4.2022.2.6" TargetMode="External"/><Relationship Id="rId142" Type="http://schemas.openxmlformats.org/officeDocument/2006/relationships/hyperlink" Target="http://dx.doi.org/10.1007/978-3-030-22041-9_80" TargetMode="External"/><Relationship Id="rId447" Type="http://schemas.openxmlformats.org/officeDocument/2006/relationships/hyperlink" Target="http://dx.doi.org/10.18720/MCE.85.9" TargetMode="External"/><Relationship Id="rId794" Type="http://schemas.openxmlformats.org/officeDocument/2006/relationships/hyperlink" Target="https%3A%2F%2Fwww.webofscience.com%2Fwos%2Fwoscc%2Ffull-record%2FWOS:000744117000001" TargetMode="External"/><Relationship Id="rId1077" Type="http://schemas.openxmlformats.org/officeDocument/2006/relationships/hyperlink" Target="https%3A%2F%2Fwww.webofscience.com%2Fwos%2Fwoscc%2Ffull-record%2FWOS:000569050000179" TargetMode="External"/><Relationship Id="rId1200" Type="http://schemas.openxmlformats.org/officeDocument/2006/relationships/hyperlink" Target="http://dx.doi.org/10.1134/S108765960903016X" TargetMode="External"/><Relationship Id="rId1852" Type="http://schemas.openxmlformats.org/officeDocument/2006/relationships/hyperlink" Target="http://dx.doi.org/10.1007/s10517-016-3246-0" TargetMode="External"/><Relationship Id="rId2030" Type="http://schemas.openxmlformats.org/officeDocument/2006/relationships/hyperlink" Target="http://dx.doi.org/10.25750/1995-4301-2018-2-035-037" TargetMode="External"/><Relationship Id="rId2128" Type="http://schemas.openxmlformats.org/officeDocument/2006/relationships/hyperlink" Target="https%3A%2F%2Fwww.webofscience.com%2Fwos%2Fwoscc%2Ffull-record%2FWOS:000929704700001" TargetMode="External"/><Relationship Id="rId2475" Type="http://schemas.openxmlformats.org/officeDocument/2006/relationships/hyperlink" Target="https%3A%2F%2Fwww.webofscience.com%2Fwos%2Fwoscc%2Ffull-record%2FWOS:000453484800009" TargetMode="External"/><Relationship Id="rId654" Type="http://schemas.openxmlformats.org/officeDocument/2006/relationships/hyperlink" Target="https%3A%2F%2Fwww.webofscience.com%2Fwos%2Fwoscc%2Ffull-record%2FWOS:000225845100017" TargetMode="External"/><Relationship Id="rId861" Type="http://schemas.openxmlformats.org/officeDocument/2006/relationships/hyperlink" Target="https%3A%2F%2Fwww.webofscience.com%2Fwos%2Fwoscc%2Ffull-record%2FWOS:000483368500016" TargetMode="External"/><Relationship Id="rId959" Type="http://schemas.openxmlformats.org/officeDocument/2006/relationships/hyperlink" Target="https%3A%2F%2Fwww.webofscience.com%2Fwos%2Fwoscc%2Ffull-record%2FWOS:000889060400009" TargetMode="External"/><Relationship Id="rId1284" Type="http://schemas.openxmlformats.org/officeDocument/2006/relationships/hyperlink" Target="http://dx.doi.org/10.25750/1995-4301-2022-1-167-174" TargetMode="External"/><Relationship Id="rId1491" Type="http://schemas.openxmlformats.org/officeDocument/2006/relationships/hyperlink" Target="http://dx.doi.org/10.25750/1995-4301-2020-2-130-135" TargetMode="External"/><Relationship Id="rId1505" Type="http://schemas.openxmlformats.org/officeDocument/2006/relationships/hyperlink" Target="https%3A%2F%2Fwww.webofscience.com%2Fwos%2Fwoscc%2Ffull-record%2FWOS:000267670800009" TargetMode="External"/><Relationship Id="rId1589" Type="http://schemas.openxmlformats.org/officeDocument/2006/relationships/hyperlink" Target="http://dx.doi.org/10.1007/s11045-016-0394-3" TargetMode="External"/><Relationship Id="rId1712" Type="http://schemas.openxmlformats.org/officeDocument/2006/relationships/hyperlink" Target="http://dx.doi.org/10.1111/tan.14967" TargetMode="External"/><Relationship Id="rId2335" Type="http://schemas.openxmlformats.org/officeDocument/2006/relationships/hyperlink" Target="http://dx.doi.org/10.17150/2500-4255.2018.12(4).515-524" TargetMode="External"/><Relationship Id="rId293" Type="http://schemas.openxmlformats.org/officeDocument/2006/relationships/hyperlink" Target="https%3A%2F%2Fwww.webofscience.com%2Fwos%2Fwoscc%2Ffull-record%2FWOS:000465534000008" TargetMode="External"/><Relationship Id="rId307" Type="http://schemas.openxmlformats.org/officeDocument/2006/relationships/hyperlink" Target="http://dx.doi.org/10.1134/S0036024409030169" TargetMode="External"/><Relationship Id="rId514" Type="http://schemas.openxmlformats.org/officeDocument/2006/relationships/hyperlink" Target="https%3A%2F%2Fwww.webofscience.com%2Fwos%2Fwoscc%2Ffull-record%2FWOS:000519128200006" TargetMode="External"/><Relationship Id="rId721" Type="http://schemas.openxmlformats.org/officeDocument/2006/relationships/hyperlink" Target="https%3A%2F%2Fwww.webofscience.com%2Fwos%2Fwoscc%2Ffull-record%2FWOS:000450658500001" TargetMode="External"/><Relationship Id="rId1144" Type="http://schemas.openxmlformats.org/officeDocument/2006/relationships/hyperlink" Target="http://dx.doi.org/10.1088/1742-6596/669/1/012040" TargetMode="External"/><Relationship Id="rId1351" Type="http://schemas.openxmlformats.org/officeDocument/2006/relationships/hyperlink" Target="https%3A%2F%2Fwww.webofscience.com%2Fwos%2Fwoscc%2Ffull-record%2FWOS:000892774100001" TargetMode="External"/><Relationship Id="rId1449" Type="http://schemas.openxmlformats.org/officeDocument/2006/relationships/hyperlink" Target="https%3A%2F%2Fwww.webofscience.com%2Fwos%2Fwoscc%2Ffull-record%2FWOS:000744098400005" TargetMode="External"/><Relationship Id="rId1796" Type="http://schemas.openxmlformats.org/officeDocument/2006/relationships/hyperlink" Target="http://dx.doi.org/10.1134/S1995425515050121" TargetMode="External"/><Relationship Id="rId2181" Type="http://schemas.openxmlformats.org/officeDocument/2006/relationships/hyperlink" Target="http://dx.doi.org/10.25750/1995-4301-2022-3-014-025" TargetMode="External"/><Relationship Id="rId2402" Type="http://schemas.openxmlformats.org/officeDocument/2006/relationships/hyperlink" Target="http://dx.doi.org/10.1016/j.ceramint.2021.11.151" TargetMode="External"/><Relationship Id="rId88" Type="http://schemas.openxmlformats.org/officeDocument/2006/relationships/hyperlink" Target="http://dx.doi.org/10.15561/26649837.2020.0606" TargetMode="External"/><Relationship Id="rId153" Type="http://schemas.openxmlformats.org/officeDocument/2006/relationships/hyperlink" Target="https%3A%2F%2Fwww.webofscience.com%2Fwos%2Fwoscc%2Ffull-record%2FWOS:000450658500021" TargetMode="External"/><Relationship Id="rId360" Type="http://schemas.openxmlformats.org/officeDocument/2006/relationships/hyperlink" Target="http://dx.doi.org/10.24874/IJQR14.01-07" TargetMode="External"/><Relationship Id="rId598" Type="http://schemas.openxmlformats.org/officeDocument/2006/relationships/hyperlink" Target="https%3A%2F%2Fwww.webofscience.com%2Fwos%2Fwoscc%2Ffull-record%2FWOS:000419816700087" TargetMode="External"/><Relationship Id="rId819" Type="http://schemas.openxmlformats.org/officeDocument/2006/relationships/hyperlink" Target="https%3A%2F%2Fwww.webofscience.com%2Fwos%2Fwoscc%2Ffull-record%2FWOS:000432248900136" TargetMode="External"/><Relationship Id="rId1004" Type="http://schemas.openxmlformats.org/officeDocument/2006/relationships/hyperlink" Target="http://dx.doi.org/10.1134/S1023193507060031" TargetMode="External"/><Relationship Id="rId1211" Type="http://schemas.openxmlformats.org/officeDocument/2006/relationships/hyperlink" Target="http://dx.doi.org/10.14529/hsm180314" TargetMode="External"/><Relationship Id="rId1656" Type="http://schemas.openxmlformats.org/officeDocument/2006/relationships/hyperlink" Target="https%3A%2F%2Fwww.webofscience.com%2Fwos%2Fwoscc%2Ffull-record%2FWOS:000520879000003" TargetMode="External"/><Relationship Id="rId1863" Type="http://schemas.openxmlformats.org/officeDocument/2006/relationships/hyperlink" Target="https%3A%2F%2Fwww.webofscience.com%2Fwos%2Fwoscc%2Ffull-record%2FWOS:000766407600001" TargetMode="External"/><Relationship Id="rId2041" Type="http://schemas.openxmlformats.org/officeDocument/2006/relationships/hyperlink" Target="https%3A%2F%2Fwww.webofscience.com%2Fwos%2Fwoscc%2Ffull-record%2FWOS:000892588700003" TargetMode="External"/><Relationship Id="rId2279" Type="http://schemas.openxmlformats.org/officeDocument/2006/relationships/hyperlink" Target="https%3A%2F%2Fwww.webofscience.com%2Fwos%2Fwoscc%2Ffull-record%2FWOS:000898146000001" TargetMode="External"/><Relationship Id="rId2486" Type="http://schemas.openxmlformats.org/officeDocument/2006/relationships/hyperlink" Target="https%3A%2F%2Fwww.webofscience.com%2Fwos%2Fwoscc%2Ffull-record%2FWOS:000432679600026" TargetMode="External"/><Relationship Id="rId220" Type="http://schemas.openxmlformats.org/officeDocument/2006/relationships/hyperlink" Target="http://dx.doi.org/10.1117/12.783049" TargetMode="External"/><Relationship Id="rId458" Type="http://schemas.openxmlformats.org/officeDocument/2006/relationships/hyperlink" Target="https%3A%2F%2Fwww.webofscience.com%2Fwos%2Fwoscc%2Ffull-record%2FWOS:000426114200001" TargetMode="External"/><Relationship Id="rId665" Type="http://schemas.openxmlformats.org/officeDocument/2006/relationships/hyperlink" Target="http://dx.doi.org/10.31166/VoprosyIstorii202010Statyi82" TargetMode="External"/><Relationship Id="rId872" Type="http://schemas.openxmlformats.org/officeDocument/2006/relationships/hyperlink" Target="http://dx.doi.org/10.20542/0131-2227-2023-67-3-116-129" TargetMode="External"/><Relationship Id="rId1088" Type="http://schemas.openxmlformats.org/officeDocument/2006/relationships/hyperlink" Target="https%3A%2F%2Fwww.webofscience.com%2Fwos%2Fwoscc%2Ffull-record%2FWOS:000462356300069" TargetMode="External"/><Relationship Id="rId1295" Type="http://schemas.openxmlformats.org/officeDocument/2006/relationships/hyperlink" Target="http://dx.doi.org/10.51762/1FK-2022-27-03-12" TargetMode="External"/><Relationship Id="rId1309" Type="http://schemas.openxmlformats.org/officeDocument/2006/relationships/hyperlink" Target="https%3A%2F%2Fwww.webofscience.com%2Fwos%2Fwoscc%2Ffull-record%2FWOS:000521637500030" TargetMode="External"/><Relationship Id="rId1516" Type="http://schemas.openxmlformats.org/officeDocument/2006/relationships/hyperlink" Target="https%3A%2F%2Fwww.webofscience.com%2Fwos%2Fwoscc%2Ffull-record%2FWOS:000230551900006" TargetMode="External"/><Relationship Id="rId1723" Type="http://schemas.openxmlformats.org/officeDocument/2006/relationships/hyperlink" Target="https%3A%2F%2Fwww.webofscience.com%2Fwos%2Fwoscc%2Ffull-record%2FWOS:000355184300004" TargetMode="External"/><Relationship Id="rId1930" Type="http://schemas.openxmlformats.org/officeDocument/2006/relationships/hyperlink" Target="https%3A%2F%2Fwww.webofscience.com%2Fwos%2Fwoscc%2Ffull-record%2FWOS:000637601600031" TargetMode="External"/><Relationship Id="rId2139" Type="http://schemas.openxmlformats.org/officeDocument/2006/relationships/hyperlink" Target="http://dx.doi.org/10.25750/1995-4301-2019-3-028-033" TargetMode="External"/><Relationship Id="rId2346" Type="http://schemas.openxmlformats.org/officeDocument/2006/relationships/hyperlink" Target="https%3A%2F%2Fwww.webofscience.com%2Fwos%2Fwoscc%2Ffull-record%2FWOS:000819811100014" TargetMode="External"/><Relationship Id="rId15" Type="http://schemas.openxmlformats.org/officeDocument/2006/relationships/hyperlink" Target="https%3A%2F%2Fwww.webofscience.com%2Fwos%2Fwoscc%2Ffull-record%2FWOS:000599902400003" TargetMode="External"/><Relationship Id="rId318" Type="http://schemas.openxmlformats.org/officeDocument/2006/relationships/hyperlink" Target="http://dx.doi.org/10.1108/OTH-07-2019-0041" TargetMode="External"/><Relationship Id="rId525" Type="http://schemas.openxmlformats.org/officeDocument/2006/relationships/hyperlink" Target="http://dx.doi.org/10.1134/S1023193517070059" TargetMode="External"/><Relationship Id="rId732" Type="http://schemas.openxmlformats.org/officeDocument/2006/relationships/hyperlink" Target="https%3A%2F%2Fwww.webofscience.com%2Fwos%2Fwoscc%2Ffull-record%2FWOS:000442951100010" TargetMode="External"/><Relationship Id="rId1155" Type="http://schemas.openxmlformats.org/officeDocument/2006/relationships/hyperlink" Target="http://dx.doi.org/10.1134/S1070427207010120" TargetMode="External"/><Relationship Id="rId1362" Type="http://schemas.openxmlformats.org/officeDocument/2006/relationships/hyperlink" Target="http://dx.doi.org/10.1051/matecconf/201710608084" TargetMode="External"/><Relationship Id="rId2192" Type="http://schemas.openxmlformats.org/officeDocument/2006/relationships/hyperlink" Target="https%3A%2F%2Fwww.webofscience.com%2Fwos%2Fwoscc%2Ffull-record%2FWOS:000597810500025" TargetMode="External"/><Relationship Id="rId2206" Type="http://schemas.openxmlformats.org/officeDocument/2006/relationships/hyperlink" Target="https%3A%2F%2Fwww.webofscience.com%2Fwos%2Fwoscc%2Ffull-record%2FWOS:000504049400008" TargetMode="External"/><Relationship Id="rId2413" Type="http://schemas.openxmlformats.org/officeDocument/2006/relationships/hyperlink" Target="http://dx.doi.org/10.7868/S0233475518020032" TargetMode="External"/><Relationship Id="rId99" Type="http://schemas.openxmlformats.org/officeDocument/2006/relationships/hyperlink" Target="https%3A%2F%2Fwww.webofscience.com%2Fwos%2Fwoscc%2Ffull-record%2FWOS:000312405700009" TargetMode="External"/><Relationship Id="rId164" Type="http://schemas.openxmlformats.org/officeDocument/2006/relationships/hyperlink" Target="https%3A%2F%2Fwww.webofscience.com%2Fwos%2Fwoscc%2Ffull-record%2FWOS:000404436600017" TargetMode="External"/><Relationship Id="rId371" Type="http://schemas.openxmlformats.org/officeDocument/2006/relationships/hyperlink" Target="http://dx.doi.org/10.17072/2219-3111-2018-4-107-116" TargetMode="External"/><Relationship Id="rId1015" Type="http://schemas.openxmlformats.org/officeDocument/2006/relationships/hyperlink" Target="https%3A%2F%2Fwww.webofscience.com%2Fwos%2Fwoscc%2Ffull-record%2FWOS:000622388100001" TargetMode="External"/><Relationship Id="rId1222" Type="http://schemas.openxmlformats.org/officeDocument/2006/relationships/hyperlink" Target="https%3A%2F%2Fwww.webofscience.com%2Fwos%2Fwoscc%2Ffull-record%2FWOS:000492180000001" TargetMode="External"/><Relationship Id="rId1667" Type="http://schemas.openxmlformats.org/officeDocument/2006/relationships/hyperlink" Target="https%3A%2F%2Fwww.webofscience.com%2Fwos%2Fwoscc%2Ffull-record%2FWOS:000520842700066" TargetMode="External"/><Relationship Id="rId1874" Type="http://schemas.openxmlformats.org/officeDocument/2006/relationships/hyperlink" Target="http://dx.doi.org/10.1088/1755-1315/90/1/012208" TargetMode="External"/><Relationship Id="rId2052" Type="http://schemas.openxmlformats.org/officeDocument/2006/relationships/hyperlink" Target="http://dx.doi.org/10.24874/IJQR13.04-12" TargetMode="External"/><Relationship Id="rId2497" Type="http://schemas.openxmlformats.org/officeDocument/2006/relationships/hyperlink" Target="https%3A%2F%2Fwww.webofscience.com%2Fwos%2Fwoscc%2Ffull-record%2FWOS:000409067500069" TargetMode="External"/><Relationship Id="rId469" Type="http://schemas.openxmlformats.org/officeDocument/2006/relationships/hyperlink" Target="https%3A%2F%2Fwww.webofscience.com%2Fwos%2Fwoscc%2Ffull-record%2FWOS:A1995RD36300005" TargetMode="External"/><Relationship Id="rId676" Type="http://schemas.openxmlformats.org/officeDocument/2006/relationships/hyperlink" Target="https%3A%2F%2Fwww.webofscience.com%2Fwos%2Fwoscc%2Ffull-record%2FWOS:000504406100007" TargetMode="External"/><Relationship Id="rId883" Type="http://schemas.openxmlformats.org/officeDocument/2006/relationships/hyperlink" Target="https%3A%2F%2Fwww.webofscience.com%2Fwos%2Fwoscc%2Ffull-record%2FWOS:000759460600047" TargetMode="External"/><Relationship Id="rId1099" Type="http://schemas.openxmlformats.org/officeDocument/2006/relationships/hyperlink" Target="https%3A%2F%2Fwww.webofscience.com%2Fwos%2Fwoscc%2Ffull-record%2FWOS:000245102200011" TargetMode="External"/><Relationship Id="rId1527" Type="http://schemas.openxmlformats.org/officeDocument/2006/relationships/hyperlink" Target="http://dx.doi.org/10.51847/h2jlKTkM26" TargetMode="External"/><Relationship Id="rId1734" Type="http://schemas.openxmlformats.org/officeDocument/2006/relationships/hyperlink" Target="http://dx.doi.org/10.1134/S1070427221030083" TargetMode="External"/><Relationship Id="rId1941" Type="http://schemas.openxmlformats.org/officeDocument/2006/relationships/hyperlink" Target="https%3A%2F%2Fwww.webofscience.com%2Fwos%2Fwoscc%2Ffull-record%2FWOS:000558065900007" TargetMode="External"/><Relationship Id="rId2357" Type="http://schemas.openxmlformats.org/officeDocument/2006/relationships/hyperlink" Target="http://dx.doi.org/10.1134/S1995425515060050" TargetMode="External"/><Relationship Id="rId26" Type="http://schemas.openxmlformats.org/officeDocument/2006/relationships/hyperlink" Target="https%3A%2F%2Fwww.webofscience.com%2Fwos%2Fwoscc%2Ffull-record%2FWOS:000478963800067" TargetMode="External"/><Relationship Id="rId231" Type="http://schemas.openxmlformats.org/officeDocument/2006/relationships/hyperlink" Target="http://dx.doi.org/10.1051/e3sconf/201911002026" TargetMode="External"/><Relationship Id="rId329" Type="http://schemas.openxmlformats.org/officeDocument/2006/relationships/hyperlink" Target="https%3A%2F%2Fwww.webofscience.com%2Fwos%2Fwoscc%2Ffull-record%2FWOS:000435584400009" TargetMode="External"/><Relationship Id="rId536" Type="http://schemas.openxmlformats.org/officeDocument/2006/relationships/hyperlink" Target="http://dx.doi.org/10.1023/A:1015564806467" TargetMode="External"/><Relationship Id="rId1166" Type="http://schemas.openxmlformats.org/officeDocument/2006/relationships/hyperlink" Target="https%3A%2F%2Fwww.webofscience.com%2Fwos%2Fwoscc%2Ffull-record%2FWOS:000619393300195" TargetMode="External"/><Relationship Id="rId1373" Type="http://schemas.openxmlformats.org/officeDocument/2006/relationships/hyperlink" Target="https%3A%2F%2Fwww.webofscience.com%2Fwos%2Fwoscc%2Ffull-record%2FWOS:000569050000240" TargetMode="External"/><Relationship Id="rId2217" Type="http://schemas.openxmlformats.org/officeDocument/2006/relationships/hyperlink" Target="http://dx.doi.org/10.1051/matecconf/201710608085" TargetMode="External"/><Relationship Id="rId175" Type="http://schemas.openxmlformats.org/officeDocument/2006/relationships/hyperlink" Target="http://dx.doi.org/10.1134/S0001434609050198" TargetMode="External"/><Relationship Id="rId743" Type="http://schemas.openxmlformats.org/officeDocument/2006/relationships/hyperlink" Target="http://dx.doi.org/10.1134/S1023193511050089" TargetMode="External"/><Relationship Id="rId950" Type="http://schemas.openxmlformats.org/officeDocument/2006/relationships/hyperlink" Target="https%3A%2F%2Fwww.webofscience.com%2Fwos%2Fwoscc%2Ffull-record%2FWOS:000226016200005" TargetMode="External"/><Relationship Id="rId1026" Type="http://schemas.openxmlformats.org/officeDocument/2006/relationships/hyperlink" Target="https%3A%2F%2Fwww.webofscience.com%2Fwos%2Fwoscc%2Ffull-record%2FWOS:000607234900159" TargetMode="External"/><Relationship Id="rId1580" Type="http://schemas.openxmlformats.org/officeDocument/2006/relationships/hyperlink" Target="http://dx.doi.org/10.1016/j.proeng.2017.10.488" TargetMode="External"/><Relationship Id="rId1678" Type="http://schemas.openxmlformats.org/officeDocument/2006/relationships/hyperlink" Target="https%3A%2F%2Fwww.webofscience.com%2Fwos%2Fwoscc%2Ffull-record%2FWOS:000378098500079" TargetMode="External"/><Relationship Id="rId1801" Type="http://schemas.openxmlformats.org/officeDocument/2006/relationships/hyperlink" Target="http://dx.doi.org/10.24874/IJQR16.03-19" TargetMode="External"/><Relationship Id="rId1885" Type="http://schemas.openxmlformats.org/officeDocument/2006/relationships/hyperlink" Target="http://dx.doi.org/10.1051/e3sconf/202021013036" TargetMode="External"/><Relationship Id="rId2424" Type="http://schemas.openxmlformats.org/officeDocument/2006/relationships/hyperlink" Target="https%3A%2F%2Fwww.webofscience.com%2Fwos%2Fwoscc%2Ffull-record%2FWOS:000429004200016" TargetMode="External"/><Relationship Id="rId382" Type="http://schemas.openxmlformats.org/officeDocument/2006/relationships/hyperlink" Target="http://dx.doi.org/10.1134/S1087659611060095" TargetMode="External"/><Relationship Id="rId603" Type="http://schemas.openxmlformats.org/officeDocument/2006/relationships/hyperlink" Target="https%3A%2F%2Fwww.webofscience.com%2Fwos%2Fwoscc%2Ffull-record%2FWOS:000288387800025" TargetMode="External"/><Relationship Id="rId687" Type="http://schemas.openxmlformats.org/officeDocument/2006/relationships/hyperlink" Target="https%3A%2F%2Fwww.webofscience.com%2Fwos%2Fwoscc%2Ffull-record%2FWOS:000382527700060" TargetMode="External"/><Relationship Id="rId810" Type="http://schemas.openxmlformats.org/officeDocument/2006/relationships/hyperlink" Target="http://dx.doi.org/10.1145/3357419.3357430" TargetMode="External"/><Relationship Id="rId908" Type="http://schemas.openxmlformats.org/officeDocument/2006/relationships/hyperlink" Target="https%3A%2F%2Fwww.webofscience.com%2Fwos%2Fwoscc%2Ffull-record%2FWOS:000395727700063" TargetMode="External"/><Relationship Id="rId1233" Type="http://schemas.openxmlformats.org/officeDocument/2006/relationships/hyperlink" Target="http://dx.doi.org/10.25750/1995-4301-2021-1-172-180" TargetMode="External"/><Relationship Id="rId1440" Type="http://schemas.openxmlformats.org/officeDocument/2006/relationships/hyperlink" Target="https%3A%2F%2Fwww.webofscience.com%2Fwos%2Fwoscc%2Ffull-record%2FWOS:000899150500009" TargetMode="External"/><Relationship Id="rId1538" Type="http://schemas.openxmlformats.org/officeDocument/2006/relationships/hyperlink" Target="https%3A%2F%2Fwww.webofscience.com%2Fwos%2Fwoscc%2Ffull-record%2FWOS:000426426600271" TargetMode="External"/><Relationship Id="rId2063" Type="http://schemas.openxmlformats.org/officeDocument/2006/relationships/hyperlink" Target="https%3A%2F%2Fwww.webofscience.com%2Fwos%2Fwoscc%2Ffull-record%2FWOS:000669709801069" TargetMode="External"/><Relationship Id="rId2270" Type="http://schemas.openxmlformats.org/officeDocument/2006/relationships/hyperlink" Target="http://dx.doi.org/10.18149/MPM.4712021_11" TargetMode="External"/><Relationship Id="rId2368" Type="http://schemas.openxmlformats.org/officeDocument/2006/relationships/hyperlink" Target="https%3A%2F%2Fwww.webofscience.com%2Fwos%2Fwoscc%2Ffull-record%2FWOS:000396266800017" TargetMode="External"/><Relationship Id="rId242" Type="http://schemas.openxmlformats.org/officeDocument/2006/relationships/hyperlink" Target="https%3A%2F%2Fwww.webofscience.com%2Fwos%2Fwoscc%2Ffull-record%2FWOS:000414282400356" TargetMode="External"/><Relationship Id="rId894" Type="http://schemas.openxmlformats.org/officeDocument/2006/relationships/hyperlink" Target="https%3A%2F%2Fwww.webofscience.com%2Fwos%2Fwoscc%2Ffull-record%2FWOS:000489760100016" TargetMode="External"/><Relationship Id="rId1177" Type="http://schemas.openxmlformats.org/officeDocument/2006/relationships/hyperlink" Target="http://dx.doi.org/10.24224/2227-1295-2019-10-434-451" TargetMode="External"/><Relationship Id="rId1300" Type="http://schemas.openxmlformats.org/officeDocument/2006/relationships/hyperlink" Target="https%3A%2F%2Fwww.webofscience.com%2Fwos%2Fwoscc%2Ffull-record%2FWOS:000671896200051" TargetMode="External"/><Relationship Id="rId1745" Type="http://schemas.openxmlformats.org/officeDocument/2006/relationships/hyperlink" Target="https%3A%2F%2Fwww.webofscience.com%2Fwos%2Fwoscc%2Ffull-record%2FWOS:000885393200021" TargetMode="External"/><Relationship Id="rId1952" Type="http://schemas.openxmlformats.org/officeDocument/2006/relationships/hyperlink" Target="https%3A%2F%2Fwww.webofscience.com%2Fwos%2Fwoscc%2Ffull-record%2FWOS:000580337700026" TargetMode="External"/><Relationship Id="rId2130" Type="http://schemas.openxmlformats.org/officeDocument/2006/relationships/hyperlink" Target="https%3A%2F%2Fwww.webofscience.com%2Fwos%2Fwoscc%2Ffull-record%2FWOS:000473529000047" TargetMode="External"/><Relationship Id="rId37" Type="http://schemas.openxmlformats.org/officeDocument/2006/relationships/hyperlink" Target="https%3A%2F%2Fwww.webofscience.com%2Fwos%2Fwoscc%2Ffull-record%2FWOS:000290830700011" TargetMode="External"/><Relationship Id="rId102" Type="http://schemas.openxmlformats.org/officeDocument/2006/relationships/hyperlink" Target="http://dx.doi.org/10.25750/1995-4301-2022-4-119-123" TargetMode="External"/><Relationship Id="rId547" Type="http://schemas.openxmlformats.org/officeDocument/2006/relationships/hyperlink" Target="https%3A%2F%2Fwww.webofscience.com%2Fwos%2Fwoscc%2Ffull-record%2FWOS:000646359100129" TargetMode="External"/><Relationship Id="rId754" Type="http://schemas.openxmlformats.org/officeDocument/2006/relationships/hyperlink" Target="https%3A%2F%2Fwww.webofscience.com%2Fwos%2Fwoscc%2Ffull-record%2FWOS:000695496900002" TargetMode="External"/><Relationship Id="rId961" Type="http://schemas.openxmlformats.org/officeDocument/2006/relationships/hyperlink" Target="https%3A%2F%2Fwww.webofscience.com%2Fwos%2Fwoscc%2Ffull-record%2FWOS:000869083300002" TargetMode="External"/><Relationship Id="rId1384" Type="http://schemas.openxmlformats.org/officeDocument/2006/relationships/hyperlink" Target="http://dx.doi.org/10.1051/e3sconf/201911002155" TargetMode="External"/><Relationship Id="rId1591" Type="http://schemas.openxmlformats.org/officeDocument/2006/relationships/hyperlink" Target="https%3A%2F%2Fwww.webofscience.com%2Fwos%2Fwoscc%2Ffull-record%2FWOS:000380404000079" TargetMode="External"/><Relationship Id="rId1605" Type="http://schemas.openxmlformats.org/officeDocument/2006/relationships/hyperlink" Target="http://dx.doi.org/10.17223/19986645/54/4" TargetMode="External"/><Relationship Id="rId1689" Type="http://schemas.openxmlformats.org/officeDocument/2006/relationships/hyperlink" Target="http://dx.doi.org/10.1134/S1023193513080107" TargetMode="External"/><Relationship Id="rId1812" Type="http://schemas.openxmlformats.org/officeDocument/2006/relationships/hyperlink" Target="https%3A%2F%2Fwww.webofscience.com%2Fwos%2Fwoscc%2Ffull-record%2FWOS:000685660400001" TargetMode="External"/><Relationship Id="rId2228" Type="http://schemas.openxmlformats.org/officeDocument/2006/relationships/hyperlink" Target="https%3A%2F%2Fwww.webofscience.com%2Fwos%2Fwoscc%2Ffull-record%2FWOS:000392771400009" TargetMode="External"/><Relationship Id="rId2435" Type="http://schemas.openxmlformats.org/officeDocument/2006/relationships/hyperlink" Target="http://dx.doi.org/10.15407/jnpae2018.01.043" TargetMode="External"/><Relationship Id="rId90" Type="http://schemas.openxmlformats.org/officeDocument/2006/relationships/hyperlink" Target="http://dx.doi.org/10.1134/S0869864319020112" TargetMode="External"/><Relationship Id="rId186" Type="http://schemas.openxmlformats.org/officeDocument/2006/relationships/hyperlink" Target="http://dx.doi.org/10.3103/S0005105522030037" TargetMode="External"/><Relationship Id="rId393" Type="http://schemas.openxmlformats.org/officeDocument/2006/relationships/hyperlink" Target="https%3A%2F%2Fwww.webofscience.com%2Fwos%2Fwoscc%2Ffull-record%2FWOS:000820802000021" TargetMode="External"/><Relationship Id="rId407" Type="http://schemas.openxmlformats.org/officeDocument/2006/relationships/hyperlink" Target="https%3A%2F%2Fwww.webofscience.com%2Fwos%2Fwoscc%2Ffull-record%2FWOS:000491196500017" TargetMode="External"/><Relationship Id="rId614" Type="http://schemas.openxmlformats.org/officeDocument/2006/relationships/hyperlink" Target="http://dx.doi.org/10.14529/hsm200110" TargetMode="External"/><Relationship Id="rId821" Type="http://schemas.openxmlformats.org/officeDocument/2006/relationships/hyperlink" Target="https%3A%2F%2Fwww.webofscience.com%2Fwos%2Fwoscc%2Ffull-record%2FWOS:000679066800223" TargetMode="External"/><Relationship Id="rId1037" Type="http://schemas.openxmlformats.org/officeDocument/2006/relationships/hyperlink" Target="http://dx.doi.org/10.17223/23062061/16/6" TargetMode="External"/><Relationship Id="rId1244" Type="http://schemas.openxmlformats.org/officeDocument/2006/relationships/hyperlink" Target="http://dx.doi.org/10.1134/S199508291304010X" TargetMode="External"/><Relationship Id="rId1451" Type="http://schemas.openxmlformats.org/officeDocument/2006/relationships/hyperlink" Target="https%3A%2F%2Fwww.webofscience.com%2Fwos%2Fwoscc%2Ffull-record%2FWOS:000572971200002" TargetMode="External"/><Relationship Id="rId1896" Type="http://schemas.openxmlformats.org/officeDocument/2006/relationships/hyperlink" Target="http://dx.doi.org/10.1088/1755-1315/90/1/012122" TargetMode="External"/><Relationship Id="rId2074" Type="http://schemas.openxmlformats.org/officeDocument/2006/relationships/hyperlink" Target="https%3A%2F%2Fwww.webofscience.com%2Fwos%2Fwoscc%2Ffull-record%2FWOS:000862890700012" TargetMode="External"/><Relationship Id="rId2281" Type="http://schemas.openxmlformats.org/officeDocument/2006/relationships/hyperlink" Target="https%3A%2F%2Fwww.webofscience.com%2Fwos%2Fwoscc%2Ffull-record%2FWOS:000640618100006" TargetMode="External"/><Relationship Id="rId2502" Type="http://schemas.openxmlformats.org/officeDocument/2006/relationships/hyperlink" Target="https%3A%2F%2Fwww.webofscience.com%2Fwos%2Fwoscc%2Ffull-record%2FWOS:000511537300012" TargetMode="External"/><Relationship Id="rId253" Type="http://schemas.openxmlformats.org/officeDocument/2006/relationships/hyperlink" Target="http://dx.doi.org/10.1007/978-3-030-70194-9_33" TargetMode="External"/><Relationship Id="rId460" Type="http://schemas.openxmlformats.org/officeDocument/2006/relationships/hyperlink" Target="http://dx.doi.org/10.1134/S199542551505011X" TargetMode="External"/><Relationship Id="rId698" Type="http://schemas.openxmlformats.org/officeDocument/2006/relationships/hyperlink" Target="http://dx.doi.org/10.25750/1995-4301-2022-3-041-048" TargetMode="External"/><Relationship Id="rId919" Type="http://schemas.openxmlformats.org/officeDocument/2006/relationships/hyperlink" Target="http://dx.doi.org/10.51762/1FK-2021-26-04-24" TargetMode="External"/><Relationship Id="rId1090" Type="http://schemas.openxmlformats.org/officeDocument/2006/relationships/hyperlink" Target="https%3A%2F%2Fwww.webofscience.com%2Fwos%2Fwoscc%2Ffull-record%2FWOS:000426878200031" TargetMode="External"/><Relationship Id="rId1104" Type="http://schemas.openxmlformats.org/officeDocument/2006/relationships/hyperlink" Target="http://dx.doi.org/10.25750/1995-4301-2022-4-214-223" TargetMode="External"/><Relationship Id="rId1311" Type="http://schemas.openxmlformats.org/officeDocument/2006/relationships/hyperlink" Target="https%3A%2F%2Fwww.webofscience.com%2Fwos%2Fwoscc%2Ffull-record%2FWOS:000177753100015" TargetMode="External"/><Relationship Id="rId1549" Type="http://schemas.openxmlformats.org/officeDocument/2006/relationships/hyperlink" Target="https%3A%2F%2Fwww.webofscience.com%2Fwos%2Fwoscc%2Ffull-record%2FWOS:000753139500022" TargetMode="External"/><Relationship Id="rId1756" Type="http://schemas.openxmlformats.org/officeDocument/2006/relationships/hyperlink" Target="http://dx.doi.org/10.25750/1995-4301-2020-4-022-029" TargetMode="External"/><Relationship Id="rId1963" Type="http://schemas.openxmlformats.org/officeDocument/2006/relationships/hyperlink" Target="http://dx.doi.org/10.1016/j.ijbiomac.2020.07.189" TargetMode="External"/><Relationship Id="rId2141" Type="http://schemas.openxmlformats.org/officeDocument/2006/relationships/hyperlink" Target="http://dx.doi.org/10.1134/S106422931611003X" TargetMode="External"/><Relationship Id="rId2379" Type="http://schemas.openxmlformats.org/officeDocument/2006/relationships/hyperlink" Target="https%3A%2F%2Fwww.webofscience.com%2Fwos%2Fwoscc%2Ffull-record%2FWOS:000451552200005" TargetMode="External"/><Relationship Id="rId48" Type="http://schemas.openxmlformats.org/officeDocument/2006/relationships/hyperlink" Target="https%3A%2F%2Fwww.webofscience.com%2Fwos%2Fwoscc%2Ffull-record%2FWOS:000605445300016" TargetMode="External"/><Relationship Id="rId113" Type="http://schemas.openxmlformats.org/officeDocument/2006/relationships/hyperlink" Target="https%3A%2F%2Fwww.webofscience.com%2Fwos%2Fwoscc%2Ffull-record%2FWOS:000511435400025" TargetMode="External"/><Relationship Id="rId320" Type="http://schemas.openxmlformats.org/officeDocument/2006/relationships/hyperlink" Target="http://dx.doi.org/10.33186/1027-3689-2019-12-100-119" TargetMode="External"/><Relationship Id="rId558" Type="http://schemas.openxmlformats.org/officeDocument/2006/relationships/hyperlink" Target="http://dx.doi.org/10.13187/ejced.2018.3.541" TargetMode="External"/><Relationship Id="rId765" Type="http://schemas.openxmlformats.org/officeDocument/2006/relationships/hyperlink" Target="http://dx.doi.org/10.17223/19996195/41/16" TargetMode="External"/><Relationship Id="rId972" Type="http://schemas.openxmlformats.org/officeDocument/2006/relationships/hyperlink" Target="https%3A%2F%2Fwww.webofscience.com%2Fwos%2Fwoscc%2Ffull-record%2FWOS:000566776900002" TargetMode="External"/><Relationship Id="rId1188" Type="http://schemas.openxmlformats.org/officeDocument/2006/relationships/hyperlink" Target="https%3A%2F%2Fwww.webofscience.com%2Fwos%2Fwoscc%2Ffull-record%2FWOS:000441009400003" TargetMode="External"/><Relationship Id="rId1395" Type="http://schemas.openxmlformats.org/officeDocument/2006/relationships/hyperlink" Target="https%3A%2F%2Fwww.webofscience.com%2Fwos%2Fwoscc%2Ffull-record%2FWOS:000229725000018" TargetMode="External"/><Relationship Id="rId1409" Type="http://schemas.openxmlformats.org/officeDocument/2006/relationships/hyperlink" Target="https%3A%2F%2Fwww.webofscience.com%2Fwos%2Fwoscc%2Ffull-record%2FWOS:000971992100003" TargetMode="External"/><Relationship Id="rId1616" Type="http://schemas.openxmlformats.org/officeDocument/2006/relationships/hyperlink" Target="http://dx.doi.org/10.17150/2500-4255.2019.13(3).489-497" TargetMode="External"/><Relationship Id="rId1823" Type="http://schemas.openxmlformats.org/officeDocument/2006/relationships/hyperlink" Target="http://dx.doi.org/10.1007/978-3-030-34983-7_19" TargetMode="External"/><Relationship Id="rId2001" Type="http://schemas.openxmlformats.org/officeDocument/2006/relationships/hyperlink" Target="https%3A%2F%2Fwww.webofscience.com%2Fwos%2Fwoscc%2Ffull-record%2FWOS:000439334000027" TargetMode="External"/><Relationship Id="rId2239" Type="http://schemas.openxmlformats.org/officeDocument/2006/relationships/hyperlink" Target="http://dx.doi.org/10.3390/ma14040962" TargetMode="External"/><Relationship Id="rId2446" Type="http://schemas.openxmlformats.org/officeDocument/2006/relationships/hyperlink" Target="http://dx.doi.org/10.1007/s40519-021-01259-5" TargetMode="External"/><Relationship Id="rId197" Type="http://schemas.openxmlformats.org/officeDocument/2006/relationships/hyperlink" Target="https%3A%2F%2Fwww.webofscience.com%2Fwos%2Fwoscc%2Ffull-record%2FWOS:000587460100010" TargetMode="External"/><Relationship Id="rId418" Type="http://schemas.openxmlformats.org/officeDocument/2006/relationships/hyperlink" Target="https%3A%2F%2Fwww.webofscience.com%2Fwos%2Fwoscc%2Ffull-record%2FWOS:000428759500110" TargetMode="External"/><Relationship Id="rId625" Type="http://schemas.openxmlformats.org/officeDocument/2006/relationships/hyperlink" Target="https%3A%2F%2Fwww.webofscience.com%2Fwos%2Fwoscc%2Ffull-record%2FWOS:000510646100002" TargetMode="External"/><Relationship Id="rId832" Type="http://schemas.openxmlformats.org/officeDocument/2006/relationships/hyperlink" Target="http://dx.doi.org/10.1023/A:1021274019713" TargetMode="External"/><Relationship Id="rId1048" Type="http://schemas.openxmlformats.org/officeDocument/2006/relationships/hyperlink" Target="https%3A%2F%2Fwww.webofscience.com%2Fwos%2Fwoscc%2Ffull-record%2FWOS:000346415800004" TargetMode="External"/><Relationship Id="rId1255" Type="http://schemas.openxmlformats.org/officeDocument/2006/relationships/hyperlink" Target="http://dx.doi.org/10.37043/JURA.2021.13.1.7" TargetMode="External"/><Relationship Id="rId1462" Type="http://schemas.openxmlformats.org/officeDocument/2006/relationships/hyperlink" Target="http://dx.doi.org/10.51847/bvPSNlJliW" TargetMode="External"/><Relationship Id="rId2085" Type="http://schemas.openxmlformats.org/officeDocument/2006/relationships/hyperlink" Target="https%3A%2F%2Fwww.webofscience.com%2Fwos%2Fwoscc%2Ffull-record%2FWOS:000358668400006" TargetMode="External"/><Relationship Id="rId2292" Type="http://schemas.openxmlformats.org/officeDocument/2006/relationships/hyperlink" Target="http://dx.doi.org/10.1099/ijsem.0.000994" TargetMode="External"/><Relationship Id="rId2306" Type="http://schemas.openxmlformats.org/officeDocument/2006/relationships/hyperlink" Target="http://dx.doi.org/10.25750/1995-4301-2021-1-006-015" TargetMode="External"/><Relationship Id="rId2513" Type="http://schemas.openxmlformats.org/officeDocument/2006/relationships/hyperlink" Target="https%3A%2F%2Fwww.webofscience.com%2Fwos%2Fwoscc%2Ffull-record%2FWOS:000962868600002" TargetMode="External"/><Relationship Id="rId264" Type="http://schemas.openxmlformats.org/officeDocument/2006/relationships/hyperlink" Target="http://dx.doi.org/10.25750/1995-4301-2018-4-108-113" TargetMode="External"/><Relationship Id="rId471" Type="http://schemas.openxmlformats.org/officeDocument/2006/relationships/hyperlink" Target="https%3A%2F%2Fwww.webofscience.com%2Fwos%2Fwoscc%2Ffull-record%2FWOS:000949710000007" TargetMode="External"/><Relationship Id="rId1115" Type="http://schemas.openxmlformats.org/officeDocument/2006/relationships/hyperlink" Target="http://dx.doi.org/10.1134/S1995082920020297" TargetMode="External"/><Relationship Id="rId1322" Type="http://schemas.openxmlformats.org/officeDocument/2006/relationships/hyperlink" Target="http://dx.doi.org/10.1134/S0040601519020071" TargetMode="External"/><Relationship Id="rId1767" Type="http://schemas.openxmlformats.org/officeDocument/2006/relationships/hyperlink" Target="https%3A%2F%2Fwww.webofscience.com%2Fwos%2Fwoscc%2Ffull-record%2FWOS:000284652000029" TargetMode="External"/><Relationship Id="rId1974" Type="http://schemas.openxmlformats.org/officeDocument/2006/relationships/hyperlink" Target="http://dx.doi.org/10.3390/cryst12030419" TargetMode="External"/><Relationship Id="rId2152" Type="http://schemas.openxmlformats.org/officeDocument/2006/relationships/hyperlink" Target="https%3A%2F%2Fwww.webofscience.com%2Fwos%2Fwoscc%2Ffull-record%2FWOS:000504049400020" TargetMode="External"/><Relationship Id="rId59" Type="http://schemas.openxmlformats.org/officeDocument/2006/relationships/hyperlink" Target="https%3A%2F%2Fwww.webofscience.com%2Fwos%2Fwoscc%2Ffull-record%2FWOS:000455535400008" TargetMode="External"/><Relationship Id="rId124" Type="http://schemas.openxmlformats.org/officeDocument/2006/relationships/hyperlink" Target="https%3A%2F%2Fwww.webofscience.com%2Fwos%2Fwoscc%2Ffull-record%2FWOS:000435701700020" TargetMode="External"/><Relationship Id="rId569" Type="http://schemas.openxmlformats.org/officeDocument/2006/relationships/hyperlink" Target="http://dx.doi.org/10.15826/qr.2018.1.294" TargetMode="External"/><Relationship Id="rId776" Type="http://schemas.openxmlformats.org/officeDocument/2006/relationships/hyperlink" Target="http://dx.doi.org/10.1007/978-3-319-62932-2_18" TargetMode="External"/><Relationship Id="rId983" Type="http://schemas.openxmlformats.org/officeDocument/2006/relationships/hyperlink" Target="http://dx.doi.org/10.22616/ERDev2018.17.N217" TargetMode="External"/><Relationship Id="rId1199" Type="http://schemas.openxmlformats.org/officeDocument/2006/relationships/hyperlink" Target="https%3A%2F%2Fwww.webofscience.com%2Fwos%2Fwoscc%2Ffull-record%2FWOS:000304155200014" TargetMode="External"/><Relationship Id="rId1627" Type="http://schemas.openxmlformats.org/officeDocument/2006/relationships/hyperlink" Target="http://dx.doi.org/10.1016/j.cap.2007.04.013" TargetMode="External"/><Relationship Id="rId1834" Type="http://schemas.openxmlformats.org/officeDocument/2006/relationships/hyperlink" Target="https%3A%2F%2Fwww.webofscience.com%2Fwos%2Fwoscc%2Ffull-record%2FWOS:000419816700125" TargetMode="External"/><Relationship Id="rId2457" Type="http://schemas.openxmlformats.org/officeDocument/2006/relationships/hyperlink" Target="http://dx.doi.org/10.1080/1536383X.2021.1960315" TargetMode="External"/><Relationship Id="rId331" Type="http://schemas.openxmlformats.org/officeDocument/2006/relationships/hyperlink" Target="https%3A%2F%2Fwww.webofscience.com%2Fwos%2Fwoscc%2Ffull-record%2FWOS:000440661000005" TargetMode="External"/><Relationship Id="rId429" Type="http://schemas.openxmlformats.org/officeDocument/2006/relationships/hyperlink" Target="http://dx.doi.org/10.1134/S0001434622030191" TargetMode="External"/><Relationship Id="rId636" Type="http://schemas.openxmlformats.org/officeDocument/2006/relationships/hyperlink" Target="https%3A%2F%2Fwww.webofscience.com%2Fwos%2Fwoscc%2Ffull-record%2FWOS:000453865300004" TargetMode="External"/><Relationship Id="rId1059" Type="http://schemas.openxmlformats.org/officeDocument/2006/relationships/hyperlink" Target="https%3A%2F%2Fwww.webofscience.com%2Fwos%2Fwoscc%2Ffull-record%2FWOS:000892787700010" TargetMode="External"/><Relationship Id="rId1266" Type="http://schemas.openxmlformats.org/officeDocument/2006/relationships/hyperlink" Target="https%3A%2F%2Fwww.webofscience.com%2Fwos%2Fwoscc%2Ffull-record%2FWOS:000791529900001" TargetMode="External"/><Relationship Id="rId1473" Type="http://schemas.openxmlformats.org/officeDocument/2006/relationships/hyperlink" Target="http://dx.doi.org/10.51847/yDF12GeLiV" TargetMode="External"/><Relationship Id="rId2012" Type="http://schemas.openxmlformats.org/officeDocument/2006/relationships/hyperlink" Target="http://dx.doi.org/10.1051/bioconf/20201700118" TargetMode="External"/><Relationship Id="rId2096" Type="http://schemas.openxmlformats.org/officeDocument/2006/relationships/hyperlink" Target="https%3A%2F%2Fwww.webofscience.com%2Fwos%2Fwoscc%2Ffull-record%2FWOS:000321871500002" TargetMode="External"/><Relationship Id="rId2317" Type="http://schemas.openxmlformats.org/officeDocument/2006/relationships/hyperlink" Target="https%3A%2F%2Fwww.webofscience.com%2Fwos%2Fwoscc%2Ffull-record%2FWOS:000581820600014" TargetMode="External"/><Relationship Id="rId843" Type="http://schemas.openxmlformats.org/officeDocument/2006/relationships/hyperlink" Target="https%3A%2F%2Fwww.webofscience.com%2Fwos%2Fwoscc%2Ffull-record%2FWOS:000530049500023" TargetMode="External"/><Relationship Id="rId1126" Type="http://schemas.openxmlformats.org/officeDocument/2006/relationships/hyperlink" Target="https%3A%2F%2Fwww.webofscience.com%2Fwos%2Fwoscc%2Ffull-record%2FWOS:000483728400002" TargetMode="External"/><Relationship Id="rId1680" Type="http://schemas.openxmlformats.org/officeDocument/2006/relationships/hyperlink" Target="https%3A%2F%2Fwww.webofscience.com%2Fwos%2Fwoscc%2Ffull-record%2FWOS:000487550800008" TargetMode="External"/><Relationship Id="rId1778" Type="http://schemas.openxmlformats.org/officeDocument/2006/relationships/hyperlink" Target="https%3A%2F%2Fwww.webofscience.com%2Fwos%2Fwoscc%2Ffull-record%2FWOS:000438858600029" TargetMode="External"/><Relationship Id="rId1901" Type="http://schemas.openxmlformats.org/officeDocument/2006/relationships/hyperlink" Target="https%3A%2F%2Fwww.webofscience.com%2Fwos%2Fwoscc%2Ffull-record%2FWOS:000569199100001" TargetMode="External"/><Relationship Id="rId1985" Type="http://schemas.openxmlformats.org/officeDocument/2006/relationships/hyperlink" Target="https%3A%2F%2Fwww.webofscience.com%2Fwos%2Fwoscc%2Ffull-record%2FWOS:000738338000001" TargetMode="External"/><Relationship Id="rId275" Type="http://schemas.openxmlformats.org/officeDocument/2006/relationships/hyperlink" Target="https%3A%2F%2Fwww.webofscience.com%2Fwos%2Fwoscc%2Ffull-record%2FWOS:A1997XG33200003" TargetMode="External"/><Relationship Id="rId482" Type="http://schemas.openxmlformats.org/officeDocument/2006/relationships/hyperlink" Target="http://dx.doi.org/10.24874/IJQR14.02-13" TargetMode="External"/><Relationship Id="rId703" Type="http://schemas.openxmlformats.org/officeDocument/2006/relationships/hyperlink" Target="https%3A%2F%2Fwww.webofscience.com%2Fwos%2Fwoscc%2Ffull-record%2FWOS:000726493300012" TargetMode="External"/><Relationship Id="rId910" Type="http://schemas.openxmlformats.org/officeDocument/2006/relationships/hyperlink" Target="http://dx.doi.org/10.1134/S0040579512020121" TargetMode="External"/><Relationship Id="rId1333" Type="http://schemas.openxmlformats.org/officeDocument/2006/relationships/hyperlink" Target="https%3A%2F%2Fwww.webofscience.com%2Fwos%2Fwoscc%2Ffull-record%2FWOS:000869708600001" TargetMode="External"/><Relationship Id="rId1540" Type="http://schemas.openxmlformats.org/officeDocument/2006/relationships/hyperlink" Target="http://dx.doi.org/10.1134/S1560090412030050" TargetMode="External"/><Relationship Id="rId1638" Type="http://schemas.openxmlformats.org/officeDocument/2006/relationships/hyperlink" Target="http://dx.doi.org/10.1111/tan.14969" TargetMode="External"/><Relationship Id="rId2163" Type="http://schemas.openxmlformats.org/officeDocument/2006/relationships/hyperlink" Target="http://dx.doi.org/10.25750/1995-4301-2021-2-122-127" TargetMode="External"/><Relationship Id="rId2370" Type="http://schemas.openxmlformats.org/officeDocument/2006/relationships/hyperlink" Target="https%3A%2F%2Fwww.webofscience.com%2Fwos%2Fwoscc%2Ffull-record%2FWOS:000894516000001" TargetMode="External"/><Relationship Id="rId135" Type="http://schemas.openxmlformats.org/officeDocument/2006/relationships/hyperlink" Target="https%3A%2F%2Fwww.webofscience.com%2Fwos%2Fwoscc%2Ffull-record%2FWOS:000757092500024" TargetMode="External"/><Relationship Id="rId342" Type="http://schemas.openxmlformats.org/officeDocument/2006/relationships/hyperlink" Target="https%3A%2F%2Fwww.webofscience.com%2Fwos%2Fwoscc%2Ffull-record%2FWOS:000259579700020" TargetMode="External"/><Relationship Id="rId787" Type="http://schemas.openxmlformats.org/officeDocument/2006/relationships/hyperlink" Target="http://dx.doi.org/10.1023/A:1016616732627" TargetMode="External"/><Relationship Id="rId994" Type="http://schemas.openxmlformats.org/officeDocument/2006/relationships/hyperlink" Target="http://dx.doi.org/10.1134/S0965544113070165" TargetMode="External"/><Relationship Id="rId1400" Type="http://schemas.openxmlformats.org/officeDocument/2006/relationships/hyperlink" Target="https%3A%2F%2Fwww.webofscience.com%2Fwos%2Fwoscc%2Ffull-record%2FWOS:000543686000016" TargetMode="External"/><Relationship Id="rId1845" Type="http://schemas.openxmlformats.org/officeDocument/2006/relationships/hyperlink" Target="http://dx.doi.org/10.1007/s11356-018-3375-2" TargetMode="External"/><Relationship Id="rId2023" Type="http://schemas.openxmlformats.org/officeDocument/2006/relationships/hyperlink" Target="https%3A%2F%2Fwww.webofscience.com%2Fwos%2Fwoscc%2Ffull-record%2FWOS:000580337700005" TargetMode="External"/><Relationship Id="rId2230" Type="http://schemas.openxmlformats.org/officeDocument/2006/relationships/hyperlink" Target="https%3A%2F%2Fwww.webofscience.com%2Fwos%2Fwoscc%2Ffull-record%2FWOS:000416378300045" TargetMode="External"/><Relationship Id="rId2468" Type="http://schemas.openxmlformats.org/officeDocument/2006/relationships/hyperlink" Target="https%3A%2F%2Fwww.webofscience.com%2Fwos%2Fwoscc%2Ffull-record%2FWOS:000601745400001" TargetMode="External"/><Relationship Id="rId202" Type="http://schemas.openxmlformats.org/officeDocument/2006/relationships/hyperlink" Target="http://dx.doi.org/10.1007/978-3-030-22041-9_113" TargetMode="External"/><Relationship Id="rId647" Type="http://schemas.openxmlformats.org/officeDocument/2006/relationships/hyperlink" Target="https%3A%2F%2Fwww.webofscience.com%2Fwos%2Fwoscc%2Ffull-record%2FWOS:000332042400059" TargetMode="External"/><Relationship Id="rId854" Type="http://schemas.openxmlformats.org/officeDocument/2006/relationships/hyperlink" Target="http://dx.doi.org/10.3116/VoprosyIstorii201912Statyi45" TargetMode="External"/><Relationship Id="rId1277" Type="http://schemas.openxmlformats.org/officeDocument/2006/relationships/hyperlink" Target="https%3A%2F%2Fwww.webofscience.com%2Fwos%2Fwoscc%2Ffull-record%2FWOS:000748264500003" TargetMode="External"/><Relationship Id="rId1484" Type="http://schemas.openxmlformats.org/officeDocument/2006/relationships/hyperlink" Target="https%3A%2F%2Fwww.webofscience.com%2Fwos%2Fwoscc%2Ffull-record%2FWOS:000376306600001" TargetMode="External"/><Relationship Id="rId1691" Type="http://schemas.openxmlformats.org/officeDocument/2006/relationships/hyperlink" Target="http://dx.doi.org/10.1007/s10517-012-1640-9" TargetMode="External"/><Relationship Id="rId1705" Type="http://schemas.openxmlformats.org/officeDocument/2006/relationships/hyperlink" Target="http://dx.doi.org/10.3390/polym13071101" TargetMode="External"/><Relationship Id="rId1912" Type="http://schemas.openxmlformats.org/officeDocument/2006/relationships/hyperlink" Target="https%3A%2F%2Fwww.webofscience.com%2Fwos%2Fwoscc%2Ffull-record%2FWOS:000426426600260" TargetMode="External"/><Relationship Id="rId2328" Type="http://schemas.openxmlformats.org/officeDocument/2006/relationships/hyperlink" Target="https%3A%2F%2Fwww.webofscience.com%2Fwos%2Fwoscc%2Ffull-record%2FWOS:000901195000017" TargetMode="External"/><Relationship Id="rId286" Type="http://schemas.openxmlformats.org/officeDocument/2006/relationships/hyperlink" Target="http://dx.doi.org/10.24411/2500-2872-2020-10030" TargetMode="External"/><Relationship Id="rId493" Type="http://schemas.openxmlformats.org/officeDocument/2006/relationships/hyperlink" Target="https%3A%2F%2Fwww.webofscience.com%2Fwos%2Fwoscc%2Ffull-record%2FWOS:000518798300017" TargetMode="External"/><Relationship Id="rId507" Type="http://schemas.openxmlformats.org/officeDocument/2006/relationships/hyperlink" Target="http://dx.doi.org/10.17150/2500-1442.2023.17(1).22-34" TargetMode="External"/><Relationship Id="rId714" Type="http://schemas.openxmlformats.org/officeDocument/2006/relationships/hyperlink" Target="http://dx.doi.org/10.5281/zenodo.4317048" TargetMode="External"/><Relationship Id="rId921" Type="http://schemas.openxmlformats.org/officeDocument/2006/relationships/hyperlink" Target="http://dx.doi.org/10.13187/ejced.2020.2.417" TargetMode="External"/><Relationship Id="rId1137" Type="http://schemas.openxmlformats.org/officeDocument/2006/relationships/hyperlink" Target="https%3A%2F%2Fwww.webofscience.com%2Fwos%2Fwoscc%2Ffull-record%2FWOS:000464212300011" TargetMode="External"/><Relationship Id="rId1344" Type="http://schemas.openxmlformats.org/officeDocument/2006/relationships/hyperlink" Target="http://dx.doi.org/10.25750/1995-4301-2021-3-126-132" TargetMode="External"/><Relationship Id="rId1551" Type="http://schemas.openxmlformats.org/officeDocument/2006/relationships/hyperlink" Target="https%3A%2F%2Fwww.webofscience.com%2Fwos%2Fwoscc%2Ffull-record%2FWOS:000632620800053" TargetMode="External"/><Relationship Id="rId1789" Type="http://schemas.openxmlformats.org/officeDocument/2006/relationships/hyperlink" Target="http://dx.doi.org/10.17150/2308-6203.2019.8(2).438-446" TargetMode="External"/><Relationship Id="rId1996" Type="http://schemas.openxmlformats.org/officeDocument/2006/relationships/hyperlink" Target="http://dx.doi.org/10.17223/15617793/442/30" TargetMode="External"/><Relationship Id="rId2174" Type="http://schemas.openxmlformats.org/officeDocument/2006/relationships/hyperlink" Target="http://dx.doi.org/10.25750/1995-4301-2018-4-046-052" TargetMode="External"/><Relationship Id="rId2381" Type="http://schemas.openxmlformats.org/officeDocument/2006/relationships/hyperlink" Target="https%3A%2F%2Fwww.webofscience.com%2Fwos%2Fwoscc%2Ffull-record%2FWOS:000526413700004" TargetMode="External"/><Relationship Id="rId50" Type="http://schemas.openxmlformats.org/officeDocument/2006/relationships/hyperlink" Target="https%3A%2F%2Fwww.webofscience.com%2Fwos%2Fwoscc%2Ffull-record%2FWOS:000531047700012" TargetMode="External"/><Relationship Id="rId146" Type="http://schemas.openxmlformats.org/officeDocument/2006/relationships/hyperlink" Target="http://dx.doi.org/10.17853/1994-5639-2019-7-164-202" TargetMode="External"/><Relationship Id="rId353" Type="http://schemas.openxmlformats.org/officeDocument/2006/relationships/hyperlink" Target="https%3A%2F%2Fwww.webofscience.com%2Fwos%2Fwoscc%2Ffull-record%2FWOS:000708406300003" TargetMode="External"/><Relationship Id="rId560" Type="http://schemas.openxmlformats.org/officeDocument/2006/relationships/hyperlink" Target="https%3A%2F%2Fwww.webofscience.com%2Fwos%2Fwoscc%2Ffull-record%2FWOS:000679066800160" TargetMode="External"/><Relationship Id="rId798" Type="http://schemas.openxmlformats.org/officeDocument/2006/relationships/hyperlink" Target="https%3A%2F%2Fwww.webofscience.com%2Fwos%2Fwoscc%2Ffull-record%2FWOS:000734240600010" TargetMode="External"/><Relationship Id="rId1190" Type="http://schemas.openxmlformats.org/officeDocument/2006/relationships/hyperlink" Target="https%3A%2F%2Fwww.webofscience.com%2Fwos%2Fwoscc%2Ffull-record%2FWOS:000458656200002" TargetMode="External"/><Relationship Id="rId1204" Type="http://schemas.openxmlformats.org/officeDocument/2006/relationships/hyperlink" Target="https%3A%2F%2Fwww.webofscience.com%2Fwos%2Fwoscc%2Ffull-record%2FWOS:000245904600016" TargetMode="External"/><Relationship Id="rId1411" Type="http://schemas.openxmlformats.org/officeDocument/2006/relationships/hyperlink" Target="https%3A%2F%2Fwww.webofscience.com%2Fwos%2Fwoscc%2Ffull-record%2FWOS:000837478000001" TargetMode="External"/><Relationship Id="rId1649" Type="http://schemas.openxmlformats.org/officeDocument/2006/relationships/hyperlink" Target="https%3A%2F%2Fwww.webofscience.com%2Fwos%2Fwoscc%2Ffull-record%2FWOS:000230552700012" TargetMode="External"/><Relationship Id="rId1856" Type="http://schemas.openxmlformats.org/officeDocument/2006/relationships/hyperlink" Target="http://dx.doi.org/10.25750/1995-4301-2022-1-182-190" TargetMode="External"/><Relationship Id="rId2034" Type="http://schemas.openxmlformats.org/officeDocument/2006/relationships/hyperlink" Target="http://dx.doi.org/10.12973/eurasia.2017.00719a" TargetMode="External"/><Relationship Id="rId2241" Type="http://schemas.openxmlformats.org/officeDocument/2006/relationships/hyperlink" Target="http://dx.doi.org/10.1016/j.carbpol.2016.09.048" TargetMode="External"/><Relationship Id="rId2479" Type="http://schemas.openxmlformats.org/officeDocument/2006/relationships/hyperlink" Target="https%3A%2F%2Fwww.webofscience.com%2Fwos%2Fwoscc%2Ffull-record%2FWOS:000529065200009" TargetMode="External"/><Relationship Id="rId213" Type="http://schemas.openxmlformats.org/officeDocument/2006/relationships/hyperlink" Target="http://dx.doi.org/10.1134/S1070427211120263" TargetMode="External"/><Relationship Id="rId420" Type="http://schemas.openxmlformats.org/officeDocument/2006/relationships/hyperlink" Target="https%3A%2F%2Fwww.webofscience.com%2Fwos%2Fwoscc%2Ffull-record%2FWOS:000383090900124" TargetMode="External"/><Relationship Id="rId658" Type="http://schemas.openxmlformats.org/officeDocument/2006/relationships/hyperlink" Target="https%3A%2F%2Fwww.webofscience.com%2Fwos%2Fwoscc%2Ffull-record%2FWOS:000917953100003" TargetMode="External"/><Relationship Id="rId865" Type="http://schemas.openxmlformats.org/officeDocument/2006/relationships/hyperlink" Target="https%3A%2F%2Fwww.webofscience.com%2Fwos%2Fwoscc%2Ffull-record%2FWOS:000472144400060" TargetMode="External"/><Relationship Id="rId1050" Type="http://schemas.openxmlformats.org/officeDocument/2006/relationships/hyperlink" Target="https%3A%2F%2Fwww.webofscience.com%2Fwos%2Fwoscc%2Ffull-record%2FWOS:000311018500012" TargetMode="External"/><Relationship Id="rId1288" Type="http://schemas.openxmlformats.org/officeDocument/2006/relationships/hyperlink" Target="http://dx.doi.org/10.24874/IJQR16.03-15" TargetMode="External"/><Relationship Id="rId1495" Type="http://schemas.openxmlformats.org/officeDocument/2006/relationships/hyperlink" Target="http://dx.doi.org/10.1007/978-3-030-22063-1_37" TargetMode="External"/><Relationship Id="rId1509" Type="http://schemas.openxmlformats.org/officeDocument/2006/relationships/hyperlink" Target="http://dx.doi.org/10.18720/MPM.4262019_14" TargetMode="External"/><Relationship Id="rId1716" Type="http://schemas.openxmlformats.org/officeDocument/2006/relationships/hyperlink" Target="https%3A%2F%2Fwww.webofscience.com%2Fwos%2Fwoscc%2Ffull-record%2FWOS:000545469200019" TargetMode="External"/><Relationship Id="rId1923" Type="http://schemas.openxmlformats.org/officeDocument/2006/relationships/hyperlink" Target="http://dx.doi.org/10.1007/978-3-319-72613-7_11" TargetMode="External"/><Relationship Id="rId2101" Type="http://schemas.openxmlformats.org/officeDocument/2006/relationships/hyperlink" Target="http://dx.doi.org/10.1109/ElConRus51938.2021.9396694" TargetMode="External"/><Relationship Id="rId2339" Type="http://schemas.openxmlformats.org/officeDocument/2006/relationships/hyperlink" Target="http://dx.doi.org/10.25750/1995-4301-2020-1-130-135" TargetMode="External"/><Relationship Id="rId297" Type="http://schemas.openxmlformats.org/officeDocument/2006/relationships/hyperlink" Target="http://dx.doi.org/10.22631/ijaep.v7i2.268" TargetMode="External"/><Relationship Id="rId518" Type="http://schemas.openxmlformats.org/officeDocument/2006/relationships/hyperlink" Target="http://dx.doi.org/10.1590/1806-9282.65.2.211" TargetMode="External"/><Relationship Id="rId725" Type="http://schemas.openxmlformats.org/officeDocument/2006/relationships/hyperlink" Target="https%3A%2F%2Fwww.webofscience.com%2Fwos%2Fwoscc%2Ffull-record%2FWOS:000438412200053" TargetMode="External"/><Relationship Id="rId932" Type="http://schemas.openxmlformats.org/officeDocument/2006/relationships/hyperlink" Target="https%3A%2F%2Fwww.webofscience.com%2Fwos%2Fwoscc%2Ffull-record%2FWOS:000607240300036" TargetMode="External"/><Relationship Id="rId1148" Type="http://schemas.openxmlformats.org/officeDocument/2006/relationships/hyperlink" Target="https%3A%2F%2Fwww.webofscience.com%2Fwos%2Fwoscc%2Ffull-record%2FWOS:000391848300004" TargetMode="External"/><Relationship Id="rId1355" Type="http://schemas.openxmlformats.org/officeDocument/2006/relationships/hyperlink" Target="https%3A%2F%2Fwww.webofscience.com%2Fwos%2Fwoscc%2Ffull-record%2FWOS:000515721900080" TargetMode="External"/><Relationship Id="rId1562" Type="http://schemas.openxmlformats.org/officeDocument/2006/relationships/hyperlink" Target="http://dx.doi.org/10.25750/1995-4301-2019-2-131-136" TargetMode="External"/><Relationship Id="rId2185" Type="http://schemas.openxmlformats.org/officeDocument/2006/relationships/hyperlink" Target="http://dx.doi.org/10.1051/e3sconf/201911001077" TargetMode="External"/><Relationship Id="rId2392" Type="http://schemas.openxmlformats.org/officeDocument/2006/relationships/hyperlink" Target="http://dx.doi.org/10.1007/978-3-030-24289-3_20" TargetMode="External"/><Relationship Id="rId2406" Type="http://schemas.openxmlformats.org/officeDocument/2006/relationships/hyperlink" Target="https%3A%2F%2Fwww.webofscience.com%2Fwos%2Fwoscc%2Ffull-record%2FWOS:000477826000014" TargetMode="External"/><Relationship Id="rId157" Type="http://schemas.openxmlformats.org/officeDocument/2006/relationships/hyperlink" Target="https%3A%2F%2Fwww.webofscience.com%2Fwos%2Fwoscc%2Ffull-record%2FWOS:000431622000089" TargetMode="External"/><Relationship Id="rId364" Type="http://schemas.openxmlformats.org/officeDocument/2006/relationships/hyperlink" Target="https%3A%2F%2Fwww.webofscience.com%2Fwos%2Fwoscc%2Ffull-record%2FWOS:000469999300035" TargetMode="External"/><Relationship Id="rId1008" Type="http://schemas.openxmlformats.org/officeDocument/2006/relationships/hyperlink" Target="https%3A%2F%2Fwww.webofscience.com%2Fwos%2Fwoscc%2Ffull-record%2FWOS:000177879100015" TargetMode="External"/><Relationship Id="rId1215" Type="http://schemas.openxmlformats.org/officeDocument/2006/relationships/hyperlink" Target="http://dx.doi.org/10.1023/B:ABIM.0000025950.07659.92" TargetMode="External"/><Relationship Id="rId1422" Type="http://schemas.openxmlformats.org/officeDocument/2006/relationships/hyperlink" Target="https%3A%2F%2Fwww.webofscience.com%2Fwos%2Fwoscc%2Ffull-record%2FWOS:000089046200011" TargetMode="External"/><Relationship Id="rId1867" Type="http://schemas.openxmlformats.org/officeDocument/2006/relationships/hyperlink" Target="https%3A%2F%2Fwww.webofscience.com%2Fwos%2Fwoscc%2Ffull-record%2FWOS:000659867301033" TargetMode="External"/><Relationship Id="rId2045" Type="http://schemas.openxmlformats.org/officeDocument/2006/relationships/hyperlink" Target="https%3A%2F%2Fwww.webofscience.com%2Fwos%2Fwoscc%2Ffull-record%2FWOS:000755154100031" TargetMode="External"/><Relationship Id="rId61" Type="http://schemas.openxmlformats.org/officeDocument/2006/relationships/hyperlink" Target="https%3A%2F%2Fwww.webofscience.com%2Fwos%2Fwoscc%2Ffull-record%2FWOS:000447673400018" TargetMode="External"/><Relationship Id="rId571" Type="http://schemas.openxmlformats.org/officeDocument/2006/relationships/hyperlink" Target="http://dx.doi.org/10.1088/1742-6596/1058/1/012028" TargetMode="External"/><Relationship Id="rId669" Type="http://schemas.openxmlformats.org/officeDocument/2006/relationships/hyperlink" Target="https%3A%2F%2Fwww.webofscience.com%2Fwos%2Fwoscc%2Ffull-record%2FWOS:000496818300132" TargetMode="External"/><Relationship Id="rId876" Type="http://schemas.openxmlformats.org/officeDocument/2006/relationships/hyperlink" Target="http://dx.doi.org/10.1007/s11041-022-00720-1" TargetMode="External"/><Relationship Id="rId1299" Type="http://schemas.openxmlformats.org/officeDocument/2006/relationships/hyperlink" Target="http://dx.doi.org/10.3897/ap.2.e0661" TargetMode="External"/><Relationship Id="rId1727" Type="http://schemas.openxmlformats.org/officeDocument/2006/relationships/hyperlink" Target="https%3A%2F%2Fwww.webofscience.com%2Fwos%2Fwoscc%2Ffull-record%2FWOS:000771919100043" TargetMode="External"/><Relationship Id="rId1934" Type="http://schemas.openxmlformats.org/officeDocument/2006/relationships/hyperlink" Target="https%3A%2F%2Fwww.webofscience.com%2Fwos%2Fwoscc%2Ffull-record%2FWOS:000792653100004" TargetMode="External"/><Relationship Id="rId2252" Type="http://schemas.openxmlformats.org/officeDocument/2006/relationships/hyperlink" Target="http://dx.doi.org/10.1134/S1995425515010138" TargetMode="External"/><Relationship Id="rId19" Type="http://schemas.openxmlformats.org/officeDocument/2006/relationships/hyperlink" Target="https%3A%2F%2Fwww.webofscience.com%2Fwos%2Fwoscc%2Ffull-record%2FWOS:000462498700013" TargetMode="External"/><Relationship Id="rId224" Type="http://schemas.openxmlformats.org/officeDocument/2006/relationships/hyperlink" Target="http://dx.doi.org/10.1134/S0036024406030241" TargetMode="External"/><Relationship Id="rId431" Type="http://schemas.openxmlformats.org/officeDocument/2006/relationships/hyperlink" Target="http://dx.doi.org/10.17072/2219-3111-2022-1-163-171" TargetMode="External"/><Relationship Id="rId529" Type="http://schemas.openxmlformats.org/officeDocument/2006/relationships/hyperlink" Target="https%3A%2F%2Fwww.webofscience.com%2Fwos%2Fwoscc%2Ffull-record%2FWOS:000375522500012" TargetMode="External"/><Relationship Id="rId736" Type="http://schemas.openxmlformats.org/officeDocument/2006/relationships/hyperlink" Target="https%3A%2F%2Fwww.webofscience.com%2Fwos%2Fwoscc%2Ffull-record%2FWOS:000414282400354" TargetMode="External"/><Relationship Id="rId1061" Type="http://schemas.openxmlformats.org/officeDocument/2006/relationships/hyperlink" Target="https%3A%2F%2Fwww.webofscience.com%2Fwos%2Fwoscc%2Ffull-record%2FWOS:000695383200016" TargetMode="External"/><Relationship Id="rId1159" Type="http://schemas.openxmlformats.org/officeDocument/2006/relationships/hyperlink" Target="https%3A%2F%2Fwww.webofscience.com%2Fwos%2Fwoscc%2Ffull-record%2FWOS:000075783700017" TargetMode="External"/><Relationship Id="rId1366" Type="http://schemas.openxmlformats.org/officeDocument/2006/relationships/hyperlink" Target="http://dx.doi.org/10.18083/LCAppl.2019.2.85" TargetMode="External"/><Relationship Id="rId2112" Type="http://schemas.openxmlformats.org/officeDocument/2006/relationships/hyperlink" Target="https%3A%2F%2Fwww.webofscience.com%2Fwos%2Fwoscc%2Ffull-record%2FWOS:000423425700008" TargetMode="External"/><Relationship Id="rId2196" Type="http://schemas.openxmlformats.org/officeDocument/2006/relationships/hyperlink" Target="https%3A%2F%2Fwww.webofscience.com%2Fwos%2Fwoscc%2Ffull-record%2FWOS:000468565300008" TargetMode="External"/><Relationship Id="rId2417" Type="http://schemas.openxmlformats.org/officeDocument/2006/relationships/hyperlink" Target="http://dx.doi.org/10.17223/15617793/441/31" TargetMode="External"/><Relationship Id="rId168" Type="http://schemas.openxmlformats.org/officeDocument/2006/relationships/hyperlink" Target="https%3A%2F%2Fwww.webofscience.com%2Fwos%2Fwoscc%2Ffull-record%2FWOS:000411856100067" TargetMode="External"/><Relationship Id="rId943" Type="http://schemas.openxmlformats.org/officeDocument/2006/relationships/hyperlink" Target="https%3A%2F%2Fwww.webofscience.com%2Fwos%2Fwoscc%2Ffull-record%2FWOS:000414282400146" TargetMode="External"/><Relationship Id="rId1019" Type="http://schemas.openxmlformats.org/officeDocument/2006/relationships/hyperlink" Target="https%3A%2F%2Fwww.webofscience.com%2Fwos%2Fwoscc%2Ffull-record%2FWOS:000734088800007" TargetMode="External"/><Relationship Id="rId1573" Type="http://schemas.openxmlformats.org/officeDocument/2006/relationships/hyperlink" Target="http://dx.doi.org/10.1007/s11175-005-0102-3" TargetMode="External"/><Relationship Id="rId1780" Type="http://schemas.openxmlformats.org/officeDocument/2006/relationships/hyperlink" Target="https%3A%2F%2Fwww.webofscience.com%2Fwos%2Fwoscc%2Ffull-record%2FWOS:000749651400001" TargetMode="External"/><Relationship Id="rId1878" Type="http://schemas.openxmlformats.org/officeDocument/2006/relationships/hyperlink" Target="http://dx.doi.org/10.25750/1995-4301-2021-3-111-117" TargetMode="External"/><Relationship Id="rId72" Type="http://schemas.openxmlformats.org/officeDocument/2006/relationships/hyperlink" Target="https%3A%2F%2Fwww.webofscience.com%2Fwos%2Fwoscc%2Ffull-record%2FWOS:000184763100039" TargetMode="External"/><Relationship Id="rId375" Type="http://schemas.openxmlformats.org/officeDocument/2006/relationships/hyperlink" Target="http://dx.doi.org/10.1051/matecconf/201710608012" TargetMode="External"/><Relationship Id="rId582" Type="http://schemas.openxmlformats.org/officeDocument/2006/relationships/hyperlink" Target="https%3A%2F%2Fwww.webofscience.com%2Fwos%2Fwoscc%2Ffull-record%2FWOS:000672554500002" TargetMode="External"/><Relationship Id="rId803" Type="http://schemas.openxmlformats.org/officeDocument/2006/relationships/hyperlink" Target="http://dx.doi.org/10.24874/IJQR14.01-16" TargetMode="External"/><Relationship Id="rId1226" Type="http://schemas.openxmlformats.org/officeDocument/2006/relationships/hyperlink" Target="https%3A%2F%2Fwww.webofscience.com%2Fwos%2Fwoscc%2Ffull-record%2FWOS:000573617200005" TargetMode="External"/><Relationship Id="rId1433" Type="http://schemas.openxmlformats.org/officeDocument/2006/relationships/hyperlink" Target="http://dx.doi.org/10.12973/eurasia.2017.00764a" TargetMode="External"/><Relationship Id="rId1640" Type="http://schemas.openxmlformats.org/officeDocument/2006/relationships/hyperlink" Target="http://dx.doi.org/10.17770/sie2020vol1.5079" TargetMode="External"/><Relationship Id="rId1738" Type="http://schemas.openxmlformats.org/officeDocument/2006/relationships/hyperlink" Target="http://dx.doi.org/10.1111/tan.14968" TargetMode="External"/><Relationship Id="rId2056" Type="http://schemas.openxmlformats.org/officeDocument/2006/relationships/hyperlink" Target="http://dx.doi.org/10.12973/eurasia.2017.00743a" TargetMode="External"/><Relationship Id="rId2263" Type="http://schemas.openxmlformats.org/officeDocument/2006/relationships/hyperlink" Target="https%3A%2F%2Fwww.webofscience.com%2Fwos%2Fwoscc%2Ffull-record%2FWOS:000468564900012" TargetMode="External"/><Relationship Id="rId2470" Type="http://schemas.openxmlformats.org/officeDocument/2006/relationships/hyperlink" Target="https%3A%2F%2Fwww.webofscience.com%2Fwos%2Fwoscc%2Ffull-record%2FWOS:000992191400015" TargetMode="External"/><Relationship Id="rId3" Type="http://schemas.openxmlformats.org/officeDocument/2006/relationships/hyperlink" Target="https%3A%2F%2Fwww.webofscience.com%2Fwos%2Fwoscc%2Ffull-record%2FWOS:000782587900010" TargetMode="External"/><Relationship Id="rId235" Type="http://schemas.openxmlformats.org/officeDocument/2006/relationships/hyperlink" Target="https%3A%2F%2Fwww.webofscience.com%2Fwos%2Fwoscc%2Ffull-record%2FWOS:000517795800079" TargetMode="External"/><Relationship Id="rId442" Type="http://schemas.openxmlformats.org/officeDocument/2006/relationships/hyperlink" Target="http://dx.doi.org/10.31901/24566322.2019/26.1-3.1083" TargetMode="External"/><Relationship Id="rId887" Type="http://schemas.openxmlformats.org/officeDocument/2006/relationships/hyperlink" Target="https%3A%2F%2Fwww.webofscience.com%2Fwos%2Fwoscc%2Ffull-record%2FWOS:000771919100045" TargetMode="External"/><Relationship Id="rId1072" Type="http://schemas.openxmlformats.org/officeDocument/2006/relationships/hyperlink" Target="http://dx.doi.org/10.5281/zenodo.2650407" TargetMode="External"/><Relationship Id="rId1500" Type="http://schemas.openxmlformats.org/officeDocument/2006/relationships/hyperlink" Target="https%3A%2F%2Fwww.webofscience.com%2Fwos%2Fwoscc%2Ffull-record%2FWOS:000472144400002" TargetMode="External"/><Relationship Id="rId1945" Type="http://schemas.openxmlformats.org/officeDocument/2006/relationships/hyperlink" Target="http://dx.doi.org/10.25750/1995-4301-2022-3-082-089" TargetMode="External"/><Relationship Id="rId2123" Type="http://schemas.openxmlformats.org/officeDocument/2006/relationships/hyperlink" Target="https%3A%2F%2Fwww.webofscience.com%2Fwos%2Fwoscc%2Ffull-record%2FWOS:000349557200073" TargetMode="External"/><Relationship Id="rId2330" Type="http://schemas.openxmlformats.org/officeDocument/2006/relationships/hyperlink" Target="https%3A%2F%2Fwww.webofscience.com%2Fwos%2Fwoscc%2Ffull-record%2FWOS:000687825100023" TargetMode="External"/><Relationship Id="rId302" Type="http://schemas.openxmlformats.org/officeDocument/2006/relationships/hyperlink" Target="https%3A%2F%2Fwww.webofscience.com%2Fwos%2Fwoscc%2Ffull-record%2FWOS:000387159800034" TargetMode="External"/><Relationship Id="rId747" Type="http://schemas.openxmlformats.org/officeDocument/2006/relationships/hyperlink" Target="http://dx.doi.org/10.1007/978-3-030-93244-2_83" TargetMode="External"/><Relationship Id="rId954" Type="http://schemas.openxmlformats.org/officeDocument/2006/relationships/hyperlink" Target="http://dx.doi.org/10.47836/pjst.31.3.17" TargetMode="External"/><Relationship Id="rId1377" Type="http://schemas.openxmlformats.org/officeDocument/2006/relationships/hyperlink" Target="https%3A%2F%2Fwww.webofscience.com%2Fwos%2Fwoscc%2Ffull-record%2FWOS:000230551900008" TargetMode="External"/><Relationship Id="rId1584" Type="http://schemas.openxmlformats.org/officeDocument/2006/relationships/hyperlink" Target="https%3A%2F%2Fwww.webofscience.com%2Fwos%2Fwoscc%2Ffull-record%2FWOS:000654299500014" TargetMode="External"/><Relationship Id="rId1791" Type="http://schemas.openxmlformats.org/officeDocument/2006/relationships/hyperlink" Target="http://dx.doi.org/10.1111/tan.14965" TargetMode="External"/><Relationship Id="rId1805" Type="http://schemas.openxmlformats.org/officeDocument/2006/relationships/hyperlink" Target="http://dx.doi.org/10.13187/ejced.2020.3.603" TargetMode="External"/><Relationship Id="rId2428" Type="http://schemas.openxmlformats.org/officeDocument/2006/relationships/hyperlink" Target="https%3A%2F%2Fwww.webofscience.com%2Fwos%2Fwoscc%2Ffull-record%2FWOS:000549475600007" TargetMode="External"/><Relationship Id="rId83" Type="http://schemas.openxmlformats.org/officeDocument/2006/relationships/hyperlink" Target="https%3A%2F%2Fwww.webofscience.com%2Fwos%2Fwoscc%2Ffull-record%2FWOS:000750127200002" TargetMode="External"/><Relationship Id="rId179" Type="http://schemas.openxmlformats.org/officeDocument/2006/relationships/hyperlink" Target="http://dx.doi.org/10.1134/S002626170603012X" TargetMode="External"/><Relationship Id="rId386" Type="http://schemas.openxmlformats.org/officeDocument/2006/relationships/hyperlink" Target="http://dx.doi.org/10.1134/S1070427208020080" TargetMode="External"/><Relationship Id="rId593" Type="http://schemas.openxmlformats.org/officeDocument/2006/relationships/hyperlink" Target="http://dx.doi.org/10.15826/izv2.2018.20.2.022" TargetMode="External"/><Relationship Id="rId607" Type="http://schemas.openxmlformats.org/officeDocument/2006/relationships/hyperlink" Target="http://dx.doi.org/10.1134/S1023193507060043" TargetMode="External"/><Relationship Id="rId814" Type="http://schemas.openxmlformats.org/officeDocument/2006/relationships/hyperlink" Target="https%3A%2F%2Fwww.webofscience.com%2Fwos%2Fwoscc%2Ffull-record%2FWOS:000461120400003" TargetMode="External"/><Relationship Id="rId1237" Type="http://schemas.openxmlformats.org/officeDocument/2006/relationships/hyperlink" Target="https%3A%2F%2Fwww.webofscience.com%2Fwos%2Fwoscc%2Ffull-record%2FWOS:000400700700060" TargetMode="External"/><Relationship Id="rId1444" Type="http://schemas.openxmlformats.org/officeDocument/2006/relationships/hyperlink" Target="http://dx.doi.org/10.1007/s11029-016-9608-x" TargetMode="External"/><Relationship Id="rId1651" Type="http://schemas.openxmlformats.org/officeDocument/2006/relationships/hyperlink" Target="https%3A%2F%2Fwww.webofscience.com%2Fwos%2Fwoscc%2Ffull-record%2FWOS:000956066600001" TargetMode="External"/><Relationship Id="rId1889" Type="http://schemas.openxmlformats.org/officeDocument/2006/relationships/hyperlink" Target="http://dx.doi.org/10.1134/S0021894416040179" TargetMode="External"/><Relationship Id="rId2067" Type="http://schemas.openxmlformats.org/officeDocument/2006/relationships/hyperlink" Target="https%3A%2F%2Fwww.webofscience.com%2Fwos%2Fwoscc%2Ffull-record%2FWOS:000571812800004" TargetMode="External"/><Relationship Id="rId2274" Type="http://schemas.openxmlformats.org/officeDocument/2006/relationships/hyperlink" Target="http://dx.doi.org/10.25750/1995-4301-2020-3-119-125" TargetMode="External"/><Relationship Id="rId2481" Type="http://schemas.openxmlformats.org/officeDocument/2006/relationships/hyperlink" Target="https%3A%2F%2Fwww.webofscience.com%2Fwos%2Fwoscc%2Ffull-record%2FWOS:000487529300011" TargetMode="External"/><Relationship Id="rId246" Type="http://schemas.openxmlformats.org/officeDocument/2006/relationships/hyperlink" Target="http://dx.doi.org/10.1007/978-3-319-33625-1_19" TargetMode="External"/><Relationship Id="rId453" Type="http://schemas.openxmlformats.org/officeDocument/2006/relationships/hyperlink" Target="https%3A%2F%2Fwww.webofscience.com%2Fwos%2Fwoscc%2Ffull-record%2FWOS:000478963800197" TargetMode="External"/><Relationship Id="rId660" Type="http://schemas.openxmlformats.org/officeDocument/2006/relationships/hyperlink" Target="https%3A%2F%2Fwww.webofscience.com%2Fwos%2Fwoscc%2Ffull-record%2FWOS:000929704700030" TargetMode="External"/><Relationship Id="rId898" Type="http://schemas.openxmlformats.org/officeDocument/2006/relationships/hyperlink" Target="https%3A%2F%2Fwww.webofscience.com%2Fwos%2Fwoscc%2Ffull-record%2FWOS:000520005200027" TargetMode="External"/><Relationship Id="rId1083" Type="http://schemas.openxmlformats.org/officeDocument/2006/relationships/hyperlink" Target="http://dx.doi.org/10.17223/19986645/54/1" TargetMode="External"/><Relationship Id="rId1290" Type="http://schemas.openxmlformats.org/officeDocument/2006/relationships/hyperlink" Target="http://dx.doi.org/10.25750/1995-4301-2021-4-050-057" TargetMode="External"/><Relationship Id="rId1304" Type="http://schemas.openxmlformats.org/officeDocument/2006/relationships/hyperlink" Target="https%3A%2F%2Fwww.webofscience.com%2Fwos%2Fwoscc%2Ffull-record%2FWOS:000520005200005" TargetMode="External"/><Relationship Id="rId1511" Type="http://schemas.openxmlformats.org/officeDocument/2006/relationships/hyperlink" Target="http://dx.doi.org/10.1016/j.matpr.2019.07.680" TargetMode="External"/><Relationship Id="rId1749" Type="http://schemas.openxmlformats.org/officeDocument/2006/relationships/hyperlink" Target="https%3A%2F%2Fwww.webofscience.com%2Fwos%2Fwoscc%2Ffull-record%2FWOS:000462498700014" TargetMode="External"/><Relationship Id="rId1956" Type="http://schemas.openxmlformats.org/officeDocument/2006/relationships/hyperlink" Target="https%3A%2F%2Fwww.webofscience.com%2Fwos%2Fwoscc%2Ffull-record%2FWOS:000426114200062" TargetMode="External"/><Relationship Id="rId2134" Type="http://schemas.openxmlformats.org/officeDocument/2006/relationships/hyperlink" Target="https%3A%2F%2Fwww.webofscience.com%2Fwos%2Fwoscc%2Ffull-record%2FWOS:000391090000006" TargetMode="External"/><Relationship Id="rId2341" Type="http://schemas.openxmlformats.org/officeDocument/2006/relationships/hyperlink" Target="http://dx.doi.org/10.1163/15685403-00003976" TargetMode="External"/><Relationship Id="rId106" Type="http://schemas.openxmlformats.org/officeDocument/2006/relationships/hyperlink" Target="http://dx.doi.org/10.15826/qr.2022.5.755" TargetMode="External"/><Relationship Id="rId313" Type="http://schemas.openxmlformats.org/officeDocument/2006/relationships/hyperlink" Target="http://dx.doi.org/10.15507/2658-4123.031.202103.349-363" TargetMode="External"/><Relationship Id="rId758" Type="http://schemas.openxmlformats.org/officeDocument/2006/relationships/hyperlink" Target="https%3A%2F%2Fwww.webofscience.com%2Fwos%2Fwoscc%2Ffull-record%2FWOS:000576664500002" TargetMode="External"/><Relationship Id="rId965" Type="http://schemas.openxmlformats.org/officeDocument/2006/relationships/hyperlink" Target="https%3A%2F%2Fwww.webofscience.com%2Fwos%2Fwoscc%2Ffull-record%2FWOS:000819811100007" TargetMode="External"/><Relationship Id="rId1150" Type="http://schemas.openxmlformats.org/officeDocument/2006/relationships/hyperlink" Target="https%3A%2F%2Fwww.webofscience.com%2Fwos%2Fwoscc%2Ffull-record%2FWOS:000370279700010" TargetMode="External"/><Relationship Id="rId1388" Type="http://schemas.openxmlformats.org/officeDocument/2006/relationships/hyperlink" Target="http://dx.doi.org/10.1134/S0036024406110288" TargetMode="External"/><Relationship Id="rId1595" Type="http://schemas.openxmlformats.org/officeDocument/2006/relationships/hyperlink" Target="https%3A%2F%2Fwww.webofscience.com%2Fwos%2Fwoscc%2Ffull-record%2FWOS:000955626700001" TargetMode="External"/><Relationship Id="rId1609" Type="http://schemas.openxmlformats.org/officeDocument/2006/relationships/hyperlink" Target="http://dx.doi.org/10.1051/matecconf/201710608082" TargetMode="External"/><Relationship Id="rId1816" Type="http://schemas.openxmlformats.org/officeDocument/2006/relationships/hyperlink" Target="https%3A%2F%2Fwww.webofscience.com%2Fwos%2Fwoscc%2Ffull-record%2FWOS:000777103700001" TargetMode="External"/><Relationship Id="rId2439" Type="http://schemas.openxmlformats.org/officeDocument/2006/relationships/hyperlink" Target="http://dx.doi.org/10.1016/j.mrfmmm.2015.09.004" TargetMode="External"/><Relationship Id="rId10" Type="http://schemas.openxmlformats.org/officeDocument/2006/relationships/hyperlink" Target="http://dx.doi.org/10.12911/22998993/139066" TargetMode="External"/><Relationship Id="rId94" Type="http://schemas.openxmlformats.org/officeDocument/2006/relationships/hyperlink" Target="https%3A%2F%2Fwww.webofscience.com%2Fwos%2Fwoscc%2Ffull-record%2FWOS:000487290800006" TargetMode="External"/><Relationship Id="rId397" Type="http://schemas.openxmlformats.org/officeDocument/2006/relationships/hyperlink" Target="https%3A%2F%2Fwww.webofscience.com%2Fwos%2Fwoscc%2Ffull-record%2FWOS:000637851800014" TargetMode="External"/><Relationship Id="rId520" Type="http://schemas.openxmlformats.org/officeDocument/2006/relationships/hyperlink" Target="https%3A%2F%2Fwww.webofscience.com%2Fwos%2Fwoscc%2Ffull-record%2FWOS:000467893700017" TargetMode="External"/><Relationship Id="rId618" Type="http://schemas.openxmlformats.org/officeDocument/2006/relationships/hyperlink" Target="http://dx.doi.org/10.1088/1757-899X/962/2/022041" TargetMode="External"/><Relationship Id="rId825" Type="http://schemas.openxmlformats.org/officeDocument/2006/relationships/hyperlink" Target="http://dx.doi.org/10.1016/j.proeng.2017.10.692" TargetMode="External"/><Relationship Id="rId1248" Type="http://schemas.openxmlformats.org/officeDocument/2006/relationships/hyperlink" Target="http://dx.doi.org/10.1134/S1070427221120053" TargetMode="External"/><Relationship Id="rId1455" Type="http://schemas.openxmlformats.org/officeDocument/2006/relationships/hyperlink" Target="https%3A%2F%2Fwww.webofscience.com%2Fwos%2Fwoscc%2Ffull-record%2FWOS:000504049400005" TargetMode="External"/><Relationship Id="rId1662" Type="http://schemas.openxmlformats.org/officeDocument/2006/relationships/hyperlink" Target="http://dx.doi.org/10.54905/disssi/v27i134/e191ms2989" TargetMode="External"/><Relationship Id="rId2078" Type="http://schemas.openxmlformats.org/officeDocument/2006/relationships/hyperlink" Target="http://dx.doi.org/10.15211/soveurope5201898109" TargetMode="External"/><Relationship Id="rId2201" Type="http://schemas.openxmlformats.org/officeDocument/2006/relationships/hyperlink" Target="http://dx.doi.org/10.1134/S1064229317110114" TargetMode="External"/><Relationship Id="rId2285" Type="http://schemas.openxmlformats.org/officeDocument/2006/relationships/hyperlink" Target="https%3A%2F%2Fwww.webofscience.com%2Fwos%2Fwoscc%2Ffull-record%2FWOS:000460563800016" TargetMode="External"/><Relationship Id="rId2492" Type="http://schemas.openxmlformats.org/officeDocument/2006/relationships/hyperlink" Target="https%3A%2F%2Fwww.webofscience.com%2Fwos%2Fwoscc%2Ffull-record%2FWOS:000894019500001" TargetMode="External"/><Relationship Id="rId2506" Type="http://schemas.openxmlformats.org/officeDocument/2006/relationships/hyperlink" Target="http://dx.doi.org/10.1149/1945-7111/ab9a2a" TargetMode="External"/><Relationship Id="rId257" Type="http://schemas.openxmlformats.org/officeDocument/2006/relationships/hyperlink" Target="http://dx.doi.org/10.3103/S0147688219020096" TargetMode="External"/><Relationship Id="rId464" Type="http://schemas.openxmlformats.org/officeDocument/2006/relationships/hyperlink" Target="https%3A%2F%2Fwww.webofscience.com%2Fwos%2Fwoscc%2Ffull-record%2FWOS:000251119000010" TargetMode="External"/><Relationship Id="rId1010" Type="http://schemas.openxmlformats.org/officeDocument/2006/relationships/hyperlink" Target="http://dx.doi.org/10.1007/978-3-030-93244-2_46" TargetMode="External"/><Relationship Id="rId1094" Type="http://schemas.openxmlformats.org/officeDocument/2006/relationships/hyperlink" Target="https%3A%2F%2Fwww.webofscience.com%2Fwos%2Fwoscc%2Ffull-record%2FWOS:000322156700011" TargetMode="External"/><Relationship Id="rId1108" Type="http://schemas.openxmlformats.org/officeDocument/2006/relationships/hyperlink" Target="https%3A%2F%2Fwww.webofscience.com%2Fwos%2Fwoscc%2Ffull-record%2FWOS:000874742700001" TargetMode="External"/><Relationship Id="rId1315" Type="http://schemas.openxmlformats.org/officeDocument/2006/relationships/hyperlink" Target="https%3A%2F%2Fwww.webofscience.com%2Fwos%2Fwoscc%2Ffull-record%2FWOS:000799779000042" TargetMode="External"/><Relationship Id="rId1967" Type="http://schemas.openxmlformats.org/officeDocument/2006/relationships/hyperlink" Target="http://dx.doi.org/10.1016/j.heliyon.2019.e01202" TargetMode="External"/><Relationship Id="rId2145" Type="http://schemas.openxmlformats.org/officeDocument/2006/relationships/hyperlink" Target="http://dx.doi.org/10.25750/1995-4301-2021-3-044-051" TargetMode="External"/><Relationship Id="rId117" Type="http://schemas.openxmlformats.org/officeDocument/2006/relationships/hyperlink" Target="https%3A%2F%2Fwww.webofscience.com%2Fwos%2Fwoscc%2Ffull-record%2FWOS:000511334100008" TargetMode="External"/><Relationship Id="rId671" Type="http://schemas.openxmlformats.org/officeDocument/2006/relationships/hyperlink" Target="http://dx.doi.org/10.3897/ap.1.e0545" TargetMode="External"/><Relationship Id="rId769" Type="http://schemas.openxmlformats.org/officeDocument/2006/relationships/hyperlink" Target="http://dx.doi.org/10.1088/1742-6596/944/1/012045" TargetMode="External"/><Relationship Id="rId976" Type="http://schemas.openxmlformats.org/officeDocument/2006/relationships/hyperlink" Target="https%3A%2F%2Fwww.webofscience.com%2Fwos%2Fwoscc%2Ffull-record%2FWOS:000478963800091" TargetMode="External"/><Relationship Id="rId1399" Type="http://schemas.openxmlformats.org/officeDocument/2006/relationships/hyperlink" Target="http://dx.doi.org/10.1051/shsconf/20196900017" TargetMode="External"/><Relationship Id="rId2352" Type="http://schemas.openxmlformats.org/officeDocument/2006/relationships/hyperlink" Target="https%3A%2F%2Fwww.webofscience.com%2Fwos%2Fwoscc%2Ffull-record%2FWOS:000403401900016" TargetMode="External"/><Relationship Id="rId324" Type="http://schemas.openxmlformats.org/officeDocument/2006/relationships/hyperlink" Target="https%3A%2F%2Fwww.webofscience.com%2Fwos%2Fwoscc%2Ffull-record%2FWOS:000451260400026" TargetMode="External"/><Relationship Id="rId531" Type="http://schemas.openxmlformats.org/officeDocument/2006/relationships/hyperlink" Target="https%3A%2F%2Fwww.webofscience.com%2Fwos%2Fwoscc%2Ffull-record%2FWOS:000333745900001" TargetMode="External"/><Relationship Id="rId629" Type="http://schemas.openxmlformats.org/officeDocument/2006/relationships/hyperlink" Target="http://dx.doi.org/10.1134/S0036029518080177" TargetMode="External"/><Relationship Id="rId1161" Type="http://schemas.openxmlformats.org/officeDocument/2006/relationships/hyperlink" Target="https%3A%2F%2Fwww.webofscience.com%2Fwos%2Fwoscc%2Ffull-record%2FWOS:000783749900001" TargetMode="External"/><Relationship Id="rId1259" Type="http://schemas.openxmlformats.org/officeDocument/2006/relationships/hyperlink" Target="http://dx.doi.org/10.18083/LCAppl.2018.1.73" TargetMode="External"/><Relationship Id="rId1466" Type="http://schemas.openxmlformats.org/officeDocument/2006/relationships/hyperlink" Target="http://dx.doi.org/10.1007/978-3-319-60696-5_2" TargetMode="External"/><Relationship Id="rId2005" Type="http://schemas.openxmlformats.org/officeDocument/2006/relationships/hyperlink" Target="https%3A%2F%2Fwww.webofscience.com%2Fwos%2Fwoscc%2Ffull-record%2FWOS:000815085500192" TargetMode="External"/><Relationship Id="rId2212" Type="http://schemas.openxmlformats.org/officeDocument/2006/relationships/hyperlink" Target="https%3A%2F%2Fwww.webofscience.com%2Fwos%2Fwoscc%2Ffull-record%2FWOS:000404604700015" TargetMode="External"/><Relationship Id="rId836" Type="http://schemas.openxmlformats.org/officeDocument/2006/relationships/hyperlink" Target="http://dx.doi.org/10.17212/1994-6309-2020-22.4-18-30" TargetMode="External"/><Relationship Id="rId1021" Type="http://schemas.openxmlformats.org/officeDocument/2006/relationships/hyperlink" Target="https%3A%2F%2Fwww.webofscience.com%2Fwos%2Fwoscc%2Ffull-record%2FWOS:000530061000008" TargetMode="External"/><Relationship Id="rId1119" Type="http://schemas.openxmlformats.org/officeDocument/2006/relationships/hyperlink" Target="https%3A%2F%2Fwww.webofscience.com%2Fwos%2Fwoscc%2Ffull-record%2FWOS:000536400400017" TargetMode="External"/><Relationship Id="rId1673" Type="http://schemas.openxmlformats.org/officeDocument/2006/relationships/hyperlink" Target="https%3A%2F%2Fwww.webofscience.com%2Fwos%2Fwoscc%2Ffull-record%2FWOS:000432421300004" TargetMode="External"/><Relationship Id="rId1880" Type="http://schemas.openxmlformats.org/officeDocument/2006/relationships/hyperlink" Target="https%3A%2F%2Fwww.webofscience.com%2Fwos%2Fwoscc%2Ffull-record%2FWOS:000572957200013" TargetMode="External"/><Relationship Id="rId1978" Type="http://schemas.openxmlformats.org/officeDocument/2006/relationships/hyperlink" Target="http://dx.doi.org/10.3103/S1066369X20060079" TargetMode="External"/><Relationship Id="rId903" Type="http://schemas.openxmlformats.org/officeDocument/2006/relationships/hyperlink" Target="http://dx.doi.org/10.26710/fk18-01-23" TargetMode="External"/><Relationship Id="rId1326" Type="http://schemas.openxmlformats.org/officeDocument/2006/relationships/hyperlink" Target="http://dx.doi.org/10.1007/s11041-012-9478-3" TargetMode="External"/><Relationship Id="rId1533" Type="http://schemas.openxmlformats.org/officeDocument/2006/relationships/hyperlink" Target="http://dx.doi.org/10.1088/1757-899X/451/1/012205" TargetMode="External"/><Relationship Id="rId1740" Type="http://schemas.openxmlformats.org/officeDocument/2006/relationships/hyperlink" Target="http://dx.doi.org/10.25750/1995-4301-2020-1-136-143" TargetMode="External"/><Relationship Id="rId32" Type="http://schemas.openxmlformats.org/officeDocument/2006/relationships/hyperlink" Target="https%3A%2F%2Fwww.webofscience.com%2Fwos%2Fwoscc%2Ffull-record%2FWOS:000432421300055" TargetMode="External"/><Relationship Id="rId1600" Type="http://schemas.openxmlformats.org/officeDocument/2006/relationships/hyperlink" Target="https%3A%2F%2Fwww.webofscience.com%2Fwos%2Fwoscc%2Ffull-record%2FWOS:000572971200050" TargetMode="External"/><Relationship Id="rId1838" Type="http://schemas.openxmlformats.org/officeDocument/2006/relationships/hyperlink" Target="https%3A%2F%2Fwww.webofscience.com%2Fwos%2Fwoscc%2Ffull-record%2FWOS:000729254000003" TargetMode="External"/><Relationship Id="rId181" Type="http://schemas.openxmlformats.org/officeDocument/2006/relationships/hyperlink" Target="http://dx.doi.org/10.1023/A:1012394524649" TargetMode="External"/><Relationship Id="rId1905" Type="http://schemas.openxmlformats.org/officeDocument/2006/relationships/hyperlink" Target="https%3A%2F%2Fwww.webofscience.com%2Fwos%2Fwoscc%2Ffull-record%2FWOS:000490704900005" TargetMode="External"/><Relationship Id="rId279" Type="http://schemas.openxmlformats.org/officeDocument/2006/relationships/hyperlink" Target="https%3A%2F%2Fwww.webofscience.com%2Fwos%2Fwoscc%2Ffull-record%2FWOS:000730911700005" TargetMode="External"/><Relationship Id="rId486" Type="http://schemas.openxmlformats.org/officeDocument/2006/relationships/hyperlink" Target="http://dx.doi.org/10.24833/2071-8160-2020-1-70-56-81" TargetMode="External"/><Relationship Id="rId693" Type="http://schemas.openxmlformats.org/officeDocument/2006/relationships/hyperlink" Target="https%3A%2F%2Fwww.webofscience.com%2Fwos%2Fwoscc%2Ffull-record%2FWOS:A1996UZ60600014" TargetMode="External"/><Relationship Id="rId2167" Type="http://schemas.openxmlformats.org/officeDocument/2006/relationships/hyperlink" Target="http://dx.doi.org/10.18720/MPM.4432020_14" TargetMode="External"/><Relationship Id="rId2374" Type="http://schemas.openxmlformats.org/officeDocument/2006/relationships/hyperlink" Target="https%3A%2F%2Fwww.webofscience.com%2Fwos%2Fwoscc%2Ffull-record%2FWOS:000468565900016" TargetMode="External"/><Relationship Id="rId139" Type="http://schemas.openxmlformats.org/officeDocument/2006/relationships/hyperlink" Target="https%3A%2F%2Fwww.webofscience.com%2Fwos%2Fwoscc%2Ffull-record%2FWOS:000545495200003" TargetMode="External"/><Relationship Id="rId346" Type="http://schemas.openxmlformats.org/officeDocument/2006/relationships/hyperlink" Target="https%3A%2F%2Fwww.webofscience.com%2Fwos%2Fwoscc%2Ffull-record%2FWOS:000183347900016" TargetMode="External"/><Relationship Id="rId553" Type="http://schemas.openxmlformats.org/officeDocument/2006/relationships/hyperlink" Target="https%3A%2F%2Fwww.webofscience.com%2Fwos%2Fwoscc%2Ffull-record%2FWOS:000517821700013" TargetMode="External"/><Relationship Id="rId760" Type="http://schemas.openxmlformats.org/officeDocument/2006/relationships/hyperlink" Target="http://dx.doi.org/10.1007/978-3-030-19810-7_1" TargetMode="External"/><Relationship Id="rId998" Type="http://schemas.openxmlformats.org/officeDocument/2006/relationships/hyperlink" Target="http://dx.doi.org/10.1007/s11041-012-9491-6" TargetMode="External"/><Relationship Id="rId1183" Type="http://schemas.openxmlformats.org/officeDocument/2006/relationships/hyperlink" Target="http://dx.doi.org/10.25750/1995-4301-2019-1-088-093" TargetMode="External"/><Relationship Id="rId1390" Type="http://schemas.openxmlformats.org/officeDocument/2006/relationships/hyperlink" Target="http://dx.doi.org/10.1016/j.matpr.2018.12.154" TargetMode="External"/><Relationship Id="rId2027" Type="http://schemas.openxmlformats.org/officeDocument/2006/relationships/hyperlink" Target="https%3A%2F%2Fwww.webofscience.com%2Fwos%2Fwoscc%2Ffull-record%2FWOS:000466353300025" TargetMode="External"/><Relationship Id="rId2234" Type="http://schemas.openxmlformats.org/officeDocument/2006/relationships/hyperlink" Target="https%3A%2F%2Fwww.webofscience.com%2Fwos%2Fwoscc%2Ffull-record%2FWOS:000475623100021" TargetMode="External"/><Relationship Id="rId2441" Type="http://schemas.openxmlformats.org/officeDocument/2006/relationships/hyperlink" Target="http://dx.doi.org/10.1108/IJEM-10-2017-0296" TargetMode="External"/><Relationship Id="rId206" Type="http://schemas.openxmlformats.org/officeDocument/2006/relationships/hyperlink" Target="https%3A%2F%2Fwww.webofscience.com%2Fwos%2Fwoscc%2Ffull-record%2FWOS:000510467300009" TargetMode="External"/><Relationship Id="rId413" Type="http://schemas.openxmlformats.org/officeDocument/2006/relationships/hyperlink" Target="https%3A%2F%2Fwww.webofscience.com%2Fwos%2Fwoscc%2Ffull-record%2FWOS:000436334100013" TargetMode="External"/><Relationship Id="rId858" Type="http://schemas.openxmlformats.org/officeDocument/2006/relationships/hyperlink" Target="http://dx.doi.org/10.1007/978-3-030-00102-5_114" TargetMode="External"/><Relationship Id="rId1043" Type="http://schemas.openxmlformats.org/officeDocument/2006/relationships/hyperlink" Target="https%3A%2F%2Fwww.webofscience.com%2Fwos%2Fwoscc%2Ffull-record%2FWOS:000403604400155" TargetMode="External"/><Relationship Id="rId1488" Type="http://schemas.openxmlformats.org/officeDocument/2006/relationships/hyperlink" Target="https%3A%2F%2Fwww.webofscience.com%2Fwos%2Fwoscc%2Ffull-record%2FWOS:000868947100013" TargetMode="External"/><Relationship Id="rId1695" Type="http://schemas.openxmlformats.org/officeDocument/2006/relationships/hyperlink" Target="http://dx.doi.org/10.14529/hsm220106" TargetMode="External"/><Relationship Id="rId620" Type="http://schemas.openxmlformats.org/officeDocument/2006/relationships/hyperlink" Target="http://dx.doi.org/10.25750/1995-4301-2020-4-149-154" TargetMode="External"/><Relationship Id="rId718" Type="http://schemas.openxmlformats.org/officeDocument/2006/relationships/hyperlink" Target="http://dx.doi.org/10.25750/1995-4301-2019-2-143-148" TargetMode="External"/><Relationship Id="rId925" Type="http://schemas.openxmlformats.org/officeDocument/2006/relationships/hyperlink" Target="http://dx.doi.org/10.24224/2227-1295-2020-10-268-279" TargetMode="External"/><Relationship Id="rId1250" Type="http://schemas.openxmlformats.org/officeDocument/2006/relationships/hyperlink" Target="http://dx.doi.org/10.14529/hsm200102" TargetMode="External"/><Relationship Id="rId1348" Type="http://schemas.openxmlformats.org/officeDocument/2006/relationships/hyperlink" Target="http://dx.doi.org/10.15507/2658-4123.033.202301.100-113" TargetMode="External"/><Relationship Id="rId1555" Type="http://schemas.openxmlformats.org/officeDocument/2006/relationships/hyperlink" Target="https%3A%2F%2Fwww.webofscience.com%2Fwos%2Fwoscc%2Ffull-record%2FWOS:000998928200002" TargetMode="External"/><Relationship Id="rId1762" Type="http://schemas.openxmlformats.org/officeDocument/2006/relationships/hyperlink" Target="http://dx.doi.org/10.13187/ejced.2022.4.1147" TargetMode="External"/><Relationship Id="rId2301" Type="http://schemas.openxmlformats.org/officeDocument/2006/relationships/hyperlink" Target="https%3A%2F%2Fwww.webofscience.com%2Fwos%2Fwoscc%2Ffull-record%2FWOS:000316826200008" TargetMode="External"/><Relationship Id="rId1110" Type="http://schemas.openxmlformats.org/officeDocument/2006/relationships/hyperlink" Target="https%3A%2F%2Fwww.webofscience.com%2Fwos%2Fwoscc%2Ffull-record%2FWOS:000762279000013" TargetMode="External"/><Relationship Id="rId1208" Type="http://schemas.openxmlformats.org/officeDocument/2006/relationships/hyperlink" Target="https%3A%2F%2Fwww.webofscience.com%2Fwos%2Fwoscc%2Ffull-record%2FWOS:000952852900018" TargetMode="External"/><Relationship Id="rId1415" Type="http://schemas.openxmlformats.org/officeDocument/2006/relationships/hyperlink" Target="https%3A%2F%2Fwww.webofscience.com%2Fwos%2Fwoscc%2Ffull-record%2FWOS:000249259800011" TargetMode="External"/><Relationship Id="rId54" Type="http://schemas.openxmlformats.org/officeDocument/2006/relationships/hyperlink" Target="http://dx.doi.org/10.1007/978-3-030-39225-3_70" TargetMode="External"/><Relationship Id="rId1622" Type="http://schemas.openxmlformats.org/officeDocument/2006/relationships/hyperlink" Target="http://dx.doi.org/10.12973/eurasia.2017.00934a" TargetMode="External"/><Relationship Id="rId1927" Type="http://schemas.openxmlformats.org/officeDocument/2006/relationships/hyperlink" Target="http://dx.doi.org/10.25750/1995-4301-2022-1-084-090" TargetMode="External"/><Relationship Id="rId2091" Type="http://schemas.openxmlformats.org/officeDocument/2006/relationships/hyperlink" Target="https%3A%2F%2Fwww.webofscience.com%2Fwos%2Fwoscc%2Ffull-record%2FWOS:000820802000004" TargetMode="External"/><Relationship Id="rId2189" Type="http://schemas.openxmlformats.org/officeDocument/2006/relationships/hyperlink" Target="http://dx.doi.org/10.31166/VoprosyIstorii202112Statyi117" TargetMode="External"/><Relationship Id="rId270" Type="http://schemas.openxmlformats.org/officeDocument/2006/relationships/hyperlink" Target="http://dx.doi.org/10.1134/S1070427212080101" TargetMode="External"/><Relationship Id="rId2396" Type="http://schemas.openxmlformats.org/officeDocument/2006/relationships/hyperlink" Target="http://dx.doi.org/10.25750/1995-4301-2018-2-005-015" TargetMode="External"/><Relationship Id="rId130" Type="http://schemas.openxmlformats.org/officeDocument/2006/relationships/hyperlink" Target="http://dx.doi.org/10.17223/15617793/464/24" TargetMode="External"/><Relationship Id="rId368" Type="http://schemas.openxmlformats.org/officeDocument/2006/relationships/hyperlink" Target="https%3A%2F%2Fwww.webofscience.com%2Fwos%2Fwoscc%2Ffull-record%2FWOS:000443674500037" TargetMode="External"/><Relationship Id="rId575" Type="http://schemas.openxmlformats.org/officeDocument/2006/relationships/hyperlink" Target="https%3A%2F%2Fwww.webofscience.com%2Fwos%2Fwoscc%2Ffull-record%2FWOS:000395727700049" TargetMode="External"/><Relationship Id="rId782" Type="http://schemas.openxmlformats.org/officeDocument/2006/relationships/hyperlink" Target="http://dx.doi.org/10.1070/RM2007v062n01ABEH004387" TargetMode="External"/><Relationship Id="rId2049" Type="http://schemas.openxmlformats.org/officeDocument/2006/relationships/hyperlink" Target="https%3A%2F%2Fwww.webofscience.com%2Fwos%2Fwoscc%2Ffull-record%2FWOS:000535465200014" TargetMode="External"/><Relationship Id="rId2256" Type="http://schemas.openxmlformats.org/officeDocument/2006/relationships/hyperlink" Target="http://dx.doi.org/10.17223/15617793/467/18" TargetMode="External"/><Relationship Id="rId2463" Type="http://schemas.openxmlformats.org/officeDocument/2006/relationships/hyperlink" Target="http://dx.doi.org/10.30935/ojcmt/13018" TargetMode="External"/><Relationship Id="rId228" Type="http://schemas.openxmlformats.org/officeDocument/2006/relationships/hyperlink" Target="http://dx.doi.org/10.1051/bioconf/20202400073" TargetMode="External"/><Relationship Id="rId435" Type="http://schemas.openxmlformats.org/officeDocument/2006/relationships/hyperlink" Target="http://dx.doi.org/10.1007/978-3-030-70194-9_34" TargetMode="External"/><Relationship Id="rId642" Type="http://schemas.openxmlformats.org/officeDocument/2006/relationships/hyperlink" Target="https%3A%2F%2Fwww.webofscience.com%2Fwos%2Fwoscc%2Ffull-record%2FWOS:000391640800110" TargetMode="External"/><Relationship Id="rId1065" Type="http://schemas.openxmlformats.org/officeDocument/2006/relationships/hyperlink" Target="https%3A%2F%2Fwww.webofscience.com%2Fwos%2Fwoscc%2Ffull-record%2FWOS:000512879700005" TargetMode="External"/><Relationship Id="rId1272" Type="http://schemas.openxmlformats.org/officeDocument/2006/relationships/hyperlink" Target="http://dx.doi.org/10.1111/tan.14799" TargetMode="External"/><Relationship Id="rId2116" Type="http://schemas.openxmlformats.org/officeDocument/2006/relationships/hyperlink" Target="https%3A%2F%2Fwww.webofscience.com%2Fwos%2Fwoscc%2Ffull-record%2FWOS:000896480200001" TargetMode="External"/><Relationship Id="rId2323" Type="http://schemas.openxmlformats.org/officeDocument/2006/relationships/hyperlink" Target="http://dx.doi.org/10.13187/ejced.2022.3.898" TargetMode="External"/><Relationship Id="rId502" Type="http://schemas.openxmlformats.org/officeDocument/2006/relationships/hyperlink" Target="https%3A%2F%2Fwww.webofscience.com%2Fwos%2Fwoscc%2Ffull-record%2FWOS:000267486100015" TargetMode="External"/><Relationship Id="rId947" Type="http://schemas.openxmlformats.org/officeDocument/2006/relationships/hyperlink" Target="https%3A%2F%2Fwww.webofscience.com%2Fwos%2Fwoscc%2Ffull-record%2FWOS:000266335300011" TargetMode="External"/><Relationship Id="rId1132" Type="http://schemas.openxmlformats.org/officeDocument/2006/relationships/hyperlink" Target="https%3A%2F%2Fwww.webofscience.com%2Fwos%2Fwoscc%2Ffull-record%2FWOS:000484656400012" TargetMode="External"/><Relationship Id="rId1577" Type="http://schemas.openxmlformats.org/officeDocument/2006/relationships/hyperlink" Target="http://dx.doi.org/10.25750/1995-4301-2020-4-035-042" TargetMode="External"/><Relationship Id="rId1784" Type="http://schemas.openxmlformats.org/officeDocument/2006/relationships/hyperlink" Target="https%3A%2F%2Fwww.webofscience.com%2Fwos%2Fwoscc%2Ffull-record%2FWOS:000669658200014" TargetMode="External"/><Relationship Id="rId1991" Type="http://schemas.openxmlformats.org/officeDocument/2006/relationships/hyperlink" Target="https%3A%2F%2Fwww.webofscience.com%2Fwos%2Fwoscc%2Ffull-record%2FWOS:000522789400023" TargetMode="External"/><Relationship Id="rId76" Type="http://schemas.openxmlformats.org/officeDocument/2006/relationships/hyperlink" Target="http://dx.doi.org/10.21638/spbu14.2022.102" TargetMode="External"/><Relationship Id="rId807" Type="http://schemas.openxmlformats.org/officeDocument/2006/relationships/hyperlink" Target="https%3A%2F%2Fwww.webofscience.com%2Fwos%2Fwoscc%2Ffull-record%2FWOS:000477564000021" TargetMode="External"/><Relationship Id="rId1437" Type="http://schemas.openxmlformats.org/officeDocument/2006/relationships/hyperlink" Target="http://dx.doi.org/10.25750/1995-4301-2022-2-070-076" TargetMode="External"/><Relationship Id="rId1644" Type="http://schemas.openxmlformats.org/officeDocument/2006/relationships/hyperlink" Target="http://dx.doi.org/10.1007/978-3-030-36592-9_2" TargetMode="External"/><Relationship Id="rId1851" Type="http://schemas.openxmlformats.org/officeDocument/2006/relationships/hyperlink" Target="https%3A%2F%2Fwww.webofscience.com%2Fwos%2Fwoscc%2Ffull-record%2FWOS:000457081500010" TargetMode="External"/><Relationship Id="rId1504" Type="http://schemas.openxmlformats.org/officeDocument/2006/relationships/hyperlink" Target="http://dx.doi.org/10.1134/S1023193509060093" TargetMode="External"/><Relationship Id="rId1711" Type="http://schemas.openxmlformats.org/officeDocument/2006/relationships/hyperlink" Target="https%3A%2F%2Fwww.webofscience.com%2Fwos%2Fwoscc%2Ffull-record%2FWOS:000758194100036" TargetMode="External"/><Relationship Id="rId1949" Type="http://schemas.openxmlformats.org/officeDocument/2006/relationships/hyperlink" Target="http://dx.doi.org/10.25750/1995-4301-2021-3-060-065" TargetMode="External"/><Relationship Id="rId292" Type="http://schemas.openxmlformats.org/officeDocument/2006/relationships/hyperlink" Target="http://dx.doi.org/10.1134/S0869864319010074" TargetMode="External"/><Relationship Id="rId1809" Type="http://schemas.openxmlformats.org/officeDocument/2006/relationships/hyperlink" Target="http://dx.doi.org/10.1111/tan.14960" TargetMode="External"/><Relationship Id="rId597" Type="http://schemas.openxmlformats.org/officeDocument/2006/relationships/hyperlink" Target="http://dx.doi.org/10.1088/1755-1315/90/1/012087" TargetMode="External"/><Relationship Id="rId2180" Type="http://schemas.openxmlformats.org/officeDocument/2006/relationships/hyperlink" Target="https%3A%2F%2Fwww.webofscience.com%2Fwos%2Fwoscc%2Ffull-record%2FWOS:000659867301048" TargetMode="External"/><Relationship Id="rId2278" Type="http://schemas.openxmlformats.org/officeDocument/2006/relationships/hyperlink" Target="http://dx.doi.org/10.3389/fenvs.2022.1091149" TargetMode="External"/><Relationship Id="rId2485" Type="http://schemas.openxmlformats.org/officeDocument/2006/relationships/hyperlink" Target="https%3A%2F%2Fwww.webofscience.com%2Fwos%2Fwoscc%2Ffull-record%2FWOS:000712575600013" TargetMode="External"/><Relationship Id="rId152" Type="http://schemas.openxmlformats.org/officeDocument/2006/relationships/hyperlink" Target="https%3A%2F%2Fwww.webofscience.com%2Fwos%2Fwoscc%2Ffull-record%2FWOS:000484823500009" TargetMode="External"/><Relationship Id="rId457" Type="http://schemas.openxmlformats.org/officeDocument/2006/relationships/hyperlink" Target="http://dx.doi.org/10.1007/978-3-319-60696-5_1" TargetMode="External"/><Relationship Id="rId1087" Type="http://schemas.openxmlformats.org/officeDocument/2006/relationships/hyperlink" Target="http://dx.doi.org/10.1088/1757-899X/450/3/032034" TargetMode="External"/><Relationship Id="rId1294" Type="http://schemas.openxmlformats.org/officeDocument/2006/relationships/hyperlink" Target="https%3A%2F%2Fwww.webofscience.com%2Fwos%2Fwoscc%2Ffull-record%2FWOS:000820802000022" TargetMode="External"/><Relationship Id="rId2040" Type="http://schemas.openxmlformats.org/officeDocument/2006/relationships/hyperlink" Target="http://dx.doi.org/10.1016/j.mtcomm.2022.104986" TargetMode="External"/><Relationship Id="rId2138" Type="http://schemas.openxmlformats.org/officeDocument/2006/relationships/hyperlink" Target="https%3A%2F%2Fwww.webofscience.com%2Fwos%2Fwoscc%2Ffull-record%2FWOS:000820802000011" TargetMode="External"/><Relationship Id="rId664" Type="http://schemas.openxmlformats.org/officeDocument/2006/relationships/hyperlink" Target="https%3A%2F%2Fwww.webofscience.com%2Fwos%2Fwoscc%2Ffull-record%2FWOS:000589794700015" TargetMode="External"/><Relationship Id="rId871" Type="http://schemas.openxmlformats.org/officeDocument/2006/relationships/hyperlink" Target="https%3A%2F%2Fwww.webofscience.com%2Fwos%2Fwoscc%2Ffull-record%2FWOS:000184314600002" TargetMode="External"/><Relationship Id="rId969" Type="http://schemas.openxmlformats.org/officeDocument/2006/relationships/hyperlink" Target="http://dx.doi.org/10.28995/2073-0101-2020-1-169-179" TargetMode="External"/><Relationship Id="rId1599" Type="http://schemas.openxmlformats.org/officeDocument/2006/relationships/hyperlink" Target="https%3A%2F%2Fwww.webofscience.com%2Fwos%2Fwoscc%2Ffull-record%2FWOS:000657624800006" TargetMode="External"/><Relationship Id="rId2345" Type="http://schemas.openxmlformats.org/officeDocument/2006/relationships/hyperlink" Target="http://dx.doi.org/10.25750/1995-4301-2022-1-102-108" TargetMode="External"/><Relationship Id="rId317" Type="http://schemas.openxmlformats.org/officeDocument/2006/relationships/hyperlink" Target="https%3A%2F%2Fwww.webofscience.com%2Fwos%2Fwoscc%2Ffull-record%2FWOS:000610803200022" TargetMode="External"/><Relationship Id="rId524" Type="http://schemas.openxmlformats.org/officeDocument/2006/relationships/hyperlink" Target="https%3A%2F%2Fwww.webofscience.com%2Fwos%2Fwoscc%2Ffull-record%2FWOS:000435618500013" TargetMode="External"/><Relationship Id="rId731" Type="http://schemas.openxmlformats.org/officeDocument/2006/relationships/hyperlink" Target="http://dx.doi.org/10.15688/jvolsu4.2018.4.10" TargetMode="External"/><Relationship Id="rId1154" Type="http://schemas.openxmlformats.org/officeDocument/2006/relationships/hyperlink" Target="https%3A%2F%2Fwww.webofscience.com%2Fwos%2Fwoscc%2Ffull-record%2FWOS:000323369900008" TargetMode="External"/><Relationship Id="rId1361" Type="http://schemas.openxmlformats.org/officeDocument/2006/relationships/hyperlink" Target="https%3A%2F%2Fwww.webofscience.com%2Fwos%2Fwoscc%2Ffull-record%2FWOS:000449660800044" TargetMode="External"/><Relationship Id="rId1459" Type="http://schemas.openxmlformats.org/officeDocument/2006/relationships/hyperlink" Target="https%3A%2F%2Fwww.webofscience.com%2Fwos%2Fwoscc%2Ffull-record%2FWOS:000282068400010" TargetMode="External"/><Relationship Id="rId2205" Type="http://schemas.openxmlformats.org/officeDocument/2006/relationships/hyperlink" Target="http://dx.doi.org/10.25750/1995-4301-2019-4-061-068" TargetMode="External"/><Relationship Id="rId2412" Type="http://schemas.openxmlformats.org/officeDocument/2006/relationships/hyperlink" Target="https%3A%2F%2Fwww.webofscience.com%2Fwos%2Fwoscc%2Ffull-record%2FWOS:000468564500016" TargetMode="External"/><Relationship Id="rId98" Type="http://schemas.openxmlformats.org/officeDocument/2006/relationships/hyperlink" Target="http://dx.doi.org/10.1134/S1023193512120051" TargetMode="External"/><Relationship Id="rId829" Type="http://schemas.openxmlformats.org/officeDocument/2006/relationships/hyperlink" Target="https%3A%2F%2Fwww.webofscience.com%2Fwos%2Fwoscc%2Ffull-record%2FWOS:000363763200005" TargetMode="External"/><Relationship Id="rId1014" Type="http://schemas.openxmlformats.org/officeDocument/2006/relationships/hyperlink" Target="http://dx.doi.org/10.3390/computation9020009" TargetMode="External"/><Relationship Id="rId1221" Type="http://schemas.openxmlformats.org/officeDocument/2006/relationships/hyperlink" Target="http://dx.doi.org/10.1007/s11041-019-00410-5" TargetMode="External"/><Relationship Id="rId1666" Type="http://schemas.openxmlformats.org/officeDocument/2006/relationships/hyperlink" Target="http://dx.doi.org/10.22055/RALS.2019.15172" TargetMode="External"/><Relationship Id="rId1873" Type="http://schemas.openxmlformats.org/officeDocument/2006/relationships/hyperlink" Target="https%3A%2F%2Fwww.webofscience.com%2Fwos%2Fwoscc%2Ffull-record%2FWOS:000419816700218" TargetMode="External"/><Relationship Id="rId1319" Type="http://schemas.openxmlformats.org/officeDocument/2006/relationships/hyperlink" Target="https%3A%2F%2Fwww.webofscience.com%2Fwos%2Fwoscc%2Ffull-record%2FWOS:000287500700026" TargetMode="External"/><Relationship Id="rId1526" Type="http://schemas.openxmlformats.org/officeDocument/2006/relationships/hyperlink" Target="https%3A%2F%2Fwww.webofscience.com%2Fwos%2Fwoscc%2Ffull-record%2FWOS:000237676000004" TargetMode="External"/><Relationship Id="rId1733" Type="http://schemas.openxmlformats.org/officeDocument/2006/relationships/hyperlink" Target="https%3A%2F%2Fwww.webofscience.com%2Fwos%2Fwoscc%2Ffull-record%2FWOS:000669658200007" TargetMode="External"/><Relationship Id="rId1940" Type="http://schemas.openxmlformats.org/officeDocument/2006/relationships/hyperlink" Target="http://dx.doi.org/10.1063/5.0003363" TargetMode="External"/><Relationship Id="rId25" Type="http://schemas.openxmlformats.org/officeDocument/2006/relationships/hyperlink" Target="https%3A%2F%2Fwww.webofscience.com%2Fwos%2Fwoscc%2Ffull-record%2FWOS:000461120800008" TargetMode="External"/><Relationship Id="rId1800" Type="http://schemas.openxmlformats.org/officeDocument/2006/relationships/hyperlink" Target="https%3A%2F%2Fwww.webofscience.com%2Fwos%2Fwoscc%2Ffull-record%2FWOS:000072655200032" TargetMode="External"/><Relationship Id="rId174" Type="http://schemas.openxmlformats.org/officeDocument/2006/relationships/hyperlink" Target="https%3A%2F%2Fwww.webofscience.com%2Fwos%2Fwoscc%2Ffull-record%2FWOS:000306594000019" TargetMode="External"/><Relationship Id="rId381" Type="http://schemas.openxmlformats.org/officeDocument/2006/relationships/hyperlink" Target="https%3A%2F%2Fwww.webofscience.com%2Fwos%2Fwoscc%2Ffull-record%2FWOS:000307556900009" TargetMode="External"/><Relationship Id="rId2062" Type="http://schemas.openxmlformats.org/officeDocument/2006/relationships/hyperlink" Target="http://dx.doi.org/10.1109/ElConRus51938.2021.9396276" TargetMode="External"/><Relationship Id="rId241" Type="http://schemas.openxmlformats.org/officeDocument/2006/relationships/hyperlink" Target="https%3A%2F%2Fwww.webofscience.com%2Fwos%2Fwoscc%2Ffull-record%2FWOS:000426431000013" TargetMode="External"/><Relationship Id="rId479" Type="http://schemas.openxmlformats.org/officeDocument/2006/relationships/hyperlink" Target="https%3A%2F%2Fwww.webofscience.com%2Fwos%2Fwoscc%2Ffull-record%2FWOS:000905283300006" TargetMode="External"/><Relationship Id="rId686" Type="http://schemas.openxmlformats.org/officeDocument/2006/relationships/hyperlink" Target="https%3A%2F%2Fwww.webofscience.com%2Fwos%2Fwoscc%2Ffull-record%2FWOS:000380571600294" TargetMode="External"/><Relationship Id="rId893" Type="http://schemas.openxmlformats.org/officeDocument/2006/relationships/hyperlink" Target="https%3A%2F%2Fwww.webofscience.com%2Fwos%2Fwoscc%2Ffull-record%2FWOS:000568419600014" TargetMode="External"/><Relationship Id="rId2367" Type="http://schemas.openxmlformats.org/officeDocument/2006/relationships/hyperlink" Target="http://dx.doi.org/10.1134/S0003683817020077" TargetMode="External"/><Relationship Id="rId339" Type="http://schemas.openxmlformats.org/officeDocument/2006/relationships/hyperlink" Target="http://dx.doi.org/10.1134/S1070427214080126" TargetMode="External"/><Relationship Id="rId546" Type="http://schemas.openxmlformats.org/officeDocument/2006/relationships/hyperlink" Target="http://dx.doi.org/10.1088/1757-899X/971/3/032028" TargetMode="External"/><Relationship Id="rId753" Type="http://schemas.openxmlformats.org/officeDocument/2006/relationships/hyperlink" Target="http://dx.doi.org/10.24833/2071-8160-2021-4-79-26-50" TargetMode="External"/><Relationship Id="rId1176" Type="http://schemas.openxmlformats.org/officeDocument/2006/relationships/hyperlink" Target="https%3A%2F%2Fwww.webofscience.com%2Fwos%2Fwoscc%2Ffull-record%2FWOS:000520005200045" TargetMode="External"/><Relationship Id="rId1383" Type="http://schemas.openxmlformats.org/officeDocument/2006/relationships/hyperlink" Target="https%3A%2F%2Fwww.webofscience.com%2Fwos%2Fwoscc%2Ffull-record%2FWOS:000647674900002" TargetMode="External"/><Relationship Id="rId2227" Type="http://schemas.openxmlformats.org/officeDocument/2006/relationships/hyperlink" Target="http://dx.doi.org/10.1016/j.foodhyd.2016.10.042" TargetMode="External"/><Relationship Id="rId2434" Type="http://schemas.openxmlformats.org/officeDocument/2006/relationships/hyperlink" Target="https%3A%2F%2Fwww.webofscience.com%2Fwos%2Fwoscc%2Ffull-record%2FWOS:000360029300006" TargetMode="External"/><Relationship Id="rId101" Type="http://schemas.openxmlformats.org/officeDocument/2006/relationships/hyperlink" Target="https%3A%2F%2Fwww.webofscience.com%2Fwos%2Fwoscc%2Ffull-record%2FWOS:000288387800020" TargetMode="External"/><Relationship Id="rId406" Type="http://schemas.openxmlformats.org/officeDocument/2006/relationships/hyperlink" Target="http://dx.doi.org/10.1108/OTH-07-2019-0039" TargetMode="External"/><Relationship Id="rId960" Type="http://schemas.openxmlformats.org/officeDocument/2006/relationships/hyperlink" Target="http://dx.doi.org/10.17223/22274200/23/2" TargetMode="External"/><Relationship Id="rId1036" Type="http://schemas.openxmlformats.org/officeDocument/2006/relationships/hyperlink" Target="https%3A%2F%2Fwww.webofscience.com%2Fwos%2Fwoscc%2Ffull-record%2FWOS:000465309700006" TargetMode="External"/><Relationship Id="rId1243" Type="http://schemas.openxmlformats.org/officeDocument/2006/relationships/hyperlink" Target="https%3A%2F%2Fwww.webofscience.com%2Fwos%2Fwoscc%2Ffull-record%2FWOS:000482103500009" TargetMode="External"/><Relationship Id="rId1590" Type="http://schemas.openxmlformats.org/officeDocument/2006/relationships/hyperlink" Target="https%3A%2F%2Fwww.webofscience.com%2Fwos%2Fwoscc%2Ffull-record%2FWOS:000374691700006" TargetMode="External"/><Relationship Id="rId1688" Type="http://schemas.openxmlformats.org/officeDocument/2006/relationships/hyperlink" Target="https%3A%2F%2Fwww.webofscience.com%2Fwos%2Fwoscc%2Ffull-record%2FWOS:000381100700028" TargetMode="External"/><Relationship Id="rId1895" Type="http://schemas.openxmlformats.org/officeDocument/2006/relationships/hyperlink" Target="https%3A%2F%2Fwww.webofscience.com%2Fwos%2Fwoscc%2Ffull-record%2FWOS:000418853400005" TargetMode="External"/><Relationship Id="rId613" Type="http://schemas.openxmlformats.org/officeDocument/2006/relationships/hyperlink" Target="https%3A%2F%2Fwww.webofscience.com%2Fwos%2Fwoscc%2Ffull-record%2FWOS:000680842100079" TargetMode="External"/><Relationship Id="rId820" Type="http://schemas.openxmlformats.org/officeDocument/2006/relationships/hyperlink" Target="https%3A%2F%2Fwww.webofscience.com%2Fwos%2Fwoscc%2Ffull-record%2FWOS:000618551100040" TargetMode="External"/><Relationship Id="rId918" Type="http://schemas.openxmlformats.org/officeDocument/2006/relationships/hyperlink" Target="https%3A%2F%2Fwww.webofscience.com%2Fwos%2Fwoscc%2Ffull-record%2FWOS:000931264400009" TargetMode="External"/><Relationship Id="rId1450" Type="http://schemas.openxmlformats.org/officeDocument/2006/relationships/hyperlink" Target="https%3A%2F%2Fwww.webofscience.com%2Fwos%2Fwoscc%2Ffull-record%2FWOS:000572971200043" TargetMode="External"/><Relationship Id="rId1548" Type="http://schemas.openxmlformats.org/officeDocument/2006/relationships/hyperlink" Target="http://dx.doi.org/10.17059/ekon.reg.2021-4-22" TargetMode="External"/><Relationship Id="rId1755" Type="http://schemas.openxmlformats.org/officeDocument/2006/relationships/hyperlink" Target="https%3A%2F%2Fwww.webofscience.com%2Fwos%2Fwoscc%2Ffull-record%2FWOS:000917468800001" TargetMode="External"/><Relationship Id="rId2501" Type="http://schemas.openxmlformats.org/officeDocument/2006/relationships/hyperlink" Target="http://dx.doi.org/10.3103/S1068366619060217" TargetMode="External"/><Relationship Id="rId1103" Type="http://schemas.openxmlformats.org/officeDocument/2006/relationships/hyperlink" Target="https%3A%2F%2Fwww.webofscience.com%2Fwos%2Fwoscc%2Ffull-record%2FWOS:000894407100001" TargetMode="External"/><Relationship Id="rId1310" Type="http://schemas.openxmlformats.org/officeDocument/2006/relationships/hyperlink" Target="http://dx.doi.org/10.1023/A:1019513029761" TargetMode="External"/><Relationship Id="rId1408" Type="http://schemas.openxmlformats.org/officeDocument/2006/relationships/hyperlink" Target="http://dx.doi.org/10.51847/2GXBEcgNwL" TargetMode="External"/><Relationship Id="rId1962" Type="http://schemas.openxmlformats.org/officeDocument/2006/relationships/hyperlink" Target="https%3A%2F%2Fwww.webofscience.com%2Fwos%2Fwoscc%2Ffull-record%2FWOS:000632219100003" TargetMode="External"/><Relationship Id="rId47" Type="http://schemas.openxmlformats.org/officeDocument/2006/relationships/hyperlink" Target="http://dx.doi.org/10.31166/VoprosyIstorii202010Staty165" TargetMode="External"/><Relationship Id="rId1615" Type="http://schemas.openxmlformats.org/officeDocument/2006/relationships/hyperlink" Target="https%3A%2F%2Fwww.webofscience.com%2Fwos%2Fwoscc%2Ffull-record%2FWOS:000611609000013" TargetMode="External"/><Relationship Id="rId1822" Type="http://schemas.openxmlformats.org/officeDocument/2006/relationships/hyperlink" Target="https%3A%2F%2Fwww.webofscience.com%2Fwos%2Fwoscc%2Ffull-record%2FWOS:000655011600006" TargetMode="External"/><Relationship Id="rId196" Type="http://schemas.openxmlformats.org/officeDocument/2006/relationships/hyperlink" Target="http://dx.doi.org/10.1134/S1995080220090255" TargetMode="External"/><Relationship Id="rId2084" Type="http://schemas.openxmlformats.org/officeDocument/2006/relationships/hyperlink" Target="http://dx.doi.org/10.3103/S0891416815020032" TargetMode="External"/><Relationship Id="rId2291" Type="http://schemas.openxmlformats.org/officeDocument/2006/relationships/hyperlink" Target="https%3A%2F%2Fwww.webofscience.com%2Fwos%2Fwoscc%2Ffull-record%2FWOS:000835713500001" TargetMode="External"/><Relationship Id="rId263" Type="http://schemas.openxmlformats.org/officeDocument/2006/relationships/hyperlink" Target="https%3A%2F%2Fwww.webofscience.com%2Fwos%2Fwoscc%2Ffull-record%2FWOS:000478963800186" TargetMode="External"/><Relationship Id="rId470" Type="http://schemas.openxmlformats.org/officeDocument/2006/relationships/hyperlink" Target="http://dx.doi.org/10.1134/S0040601523010044" TargetMode="External"/><Relationship Id="rId2151" Type="http://schemas.openxmlformats.org/officeDocument/2006/relationships/hyperlink" Target="http://dx.doi.org/10.25750/1995-4301-2019-4-142-149" TargetMode="External"/><Relationship Id="rId2389" Type="http://schemas.openxmlformats.org/officeDocument/2006/relationships/hyperlink" Target="https%3A%2F%2Fwww.webofscience.com%2Fwos%2Fwoscc%2Ffull-record%2FWOS:000373128600001" TargetMode="External"/><Relationship Id="rId123" Type="http://schemas.openxmlformats.org/officeDocument/2006/relationships/hyperlink" Target="http://dx.doi.org/10.17223/15617793/429/20" TargetMode="External"/><Relationship Id="rId330" Type="http://schemas.openxmlformats.org/officeDocument/2006/relationships/hyperlink" Target="http://dx.doi.org/10.1007/978-3-319-67516-9_4" TargetMode="External"/><Relationship Id="rId568" Type="http://schemas.openxmlformats.org/officeDocument/2006/relationships/hyperlink" Target="https%3A%2F%2Fwww.webofscience.com%2Fwos%2Fwoscc%2Ffull-record%2FWOS:000431443100003" TargetMode="External"/><Relationship Id="rId775" Type="http://schemas.openxmlformats.org/officeDocument/2006/relationships/hyperlink" Target="https%3A%2F%2Fwww.webofscience.com%2Fwos%2Fwoscc%2Ffull-record%2FWOS:000396961700011" TargetMode="External"/><Relationship Id="rId982" Type="http://schemas.openxmlformats.org/officeDocument/2006/relationships/hyperlink" Target="https%3A%2F%2Fwww.webofscience.com%2Fwos%2Fwoscc%2Ffull-record%2FWOS:000446135400012" TargetMode="External"/><Relationship Id="rId1198" Type="http://schemas.openxmlformats.org/officeDocument/2006/relationships/hyperlink" Target="http://dx.doi.org/10.1134/S1070427212040143" TargetMode="External"/><Relationship Id="rId2011" Type="http://schemas.openxmlformats.org/officeDocument/2006/relationships/hyperlink" Target="https%3A%2F%2Fwww.webofscience.com%2Fwos%2Fwoscc%2Ffull-record%2FWOS:000789412600002" TargetMode="External"/><Relationship Id="rId2249" Type="http://schemas.openxmlformats.org/officeDocument/2006/relationships/hyperlink" Target="https%3A%2F%2Fwww.webofscience.com%2Fwos%2Fwoscc%2Ffull-record%2FWOS:000657723600002" TargetMode="External"/><Relationship Id="rId2456" Type="http://schemas.openxmlformats.org/officeDocument/2006/relationships/hyperlink" Target="https%3A%2F%2Fwww.webofscience.com%2Fwos%2Fwoscc%2Ffull-record%2FWOS:000755399600001" TargetMode="External"/><Relationship Id="rId428" Type="http://schemas.openxmlformats.org/officeDocument/2006/relationships/hyperlink" Target="https%3A%2F%2Fwww.webofscience.com%2Fwos%2Fwoscc%2Ffull-record%2FWOS:000797303800001" TargetMode="External"/><Relationship Id="rId635" Type="http://schemas.openxmlformats.org/officeDocument/2006/relationships/hyperlink" Target="http://dx.doi.org/10.5281/zenodo.2222335" TargetMode="External"/><Relationship Id="rId842" Type="http://schemas.openxmlformats.org/officeDocument/2006/relationships/hyperlink" Target="http://dx.doi.org/10.17223/15617793/451/23" TargetMode="External"/><Relationship Id="rId1058" Type="http://schemas.openxmlformats.org/officeDocument/2006/relationships/hyperlink" Target="http://dx.doi.org/10.52254/1857-0070.2022.3-55.06" TargetMode="External"/><Relationship Id="rId1265" Type="http://schemas.openxmlformats.org/officeDocument/2006/relationships/hyperlink" Target="http://dx.doi.org/10.1111/tan.14644" TargetMode="External"/><Relationship Id="rId1472" Type="http://schemas.openxmlformats.org/officeDocument/2006/relationships/hyperlink" Target="https%3A%2F%2Fwww.webofscience.com%2Fwos%2Fwoscc%2Ffull-record%2FWOS:000955109100001" TargetMode="External"/><Relationship Id="rId2109" Type="http://schemas.openxmlformats.org/officeDocument/2006/relationships/hyperlink" Target="http://dx.doi.org/10.3103/S1052618819020110" TargetMode="External"/><Relationship Id="rId2316" Type="http://schemas.openxmlformats.org/officeDocument/2006/relationships/hyperlink" Target="http://dx.doi.org/10.14529/hsm20s114" TargetMode="External"/><Relationship Id="rId702" Type="http://schemas.openxmlformats.org/officeDocument/2006/relationships/hyperlink" Target="http://dx.doi.org/10.24224/2227-1295-2021-11-216-234" TargetMode="External"/><Relationship Id="rId1125" Type="http://schemas.openxmlformats.org/officeDocument/2006/relationships/hyperlink" Target="http://dx.doi.org/10.1134/S1995082919050134" TargetMode="External"/><Relationship Id="rId1332" Type="http://schemas.openxmlformats.org/officeDocument/2006/relationships/hyperlink" Target="http://dx.doi.org/10.1111/tan.14848" TargetMode="External"/><Relationship Id="rId1777" Type="http://schemas.openxmlformats.org/officeDocument/2006/relationships/hyperlink" Target="http://dx.doi.org/10.17223/15617793/430/29" TargetMode="External"/><Relationship Id="rId1984" Type="http://schemas.openxmlformats.org/officeDocument/2006/relationships/hyperlink" Target="http://dx.doi.org/10.3390/risks9120212" TargetMode="External"/><Relationship Id="rId69" Type="http://schemas.openxmlformats.org/officeDocument/2006/relationships/hyperlink" Target="https%3A%2F%2Fwww.webofscience.com%2Fwos%2Fwoscc%2Ffull-record%2FWOS:000380404000020" TargetMode="External"/><Relationship Id="rId1637" Type="http://schemas.openxmlformats.org/officeDocument/2006/relationships/hyperlink" Target="https%3A%2F%2Fwww.webofscience.com%2Fwos%2Fwoscc%2Ffull-record%2FWOS:000077638900005" TargetMode="External"/><Relationship Id="rId1844" Type="http://schemas.openxmlformats.org/officeDocument/2006/relationships/hyperlink" Target="https%3A%2F%2Fwww.webofscience.com%2Fwos%2Fwoscc%2Ffull-record%2FWOS:000489505400001" TargetMode="External"/><Relationship Id="rId1704" Type="http://schemas.openxmlformats.org/officeDocument/2006/relationships/hyperlink" Target="https%3A%2F%2Fwww.webofscience.com%2Fwos%2Fwoscc%2Ffull-record%2FWOS:000646359100047" TargetMode="External"/><Relationship Id="rId285" Type="http://schemas.openxmlformats.org/officeDocument/2006/relationships/hyperlink" Target="https%3A%2F%2Fwww.webofscience.com%2Fwos%2Fwoscc%2Ffull-record%2FWOS:000646359100125" TargetMode="External"/><Relationship Id="rId1911" Type="http://schemas.openxmlformats.org/officeDocument/2006/relationships/hyperlink" Target="http://dx.doi.org/10.1051/matecconf/201710608075" TargetMode="External"/><Relationship Id="rId492" Type="http://schemas.openxmlformats.org/officeDocument/2006/relationships/hyperlink" Target="http://dx.doi.org/10.1088/1742-6596/1058/1/012017" TargetMode="External"/><Relationship Id="rId797" Type="http://schemas.openxmlformats.org/officeDocument/2006/relationships/hyperlink" Target="http://dx.doi.org/10.1080/09668136.2021.1977037" TargetMode="External"/><Relationship Id="rId2173" Type="http://schemas.openxmlformats.org/officeDocument/2006/relationships/hyperlink" Target="https%3A%2F%2Fwww.webofscience.com%2Fwos%2Fwoscc%2Ffull-record%2FWOS:000468564100002" TargetMode="External"/><Relationship Id="rId2380" Type="http://schemas.openxmlformats.org/officeDocument/2006/relationships/hyperlink" Target="http://dx.doi.org/10.1016/j.carbpol.2020.116166" TargetMode="External"/><Relationship Id="rId2478" Type="http://schemas.openxmlformats.org/officeDocument/2006/relationships/hyperlink" Target="http://dx.doi.org/10.1002/erv.2728" TargetMode="External"/><Relationship Id="rId145" Type="http://schemas.openxmlformats.org/officeDocument/2006/relationships/hyperlink" Target="https%3A%2F%2Fwww.webofscience.com%2Fwos%2Fwoscc%2Ffull-record%2FWOS:000486437000014" TargetMode="External"/><Relationship Id="rId352" Type="http://schemas.openxmlformats.org/officeDocument/2006/relationships/hyperlink" Target="http://dx.doi.org/10.15211/soveurope320212737" TargetMode="External"/><Relationship Id="rId1287" Type="http://schemas.openxmlformats.org/officeDocument/2006/relationships/hyperlink" Target="https%3A%2F%2Fwww.webofscience.com%2Fwos%2Fwoscc%2Ffull-record%2FWOS:000332042400065" TargetMode="External"/><Relationship Id="rId2033" Type="http://schemas.openxmlformats.org/officeDocument/2006/relationships/hyperlink" Target="https%3A%2F%2Fwww.webofscience.com%2Fwos%2Fwoscc%2Ffull-record%2FWOS:000406308500018" TargetMode="External"/><Relationship Id="rId2240" Type="http://schemas.openxmlformats.org/officeDocument/2006/relationships/hyperlink" Target="https%3A%2F%2Fwww.webofscience.com%2Fwos%2Fwoscc%2Ffull-record%2FWOS:000624114300001" TargetMode="External"/><Relationship Id="rId212" Type="http://schemas.openxmlformats.org/officeDocument/2006/relationships/hyperlink" Target="https%3A%2F%2Fwww.webofscience.com%2Fwos%2Fwoscc%2Ffull-record%2FWOS:000517795800058" TargetMode="External"/><Relationship Id="rId657" Type="http://schemas.openxmlformats.org/officeDocument/2006/relationships/hyperlink" Target="http://dx.doi.org/10.1007/s10527-022-10173-8" TargetMode="External"/><Relationship Id="rId864" Type="http://schemas.openxmlformats.org/officeDocument/2006/relationships/hyperlink" Target="http://dx.doi.org/10.15405/epsbs.2018.09.60" TargetMode="External"/><Relationship Id="rId1494" Type="http://schemas.openxmlformats.org/officeDocument/2006/relationships/hyperlink" Target="https%3A%2F%2Fwww.webofscience.com%2Fwos%2Fwoscc%2Ffull-record%2FWOS:000568419600017" TargetMode="External"/><Relationship Id="rId1799" Type="http://schemas.openxmlformats.org/officeDocument/2006/relationships/hyperlink" Target="https%3A%2F%2Fwww.webofscience.com%2Fwos%2Fwoscc%2Ffull-record%2FWOS:000652648300023" TargetMode="External"/><Relationship Id="rId2100" Type="http://schemas.openxmlformats.org/officeDocument/2006/relationships/hyperlink" Target="https%3A%2F%2Fwww.webofscience.com%2Fwos%2Fwoscc%2Ffull-record%2FWOS:000667025400002" TargetMode="External"/><Relationship Id="rId2338" Type="http://schemas.openxmlformats.org/officeDocument/2006/relationships/hyperlink" Target="https%3A%2F%2Fwww.webofscience.com%2Fwos%2Fwoscc%2Ffull-record%2FWOS:000914876300015" TargetMode="External"/><Relationship Id="rId517" Type="http://schemas.openxmlformats.org/officeDocument/2006/relationships/hyperlink" Target="https%3A%2F%2Fwww.webofscience.com%2Fwos%2Fwoscc%2Ffull-record%2FWOS:000483412400101" TargetMode="External"/><Relationship Id="rId724" Type="http://schemas.openxmlformats.org/officeDocument/2006/relationships/hyperlink" Target="http://dx.doi.org/10.17377/semi.2018.15.053" TargetMode="External"/><Relationship Id="rId931" Type="http://schemas.openxmlformats.org/officeDocument/2006/relationships/hyperlink" Target="https%3A%2F%2Fwww.webofscience.com%2Fwos%2Fwoscc%2Ffull-record%2FWOS:000497663600007" TargetMode="External"/><Relationship Id="rId1147" Type="http://schemas.openxmlformats.org/officeDocument/2006/relationships/hyperlink" Target="http://dx.doi.org/10.1070/SM8609" TargetMode="External"/><Relationship Id="rId1354" Type="http://schemas.openxmlformats.org/officeDocument/2006/relationships/hyperlink" Target="https%3A%2F%2Fwww.webofscience.com%2Fwos%2Fwoscc%2Ffull-record%2FWOS:000475456800007" TargetMode="External"/><Relationship Id="rId1561" Type="http://schemas.openxmlformats.org/officeDocument/2006/relationships/hyperlink" Target="https%3A%2F%2Fwww.webofscience.com%2Fwos%2Fwoscc%2Ffull-record%2FWOS:000667025400016" TargetMode="External"/><Relationship Id="rId2405" Type="http://schemas.openxmlformats.org/officeDocument/2006/relationships/hyperlink" Target="http://dx.doi.org/10.25750/1995-4301-2019-2-113-120" TargetMode="External"/><Relationship Id="rId60" Type="http://schemas.openxmlformats.org/officeDocument/2006/relationships/hyperlink" Target="http://dx.doi.org/10.1134/S1070427218070182" TargetMode="External"/><Relationship Id="rId1007" Type="http://schemas.openxmlformats.org/officeDocument/2006/relationships/hyperlink" Target="http://dx.doi.org/10.1023/A:1016822030399" TargetMode="External"/><Relationship Id="rId1214" Type="http://schemas.openxmlformats.org/officeDocument/2006/relationships/hyperlink" Target="https%3A%2F%2Fwww.webofscience.com%2Fwos%2Fwoscc%2Ffull-record%2FWOS:000729816800022" TargetMode="External"/><Relationship Id="rId1421" Type="http://schemas.openxmlformats.org/officeDocument/2006/relationships/hyperlink" Target="https%3A%2F%2Fwww.webofscience.com%2Fwos%2Fwoscc%2Ffull-record%2FWOS:000230551900005" TargetMode="External"/><Relationship Id="rId1659" Type="http://schemas.openxmlformats.org/officeDocument/2006/relationships/hyperlink" Target="http://dx.doi.org/10.31166/VoprosyIstorii201911Statyi01" TargetMode="External"/><Relationship Id="rId1866" Type="http://schemas.openxmlformats.org/officeDocument/2006/relationships/hyperlink" Target="http://dx.doi.org/10.1051/e3sconf/202021010008" TargetMode="External"/><Relationship Id="rId1519" Type="http://schemas.openxmlformats.org/officeDocument/2006/relationships/hyperlink" Target="http://dx.doi.org/10.1111/tan.14558" TargetMode="External"/><Relationship Id="rId1726" Type="http://schemas.openxmlformats.org/officeDocument/2006/relationships/hyperlink" Target="http://dx.doi.org/10.15405/epsbs.2021.07.02.43" TargetMode="External"/><Relationship Id="rId1933" Type="http://schemas.openxmlformats.org/officeDocument/2006/relationships/hyperlink" Target="http://dx.doi.org/10.1007/s10965-022-03042-1" TargetMode="External"/><Relationship Id="rId18" Type="http://schemas.openxmlformats.org/officeDocument/2006/relationships/hyperlink" Target="http://dx.doi.org/10.13187/ejced.2019.1.167" TargetMode="External"/><Relationship Id="rId2195" Type="http://schemas.openxmlformats.org/officeDocument/2006/relationships/hyperlink" Target="http://dx.doi.org/10.25750/1995-4301-2018-4-061-067" TargetMode="External"/><Relationship Id="rId167" Type="http://schemas.openxmlformats.org/officeDocument/2006/relationships/hyperlink" Target="http://dx.doi.org/10.1109/EMS.2014.71" TargetMode="External"/><Relationship Id="rId374" Type="http://schemas.openxmlformats.org/officeDocument/2006/relationships/hyperlink" Target="https%3A%2F%2Fwww.webofscience.com%2Fwos%2Fwoscc%2Ffull-record%2FWOS:000414282400175" TargetMode="External"/><Relationship Id="rId581" Type="http://schemas.openxmlformats.org/officeDocument/2006/relationships/hyperlink" Target="https%3A%2F%2Fwww.webofscience.com%2Fwos%2Fwoscc%2Ffull-record%2FWOS:000279999300006" TargetMode="External"/><Relationship Id="rId2055" Type="http://schemas.openxmlformats.org/officeDocument/2006/relationships/hyperlink" Target="https%3A%2F%2Fwww.webofscience.com%2Fwos%2Fwoscc%2Ffull-record%2FWOS:000468565900015" TargetMode="External"/><Relationship Id="rId2262" Type="http://schemas.openxmlformats.org/officeDocument/2006/relationships/hyperlink" Target="http://dx.doi.org/10.25750/1995-4301-2018-3-086-092" TargetMode="External"/><Relationship Id="rId234" Type="http://schemas.openxmlformats.org/officeDocument/2006/relationships/hyperlink" Target="https%3A%2F%2Fwww.webofscience.com%2Fwos%2Fwoscc%2Ffull-record%2FWOS:000434838300005" TargetMode="External"/><Relationship Id="rId679" Type="http://schemas.openxmlformats.org/officeDocument/2006/relationships/hyperlink" Target="https%3A%2F%2Fwww.webofscience.com%2Fwos%2Fwoscc%2Ffull-record%2FWOS:000451688700021" TargetMode="External"/><Relationship Id="rId886" Type="http://schemas.openxmlformats.org/officeDocument/2006/relationships/hyperlink" Target="http://dx.doi.org/10.15405/epsbs.2021.07.02.45" TargetMode="External"/><Relationship Id="rId2" Type="http://schemas.openxmlformats.org/officeDocument/2006/relationships/hyperlink" Target="http://dx.doi.org/10.1016/j.jocs.2022.101609" TargetMode="External"/><Relationship Id="rId441" Type="http://schemas.openxmlformats.org/officeDocument/2006/relationships/hyperlink" Target="https%3A%2F%2Fwww.webofscience.com%2Fwos%2Fwoscc%2Ffull-record%2FWOS:000496533000013" TargetMode="External"/><Relationship Id="rId539" Type="http://schemas.openxmlformats.org/officeDocument/2006/relationships/hyperlink" Target="https%3A%2F%2Fwww.webofscience.com%2Fwos%2Fwoscc%2Ffull-record%2FWOS:A1996XD81500008" TargetMode="External"/><Relationship Id="rId746" Type="http://schemas.openxmlformats.org/officeDocument/2006/relationships/hyperlink" Target="https%3A%2F%2Fwww.webofscience.com%2Fwos%2Fwoscc%2Ffull-record%2FWOS:000245667100006" TargetMode="External"/><Relationship Id="rId1071" Type="http://schemas.openxmlformats.org/officeDocument/2006/relationships/hyperlink" Target="https%3A%2F%2Fwww.webofscience.com%2Fwos%2Fwoscc%2Ffull-record%2FWOS:000471617300015" TargetMode="External"/><Relationship Id="rId1169" Type="http://schemas.openxmlformats.org/officeDocument/2006/relationships/hyperlink" Target="http://dx.doi.org/10.15826/izv2.2020.22.4.072" TargetMode="External"/><Relationship Id="rId1376" Type="http://schemas.openxmlformats.org/officeDocument/2006/relationships/hyperlink" Target="http://dx.doi.org/10.1007/s11175-005-0118-8" TargetMode="External"/><Relationship Id="rId1583" Type="http://schemas.openxmlformats.org/officeDocument/2006/relationships/hyperlink" Target="http://dx.doi.org/10.17223/19996195/53/14" TargetMode="External"/><Relationship Id="rId2122" Type="http://schemas.openxmlformats.org/officeDocument/2006/relationships/hyperlink" Target="https%3A%2F%2Fwww.webofscience.com%2Fwos%2Fwoscc%2Ffull-record%2FWOS:000468564500011" TargetMode="External"/><Relationship Id="rId2427" Type="http://schemas.openxmlformats.org/officeDocument/2006/relationships/hyperlink" Target="http://dx.doi.org/10.3991/ijet.v15i13.14663" TargetMode="External"/><Relationship Id="rId301" Type="http://schemas.openxmlformats.org/officeDocument/2006/relationships/hyperlink" Target="https%3A%2F%2Fwww.webofscience.com%2Fwos%2Fwoscc%2Ffull-record%2FWOS:000403604400156" TargetMode="External"/><Relationship Id="rId953" Type="http://schemas.openxmlformats.org/officeDocument/2006/relationships/hyperlink" Target="https%3A%2F%2Fwww.webofscience.com%2Fwos%2Fwoscc%2Ffull-record%2FWOS:A1994QA42800002" TargetMode="External"/><Relationship Id="rId1029" Type="http://schemas.openxmlformats.org/officeDocument/2006/relationships/hyperlink" Target="http://dx.doi.org/10.1007/978-3-030-50097-9_16" TargetMode="External"/><Relationship Id="rId1236" Type="http://schemas.openxmlformats.org/officeDocument/2006/relationships/hyperlink" Target="https%3A%2F%2Fwww.webofscience.com%2Fwos%2Fwoscc%2Ffull-record%2FWOS:000415952700018" TargetMode="External"/><Relationship Id="rId1790" Type="http://schemas.openxmlformats.org/officeDocument/2006/relationships/hyperlink" Target="https%3A%2F%2Fwww.webofscience.com%2Fwos%2Fwoscc%2Ffull-record%2FWOS:000468390900016" TargetMode="External"/><Relationship Id="rId1888" Type="http://schemas.openxmlformats.org/officeDocument/2006/relationships/hyperlink" Target="https%3A%2F%2Fwww.webofscience.com%2Fwos%2Fwoscc%2Ffull-record%2FWOS:000404607800009" TargetMode="External"/><Relationship Id="rId82" Type="http://schemas.openxmlformats.org/officeDocument/2006/relationships/hyperlink" Target="http://dx.doi.org/10.33407/itlt.v86i6.4320" TargetMode="External"/><Relationship Id="rId606" Type="http://schemas.openxmlformats.org/officeDocument/2006/relationships/hyperlink" Target="https%3A%2F%2Fwww.webofscience.com%2Fwos%2Fwoscc%2Ffull-record%2FWOS:000249259800010" TargetMode="External"/><Relationship Id="rId813" Type="http://schemas.openxmlformats.org/officeDocument/2006/relationships/hyperlink" Target="http://dx.doi.org/10.17853/1994-5639-2018-3-53-82" TargetMode="External"/><Relationship Id="rId1443" Type="http://schemas.openxmlformats.org/officeDocument/2006/relationships/hyperlink" Target="https%3A%2F%2Fwww.webofscience.com%2Fwos%2Fwoscc%2Ffull-record%2FWOS:000701397800051" TargetMode="External"/><Relationship Id="rId1650" Type="http://schemas.openxmlformats.org/officeDocument/2006/relationships/hyperlink" Target="http://dx.doi.org/10.1111/tan.15034" TargetMode="External"/><Relationship Id="rId1748" Type="http://schemas.openxmlformats.org/officeDocument/2006/relationships/hyperlink" Target="http://dx.doi.org/10.13187/ejced.2019.1.187" TargetMode="External"/><Relationship Id="rId1303" Type="http://schemas.openxmlformats.org/officeDocument/2006/relationships/hyperlink" Target="http://dx.doi.org/10.3897/ap.1.e0040" TargetMode="External"/><Relationship Id="rId1510" Type="http://schemas.openxmlformats.org/officeDocument/2006/relationships/hyperlink" Target="https%3A%2F%2Fwww.webofscience.com%2Fwos%2Fwoscc%2Ffull-record%2FWOS:000504843000014" TargetMode="External"/><Relationship Id="rId1955" Type="http://schemas.openxmlformats.org/officeDocument/2006/relationships/hyperlink" Target="http://dx.doi.org/10.1007/978-3-319-60696-5_62" TargetMode="External"/><Relationship Id="rId1608" Type="http://schemas.openxmlformats.org/officeDocument/2006/relationships/hyperlink" Target="https%3A%2F%2Fwww.webofscience.com%2Fwos%2Fwoscc%2Ffull-record%2FWOS:000446952000087" TargetMode="External"/><Relationship Id="rId1815" Type="http://schemas.openxmlformats.org/officeDocument/2006/relationships/hyperlink" Target="http://dx.doi.org/10.1111/tan.14617" TargetMode="External"/><Relationship Id="rId189" Type="http://schemas.openxmlformats.org/officeDocument/2006/relationships/hyperlink" Target="https%3A%2F%2Fwww.webofscience.com%2Fwos%2Fwoscc%2Ffull-record%2FWOS:000727809000024" TargetMode="External"/><Relationship Id="rId396" Type="http://schemas.openxmlformats.org/officeDocument/2006/relationships/hyperlink" Target="http://dx.doi.org/10.21638/11701/spbu02.2021.114" TargetMode="External"/><Relationship Id="rId2077" Type="http://schemas.openxmlformats.org/officeDocument/2006/relationships/hyperlink" Target="https%3A%2F%2Fwww.webofscience.com%2Fwos%2Fwoscc%2Ffull-record%2FWOS:000583783100035" TargetMode="External"/><Relationship Id="rId2284" Type="http://schemas.openxmlformats.org/officeDocument/2006/relationships/hyperlink" Target="http://dx.doi.org/10.1134/S0036029518130153" TargetMode="External"/><Relationship Id="rId2491" Type="http://schemas.openxmlformats.org/officeDocument/2006/relationships/hyperlink" Target="http://dx.doi.org/10.1016/j.ceramint.2022.08.115" TargetMode="External"/><Relationship Id="rId256" Type="http://schemas.openxmlformats.org/officeDocument/2006/relationships/hyperlink" Target="https%3A%2F%2Fwww.webofscience.com%2Fwos%2Fwoscc%2Ffull-record%2FWOS:000500733100006" TargetMode="External"/><Relationship Id="rId463" Type="http://schemas.openxmlformats.org/officeDocument/2006/relationships/hyperlink" Target="https%3A%2F%2Fwww.webofscience.com%2Fwos%2Fwoscc%2Ffull-record%2FWOS:000313402500011" TargetMode="External"/><Relationship Id="rId670" Type="http://schemas.openxmlformats.org/officeDocument/2006/relationships/hyperlink" Target="https%3A%2F%2Fwww.webofscience.com%2Fwos%2Fwoscc%2Ffull-record%2FWOS:000553304904024" TargetMode="External"/><Relationship Id="rId1093" Type="http://schemas.openxmlformats.org/officeDocument/2006/relationships/hyperlink" Target="http://dx.doi.org/10.1134/S1070427213060116" TargetMode="External"/><Relationship Id="rId2144" Type="http://schemas.openxmlformats.org/officeDocument/2006/relationships/hyperlink" Target="https%3A%2F%2Fwww.webofscience.com%2Fwos%2Fwoscc%2Ffull-record%2FWOS:000419816700138" TargetMode="External"/><Relationship Id="rId2351" Type="http://schemas.openxmlformats.org/officeDocument/2006/relationships/hyperlink" Target="http://dx.doi.org/10.1109/WAINA.2017.116" TargetMode="External"/><Relationship Id="rId116" Type="http://schemas.openxmlformats.org/officeDocument/2006/relationships/hyperlink" Target="http://dx.doi.org/10.1134/S1062359019060116" TargetMode="External"/><Relationship Id="rId323" Type="http://schemas.openxmlformats.org/officeDocument/2006/relationships/hyperlink" Target="http://dx.doi.org/10.17223/15617793/434/26" TargetMode="External"/><Relationship Id="rId530" Type="http://schemas.openxmlformats.org/officeDocument/2006/relationships/hyperlink" Target="http://dx.doi.org/10.1504/IJDMB.2014.060049" TargetMode="External"/><Relationship Id="rId768" Type="http://schemas.openxmlformats.org/officeDocument/2006/relationships/hyperlink" Target="https%3A%2F%2Fwww.webofscience.com%2Fwos%2Fwoscc%2Ffull-record%2FWOS:000490858200035" TargetMode="External"/><Relationship Id="rId975" Type="http://schemas.openxmlformats.org/officeDocument/2006/relationships/hyperlink" Target="https%3A%2F%2Fwww.webofscience.com%2Fwos%2Fwoscc%2Ffull-record%2FWOS:000607240300166" TargetMode="External"/><Relationship Id="rId1160" Type="http://schemas.openxmlformats.org/officeDocument/2006/relationships/hyperlink" Target="http://dx.doi.org/10.37358/MP.22.1.5555" TargetMode="External"/><Relationship Id="rId1398" Type="http://schemas.openxmlformats.org/officeDocument/2006/relationships/hyperlink" Target="https%3A%2F%2Fwww.webofscience.com%2Fwos%2Fwoscc%2Ffull-record%2FWOS:000592987700002" TargetMode="External"/><Relationship Id="rId2004" Type="http://schemas.openxmlformats.org/officeDocument/2006/relationships/hyperlink" Target="http://dx.doi.org/10.22616/ERDev.2020.19.TF334" TargetMode="External"/><Relationship Id="rId2211" Type="http://schemas.openxmlformats.org/officeDocument/2006/relationships/hyperlink" Target="http://dx.doi.org/10.12973/eurasia.2017.00698a" TargetMode="External"/><Relationship Id="rId2449" Type="http://schemas.openxmlformats.org/officeDocument/2006/relationships/hyperlink" Target="http://dx.doi.org/10.12973/ejmste/80613" TargetMode="External"/><Relationship Id="rId628" Type="http://schemas.openxmlformats.org/officeDocument/2006/relationships/hyperlink" Target="https%3A%2F%2Fwww.webofscience.com%2Fwos%2Fwoscc%2Ffull-record%2FWOS:000464215200015" TargetMode="External"/><Relationship Id="rId835" Type="http://schemas.openxmlformats.org/officeDocument/2006/relationships/hyperlink" Target="https%3A%2F%2Fwww.webofscience.com%2Fwos%2Fwoscc%2Ffull-record%2FWOS:000615787800022" TargetMode="External"/><Relationship Id="rId1258" Type="http://schemas.openxmlformats.org/officeDocument/2006/relationships/hyperlink" Target="https%3A%2F%2Fwww.webofscience.com%2Fwos%2Fwoscc%2Ffull-record%2FWOS:000444121400012" TargetMode="External"/><Relationship Id="rId1465" Type="http://schemas.openxmlformats.org/officeDocument/2006/relationships/hyperlink" Target="https%3A%2F%2Fwww.webofscience.com%2Fwos%2Fwoscc%2Ffull-record%2FWOS:000485750300005" TargetMode="External"/><Relationship Id="rId1672" Type="http://schemas.openxmlformats.org/officeDocument/2006/relationships/hyperlink" Target="http://dx.doi.org/10.15405/epsbs.2017.08.02.4" TargetMode="External"/><Relationship Id="rId2309" Type="http://schemas.openxmlformats.org/officeDocument/2006/relationships/hyperlink" Target="https%3A%2F%2Fwww.webofscience.com%2Fwos%2Fwoscc%2Ffull-record%2FWOS:000468564900011" TargetMode="External"/><Relationship Id="rId1020" Type="http://schemas.openxmlformats.org/officeDocument/2006/relationships/hyperlink" Target="http://dx.doi.org/10.17223/23062061/22/8" TargetMode="External"/><Relationship Id="rId1118" Type="http://schemas.openxmlformats.org/officeDocument/2006/relationships/hyperlink" Target="https%3A%2F%2Fwww.webofscience.com%2Fwos%2Fwoscc%2Ffull-record%2FWOS:000624287900039" TargetMode="External"/><Relationship Id="rId1325" Type="http://schemas.openxmlformats.org/officeDocument/2006/relationships/hyperlink" Target="https%3A%2F%2Fwww.webofscience.com%2Fwos%2Fwoscc%2Ffull-record%2FWOS:000755154100019" TargetMode="External"/><Relationship Id="rId1532" Type="http://schemas.openxmlformats.org/officeDocument/2006/relationships/hyperlink" Target="https%3A%2F%2Fwww.webofscience.com%2Fwos%2Fwoscc%2Ffull-record%2FWOS:000468565900003" TargetMode="External"/><Relationship Id="rId1977" Type="http://schemas.openxmlformats.org/officeDocument/2006/relationships/hyperlink" Target="https%3A%2F%2Fwww.webofscience.com%2Fwos%2Fwoscc%2Ffull-record%2FWOS:000588093700211" TargetMode="External"/><Relationship Id="rId902" Type="http://schemas.openxmlformats.org/officeDocument/2006/relationships/hyperlink" Target="https%3A%2F%2Fwww.webofscience.com%2Fwos%2Fwoscc%2Ffull-record%2FWOS:000454987400002" TargetMode="External"/><Relationship Id="rId1837" Type="http://schemas.openxmlformats.org/officeDocument/2006/relationships/hyperlink" Target="http://dx.doi.org/10.53350/pjmhs211592651" TargetMode="External"/><Relationship Id="rId31" Type="http://schemas.openxmlformats.org/officeDocument/2006/relationships/hyperlink" Target="http://dx.doi.org/10.15405/epsbs.2017.08.02.55" TargetMode="External"/><Relationship Id="rId2099" Type="http://schemas.openxmlformats.org/officeDocument/2006/relationships/hyperlink" Target="http://dx.doi.org/10.25750/1995-4301-2021-2-013-021" TargetMode="External"/><Relationship Id="rId180" Type="http://schemas.openxmlformats.org/officeDocument/2006/relationships/hyperlink" Target="https%3A%2F%2Fwww.webofscience.com%2Fwos%2Fwoscc%2Ffull-record%2FWOS:000238267100012" TargetMode="External"/><Relationship Id="rId278" Type="http://schemas.openxmlformats.org/officeDocument/2006/relationships/hyperlink" Target="http://dx.doi.org/10.34910/MCE.107.7" TargetMode="External"/><Relationship Id="rId1904" Type="http://schemas.openxmlformats.org/officeDocument/2006/relationships/hyperlink" Target="http://dx.doi.org/10.25750/1995-4301-2019-3-034-040" TargetMode="External"/><Relationship Id="rId485" Type="http://schemas.openxmlformats.org/officeDocument/2006/relationships/hyperlink" Target="https%3A%2F%2Fwww.webofscience.com%2Fwos%2Fwoscc%2Ffull-record%2FWOS:000513895200002" TargetMode="External"/><Relationship Id="rId692" Type="http://schemas.openxmlformats.org/officeDocument/2006/relationships/hyperlink" Target="https%3A%2F%2Fwww.webofscience.com%2Fwos%2Fwoscc%2Ffull-record%2FWOS:000183347900008" TargetMode="External"/><Relationship Id="rId2166" Type="http://schemas.openxmlformats.org/officeDocument/2006/relationships/hyperlink" Target="https%3A%2F%2Fwww.webofscience.com%2Fwos%2Fwoscc%2Ffull-record%2FWOS:000755154100028" TargetMode="External"/><Relationship Id="rId2373" Type="http://schemas.openxmlformats.org/officeDocument/2006/relationships/hyperlink" Target="http://dx.doi.org/10.25750/1995-4301-2019-1-111-115" TargetMode="External"/><Relationship Id="rId138" Type="http://schemas.openxmlformats.org/officeDocument/2006/relationships/hyperlink" Target="http://dx.doi.org/10.1134/S1995425520030105" TargetMode="External"/><Relationship Id="rId345" Type="http://schemas.openxmlformats.org/officeDocument/2006/relationships/hyperlink" Target="http://dx.doi.org/10.1023/A:1023833111833" TargetMode="External"/><Relationship Id="rId552" Type="http://schemas.openxmlformats.org/officeDocument/2006/relationships/hyperlink" Target="http://dx.doi.org/10.17223/19988613/63/13" TargetMode="External"/><Relationship Id="rId997" Type="http://schemas.openxmlformats.org/officeDocument/2006/relationships/hyperlink" Target="https%3A%2F%2Fwww.webofscience.com%2Fwos%2Fwoscc%2Ffull-record%2FWOS:000310830000002" TargetMode="External"/><Relationship Id="rId1182" Type="http://schemas.openxmlformats.org/officeDocument/2006/relationships/hyperlink" Target="https%3A%2F%2Fwww.webofscience.com%2Fwos%2Fwoscc%2Ffull-record%2FWOS:000555691800014" TargetMode="External"/><Relationship Id="rId2026" Type="http://schemas.openxmlformats.org/officeDocument/2006/relationships/hyperlink" Target="http://dx.doi.org/10.1016/j.carbpol.2019.03.087" TargetMode="External"/><Relationship Id="rId2233" Type="http://schemas.openxmlformats.org/officeDocument/2006/relationships/hyperlink" Target="http://dx.doi.org/10.5281/zenodo.3262155" TargetMode="External"/><Relationship Id="rId2440" Type="http://schemas.openxmlformats.org/officeDocument/2006/relationships/hyperlink" Target="https%3A%2F%2Fwww.webofscience.com%2Fwos%2Fwoscc%2Ffull-record%2FWOS:000364160200006" TargetMode="External"/><Relationship Id="rId205" Type="http://schemas.openxmlformats.org/officeDocument/2006/relationships/hyperlink" Target="http://dx.doi.org/10.17223/19988613/62/9" TargetMode="External"/><Relationship Id="rId412" Type="http://schemas.openxmlformats.org/officeDocument/2006/relationships/hyperlink" Target="http://dx.doi.org/10.17223/19986645/51/13" TargetMode="External"/><Relationship Id="rId857" Type="http://schemas.openxmlformats.org/officeDocument/2006/relationships/hyperlink" Target="https%3A%2F%2Fwww.webofscience.com%2Fwos%2Fwoscc%2Ffull-record%2FWOS:000476644400002" TargetMode="External"/><Relationship Id="rId1042" Type="http://schemas.openxmlformats.org/officeDocument/2006/relationships/hyperlink" Target="https%3A%2F%2Fwww.webofscience.com%2Fwos%2Fwoscc%2Ffull-record%2FWOS:000406398900015" TargetMode="External"/><Relationship Id="rId1487" Type="http://schemas.openxmlformats.org/officeDocument/2006/relationships/hyperlink" Target="http://dx.doi.org/10.17223/15617793/476/13" TargetMode="External"/><Relationship Id="rId1694" Type="http://schemas.openxmlformats.org/officeDocument/2006/relationships/hyperlink" Target="https%3A%2F%2Fwww.webofscience.com%2Fwos%2Fwoscc%2Ffull-record%2FWOS:000955728700001" TargetMode="External"/><Relationship Id="rId2300" Type="http://schemas.openxmlformats.org/officeDocument/2006/relationships/hyperlink" Target="http://dx.doi.org/10.1134/S1064229313020026" TargetMode="External"/><Relationship Id="rId717" Type="http://schemas.openxmlformats.org/officeDocument/2006/relationships/hyperlink" Target="https%3A%2F%2Fwww.webofscience.com%2Fwos%2Fwoscc%2Ffull-record%2FWOS:000518856900015" TargetMode="External"/><Relationship Id="rId924" Type="http://schemas.openxmlformats.org/officeDocument/2006/relationships/hyperlink" Target="https%3A%2F%2Fwww.webofscience.com%2Fwos%2Fwoscc%2Ffull-record%2FWOS:000559957200058" TargetMode="External"/><Relationship Id="rId1347" Type="http://schemas.openxmlformats.org/officeDocument/2006/relationships/hyperlink" Target="https%3A%2F%2Fwww.webofscience.com%2Fwos%2Fwoscc%2Ffull-record%2FWOS:000591585000003" TargetMode="External"/><Relationship Id="rId1554" Type="http://schemas.openxmlformats.org/officeDocument/2006/relationships/hyperlink" Target="http://dx.doi.org/10.3103/S1066369X2302007X" TargetMode="External"/><Relationship Id="rId1761" Type="http://schemas.openxmlformats.org/officeDocument/2006/relationships/hyperlink" Target="https%3A%2F%2Fwww.webofscience.com%2Fwos%2Fwoscc%2Ffull-record%2FWOS:000961369300015" TargetMode="External"/><Relationship Id="rId1999" Type="http://schemas.openxmlformats.org/officeDocument/2006/relationships/hyperlink" Target="https%3A%2F%2Fwww.webofscience.com%2Fwos%2Fwoscc%2Ffull-record%2FWOS:000569050000241" TargetMode="External"/><Relationship Id="rId53" Type="http://schemas.openxmlformats.org/officeDocument/2006/relationships/hyperlink" Target="https%3A%2F%2Fwww.webofscience.com%2Fwos%2Fwoscc%2Ffull-record%2FWOS:000590125300040" TargetMode="External"/><Relationship Id="rId1207" Type="http://schemas.openxmlformats.org/officeDocument/2006/relationships/hyperlink" Target="http://dx.doi.org/10.17223/15617793/484/18" TargetMode="External"/><Relationship Id="rId1414" Type="http://schemas.openxmlformats.org/officeDocument/2006/relationships/hyperlink" Target="http://dx.doi.org/10.1134/S1087659607040116" TargetMode="External"/><Relationship Id="rId1621" Type="http://schemas.openxmlformats.org/officeDocument/2006/relationships/hyperlink" Target="https%3A%2F%2Fwww.webofscience.com%2Fwos%2Fwoscc%2Ffull-record%2FWOS:000476933600146" TargetMode="External"/><Relationship Id="rId1859" Type="http://schemas.openxmlformats.org/officeDocument/2006/relationships/hyperlink" Target="https%3A%2F%2Fwww.webofscience.com%2Fwos%2Fwoscc%2Ffull-record%2FWOS:000535381800001" TargetMode="External"/><Relationship Id="rId1719" Type="http://schemas.openxmlformats.org/officeDocument/2006/relationships/hyperlink" Target="http://dx.doi.org/10.4103/jehp.jehp_413_21" TargetMode="External"/><Relationship Id="rId1926" Type="http://schemas.openxmlformats.org/officeDocument/2006/relationships/hyperlink" Target="https%3A%2F%2Fwww.webofscience.com%2Fwos%2Fwoscc%2Ffull-record%2FWOS:000332812600072" TargetMode="External"/><Relationship Id="rId2090" Type="http://schemas.openxmlformats.org/officeDocument/2006/relationships/hyperlink" Target="http://dx.doi.org/10.25750/1995-4301-2022-2-035-041" TargetMode="External"/><Relationship Id="rId2188" Type="http://schemas.openxmlformats.org/officeDocument/2006/relationships/hyperlink" Target="https%3A%2F%2Fwww.webofscience.com%2Fwos%2Fwoscc%2Ffull-record%2FWOS:000331650800006" TargetMode="External"/><Relationship Id="rId2395" Type="http://schemas.openxmlformats.org/officeDocument/2006/relationships/hyperlink" Target="https%3A%2F%2Fwww.webofscience.com%2Fwos%2Fwoscc%2Ffull-record%2FWOS:000571063100076" TargetMode="External"/><Relationship Id="rId367" Type="http://schemas.openxmlformats.org/officeDocument/2006/relationships/hyperlink" Target="https%3A%2F%2Fwww.webofscience.com%2Fwos%2Fwoscc%2Ffull-record%2FWOS:000593141100008" TargetMode="External"/><Relationship Id="rId574" Type="http://schemas.openxmlformats.org/officeDocument/2006/relationships/hyperlink" Target="https%3A%2F%2Fwww.webofscience.com%2Fwos%2Fwoscc%2Ffull-record%2FWOS:000410460100004" TargetMode="External"/><Relationship Id="rId2048" Type="http://schemas.openxmlformats.org/officeDocument/2006/relationships/hyperlink" Target="http://dx.doi.org/10.1016/j.scitotenv.2020.137920" TargetMode="External"/><Relationship Id="rId2255" Type="http://schemas.openxmlformats.org/officeDocument/2006/relationships/hyperlink" Target="https%3A%2F%2Fwww.webofscience.com%2Fwos%2Fwoscc%2Ffull-record%2FWOS:000937072100037" TargetMode="External"/><Relationship Id="rId227" Type="http://schemas.openxmlformats.org/officeDocument/2006/relationships/hyperlink" Target="https%3A%2F%2Fwww.webofscience.com%2Fwos%2Fwoscc%2Ffull-record%2FWOS:000734088800009" TargetMode="External"/><Relationship Id="rId781" Type="http://schemas.openxmlformats.org/officeDocument/2006/relationships/hyperlink" Target="https%3A%2F%2Fwww.webofscience.com%2Fwos%2Fwoscc%2Ffull-record%2FWOS:000296675600009" TargetMode="External"/><Relationship Id="rId879" Type="http://schemas.openxmlformats.org/officeDocument/2006/relationships/hyperlink" Target="https%3A%2F%2Fwww.webofscience.com%2Fwos%2Fwoscc%2Ffull-record%2FWOS:000904633900001" TargetMode="External"/><Relationship Id="rId2462" Type="http://schemas.openxmlformats.org/officeDocument/2006/relationships/hyperlink" Target="https%3A%2F%2Fwww.webofscience.com%2Fwos%2Fwoscc%2Ffull-record%2FWOS:000406973000007" TargetMode="External"/><Relationship Id="rId434" Type="http://schemas.openxmlformats.org/officeDocument/2006/relationships/hyperlink" Target="https%3A%2F%2Fwww.webofscience.com%2Fwos%2Fwoscc%2Ffull-record%2FWOS:000667025400033" TargetMode="External"/><Relationship Id="rId641" Type="http://schemas.openxmlformats.org/officeDocument/2006/relationships/hyperlink" Target="http://dx.doi.org/10.1016/j.proeng.2016.11.808" TargetMode="External"/><Relationship Id="rId739" Type="http://schemas.openxmlformats.org/officeDocument/2006/relationships/hyperlink" Target="http://dx.doi.org/10.1007/978-3-319-60696-5_51" TargetMode="External"/><Relationship Id="rId1064" Type="http://schemas.openxmlformats.org/officeDocument/2006/relationships/hyperlink" Target="http://dx.doi.org/10.17853/1994-5639-2020-1-113-145" TargetMode="External"/><Relationship Id="rId1271" Type="http://schemas.openxmlformats.org/officeDocument/2006/relationships/hyperlink" Target="https%3A%2F%2Fwww.webofscience.com%2Fwos%2Fwoscc%2Ffull-record%2FWOS:000372373900016" TargetMode="External"/><Relationship Id="rId1369" Type="http://schemas.openxmlformats.org/officeDocument/2006/relationships/hyperlink" Target="https%3A%2F%2Fwww.webofscience.com%2Fwos%2Fwoscc%2Ffull-record%2FWOS:000468565900018" TargetMode="External"/><Relationship Id="rId1576" Type="http://schemas.openxmlformats.org/officeDocument/2006/relationships/hyperlink" Target="https%3A%2F%2Fwww.webofscience.com%2Fwos%2Fwoscc%2Ffull-record%2FWOS:000961369300014" TargetMode="External"/><Relationship Id="rId2115" Type="http://schemas.openxmlformats.org/officeDocument/2006/relationships/hyperlink" Target="http://dx.doi.org/10.3390/polym14235283" TargetMode="External"/><Relationship Id="rId2322" Type="http://schemas.openxmlformats.org/officeDocument/2006/relationships/hyperlink" Target="https%3A%2F%2Fwww.webofscience.com%2Fwos%2Fwoscc%2Ffull-record%2FWOS:000934358700003" TargetMode="External"/><Relationship Id="rId501" Type="http://schemas.openxmlformats.org/officeDocument/2006/relationships/hyperlink" Target="http://dx.doi.org/10.1134/S1087659609030158" TargetMode="External"/><Relationship Id="rId946" Type="http://schemas.openxmlformats.org/officeDocument/2006/relationships/hyperlink" Target="http://dx.doi.org/10.1134/S1087659609010118" TargetMode="External"/><Relationship Id="rId1131" Type="http://schemas.openxmlformats.org/officeDocument/2006/relationships/hyperlink" Target="http://dx.doi.org/10.31166/VoprosyIstorii201908Statyil6" TargetMode="External"/><Relationship Id="rId1229" Type="http://schemas.openxmlformats.org/officeDocument/2006/relationships/hyperlink" Target="http://dx.doi.org/10.1134/S1087659608060096" TargetMode="External"/><Relationship Id="rId1783" Type="http://schemas.openxmlformats.org/officeDocument/2006/relationships/hyperlink" Target="http://dx.doi.org/10.13187/ejced.2021.2.462" TargetMode="External"/><Relationship Id="rId1990" Type="http://schemas.openxmlformats.org/officeDocument/2006/relationships/hyperlink" Target="http://dx.doi.org/10.25750/1995-4301-2020-1-160-166" TargetMode="External"/><Relationship Id="rId75" Type="http://schemas.openxmlformats.org/officeDocument/2006/relationships/hyperlink" Target="https%3A%2F%2Fwww.webofscience.com%2Fwos%2Fwoscc%2Ffull-record%2FWOS:000931841200001" TargetMode="External"/><Relationship Id="rId806" Type="http://schemas.openxmlformats.org/officeDocument/2006/relationships/hyperlink" Target="https%3A%2F%2Fwww.webofscience.com%2Fwos%2Fwoscc%2Ffull-record%2FWOS:000530164600001" TargetMode="External"/><Relationship Id="rId1436" Type="http://schemas.openxmlformats.org/officeDocument/2006/relationships/hyperlink" Target="https%3A%2F%2Fwww.webofscience.com%2Fwos%2Fwoscc%2Ffull-record%2FWOS:000762015700001" TargetMode="External"/><Relationship Id="rId1643" Type="http://schemas.openxmlformats.org/officeDocument/2006/relationships/hyperlink" Target="https%3A%2F%2Fwww.webofscience.com%2Fwos%2Fwoscc%2Ffull-record%2FWOS:000581055000008" TargetMode="External"/><Relationship Id="rId1850" Type="http://schemas.openxmlformats.org/officeDocument/2006/relationships/hyperlink" Target="http://dx.doi.org/10.18721/JPM.11110" TargetMode="External"/><Relationship Id="rId1503" Type="http://schemas.openxmlformats.org/officeDocument/2006/relationships/hyperlink" Target="https%3A%2F%2Fwww.webofscience.com%2Fwos%2Fwoscc%2Ffull-record%2FWOS:000360935200003" TargetMode="External"/><Relationship Id="rId1710" Type="http://schemas.openxmlformats.org/officeDocument/2006/relationships/hyperlink" Target="http://dx.doi.org/10.15405/epsbs.2020.12.03.36" TargetMode="External"/><Relationship Id="rId1948" Type="http://schemas.openxmlformats.org/officeDocument/2006/relationships/hyperlink" Target="https%3A%2F%2Fwww.webofscience.com%2Fwos%2Fwoscc%2Ffull-record%2FWOS:000667025400012" TargetMode="External"/><Relationship Id="rId291" Type="http://schemas.openxmlformats.org/officeDocument/2006/relationships/hyperlink" Target="https%3A%2F%2Fwww.webofscience.com%2Fwos%2Fwoscc%2Ffull-record%2FWOS:000611787800012" TargetMode="External"/><Relationship Id="rId1808" Type="http://schemas.openxmlformats.org/officeDocument/2006/relationships/hyperlink" Target="https%3A%2F%2Fwww.webofscience.com%2Fwos%2Fwoscc%2Ffull-record%2FWOS:000492154000001" TargetMode="External"/><Relationship Id="rId151" Type="http://schemas.openxmlformats.org/officeDocument/2006/relationships/hyperlink" Target="http://dx.doi.org/10.6060/ivkkt.20196209.5920" TargetMode="External"/><Relationship Id="rId389" Type="http://schemas.openxmlformats.org/officeDocument/2006/relationships/hyperlink" Target="https%3A%2F%2Fwww.webofscience.com%2Fwos%2Fwoscc%2Ffull-record%2FWOS:A1996WH88100004" TargetMode="External"/><Relationship Id="rId596" Type="http://schemas.openxmlformats.org/officeDocument/2006/relationships/hyperlink" Target="https%3A%2F%2Fwww.webofscience.com%2Fwos%2Fwoscc%2Ffull-record%2FWOS:000431046900008" TargetMode="External"/><Relationship Id="rId2277" Type="http://schemas.openxmlformats.org/officeDocument/2006/relationships/hyperlink" Target="https%3A%2F%2Fwww.webofscience.com%2Fwos%2Fwoscc%2Ffull-record%2FWOS:000419816700139" TargetMode="External"/><Relationship Id="rId2484" Type="http://schemas.openxmlformats.org/officeDocument/2006/relationships/hyperlink" Target="http://dx.doi.org/10.3103/S1068366621030132" TargetMode="External"/><Relationship Id="rId249" Type="http://schemas.openxmlformats.org/officeDocument/2006/relationships/hyperlink" Target="http://dx.doi.org/10.1134/S0036024411030204" TargetMode="External"/><Relationship Id="rId456" Type="http://schemas.openxmlformats.org/officeDocument/2006/relationships/hyperlink" Target="https%3A%2F%2Fwww.webofscience.com%2Fwos%2Fwoscc%2Ffull-record%2FWOS:000424078500226" TargetMode="External"/><Relationship Id="rId663" Type="http://schemas.openxmlformats.org/officeDocument/2006/relationships/hyperlink" Target="http://dx.doi.org/10.17072/2219-3111-2020-1-167-178" TargetMode="External"/><Relationship Id="rId870" Type="http://schemas.openxmlformats.org/officeDocument/2006/relationships/hyperlink" Target="https%3A%2F%2Fwww.webofscience.com%2Fwos%2Fwoscc%2Ffull-record%2FWOS:000267670800010" TargetMode="External"/><Relationship Id="rId1086" Type="http://schemas.openxmlformats.org/officeDocument/2006/relationships/hyperlink" Target="https%3A%2F%2Fwww.webofscience.com%2Fwos%2Fwoscc%2Ffull-record%2FWOS:000449660800003" TargetMode="External"/><Relationship Id="rId1293" Type="http://schemas.openxmlformats.org/officeDocument/2006/relationships/hyperlink" Target="http://dx.doi.org/10.25750/1995-4301-2022-2-173-182" TargetMode="External"/><Relationship Id="rId2137" Type="http://schemas.openxmlformats.org/officeDocument/2006/relationships/hyperlink" Target="http://dx.doi.org/10.25750/1995-4301-2022-2-084-092" TargetMode="External"/><Relationship Id="rId2344" Type="http://schemas.openxmlformats.org/officeDocument/2006/relationships/hyperlink" Target="https%3A%2F%2Fwww.webofscience.com%2Fwos%2Fwoscc%2Ffull-record%2FWOS:000597810500022" TargetMode="External"/><Relationship Id="rId109" Type="http://schemas.openxmlformats.org/officeDocument/2006/relationships/hyperlink" Target="https%3A%2F%2Fwww.webofscience.com%2Fwos%2Fwoscc%2Ffull-record%2FWOS:000520832000004" TargetMode="External"/><Relationship Id="rId316" Type="http://schemas.openxmlformats.org/officeDocument/2006/relationships/hyperlink" Target="https%3A%2F%2Fwww.webofscience.com%2Fwos%2Fwoscc%2Ffull-record%2FWOS:000648432000047" TargetMode="External"/><Relationship Id="rId523" Type="http://schemas.openxmlformats.org/officeDocument/2006/relationships/hyperlink" Target="http://dx.doi.org/10.1134/S0036029518020076" TargetMode="External"/><Relationship Id="rId968" Type="http://schemas.openxmlformats.org/officeDocument/2006/relationships/hyperlink" Target="https%3A%2F%2Fwww.webofscience.com%2Fwos%2Fwoscc%2Ffull-record%2FWOS:000548170500008" TargetMode="External"/><Relationship Id="rId1153" Type="http://schemas.openxmlformats.org/officeDocument/2006/relationships/hyperlink" Target="http://dx.doi.org/10.1134/S0040579513020103" TargetMode="External"/><Relationship Id="rId1598" Type="http://schemas.openxmlformats.org/officeDocument/2006/relationships/hyperlink" Target="http://dx.doi.org/10.14529/mmp210206" TargetMode="External"/><Relationship Id="rId2204" Type="http://schemas.openxmlformats.org/officeDocument/2006/relationships/hyperlink" Target="https%3A%2F%2Fwww.webofscience.com%2Fwos%2Fwoscc%2Ffull-record%2FWOS:000820802000010" TargetMode="External"/><Relationship Id="rId97" Type="http://schemas.openxmlformats.org/officeDocument/2006/relationships/hyperlink" Target="https%3A%2F%2Fwww.webofscience.com%2Fwos%2Fwoscc%2Ffull-record%2FWOS:000386994400006" TargetMode="External"/><Relationship Id="rId730" Type="http://schemas.openxmlformats.org/officeDocument/2006/relationships/hyperlink" Target="https%3A%2F%2Fwww.webofscience.com%2Fwos%2Fwoscc%2Ffull-record%2FWOS:000446581900017" TargetMode="External"/><Relationship Id="rId828" Type="http://schemas.openxmlformats.org/officeDocument/2006/relationships/hyperlink" Target="http://dx.doi.org/10.1007/978-3-319-21909-7_5" TargetMode="External"/><Relationship Id="rId1013" Type="http://schemas.openxmlformats.org/officeDocument/2006/relationships/hyperlink" Target="https%3A%2F%2Fwww.webofscience.com%2Fwos%2Fwoscc%2Ffull-record%2FWOS:000740965900012" TargetMode="External"/><Relationship Id="rId1360" Type="http://schemas.openxmlformats.org/officeDocument/2006/relationships/hyperlink" Target="http://dx.doi.org/10.1051/matecconf/201817001044" TargetMode="External"/><Relationship Id="rId1458" Type="http://schemas.openxmlformats.org/officeDocument/2006/relationships/hyperlink" Target="http://dx.doi.org/10.3103/S1067821210040103" TargetMode="External"/><Relationship Id="rId1665" Type="http://schemas.openxmlformats.org/officeDocument/2006/relationships/hyperlink" Target="https%3A%2F%2Fwww.webofscience.com%2Fwos%2Fwoscc%2Ffull-record%2FWOS:000904767800001" TargetMode="External"/><Relationship Id="rId1872" Type="http://schemas.openxmlformats.org/officeDocument/2006/relationships/hyperlink" Target="http://dx.doi.org/10.1088/1755-1315/90/1/012218" TargetMode="External"/><Relationship Id="rId2411" Type="http://schemas.openxmlformats.org/officeDocument/2006/relationships/hyperlink" Target="http://dx.doi.org/10.25750/1995-4301-2018-2-117-124" TargetMode="External"/><Relationship Id="rId2509" Type="http://schemas.openxmlformats.org/officeDocument/2006/relationships/hyperlink" Target="https%3A%2F%2Fwww.webofscience.com%2Fwos%2Fwoscc%2Ffull-record%2FWOS:000723025300003" TargetMode="External"/><Relationship Id="rId1220" Type="http://schemas.openxmlformats.org/officeDocument/2006/relationships/hyperlink" Target="https%3A%2F%2Fwww.webofscience.com%2Fwos%2Fwoscc%2Ffull-record%2FWOS:000646592300008" TargetMode="External"/><Relationship Id="rId1318" Type="http://schemas.openxmlformats.org/officeDocument/2006/relationships/hyperlink" Target="http://dx.doi.org/10.1134/S1070427211010265" TargetMode="External"/><Relationship Id="rId1525" Type="http://schemas.openxmlformats.org/officeDocument/2006/relationships/hyperlink" Target="http://dx.doi.org/10.1134/S0020168506050049" TargetMode="External"/><Relationship Id="rId1732" Type="http://schemas.openxmlformats.org/officeDocument/2006/relationships/hyperlink" Target="http://dx.doi.org/10.13187/ejced.2021.2.358" TargetMode="External"/><Relationship Id="rId24" Type="http://schemas.openxmlformats.org/officeDocument/2006/relationships/hyperlink" Target="http://dx.doi.org/10.17853/1994-5639-2018-4-180-199" TargetMode="External"/><Relationship Id="rId2299" Type="http://schemas.openxmlformats.org/officeDocument/2006/relationships/hyperlink" Target="https%3A%2F%2Fwww.webofscience.com%2Fwos%2Fwoscc%2Ffull-record%2FWOS:000490704900008" TargetMode="External"/><Relationship Id="rId173" Type="http://schemas.openxmlformats.org/officeDocument/2006/relationships/hyperlink" Target="http://dx.doi.org/10.1134/S1070427212050195" TargetMode="External"/><Relationship Id="rId380" Type="http://schemas.openxmlformats.org/officeDocument/2006/relationships/hyperlink" Target="http://dx.doi.org/10.1134/S1087659612040025" TargetMode="External"/><Relationship Id="rId2061" Type="http://schemas.openxmlformats.org/officeDocument/2006/relationships/hyperlink" Target="https%3A%2F%2Fwww.webofscience.com%2Fwos%2Fwoscc%2Ffull-record%2FWOS:000736977300004" TargetMode="External"/><Relationship Id="rId240" Type="http://schemas.openxmlformats.org/officeDocument/2006/relationships/hyperlink" Target="http://dx.doi.org/10.1051/matecconf/201712901013" TargetMode="External"/><Relationship Id="rId478" Type="http://schemas.openxmlformats.org/officeDocument/2006/relationships/hyperlink" Target="http://dx.doi.org/10.21638/11701/spbu24.2022.106" TargetMode="External"/><Relationship Id="rId685" Type="http://schemas.openxmlformats.org/officeDocument/2006/relationships/hyperlink" Target="https%3A%2F%2Fwww.webofscience.com%2Fwos%2Fwoscc%2Ffull-record%2FWOS:000403604400157" TargetMode="External"/><Relationship Id="rId892" Type="http://schemas.openxmlformats.org/officeDocument/2006/relationships/hyperlink" Target="http://dx.doi.org/10.24224/2227-1295-2020-7-226-240" TargetMode="External"/><Relationship Id="rId2159" Type="http://schemas.openxmlformats.org/officeDocument/2006/relationships/hyperlink" Target="http://dx.doi.org/10.25750/1995-4301-2020-4-237-241" TargetMode="External"/><Relationship Id="rId2366" Type="http://schemas.openxmlformats.org/officeDocument/2006/relationships/hyperlink" Target="https%3A%2F%2Fwww.webofscience.com%2Fwos%2Fwoscc%2Ffull-record%2FWOS:000468565300015" TargetMode="External"/><Relationship Id="rId100" Type="http://schemas.openxmlformats.org/officeDocument/2006/relationships/hyperlink" Target="http://dx.doi.org/10.1134/S0036024411010286" TargetMode="External"/><Relationship Id="rId338" Type="http://schemas.openxmlformats.org/officeDocument/2006/relationships/hyperlink" Target="https%3A%2F%2Fwww.webofscience.com%2Fwos%2Fwoscc%2Ffull-record%2FWOS:000382527700042" TargetMode="External"/><Relationship Id="rId545" Type="http://schemas.openxmlformats.org/officeDocument/2006/relationships/hyperlink" Target="https%3A%2F%2Fwww.webofscience.com%2Fwos%2Fwoscc%2Ffull-record%2FWOS:000531047700003" TargetMode="External"/><Relationship Id="rId752" Type="http://schemas.openxmlformats.org/officeDocument/2006/relationships/hyperlink" Target="https%3A%2F%2Fwww.webofscience.com%2Fwos%2Fwoscc%2Ffull-record%2FWOS:000691270200015" TargetMode="External"/><Relationship Id="rId1175" Type="http://schemas.openxmlformats.org/officeDocument/2006/relationships/hyperlink" Target="http://dx.doi.org/10.3897/ap.1.e0422" TargetMode="External"/><Relationship Id="rId1382" Type="http://schemas.openxmlformats.org/officeDocument/2006/relationships/hyperlink" Target="http://dx.doi.org/10.1016/j.jallcom.2021.159692" TargetMode="External"/><Relationship Id="rId2019" Type="http://schemas.openxmlformats.org/officeDocument/2006/relationships/hyperlink" Target="https%3A%2F%2Fwww.webofscience.com%2Fwos%2Fwoscc%2Ffull-record%2FWOS:000739150200009" TargetMode="External"/><Relationship Id="rId2226" Type="http://schemas.openxmlformats.org/officeDocument/2006/relationships/hyperlink" Target="https%3A%2F%2Fwww.webofscience.com%2Fwos%2Fwoscc%2Ffull-record%2FWOS:000412513600003" TargetMode="External"/><Relationship Id="rId2433" Type="http://schemas.openxmlformats.org/officeDocument/2006/relationships/hyperlink" Target="http://dx.doi.org/10.7868/S0233475515030032" TargetMode="External"/><Relationship Id="rId405" Type="http://schemas.openxmlformats.org/officeDocument/2006/relationships/hyperlink" Target="https%3A%2F%2Fwww.webofscience.com%2Fwos%2Fwoscc%2Ffull-record%2FWOS:000591510800011" TargetMode="External"/><Relationship Id="rId612" Type="http://schemas.openxmlformats.org/officeDocument/2006/relationships/hyperlink" Target="http://dx.doi.org/10.1109/SIBCON50419.2021.9438931" TargetMode="External"/><Relationship Id="rId1035" Type="http://schemas.openxmlformats.org/officeDocument/2006/relationships/hyperlink" Target="http://dx.doi.org/10.15561/20755279.2019.0206" TargetMode="External"/><Relationship Id="rId1242" Type="http://schemas.openxmlformats.org/officeDocument/2006/relationships/hyperlink" Target="http://dx.doi.org/10.22616/ERDev2019.18.N053" TargetMode="External"/><Relationship Id="rId1687" Type="http://schemas.openxmlformats.org/officeDocument/2006/relationships/hyperlink" Target="http://dx.doi.org/10.1016/j.proeng.2015.06.029" TargetMode="External"/><Relationship Id="rId1894" Type="http://schemas.openxmlformats.org/officeDocument/2006/relationships/hyperlink" Target="http://dx.doi.org/10.15298/rusjtheriol.16.2.05" TargetMode="External"/><Relationship Id="rId2500" Type="http://schemas.openxmlformats.org/officeDocument/2006/relationships/hyperlink" Target="https%3A%2F%2Fwww.webofscience.com%2Fwos%2Fwoscc%2Ffull-record%2FWOS:000449115800022" TargetMode="External"/><Relationship Id="rId917" Type="http://schemas.openxmlformats.org/officeDocument/2006/relationships/hyperlink" Target="http://dx.doi.org/10.1134/S0031918X22601251" TargetMode="External"/><Relationship Id="rId1102" Type="http://schemas.openxmlformats.org/officeDocument/2006/relationships/hyperlink" Target="http://dx.doi.org/10.1007/s00233-022-10327-w" TargetMode="External"/><Relationship Id="rId1547" Type="http://schemas.openxmlformats.org/officeDocument/2006/relationships/hyperlink" Target="https%3A%2F%2Fwww.webofscience.com%2Fwos%2Fwoscc%2Ffull-record%2FWOS:000641158200005" TargetMode="External"/><Relationship Id="rId1754" Type="http://schemas.openxmlformats.org/officeDocument/2006/relationships/hyperlink" Target="http://dx.doi.org/10.3390/gels9010045" TargetMode="External"/><Relationship Id="rId1961" Type="http://schemas.openxmlformats.org/officeDocument/2006/relationships/hyperlink" Target="http://dx.doi.org/10.25750/1995-4301-2021-1-022-029" TargetMode="External"/><Relationship Id="rId46" Type="http://schemas.openxmlformats.org/officeDocument/2006/relationships/hyperlink" Target="https%3A%2F%2Fwww.webofscience.com%2Fwos%2Fwoscc%2Ffull-record%2FWOS:000583771900020" TargetMode="External"/><Relationship Id="rId1407" Type="http://schemas.openxmlformats.org/officeDocument/2006/relationships/hyperlink" Target="https%3A%2F%2Fwww.webofscience.com%2Fwos%2Fwoscc%2Ffull-record%2FWOS:000221016500011" TargetMode="External"/><Relationship Id="rId1614" Type="http://schemas.openxmlformats.org/officeDocument/2006/relationships/hyperlink" Target="http://dx.doi.org/10.22055/RALS.2020.16291" TargetMode="External"/><Relationship Id="rId1821" Type="http://schemas.openxmlformats.org/officeDocument/2006/relationships/hyperlink" Target="http://dx.doi.org/10.24874/IJQR15.02-06" TargetMode="External"/><Relationship Id="rId195" Type="http://schemas.openxmlformats.org/officeDocument/2006/relationships/hyperlink" Target="https%3A%2F%2Fwww.webofscience.com%2Fwos%2Fwoscc%2Ffull-record%2FWOS:000771919100040" TargetMode="External"/><Relationship Id="rId1919" Type="http://schemas.openxmlformats.org/officeDocument/2006/relationships/hyperlink" Target="http://dx.doi.org/10.25750/1995-4301-2020-2-117-122" TargetMode="External"/><Relationship Id="rId2083" Type="http://schemas.openxmlformats.org/officeDocument/2006/relationships/hyperlink" Target="https%3A%2F%2Fwww.webofscience.com%2Fwos%2Fwoscc%2Ffull-record%2FWOS:000426426600259" TargetMode="External"/><Relationship Id="rId2290" Type="http://schemas.openxmlformats.org/officeDocument/2006/relationships/hyperlink" Target="http://dx.doi.org/10.13187/ejced.2022.1.241" TargetMode="External"/><Relationship Id="rId2388" Type="http://schemas.openxmlformats.org/officeDocument/2006/relationships/hyperlink" Target="http://dx.doi.org/10.1080/00914037.2015.1129955" TargetMode="External"/><Relationship Id="rId262" Type="http://schemas.openxmlformats.org/officeDocument/2006/relationships/hyperlink" Target="https%3A%2F%2Fwww.webofscience.com%2Fwos%2Fwoscc%2Ffull-record%2FWOS:000644432200110" TargetMode="External"/><Relationship Id="rId567" Type="http://schemas.openxmlformats.org/officeDocument/2006/relationships/hyperlink" Target="http://dx.doi.org/10.18720/MCE.77.3" TargetMode="External"/><Relationship Id="rId1197" Type="http://schemas.openxmlformats.org/officeDocument/2006/relationships/hyperlink" Target="https%3A%2F%2Fwww.webofscience.com%2Fwos%2Fwoscc%2Ffull-record%2FWOS:000386421700003" TargetMode="External"/><Relationship Id="rId2150" Type="http://schemas.openxmlformats.org/officeDocument/2006/relationships/hyperlink" Target="https%3A%2F%2Fwww.webofscience.com%2Fwos%2Fwoscc%2Ffull-record%2FWOS:000755154100033" TargetMode="External"/><Relationship Id="rId2248" Type="http://schemas.openxmlformats.org/officeDocument/2006/relationships/hyperlink" Target="http://dx.doi.org/10.31166/VoprosyIstorii202008Statyi17" TargetMode="External"/><Relationship Id="rId122" Type="http://schemas.openxmlformats.org/officeDocument/2006/relationships/hyperlink" Target="https%3A%2F%2Fwww.webofscience.com%2Fwos%2Fwoscc%2Ffull-record%2FWOS:000440113400005" TargetMode="External"/><Relationship Id="rId774" Type="http://schemas.openxmlformats.org/officeDocument/2006/relationships/hyperlink" Target="https%3A%2F%2Fwww.webofscience.com%2Fwos%2Fwoscc%2Ffull-record%2FWOS:000396961700009" TargetMode="External"/><Relationship Id="rId981" Type="http://schemas.openxmlformats.org/officeDocument/2006/relationships/hyperlink" Target="http://dx.doi.org/10.14529/hsm180312" TargetMode="External"/><Relationship Id="rId1057" Type="http://schemas.openxmlformats.org/officeDocument/2006/relationships/hyperlink" Target="https%3A%2F%2Fwww.webofscience.com%2Fwos%2Fwoscc%2Ffull-record%2FWOS:000868305900011" TargetMode="External"/><Relationship Id="rId2010" Type="http://schemas.openxmlformats.org/officeDocument/2006/relationships/hyperlink" Target="http://dx.doi.org/10.1007/978-981-16-8806-5_2" TargetMode="External"/><Relationship Id="rId2455" Type="http://schemas.openxmlformats.org/officeDocument/2006/relationships/hyperlink" Target="http://dx.doi.org/10.1080/09291016.2022.2041289" TargetMode="External"/><Relationship Id="rId427" Type="http://schemas.openxmlformats.org/officeDocument/2006/relationships/hyperlink" Target="http://dx.doi.org/10.1016/j.micpro.2022.104529" TargetMode="External"/><Relationship Id="rId634" Type="http://schemas.openxmlformats.org/officeDocument/2006/relationships/hyperlink" Target="https%3A%2F%2Fwww.webofscience.com%2Fwos%2Fwoscc%2Ffull-record%2FWOS:000431622000088" TargetMode="External"/><Relationship Id="rId841" Type="http://schemas.openxmlformats.org/officeDocument/2006/relationships/hyperlink" Target="https%3A%2F%2Fwww.webofscience.com%2Fwos%2Fwoscc%2Ffull-record%2FWOS:000540950700016" TargetMode="External"/><Relationship Id="rId1264" Type="http://schemas.openxmlformats.org/officeDocument/2006/relationships/hyperlink" Target="https%3A%2F%2Fwww.webofscience.com%2Fwos%2Fwoscc%2Ffull-record%2FWOS:000961036800002" TargetMode="External"/><Relationship Id="rId1471" Type="http://schemas.openxmlformats.org/officeDocument/2006/relationships/hyperlink" Target="http://dx.doi.org/10.1111/tan.15037" TargetMode="External"/><Relationship Id="rId1569" Type="http://schemas.openxmlformats.org/officeDocument/2006/relationships/hyperlink" Target="http://dx.doi.org/10.1109/ISKE.2015.28" TargetMode="External"/><Relationship Id="rId2108" Type="http://schemas.openxmlformats.org/officeDocument/2006/relationships/hyperlink" Target="https%3A%2F%2Fwww.webofscience.com%2Fwos%2Fwoscc%2Ffull-record%2FWOS:000545295600005" TargetMode="External"/><Relationship Id="rId2315" Type="http://schemas.openxmlformats.org/officeDocument/2006/relationships/hyperlink" Target="https%3A%2F%2Fwww.webofscience.com%2Fwos%2Fwoscc%2Ffull-record%2FWOS:000513294600016" TargetMode="External"/><Relationship Id="rId701" Type="http://schemas.openxmlformats.org/officeDocument/2006/relationships/hyperlink" Target="https%3A%2F%2Fwww.webofscience.com%2Fwos%2Fwoscc%2Ffull-record%2FWOS:000885393200013" TargetMode="External"/><Relationship Id="rId939" Type="http://schemas.openxmlformats.org/officeDocument/2006/relationships/hyperlink" Target="https%3A%2F%2Fwww.webofscience.com%2Fwos%2Fwoscc%2Ffull-record%2FWOS:000478963800045" TargetMode="External"/><Relationship Id="rId1124" Type="http://schemas.openxmlformats.org/officeDocument/2006/relationships/hyperlink" Target="https%3A%2F%2Fwww.webofscience.com%2Fwos%2Fwoscc%2Ffull-record%2FWOS:000522670600013" TargetMode="External"/><Relationship Id="rId1331" Type="http://schemas.openxmlformats.org/officeDocument/2006/relationships/hyperlink" Target="https%3A%2F%2Fwww.webofscience.com%2Fwos%2Fwoscc%2Ffull-record%2FWOS:000580337700007" TargetMode="External"/><Relationship Id="rId1776" Type="http://schemas.openxmlformats.org/officeDocument/2006/relationships/hyperlink" Target="https%3A%2F%2Fwww.webofscience.com%2Fwos%2Fwoscc%2Ffull-record%2FWOS:000504079400009" TargetMode="External"/><Relationship Id="rId1983" Type="http://schemas.openxmlformats.org/officeDocument/2006/relationships/hyperlink" Target="https%3A%2F%2Fwww.webofscience.com%2Fwos%2Fwoscc%2Ffull-record%2FWOS:000450093200052" TargetMode="External"/><Relationship Id="rId68" Type="http://schemas.openxmlformats.org/officeDocument/2006/relationships/hyperlink" Target="https%3A%2F%2Fwww.webofscience.com%2Fwos%2Fwoscc%2Ffull-record%2FWOS:000426114200071" TargetMode="External"/><Relationship Id="rId1429" Type="http://schemas.openxmlformats.org/officeDocument/2006/relationships/hyperlink" Target="http://dx.doi.org/10.1109/ACCESS.2021.3116657" TargetMode="External"/><Relationship Id="rId1636" Type="http://schemas.openxmlformats.org/officeDocument/2006/relationships/hyperlink" Target="https%3A%2F%2Fwww.webofscience.com%2Fwos%2Fwoscc%2Ffull-record%2FWOS:000230551900007" TargetMode="External"/><Relationship Id="rId1843" Type="http://schemas.openxmlformats.org/officeDocument/2006/relationships/hyperlink" Target="http://dx.doi.org/10.1007/s11029-019-09824-x" TargetMode="External"/><Relationship Id="rId1703" Type="http://schemas.openxmlformats.org/officeDocument/2006/relationships/hyperlink" Target="http://dx.doi.org/10.1088/1757-899X/971/2/022047" TargetMode="External"/><Relationship Id="rId1910" Type="http://schemas.openxmlformats.org/officeDocument/2006/relationships/hyperlink" Target="https%3A%2F%2Fwww.webofscience.com%2Fwos%2Fwoscc%2Ffull-record%2FWOS:000437448600017" TargetMode="External"/><Relationship Id="rId284" Type="http://schemas.openxmlformats.org/officeDocument/2006/relationships/hyperlink" Target="http://dx.doi.org/10.1088/1757-899X/971/3/032024" TargetMode="External"/><Relationship Id="rId491" Type="http://schemas.openxmlformats.org/officeDocument/2006/relationships/hyperlink" Target="https%3A%2F%2Fwww.webofscience.com%2Fwos%2Fwoscc%2Ffull-record%2FWOS:000441795300009" TargetMode="External"/><Relationship Id="rId2172" Type="http://schemas.openxmlformats.org/officeDocument/2006/relationships/hyperlink" Target="https%3A%2F%2Fwww.webofscience.com%2Fwos%2Fwoscc%2Ffull-record%2FWOS:000700413300003" TargetMode="External"/><Relationship Id="rId144" Type="http://schemas.openxmlformats.org/officeDocument/2006/relationships/hyperlink" Target="http://dx.doi.org/10.13187/ejced.2019.3.613" TargetMode="External"/><Relationship Id="rId589" Type="http://schemas.openxmlformats.org/officeDocument/2006/relationships/hyperlink" Target="http://dx.doi.org/10.26170/FK19-02-25" TargetMode="External"/><Relationship Id="rId796" Type="http://schemas.openxmlformats.org/officeDocument/2006/relationships/hyperlink" Target="https%3A%2F%2Fwww.webofscience.com%2Fwos%2Fwoscc%2Ffull-record%2FWOS:000886616200004" TargetMode="External"/><Relationship Id="rId2477" Type="http://schemas.openxmlformats.org/officeDocument/2006/relationships/hyperlink" Target="https%3A%2F%2Fwww.webofscience.com%2Fwos%2Fwoscc%2Ffull-record%2FWOS:000541677300010" TargetMode="External"/><Relationship Id="rId351" Type="http://schemas.openxmlformats.org/officeDocument/2006/relationships/hyperlink" Target="https%3A%2F%2Fwww.webofscience.com%2Fwos%2Fwoscc%2Ffull-record%2FWOS:000759460600078" TargetMode="External"/><Relationship Id="rId449" Type="http://schemas.openxmlformats.org/officeDocument/2006/relationships/hyperlink" Target="http://dx.doi.org/10.15826/qr.2019.4.441" TargetMode="External"/><Relationship Id="rId656" Type="http://schemas.openxmlformats.org/officeDocument/2006/relationships/hyperlink" Target="https%3A%2F%2Fwww.webofscience.com%2Fwos%2Fwoscc%2Ffull-record%2FWOS:000974908800008" TargetMode="External"/><Relationship Id="rId863" Type="http://schemas.openxmlformats.org/officeDocument/2006/relationships/hyperlink" Target="https%3A%2F%2Fwww.webofscience.com%2Fwos%2Fwoscc%2Ffull-record%2FWOS:000447699900006" TargetMode="External"/><Relationship Id="rId1079" Type="http://schemas.openxmlformats.org/officeDocument/2006/relationships/hyperlink" Target="http://dx.doi.org/10.18254/S207987840008095-3" TargetMode="External"/><Relationship Id="rId1286" Type="http://schemas.openxmlformats.org/officeDocument/2006/relationships/hyperlink" Target="https%3A%2F%2Fwww.webofscience.com%2Fwos%2Fwoscc%2Ffull-record%2FWOS:000332042400121" TargetMode="External"/><Relationship Id="rId1493" Type="http://schemas.openxmlformats.org/officeDocument/2006/relationships/hyperlink" Target="http://dx.doi.org/10.24224/2227-1295-2020-7-266-283" TargetMode="External"/><Relationship Id="rId2032" Type="http://schemas.openxmlformats.org/officeDocument/2006/relationships/hyperlink" Target="http://dx.doi.org/10.1002/jbm.a.36116" TargetMode="External"/><Relationship Id="rId2337" Type="http://schemas.openxmlformats.org/officeDocument/2006/relationships/hyperlink" Target="http://dx.doi.org/10.13187/ejced.2022.4" TargetMode="External"/><Relationship Id="rId211" Type="http://schemas.openxmlformats.org/officeDocument/2006/relationships/hyperlink" Target="https%3A%2F%2Fwww.webofscience.com%2Fwos%2Fwoscc%2Ffull-record%2FWOS:000517795800099" TargetMode="External"/><Relationship Id="rId309" Type="http://schemas.openxmlformats.org/officeDocument/2006/relationships/hyperlink" Target="http://dx.doi.org/10.1007/s11041-006-0113-z" TargetMode="External"/><Relationship Id="rId516" Type="http://schemas.openxmlformats.org/officeDocument/2006/relationships/hyperlink" Target="https%3A%2F%2Fwww.webofscience.com%2Fwos%2Fwoscc%2Ffull-record%2FWOS:000574588500017" TargetMode="External"/><Relationship Id="rId1146" Type="http://schemas.openxmlformats.org/officeDocument/2006/relationships/hyperlink" Target="https%3A%2F%2Fwww.webofscience.com%2Fwos%2Fwoscc%2Ffull-record%2FWOS:000395727700051" TargetMode="External"/><Relationship Id="rId1798" Type="http://schemas.openxmlformats.org/officeDocument/2006/relationships/hyperlink" Target="http://dx.doi.org/10.22038/ijp.2021.57347.4500" TargetMode="External"/><Relationship Id="rId723" Type="http://schemas.openxmlformats.org/officeDocument/2006/relationships/hyperlink" Target="https%3A%2F%2Fwww.webofscience.com%2Fwos%2Fwoscc%2Ffull-record%2FWOS:000449782000002" TargetMode="External"/><Relationship Id="rId930" Type="http://schemas.openxmlformats.org/officeDocument/2006/relationships/hyperlink" Target="http://dx.doi.org/10.17853/1994-5639-2019-6-146-170" TargetMode="External"/><Relationship Id="rId1006" Type="http://schemas.openxmlformats.org/officeDocument/2006/relationships/hyperlink" Target="https%3A%2F%2Fwww.webofscience.com%2Fwos%2Fwoscc%2Ffull-record%2FWOS:000227402900013" TargetMode="External"/><Relationship Id="rId1353" Type="http://schemas.openxmlformats.org/officeDocument/2006/relationships/hyperlink" Target="http://dx.doi.org/10.14529/hsm190207" TargetMode="External"/><Relationship Id="rId1560" Type="http://schemas.openxmlformats.org/officeDocument/2006/relationships/hyperlink" Target="http://dx.doi.org/10.25750/1995-4301-2021-2-115-121" TargetMode="External"/><Relationship Id="rId1658" Type="http://schemas.openxmlformats.org/officeDocument/2006/relationships/hyperlink" Target="https%3A%2F%2Fwww.webofscience.com%2Fwos%2Fwoscc%2Ffull-record%2FWOS:000481604500150" TargetMode="External"/><Relationship Id="rId1865" Type="http://schemas.openxmlformats.org/officeDocument/2006/relationships/hyperlink" Target="https%3A%2F%2Fwww.webofscience.com%2Fwos%2Fwoscc%2Ffull-record%2FWOS:000598989600001" TargetMode="External"/><Relationship Id="rId2404" Type="http://schemas.openxmlformats.org/officeDocument/2006/relationships/hyperlink" Target="https%3A%2F%2Fwww.webofscience.com%2Fwos%2Fwoscc%2Ffull-record%2FWOS:000539097400020" TargetMode="External"/><Relationship Id="rId1213" Type="http://schemas.openxmlformats.org/officeDocument/2006/relationships/hyperlink" Target="http://dx.doi.org/10.31166/VoprosyIstorii202108Statyi20" TargetMode="External"/><Relationship Id="rId1420" Type="http://schemas.openxmlformats.org/officeDocument/2006/relationships/hyperlink" Target="http://dx.doi.org/10.1007/s11175-005-0115-y" TargetMode="External"/><Relationship Id="rId1518" Type="http://schemas.openxmlformats.org/officeDocument/2006/relationships/hyperlink" Target="https%3A%2F%2Fwww.webofscience.com%2Fwos%2Fwoscc%2Ffull-record%2FWOS:000224141700006" TargetMode="External"/><Relationship Id="rId1725" Type="http://schemas.openxmlformats.org/officeDocument/2006/relationships/hyperlink" Target="https%3A%2F%2Fwww.webofscience.com%2Fwos%2Fwoscc%2Ffull-record%2FWOS:000780783500001" TargetMode="External"/><Relationship Id="rId1932" Type="http://schemas.openxmlformats.org/officeDocument/2006/relationships/hyperlink" Target="https%3A%2F%2Fwww.webofscience.com%2Fwos%2Fwoscc%2Ffull-record%2FWOS:000468564500013" TargetMode="External"/><Relationship Id="rId17" Type="http://schemas.openxmlformats.org/officeDocument/2006/relationships/hyperlink" Target="https%3A%2F%2Fwww.webofscience.com%2Fwos%2Fwoscc%2Ffull-record%2FWOS:000675525300047" TargetMode="External"/><Relationship Id="rId2194" Type="http://schemas.openxmlformats.org/officeDocument/2006/relationships/hyperlink" Target="https%3A%2F%2Fwww.webofscience.com%2Fwos%2Fwoscc%2Ffull-record%2FWOS:000520225900008" TargetMode="External"/><Relationship Id="rId166" Type="http://schemas.openxmlformats.org/officeDocument/2006/relationships/hyperlink" Target="https%3A%2F%2Fwww.webofscience.com%2Fwos%2Fwoscc%2Ffull-record%2FWOS:000352980200020" TargetMode="External"/><Relationship Id="rId373" Type="http://schemas.openxmlformats.org/officeDocument/2006/relationships/hyperlink" Target="https%3A%2F%2Fwww.webofscience.com%2Fwos%2Fwoscc%2Ffull-record%2FWOS:000414282400171" TargetMode="External"/><Relationship Id="rId580" Type="http://schemas.openxmlformats.org/officeDocument/2006/relationships/hyperlink" Target="https%3A%2F%2Fwww.webofscience.com%2Fwos%2Fwoscc%2Ffull-record%2FWOS:000280701900005" TargetMode="External"/><Relationship Id="rId2054" Type="http://schemas.openxmlformats.org/officeDocument/2006/relationships/hyperlink" Target="http://dx.doi.org/10.25750/1995-4301-2019-1-102-110" TargetMode="External"/><Relationship Id="rId2261" Type="http://schemas.openxmlformats.org/officeDocument/2006/relationships/hyperlink" Target="https%3A%2F%2Fwww.webofscience.com%2Fwos%2Fwoscc%2Ffull-record%2FWOS:000490704900019" TargetMode="External"/><Relationship Id="rId2499" Type="http://schemas.openxmlformats.org/officeDocument/2006/relationships/hyperlink" Target="https%3A%2F%2Fwww.webofscience.com%2Fwos%2Fwoscc%2Ffull-record%2FWOS:000721004700008" TargetMode="External"/><Relationship Id="rId1" Type="http://schemas.openxmlformats.org/officeDocument/2006/relationships/hyperlink" Target="https%3A%2F%2Fwww.webofscience.com%2Fwos%2Fwoscc%2Ffull-record%2FWOS:000292365000009" TargetMode="External"/><Relationship Id="rId233" Type="http://schemas.openxmlformats.org/officeDocument/2006/relationships/hyperlink" Target="http://dx.doi.org/10.13187/ejced.2018.2.275" TargetMode="External"/><Relationship Id="rId440" Type="http://schemas.openxmlformats.org/officeDocument/2006/relationships/hyperlink" Target="http://dx.doi.org/10.20952/revtee.v12i31.11888" TargetMode="External"/><Relationship Id="rId678" Type="http://schemas.openxmlformats.org/officeDocument/2006/relationships/hyperlink" Target="https%3A%2F%2Fwww.webofscience.com%2Fwos%2Fwoscc%2Ffull-record%2FWOS:000436502300034" TargetMode="External"/><Relationship Id="rId885" Type="http://schemas.openxmlformats.org/officeDocument/2006/relationships/hyperlink" Target="https%3A%2F%2Fwww.webofscience.com%2Fwos%2Fwoscc%2Ffull-record%2FWOS:000702679300001" TargetMode="External"/><Relationship Id="rId1070" Type="http://schemas.openxmlformats.org/officeDocument/2006/relationships/hyperlink" Target="http://dx.doi.org/10.1134/S0037446619030157" TargetMode="External"/><Relationship Id="rId2121" Type="http://schemas.openxmlformats.org/officeDocument/2006/relationships/hyperlink" Target="http://dx.doi.org/10.25750/1995-4301-2018-2-087-093" TargetMode="External"/><Relationship Id="rId2359" Type="http://schemas.openxmlformats.org/officeDocument/2006/relationships/hyperlink" Target="http://dx.doi.org/10.1021/acs.chemmater.2c01159" TargetMode="External"/><Relationship Id="rId300" Type="http://schemas.openxmlformats.org/officeDocument/2006/relationships/hyperlink" Target="https%3A%2F%2Fwww.webofscience.com%2Fwos%2Fwoscc%2Ffull-record%2FWOS:000429668400009" TargetMode="External"/><Relationship Id="rId538" Type="http://schemas.openxmlformats.org/officeDocument/2006/relationships/hyperlink" Target="http://dx.doi.org/10.1007/BF01395646" TargetMode="External"/><Relationship Id="rId745" Type="http://schemas.openxmlformats.org/officeDocument/2006/relationships/hyperlink" Target="http://dx.doi.org/10.1134/S0036024406110069" TargetMode="External"/><Relationship Id="rId952" Type="http://schemas.openxmlformats.org/officeDocument/2006/relationships/hyperlink" Target="https%3A%2F%2Fwww.webofscience.com%2Fwos%2Fwoscc%2Ffull-record%2FWOS:A1997WU95900016" TargetMode="External"/><Relationship Id="rId1168" Type="http://schemas.openxmlformats.org/officeDocument/2006/relationships/hyperlink" Target="https%3A%2F%2Fwww.webofscience.com%2Fwos%2Fwoscc%2Ffull-record%2FWOS:000563081500010" TargetMode="External"/><Relationship Id="rId1375" Type="http://schemas.openxmlformats.org/officeDocument/2006/relationships/hyperlink" Target="https%3A%2F%2Fwww.webofscience.com%2Fwos%2Fwoscc%2Ffull-record%2FWOS:000507473500050" TargetMode="External"/><Relationship Id="rId1582" Type="http://schemas.openxmlformats.org/officeDocument/2006/relationships/hyperlink" Target="https%3A%2F%2Fwww.webofscience.com%2Fwos%2Fwoscc%2Ffull-record%2FWOS:000357702500014" TargetMode="External"/><Relationship Id="rId2219" Type="http://schemas.openxmlformats.org/officeDocument/2006/relationships/hyperlink" Target="http://dx.doi.org/10.1134/S106422931305013X" TargetMode="External"/><Relationship Id="rId2426" Type="http://schemas.openxmlformats.org/officeDocument/2006/relationships/hyperlink" Target="https%3A%2F%2Fwww.webofscience.com%2Fwos%2Fwoscc%2Ffull-record%2FWOS:000475508000011" TargetMode="External"/><Relationship Id="rId81" Type="http://schemas.openxmlformats.org/officeDocument/2006/relationships/hyperlink" Target="https%3A%2F%2Fwww.webofscience.com%2Fwos%2Fwoscc%2Ffull-record%2FWOS:000734088800001" TargetMode="External"/><Relationship Id="rId605" Type="http://schemas.openxmlformats.org/officeDocument/2006/relationships/hyperlink" Target="http://dx.doi.org/10.1134/S1087659607040104" TargetMode="External"/><Relationship Id="rId812" Type="http://schemas.openxmlformats.org/officeDocument/2006/relationships/hyperlink" Target="https%3A%2F%2Fwww.webofscience.com%2Fwos%2Fwoscc%2Ffull-record%2FWOS:000434451000017" TargetMode="External"/><Relationship Id="rId1028" Type="http://schemas.openxmlformats.org/officeDocument/2006/relationships/hyperlink" Target="https%3A%2F%2Fwww.webofscience.com%2Fwos%2Fwoscc%2Ffull-record%2FWOS:000613509300004" TargetMode="External"/><Relationship Id="rId1235" Type="http://schemas.openxmlformats.org/officeDocument/2006/relationships/hyperlink" Target="http://dx.doi.org/10.1007/s11041-017-0179-9" TargetMode="External"/><Relationship Id="rId1442" Type="http://schemas.openxmlformats.org/officeDocument/2006/relationships/hyperlink" Target="https%3A%2F%2Fwww.webofscience.com%2Fwos%2Fwoscc%2Ffull-record%2FWOS:000669709800035" TargetMode="External"/><Relationship Id="rId1887" Type="http://schemas.openxmlformats.org/officeDocument/2006/relationships/hyperlink" Target="http://dx.doi.org/10.12973/eurasia.2017.00727a" TargetMode="External"/><Relationship Id="rId1302" Type="http://schemas.openxmlformats.org/officeDocument/2006/relationships/hyperlink" Target="https%3A%2F%2Fwww.webofscience.com%2Fwos%2Fwoscc%2Ffull-record%2FWOS:000521937900008" TargetMode="External"/><Relationship Id="rId1747" Type="http://schemas.openxmlformats.org/officeDocument/2006/relationships/hyperlink" Target="https%3A%2F%2Fwww.webofscience.com%2Fwos%2Fwoscc%2Ffull-record%2FWOS:000733418900013" TargetMode="External"/><Relationship Id="rId1954" Type="http://schemas.openxmlformats.org/officeDocument/2006/relationships/hyperlink" Target="https%3A%2F%2Fwww.webofscience.com%2Fwos%2Fwoscc%2Ffull-record%2FWOS:000504049400002" TargetMode="External"/><Relationship Id="rId39" Type="http://schemas.openxmlformats.org/officeDocument/2006/relationships/hyperlink" Target="https%3A%2F%2Fwww.webofscience.com%2Fwos%2Fwoscc%2Ffull-record%2FWOS:000235642300014" TargetMode="External"/><Relationship Id="rId1607" Type="http://schemas.openxmlformats.org/officeDocument/2006/relationships/hyperlink" Target="http://dx.doi.org/10.1088/1742-6596/1015/3/032068" TargetMode="External"/><Relationship Id="rId1814" Type="http://schemas.openxmlformats.org/officeDocument/2006/relationships/hyperlink" Target="https%3A%2F%2Fwww.webofscience.com%2Fwos%2Fwoscc%2Ffull-record%2FWOS:000646359100161" TargetMode="External"/><Relationship Id="rId188" Type="http://schemas.openxmlformats.org/officeDocument/2006/relationships/hyperlink" Target="http://dx.doi.org/10.17223/15617793/468/24" TargetMode="External"/><Relationship Id="rId395" Type="http://schemas.openxmlformats.org/officeDocument/2006/relationships/hyperlink" Target="https%3A%2F%2Fwww.webofscience.com%2Fwos%2Fwoscc%2Ffull-record%2FWOS:000751642500022" TargetMode="External"/><Relationship Id="rId2076" Type="http://schemas.openxmlformats.org/officeDocument/2006/relationships/hyperlink" Target="https%3A%2F%2Fwww.webofscience.com%2Fwos%2Fwoscc%2Ffull-record%2FWOS:000632219100014" TargetMode="External"/><Relationship Id="rId2283" Type="http://schemas.openxmlformats.org/officeDocument/2006/relationships/hyperlink" Target="https%3A%2F%2Fwww.webofscience.com%2Fwos%2Fwoscc%2Ffull-record%2FWOS:000477826000013" TargetMode="External"/><Relationship Id="rId2490" Type="http://schemas.openxmlformats.org/officeDocument/2006/relationships/hyperlink" Target="https%3A%2F%2Fwww.webofscience.com%2Fwos%2Fwoscc%2Ffull-record%2FWOS:000446030400015" TargetMode="External"/><Relationship Id="rId255" Type="http://schemas.openxmlformats.org/officeDocument/2006/relationships/hyperlink" Target="http://dx.doi.org/10.17223/1998863X/50/6" TargetMode="External"/><Relationship Id="rId462" Type="http://schemas.openxmlformats.org/officeDocument/2006/relationships/hyperlink" Target="https%3A%2F%2Fwww.webofscience.com%2Fwos%2Fwoscc%2Ffull-record%2FWOS:000369886300005" TargetMode="External"/><Relationship Id="rId1092" Type="http://schemas.openxmlformats.org/officeDocument/2006/relationships/hyperlink" Target="https%3A%2F%2Fwww.webofscience.com%2Fwos%2Fwoscc%2Ffull-record%2FWOS:000426114200040" TargetMode="External"/><Relationship Id="rId1397" Type="http://schemas.openxmlformats.org/officeDocument/2006/relationships/hyperlink" Target="https%3A%2F%2Fwww.webofscience.com%2Fwos%2Fwoscc%2Ffull-record%2FWOS:000905834100001" TargetMode="External"/><Relationship Id="rId2143" Type="http://schemas.openxmlformats.org/officeDocument/2006/relationships/hyperlink" Target="http://dx.doi.org/10.1088/1755-1315/90/1/012138" TargetMode="External"/><Relationship Id="rId2350" Type="http://schemas.openxmlformats.org/officeDocument/2006/relationships/hyperlink" Target="https%3A%2F%2Fwww.webofscience.com%2Fwos%2Fwoscc%2Ffull-record%2FWOS:000477826000002" TargetMode="External"/><Relationship Id="rId115" Type="http://schemas.openxmlformats.org/officeDocument/2006/relationships/hyperlink" Target="https%3A%2F%2Fwww.webofscience.com%2Fwos%2Fwoscc%2Ffull-record%2FWOS:000609191500013" TargetMode="External"/><Relationship Id="rId322" Type="http://schemas.openxmlformats.org/officeDocument/2006/relationships/hyperlink" Target="https%3A%2F%2Fwww.webofscience.com%2Fwos%2Fwoscc%2Ffull-record%2FWOS:000468146000153" TargetMode="External"/><Relationship Id="rId767" Type="http://schemas.openxmlformats.org/officeDocument/2006/relationships/hyperlink" Target="http://dx.doi.org/10.1109/EnT-MIPT.2018.00042" TargetMode="External"/><Relationship Id="rId974" Type="http://schemas.openxmlformats.org/officeDocument/2006/relationships/hyperlink" Target="https%3A%2F%2Fwww.webofscience.com%2Fwos%2Fwoscc%2Ffull-record%2FWOS:000468565900006" TargetMode="External"/><Relationship Id="rId2003" Type="http://schemas.openxmlformats.org/officeDocument/2006/relationships/hyperlink" Target="https%3A%2F%2Fwww.webofscience.com%2Fwos%2Fwoscc%2Ffull-record%2FWOS:000449660800046" TargetMode="External"/><Relationship Id="rId2210" Type="http://schemas.openxmlformats.org/officeDocument/2006/relationships/hyperlink" Target="https%3A%2F%2Fwww.webofscience.com%2Fwos%2Fwoscc%2Ffull-record%2FWOS:000798578400040" TargetMode="External"/><Relationship Id="rId2448" Type="http://schemas.openxmlformats.org/officeDocument/2006/relationships/hyperlink" Target="https%3A%2F%2Fwww.webofscience.com%2Fwos%2Fwoscc%2Ffull-record%2FWOS:000653732600016" TargetMode="External"/><Relationship Id="rId627" Type="http://schemas.openxmlformats.org/officeDocument/2006/relationships/hyperlink" Target="https%3A%2F%2Fwww.webofscience.com%2Fwos%2Fwoscc%2Ffull-record%2FWOS:000569050000094" TargetMode="External"/><Relationship Id="rId834" Type="http://schemas.openxmlformats.org/officeDocument/2006/relationships/hyperlink" Target="http://dx.doi.org/10.12911/22998993/131029" TargetMode="External"/><Relationship Id="rId1257" Type="http://schemas.openxmlformats.org/officeDocument/2006/relationships/hyperlink" Target="http://dx.doi.org/10.15507/0236-2910.028.201803.445-459" TargetMode="External"/><Relationship Id="rId1464" Type="http://schemas.openxmlformats.org/officeDocument/2006/relationships/hyperlink" Target="http://dx.doi.org/10.17212/1994-6309-2019-21.3-59-71" TargetMode="External"/><Relationship Id="rId1671" Type="http://schemas.openxmlformats.org/officeDocument/2006/relationships/hyperlink" Target="https%3A%2F%2Fwww.webofscience.com%2Fwos%2Fwoscc%2Ffull-record%2FWOS:000404604700062" TargetMode="External"/><Relationship Id="rId2308" Type="http://schemas.openxmlformats.org/officeDocument/2006/relationships/hyperlink" Target="http://dx.doi.org/10.25750/1995-4301-2018-3-078-085" TargetMode="External"/><Relationship Id="rId2515" Type="http://schemas.openxmlformats.org/officeDocument/2006/relationships/hyperlink" Target="https%3A%2F%2Fwww.webofscience.com%2Fwos%2Fwoscc%2Ffull-record%2FWOS:000840114800006" TargetMode="External"/><Relationship Id="rId901" Type="http://schemas.openxmlformats.org/officeDocument/2006/relationships/hyperlink" Target="https%3A%2F%2Fwww.webofscience.com%2Fwos%2Fwoscc%2Ffull-record%2FWOS:000589557100112" TargetMode="External"/><Relationship Id="rId1117" Type="http://schemas.openxmlformats.org/officeDocument/2006/relationships/hyperlink" Target="http://dx.doi.org/10.1051/bioconf/20202400039" TargetMode="External"/><Relationship Id="rId1324" Type="http://schemas.openxmlformats.org/officeDocument/2006/relationships/hyperlink" Target="http://dx.doi.org/10.25750/1995-4301-2021-4-133-139" TargetMode="External"/><Relationship Id="rId1531" Type="http://schemas.openxmlformats.org/officeDocument/2006/relationships/hyperlink" Target="http://dx.doi.org/10.25750/1995-4301-2019-1-023-029" TargetMode="External"/><Relationship Id="rId1769" Type="http://schemas.openxmlformats.org/officeDocument/2006/relationships/hyperlink" Target="https%3A%2F%2Fwww.webofscience.com%2Fwos%2Fwoscc%2Ffull-record%2FWOS:000659373500022" TargetMode="External"/><Relationship Id="rId1976" Type="http://schemas.openxmlformats.org/officeDocument/2006/relationships/hyperlink" Target="http://dx.doi.org/10.1016/j.ijbiomac.2020.08.024" TargetMode="External"/><Relationship Id="rId30" Type="http://schemas.openxmlformats.org/officeDocument/2006/relationships/hyperlink" Target="https%3A%2F%2Fwww.webofscience.com%2Fwos%2Fwoscc%2Ffull-record%2FWOS:000430782900010" TargetMode="External"/><Relationship Id="rId1629" Type="http://schemas.openxmlformats.org/officeDocument/2006/relationships/hyperlink" Target="http://dx.doi.org/10.21538/0134-4889-2020-26-3-235-248" TargetMode="External"/><Relationship Id="rId1836" Type="http://schemas.openxmlformats.org/officeDocument/2006/relationships/hyperlink" Target="https%3A%2F%2Fwww.webofscience.com%2Fwos%2Fwoscc%2Ffull-record%2FWOS:000885393200014" TargetMode="External"/><Relationship Id="rId1903" Type="http://schemas.openxmlformats.org/officeDocument/2006/relationships/hyperlink" Target="https%3A%2F%2Fwww.webofscience.com%2Fwos%2Fwoscc%2Ffull-record%2FWOS:000522789400013" TargetMode="External"/><Relationship Id="rId2098" Type="http://schemas.openxmlformats.org/officeDocument/2006/relationships/hyperlink" Target="https%3A%2F%2Fwww.webofscience.com%2Fwos%2Fwoscc%2Ffull-record%2FWOS:000819811100028" TargetMode="External"/><Relationship Id="rId277" Type="http://schemas.openxmlformats.org/officeDocument/2006/relationships/hyperlink" Target="https%3A%2F%2Fwww.webofscience.com%2Fwos%2Fwoscc%2Ffull-record%2FWOS:000729816200015" TargetMode="External"/><Relationship Id="rId484" Type="http://schemas.openxmlformats.org/officeDocument/2006/relationships/hyperlink" Target="http://dx.doi.org/10.17223/15617793/450/2" TargetMode="External"/><Relationship Id="rId2165" Type="http://schemas.openxmlformats.org/officeDocument/2006/relationships/hyperlink" Target="http://dx.doi.org/10.25750/1995-4301-2021-4-193-202" TargetMode="External"/><Relationship Id="rId137" Type="http://schemas.openxmlformats.org/officeDocument/2006/relationships/hyperlink" Target="https%3A%2F%2Fwww.webofscience.com%2Fwos%2Fwoscc%2Ffull-record%2FWOS:000727336000020" TargetMode="External"/><Relationship Id="rId344" Type="http://schemas.openxmlformats.org/officeDocument/2006/relationships/hyperlink" Target="https%3A%2F%2Fwww.webofscience.com%2Fwos%2Fwoscc%2Ffull-record%2FWOS:000257394200007" TargetMode="External"/><Relationship Id="rId691" Type="http://schemas.openxmlformats.org/officeDocument/2006/relationships/hyperlink" Target="http://dx.doi.org/10.1023/A:1023816608198" TargetMode="External"/><Relationship Id="rId789" Type="http://schemas.openxmlformats.org/officeDocument/2006/relationships/hyperlink" Target="http://dx.doi.org/10.1109/ACCESS.2023.3269720" TargetMode="External"/><Relationship Id="rId996" Type="http://schemas.openxmlformats.org/officeDocument/2006/relationships/hyperlink" Target="http://dx.doi.org/10.1134/S1064229312110075" TargetMode="External"/><Relationship Id="rId2025" Type="http://schemas.openxmlformats.org/officeDocument/2006/relationships/hyperlink" Target="https%3A%2F%2Fwww.webofscience.com%2Fwos%2Fwoscc%2Ffull-record%2FWOS:000487569000066" TargetMode="External"/><Relationship Id="rId2372" Type="http://schemas.openxmlformats.org/officeDocument/2006/relationships/hyperlink" Target="https%3A%2F%2Fwww.webofscience.com%2Fwos%2Fwoscc%2Ffull-record%2FWOS:000697163700002" TargetMode="External"/><Relationship Id="rId551" Type="http://schemas.openxmlformats.org/officeDocument/2006/relationships/hyperlink" Target="https%3A%2F%2Fwww.webofscience.com%2Fwos%2Fwoscc%2Ffull-record%2FWOS:000530639000025" TargetMode="External"/><Relationship Id="rId649" Type="http://schemas.openxmlformats.org/officeDocument/2006/relationships/hyperlink" Target="https%3A%2F%2Fwww.webofscience.com%2Fwos%2Fwoscc%2Ffull-record%2FWOS:000269660400016" TargetMode="External"/><Relationship Id="rId856" Type="http://schemas.openxmlformats.org/officeDocument/2006/relationships/hyperlink" Target="http://dx.doi.org/10.17223/20710410/44/2" TargetMode="External"/><Relationship Id="rId1181" Type="http://schemas.openxmlformats.org/officeDocument/2006/relationships/hyperlink" Target="http://dx.doi.org/10.1007/978-3-319-94310-7_13" TargetMode="External"/><Relationship Id="rId1279" Type="http://schemas.openxmlformats.org/officeDocument/2006/relationships/hyperlink" Target="https%3A%2F%2Fwww.webofscience.com%2Fwos%2Fwoscc%2Ffull-record%2FWOS:000597810500008" TargetMode="External"/><Relationship Id="rId1486" Type="http://schemas.openxmlformats.org/officeDocument/2006/relationships/hyperlink" Target="https%3A%2F%2Fwww.webofscience.com%2Fwos%2Fwoscc%2Ffull-record%2FWOS:000903700500001" TargetMode="External"/><Relationship Id="rId2232" Type="http://schemas.openxmlformats.org/officeDocument/2006/relationships/hyperlink" Target="https%3A%2F%2Fwww.webofscience.com%2Fwos%2Fwoscc%2Ffull-record%2FWOS:000778019200006" TargetMode="External"/><Relationship Id="rId204" Type="http://schemas.openxmlformats.org/officeDocument/2006/relationships/hyperlink" Target="https%3A%2F%2Fwww.webofscience.com%2Fwos%2Fwoscc%2Ffull-record%2FWOS:000485631000022" TargetMode="External"/><Relationship Id="rId411" Type="http://schemas.openxmlformats.org/officeDocument/2006/relationships/hyperlink" Target="https%3A%2F%2Fwww.webofscience.com%2Fwos%2Fwoscc%2Ffull-record%2FWOS:000473803800012" TargetMode="External"/><Relationship Id="rId509" Type="http://schemas.openxmlformats.org/officeDocument/2006/relationships/hyperlink" Target="http://dx.doi.org/10.15405/epsbs.2021.04.91" TargetMode="External"/><Relationship Id="rId1041" Type="http://schemas.openxmlformats.org/officeDocument/2006/relationships/hyperlink" Target="http://dx.doi.org/10.1134/S1070427217040152" TargetMode="External"/><Relationship Id="rId1139" Type="http://schemas.openxmlformats.org/officeDocument/2006/relationships/hyperlink" Target="https%3A%2F%2Fwww.webofscience.com%2Fwos%2Fwoscc%2Ffull-record%2FWOS:000473744600005" TargetMode="External"/><Relationship Id="rId1346" Type="http://schemas.openxmlformats.org/officeDocument/2006/relationships/hyperlink" Target="http://dx.doi.org/10.1007/s11041-020-00598-x" TargetMode="External"/><Relationship Id="rId1693" Type="http://schemas.openxmlformats.org/officeDocument/2006/relationships/hyperlink" Target="http://dx.doi.org/10.1111/tan.15032" TargetMode="External"/><Relationship Id="rId1998" Type="http://schemas.openxmlformats.org/officeDocument/2006/relationships/hyperlink" Target="http://dx.doi.org/10.1051/e3sconf/201911002152" TargetMode="External"/><Relationship Id="rId716" Type="http://schemas.openxmlformats.org/officeDocument/2006/relationships/hyperlink" Target="http://dx.doi.org/10.6060/ivkkt.20206302.6055" TargetMode="External"/><Relationship Id="rId923" Type="http://schemas.openxmlformats.org/officeDocument/2006/relationships/hyperlink" Target="http://dx.doi.org/10.1093/ehr/cez365" TargetMode="External"/><Relationship Id="rId1553" Type="http://schemas.openxmlformats.org/officeDocument/2006/relationships/hyperlink" Target="https%3A%2F%2Fwww.webofscience.com%2Fwos%2Fwoscc%2Ffull-record%2FWOS:000354705300021" TargetMode="External"/><Relationship Id="rId1760" Type="http://schemas.openxmlformats.org/officeDocument/2006/relationships/hyperlink" Target="http://dx.doi.org/10.13187/ejced.2023.1.188" TargetMode="External"/><Relationship Id="rId1858" Type="http://schemas.openxmlformats.org/officeDocument/2006/relationships/hyperlink" Target="http://dx.doi.org/10.1007/s11029-020-09869-3" TargetMode="External"/><Relationship Id="rId52" Type="http://schemas.openxmlformats.org/officeDocument/2006/relationships/hyperlink" Target="https%3A%2F%2Fwww.webofscience.com%2Fwos%2Fwoscc%2Ffull-record%2FWOS:000545295600007" TargetMode="External"/><Relationship Id="rId1206" Type="http://schemas.openxmlformats.org/officeDocument/2006/relationships/hyperlink" Target="https%3A%2F%2Fwww.webofscience.com%2Fwos%2Fwoscc%2Ffull-record%2FWOS:000347556300007" TargetMode="External"/><Relationship Id="rId1413" Type="http://schemas.openxmlformats.org/officeDocument/2006/relationships/hyperlink" Target="https%3A%2F%2Fwww.webofscience.com%2Fwos%2Fwoscc%2Ffull-record%2FWOS:000398997004110" TargetMode="External"/><Relationship Id="rId1620" Type="http://schemas.openxmlformats.org/officeDocument/2006/relationships/hyperlink" Target="http://dx.doi.org/10.1051/matecconf/201822402008" TargetMode="External"/><Relationship Id="rId1718" Type="http://schemas.openxmlformats.org/officeDocument/2006/relationships/hyperlink" Target="https%3A%2F%2Fwww.webofscience.com%2Fwos%2Fwoscc%2Ffull-record%2FWOS:000843654400001" TargetMode="External"/><Relationship Id="rId1925" Type="http://schemas.openxmlformats.org/officeDocument/2006/relationships/hyperlink" Target="http://dx.doi.org/10.1016/j.carbpol.2013.12.071" TargetMode="External"/><Relationship Id="rId299" Type="http://schemas.openxmlformats.org/officeDocument/2006/relationships/hyperlink" Target="http://dx.doi.org/10.17223/2312461X/19/9" TargetMode="External"/><Relationship Id="rId2187" Type="http://schemas.openxmlformats.org/officeDocument/2006/relationships/hyperlink" Target="http://dx.doi.org/10.1134/S1064229313100062" TargetMode="External"/><Relationship Id="rId2394" Type="http://schemas.openxmlformats.org/officeDocument/2006/relationships/hyperlink" Target="http://dx.doi.org/10.5220/0007839606480655" TargetMode="External"/><Relationship Id="rId159" Type="http://schemas.openxmlformats.org/officeDocument/2006/relationships/hyperlink" Target="https%3A%2F%2Fwww.webofscience.com%2Fwos%2Fwoscc%2Ffull-record%2FWOS:000451963100038" TargetMode="External"/><Relationship Id="rId366" Type="http://schemas.openxmlformats.org/officeDocument/2006/relationships/hyperlink" Target="http://dx.doi.org/10.18720/MCE.91.8" TargetMode="External"/><Relationship Id="rId573" Type="http://schemas.openxmlformats.org/officeDocument/2006/relationships/hyperlink" Target="https%3A%2F%2Fwww.webofscience.com%2Fwos%2Fwoscc%2Ffull-record%2FWOS:000425868400157" TargetMode="External"/><Relationship Id="rId780" Type="http://schemas.openxmlformats.org/officeDocument/2006/relationships/hyperlink" Target="https%3A%2F%2Fwww.webofscience.com%2Fwos%2Fwoscc%2Ffull-record%2FWOS:000357943500061" TargetMode="External"/><Relationship Id="rId2047" Type="http://schemas.openxmlformats.org/officeDocument/2006/relationships/hyperlink" Target="https%3A%2F%2Fwww.webofscience.com%2Fwos%2Fwoscc%2Ffull-record%2FWOS:000538104200086" TargetMode="External"/><Relationship Id="rId2254" Type="http://schemas.openxmlformats.org/officeDocument/2006/relationships/hyperlink" Target="http://dx.doi.org/10.1134/S1062359022100387" TargetMode="External"/><Relationship Id="rId2461" Type="http://schemas.openxmlformats.org/officeDocument/2006/relationships/hyperlink" Target="http://dx.doi.org/10.1007/978-3-319-45462-7_7" TargetMode="External"/><Relationship Id="rId226" Type="http://schemas.openxmlformats.org/officeDocument/2006/relationships/hyperlink" Target="http://dx.doi.org/10.52254/1857-0070.2021.4-52.10" TargetMode="External"/><Relationship Id="rId433" Type="http://schemas.openxmlformats.org/officeDocument/2006/relationships/hyperlink" Target="http://dx.doi.org/10.25750/1995-4301-2021-2-229-234" TargetMode="External"/><Relationship Id="rId878" Type="http://schemas.openxmlformats.org/officeDocument/2006/relationships/hyperlink" Target="http://dx.doi.org/10.52254/1857-0070.2022.4-56.01" TargetMode="External"/><Relationship Id="rId1063" Type="http://schemas.openxmlformats.org/officeDocument/2006/relationships/hyperlink" Target="https%3A%2F%2Fwww.webofscience.com%2Fwos%2Fwoscc%2Ffull-record%2FWOS:000720953800005" TargetMode="External"/><Relationship Id="rId1270" Type="http://schemas.openxmlformats.org/officeDocument/2006/relationships/hyperlink" Target="https%3A%2F%2Fwww.webofscience.com%2Fwos%2Fwoscc%2Ffull-record%2FWOS:000755789400007" TargetMode="External"/><Relationship Id="rId2114" Type="http://schemas.openxmlformats.org/officeDocument/2006/relationships/hyperlink" Target="https%3A%2F%2Fwww.webofscience.com%2Fwos%2Fwoscc%2Ffull-record%2FWOS:000820802000001" TargetMode="External"/><Relationship Id="rId640" Type="http://schemas.openxmlformats.org/officeDocument/2006/relationships/hyperlink" Target="https%3A%2F%2Fwww.webofscience.com%2Fwos%2Fwoscc%2Ffull-record%2FWOS:000387159800059" TargetMode="External"/><Relationship Id="rId738" Type="http://schemas.openxmlformats.org/officeDocument/2006/relationships/hyperlink" Target="https%3A%2F%2Fwww.webofscience.com%2Fwos%2Fwoscc%2Ffull-record%2FWOS:000426114200004" TargetMode="External"/><Relationship Id="rId945" Type="http://schemas.openxmlformats.org/officeDocument/2006/relationships/hyperlink" Target="https%3A%2F%2Fwww.webofscience.com%2Fwos%2Fwoscc%2Ffull-record%2FWOS:000354658300006" TargetMode="External"/><Relationship Id="rId1368" Type="http://schemas.openxmlformats.org/officeDocument/2006/relationships/hyperlink" Target="http://dx.doi.org/10.25750/1995-4301-2019-1-122-128" TargetMode="External"/><Relationship Id="rId1575" Type="http://schemas.openxmlformats.org/officeDocument/2006/relationships/hyperlink" Target="http://dx.doi.org/10.13187/ejced.2023.1.173" TargetMode="External"/><Relationship Id="rId1782" Type="http://schemas.openxmlformats.org/officeDocument/2006/relationships/hyperlink" Target="https%3A%2F%2Fwww.webofscience.com%2Fwos%2Fwoscc%2Ffull-record%2FWOS:000929704700012" TargetMode="External"/><Relationship Id="rId2321" Type="http://schemas.openxmlformats.org/officeDocument/2006/relationships/hyperlink" Target="https%3A%2F%2Fwww.webofscience.com%2Fwos%2Fwoscc%2Ffull-record%2FWOS:000366640300016" TargetMode="External"/><Relationship Id="rId2419" Type="http://schemas.openxmlformats.org/officeDocument/2006/relationships/hyperlink" Target="http://dx.doi.org/10.25750/1995-4301-2021-2-215-221" TargetMode="External"/><Relationship Id="rId74" Type="http://schemas.openxmlformats.org/officeDocument/2006/relationships/hyperlink" Target="http://dx.doi.org/10.1139/er-2022-0081" TargetMode="External"/><Relationship Id="rId500" Type="http://schemas.openxmlformats.org/officeDocument/2006/relationships/hyperlink" Target="https%3A%2F%2Fwww.webofscience.com%2Fwos%2Fwoscc%2Ffull-record%2FWOS:000292270900006" TargetMode="External"/><Relationship Id="rId805" Type="http://schemas.openxmlformats.org/officeDocument/2006/relationships/hyperlink" Target="http://dx.doi.org/10.24833/2071-8160-2020-2-71-7-39" TargetMode="External"/><Relationship Id="rId1130" Type="http://schemas.openxmlformats.org/officeDocument/2006/relationships/hyperlink" Target="https%3A%2F%2Fwww.webofscience.com%2Fwos%2Fwoscc%2Ffull-record%2FWOS:000501567300041" TargetMode="External"/><Relationship Id="rId1228" Type="http://schemas.openxmlformats.org/officeDocument/2006/relationships/hyperlink" Target="https%3A%2F%2Fwww.webofscience.com%2Fwos%2Fwoscc%2Ffull-record%2FWOS:000520005200056" TargetMode="External"/><Relationship Id="rId1435" Type="http://schemas.openxmlformats.org/officeDocument/2006/relationships/hyperlink" Target="http://dx.doi.org/10.1111/tan.14552" TargetMode="External"/><Relationship Id="rId1642" Type="http://schemas.openxmlformats.org/officeDocument/2006/relationships/hyperlink" Target="http://dx.doi.org/10.17223/19996195/51/8" TargetMode="External"/><Relationship Id="rId1947" Type="http://schemas.openxmlformats.org/officeDocument/2006/relationships/hyperlink" Target="http://dx.doi.org/10.25750/1995-4301-2021-2-081-088" TargetMode="External"/><Relationship Id="rId1502" Type="http://schemas.openxmlformats.org/officeDocument/2006/relationships/hyperlink" Target="http://dx.doi.org/10.1007/s11029-015-9500-0" TargetMode="External"/><Relationship Id="rId1807" Type="http://schemas.openxmlformats.org/officeDocument/2006/relationships/hyperlink" Target="http://dx.doi.org/10.33048/semi.2019.16.105" TargetMode="External"/><Relationship Id="rId290" Type="http://schemas.openxmlformats.org/officeDocument/2006/relationships/hyperlink" Target="http://dx.doi.org/10.1007/978-3-030-37334-4_12" TargetMode="External"/><Relationship Id="rId388" Type="http://schemas.openxmlformats.org/officeDocument/2006/relationships/hyperlink" Target="https%3A%2F%2Fwww.webofscience.com%2Fwos%2Fwoscc%2Ffull-record%2FWOS:000167436400016" TargetMode="External"/><Relationship Id="rId2069" Type="http://schemas.openxmlformats.org/officeDocument/2006/relationships/hyperlink" Target="http://dx.doi.org/10.25750/1995-4301-2020-3-041-045" TargetMode="External"/><Relationship Id="rId150" Type="http://schemas.openxmlformats.org/officeDocument/2006/relationships/hyperlink" Target="https%3A%2F%2Fwww.webofscience.com%2Fwos%2Fwoscc%2Ffull-record%2FWOS:000625435700011" TargetMode="External"/><Relationship Id="rId595" Type="http://schemas.openxmlformats.org/officeDocument/2006/relationships/hyperlink" Target="http://dx.doi.org/10.15561/18189172.2018.0108" TargetMode="External"/><Relationship Id="rId2276" Type="http://schemas.openxmlformats.org/officeDocument/2006/relationships/hyperlink" Target="http://dx.doi.org/10.1088/1755-1315/90/012139" TargetMode="External"/><Relationship Id="rId2483" Type="http://schemas.openxmlformats.org/officeDocument/2006/relationships/hyperlink" Target="https%3A%2F%2Fwww.webofscience.com%2Fwos%2Fwoscc%2Ffull-record%2FWOS:000604484700009" TargetMode="External"/><Relationship Id="rId248" Type="http://schemas.openxmlformats.org/officeDocument/2006/relationships/hyperlink" Target="https%3A%2F%2Fwww.webofscience.com%2Fwos%2Fwoscc%2Ffull-record%2FWOS:000331107100053" TargetMode="External"/><Relationship Id="rId455" Type="http://schemas.openxmlformats.org/officeDocument/2006/relationships/hyperlink" Target="http://dx.doi.org/10.1088/1742-6596/891/1/012226" TargetMode="External"/><Relationship Id="rId662" Type="http://schemas.openxmlformats.org/officeDocument/2006/relationships/hyperlink" Target="https%3A%2F%2Fwww.webofscience.com%2Fwos%2Fwoscc%2Ffull-record%2FWOS:000674798100001" TargetMode="External"/><Relationship Id="rId1085" Type="http://schemas.openxmlformats.org/officeDocument/2006/relationships/hyperlink" Target="http://dx.doi.org/10.1051/matecconf/201817001003" TargetMode="External"/><Relationship Id="rId1292" Type="http://schemas.openxmlformats.org/officeDocument/2006/relationships/hyperlink" Target="https%3A%2F%2Fwww.webofscience.com%2Fwos%2Fwoscc%2Ffull-record%2FWOS:000451687200005" TargetMode="External"/><Relationship Id="rId2136" Type="http://schemas.openxmlformats.org/officeDocument/2006/relationships/hyperlink" Target="https%3A%2F%2Fwww.webofscience.com%2Fwos%2Fwoscc%2Ffull-record%2FWOS:000441009400011" TargetMode="External"/><Relationship Id="rId2343" Type="http://schemas.openxmlformats.org/officeDocument/2006/relationships/hyperlink" Target="http://dx.doi.org/10.25750/1995-4301-2020-4-143-148" TargetMode="External"/><Relationship Id="rId108" Type="http://schemas.openxmlformats.org/officeDocument/2006/relationships/hyperlink" Target="http://dx.doi.org/10.1134/S0036029520020032" TargetMode="External"/><Relationship Id="rId315" Type="http://schemas.openxmlformats.org/officeDocument/2006/relationships/hyperlink" Target="http://dx.doi.org/10.1088/1757-899X/962/2/022047" TargetMode="External"/><Relationship Id="rId522" Type="http://schemas.openxmlformats.org/officeDocument/2006/relationships/hyperlink" Target="https%3A%2F%2Fwww.webofscience.com%2Fwos%2Fwoscc%2Ffull-record%2FWOS:000492146100144" TargetMode="External"/><Relationship Id="rId967" Type="http://schemas.openxmlformats.org/officeDocument/2006/relationships/hyperlink" Target="https%3A%2F%2Fwww.webofscience.com%2Fwos%2Fwoscc%2Ffull-record%2FWOS:000545295600026" TargetMode="External"/><Relationship Id="rId1152" Type="http://schemas.openxmlformats.org/officeDocument/2006/relationships/hyperlink" Target="https%3A%2F%2Fwww.webofscience.com%2Fwos%2Fwoscc%2Ffull-record%2FWOS:000325636200009" TargetMode="External"/><Relationship Id="rId1597" Type="http://schemas.openxmlformats.org/officeDocument/2006/relationships/hyperlink" Target="https%3A%2F%2Fwww.webofscience.com%2Fwos%2Fwoscc%2Ffull-record%2FWOS:000787851100001" TargetMode="External"/><Relationship Id="rId2203" Type="http://schemas.openxmlformats.org/officeDocument/2006/relationships/hyperlink" Target="http://dx.doi.org/10.25750/1995-4301-2022-2-077-083" TargetMode="External"/><Relationship Id="rId2410" Type="http://schemas.openxmlformats.org/officeDocument/2006/relationships/hyperlink" Target="https%3A%2F%2Fwww.webofscience.com%2Fwos%2Fwoscc%2Ffull-record%2FWOS:000490704900010" TargetMode="External"/><Relationship Id="rId96" Type="http://schemas.openxmlformats.org/officeDocument/2006/relationships/hyperlink" Target="https%3A%2F%2Fwww.webofscience.com%2Fwos%2Fwoscc%2Ffull-record%2FWOS:000517795800128" TargetMode="External"/><Relationship Id="rId827" Type="http://schemas.openxmlformats.org/officeDocument/2006/relationships/hyperlink" Target="https%3A%2F%2Fwww.webofscience.com%2Fwos%2Fwoscc%2Ffull-record%2FWOS:000414282400167" TargetMode="External"/><Relationship Id="rId1012" Type="http://schemas.openxmlformats.org/officeDocument/2006/relationships/hyperlink" Target="http://dx.doi.org/10.17223/23062061/27/12" TargetMode="External"/><Relationship Id="rId1457" Type="http://schemas.openxmlformats.org/officeDocument/2006/relationships/hyperlink" Target="https%3A%2F%2Fwww.webofscience.com%2Fwos%2Fwoscc%2Ffull-record%2FWOS:000368729200010" TargetMode="External"/><Relationship Id="rId1664" Type="http://schemas.openxmlformats.org/officeDocument/2006/relationships/hyperlink" Target="http://dx.doi.org/10.1111/tan.14946" TargetMode="External"/><Relationship Id="rId1871" Type="http://schemas.openxmlformats.org/officeDocument/2006/relationships/hyperlink" Target="https%3A%2F%2Fwww.webofscience.com%2Fwos%2Fwoscc%2Ffull-record%2FWOS:000560244900092" TargetMode="External"/><Relationship Id="rId2508" Type="http://schemas.openxmlformats.org/officeDocument/2006/relationships/hyperlink" Target="http://dx.doi.org/10.3897/BDJ.9.e77615" TargetMode="External"/><Relationship Id="rId1317" Type="http://schemas.openxmlformats.org/officeDocument/2006/relationships/hyperlink" Target="https%3A%2F%2Fwww.webofscience.com%2Fwos%2Fwoscc%2Ffull-record%2FWOS:000545295600015" TargetMode="External"/><Relationship Id="rId1524" Type="http://schemas.openxmlformats.org/officeDocument/2006/relationships/hyperlink" Target="https%3A%2F%2Fwww.webofscience.com%2Fwos%2Fwoscc%2Ffull-record%2FWOS:000426426600261" TargetMode="External"/><Relationship Id="rId1731" Type="http://schemas.openxmlformats.org/officeDocument/2006/relationships/hyperlink" Target="https%3A%2F%2Fwww.webofscience.com%2Fwos%2Fwoscc%2Ffull-record%2FWOS:000785894900001" TargetMode="External"/><Relationship Id="rId1969" Type="http://schemas.openxmlformats.org/officeDocument/2006/relationships/hyperlink" Target="http://dx.doi.org/10.25750/1995-4301-2021-3-038-043" TargetMode="External"/><Relationship Id="rId23" Type="http://schemas.openxmlformats.org/officeDocument/2006/relationships/hyperlink" Target="https%3A%2F%2Fwww.webofscience.com%2Fwos%2Fwoscc%2Ffull-record%2FWOS:000451192400009" TargetMode="External"/><Relationship Id="rId1829" Type="http://schemas.openxmlformats.org/officeDocument/2006/relationships/hyperlink" Target="http://dx.doi.org/10.3103/S106782121105004X" TargetMode="External"/><Relationship Id="rId2298" Type="http://schemas.openxmlformats.org/officeDocument/2006/relationships/hyperlink" Target="http://dx.doi.org/10.25750/1995-4301-2019-3-057-065" TargetMode="External"/><Relationship Id="rId172" Type="http://schemas.openxmlformats.org/officeDocument/2006/relationships/hyperlink" Target="https%3A%2F%2Fwww.webofscience.com%2Fwos%2Fwoscc%2Ffull-record%2FWOS:000326774100013" TargetMode="External"/><Relationship Id="rId477" Type="http://schemas.openxmlformats.org/officeDocument/2006/relationships/hyperlink" Target="https%3A%2F%2Fwww.webofscience.com%2Fwos%2Fwoscc%2Ffull-record%2FWOS:000805759500011" TargetMode="External"/><Relationship Id="rId684" Type="http://schemas.openxmlformats.org/officeDocument/2006/relationships/hyperlink" Target="https%3A%2F%2Fwww.webofscience.com%2Fwos%2Fwoscc%2Ffull-record%2FWOS:000410460100012" TargetMode="External"/><Relationship Id="rId2060" Type="http://schemas.openxmlformats.org/officeDocument/2006/relationships/hyperlink" Target="http://dx.doi.org/10.1016/j.indcrop.2021.114382" TargetMode="External"/><Relationship Id="rId2158" Type="http://schemas.openxmlformats.org/officeDocument/2006/relationships/hyperlink" Target="https%3A%2F%2Fwww.webofscience.com%2Fwos%2Fwoscc%2Ffull-record%2FWOS:000415616300003" TargetMode="External"/><Relationship Id="rId2365" Type="http://schemas.openxmlformats.org/officeDocument/2006/relationships/hyperlink" Target="http://dx.doi.org/10.25750/1995-4301-2018-4-114-118" TargetMode="External"/><Relationship Id="rId337" Type="http://schemas.openxmlformats.org/officeDocument/2006/relationships/hyperlink" Target="https%3A%2F%2Fwww.webofscience.com%2Fwos%2Fwoscc%2Ffull-record%2FWOS:000355411900015" TargetMode="External"/><Relationship Id="rId891" Type="http://schemas.openxmlformats.org/officeDocument/2006/relationships/hyperlink" Target="https%3A%2F%2Fwww.webofscience.com%2Fwos%2Fwoscc%2Ffull-record%2FWOS:000568419600010" TargetMode="External"/><Relationship Id="rId989" Type="http://schemas.openxmlformats.org/officeDocument/2006/relationships/hyperlink" Target="https%3A%2F%2Fwww.webofscience.com%2Fwos%2Fwoscc%2Ffull-record%2FWOS:000387965000183" TargetMode="External"/><Relationship Id="rId2018" Type="http://schemas.openxmlformats.org/officeDocument/2006/relationships/hyperlink" Target="http://dx.doi.org/10.13187/ejced.2021.4.943" TargetMode="External"/><Relationship Id="rId544" Type="http://schemas.openxmlformats.org/officeDocument/2006/relationships/hyperlink" Target="http://dx.doi.org/10.24874/IJQR14.02-03" TargetMode="External"/><Relationship Id="rId751" Type="http://schemas.openxmlformats.org/officeDocument/2006/relationships/hyperlink" Target="http://dx.doi.org/10.17223/15617793/465/15" TargetMode="External"/><Relationship Id="rId849" Type="http://schemas.openxmlformats.org/officeDocument/2006/relationships/hyperlink" Target="https%3A%2F%2Fwww.webofscience.com%2Fwos%2Fwoscc%2Ffull-record%2FWOS:000592231900015" TargetMode="External"/><Relationship Id="rId1174" Type="http://schemas.openxmlformats.org/officeDocument/2006/relationships/hyperlink" Target="https%3A%2F%2Fwww.webofscience.com%2Fwos%2Fwoscc%2Ffull-record%2FWOS:000492146100091" TargetMode="External"/><Relationship Id="rId1381" Type="http://schemas.openxmlformats.org/officeDocument/2006/relationships/hyperlink" Target="https%3A%2F%2Fwww.webofscience.com%2Fwos%2Fwoscc%2Ffull-record%2FWOS:000780680000001" TargetMode="External"/><Relationship Id="rId1479" Type="http://schemas.openxmlformats.org/officeDocument/2006/relationships/hyperlink" Target="http://dx.doi.org/10.1051/e3sconf/202021013037" TargetMode="External"/><Relationship Id="rId1686" Type="http://schemas.openxmlformats.org/officeDocument/2006/relationships/hyperlink" Target="https%3A%2F%2Fwww.webofscience.com%2Fwos%2Fwoscc%2Ffull-record%2FWOS:000426431000023" TargetMode="External"/><Relationship Id="rId2225" Type="http://schemas.openxmlformats.org/officeDocument/2006/relationships/hyperlink" Target="http://dx.doi.org/10.1007/s10600-017-2133-x" TargetMode="External"/><Relationship Id="rId2432" Type="http://schemas.openxmlformats.org/officeDocument/2006/relationships/hyperlink" Target="https%3A%2F%2Fwww.webofscience.com%2Fwos%2Fwoscc%2Ffull-record%2FWOS:000925822400002" TargetMode="External"/><Relationship Id="rId404" Type="http://schemas.openxmlformats.org/officeDocument/2006/relationships/hyperlink" Target="http://dx.doi.org/10.17072/2219-3111-2020-3-118-127" TargetMode="External"/><Relationship Id="rId611" Type="http://schemas.openxmlformats.org/officeDocument/2006/relationships/hyperlink" Target="https%3A%2F%2Fwww.webofscience.com%2Fwos%2Fwoscc%2Ffull-record%2FWOS:000849737100035" TargetMode="External"/><Relationship Id="rId1034" Type="http://schemas.openxmlformats.org/officeDocument/2006/relationships/hyperlink" Target="https%3A%2F%2Fwww.webofscience.com%2Fwos%2Fwoscc%2Ffull-record%2FWOS:000498897100031" TargetMode="External"/><Relationship Id="rId1241" Type="http://schemas.openxmlformats.org/officeDocument/2006/relationships/hyperlink" Target="https%3A%2F%2Fwww.webofscience.com%2Fwos%2Fwoscc%2Ffull-record%2FWOS:000543394200010" TargetMode="External"/><Relationship Id="rId1339" Type="http://schemas.openxmlformats.org/officeDocument/2006/relationships/hyperlink" Target="https%3A%2F%2Fwww.webofscience.com%2Fwos%2Fwoscc%2Ffull-record%2FWOS:000251500300004" TargetMode="External"/><Relationship Id="rId1893" Type="http://schemas.openxmlformats.org/officeDocument/2006/relationships/hyperlink" Target="https%3A%2F%2Fwww.webofscience.com%2Fwos%2Fwoscc%2Ffull-record%2FWOS:000486972406174" TargetMode="External"/><Relationship Id="rId709" Type="http://schemas.openxmlformats.org/officeDocument/2006/relationships/hyperlink" Target="https%3A%2F%2Fwww.webofscience.com%2Fwos%2Fwoscc%2Ffull-record%2FWOS:000755154100008" TargetMode="External"/><Relationship Id="rId916" Type="http://schemas.openxmlformats.org/officeDocument/2006/relationships/hyperlink" Target="https%3A%2F%2Fwww.webofscience.com%2Fwos%2Fwoscc%2Ffull-record%2FWOS:000944440600001" TargetMode="External"/><Relationship Id="rId1101" Type="http://schemas.openxmlformats.org/officeDocument/2006/relationships/hyperlink" Target="https%3A%2F%2Fwww.webofscience.com%2Fwos%2Fwoscc%2Ffull-record%2FWOS:000165979500021" TargetMode="External"/><Relationship Id="rId1546" Type="http://schemas.openxmlformats.org/officeDocument/2006/relationships/hyperlink" Target="http://dx.doi.org/10.22038/IJP.2021.56526.4442" TargetMode="External"/><Relationship Id="rId1753" Type="http://schemas.openxmlformats.org/officeDocument/2006/relationships/hyperlink" Target="https%3A%2F%2Fwww.webofscience.com%2Fwos%2Fwoscc%2Ffull-record%2FWOS:000553160200016" TargetMode="External"/><Relationship Id="rId1960" Type="http://schemas.openxmlformats.org/officeDocument/2006/relationships/hyperlink" Target="https%3A%2F%2Fwww.webofscience.com%2Fwos%2Fwoscc%2Ffull-record%2FWOS:000823569900009" TargetMode="External"/><Relationship Id="rId45" Type="http://schemas.openxmlformats.org/officeDocument/2006/relationships/hyperlink" Target="https%3A%2F%2Fwww.webofscience.com%2Fwos%2Fwoscc%2Ffull-record%2FWOS:000891387700001" TargetMode="External"/><Relationship Id="rId1406" Type="http://schemas.openxmlformats.org/officeDocument/2006/relationships/hyperlink" Target="http://dx.doi.org/10.1023/B:MSAT.0000019201.56753.34" TargetMode="External"/><Relationship Id="rId1613" Type="http://schemas.openxmlformats.org/officeDocument/2006/relationships/hyperlink" Target="https%3A%2F%2Fwww.webofscience.com%2Fwos%2Fwoscc%2Ffull-record%2FWOS:000569062500010" TargetMode="External"/><Relationship Id="rId1820" Type="http://schemas.openxmlformats.org/officeDocument/2006/relationships/hyperlink" Target="https%3A%2F%2Fwww.webofscience.com%2Fwos%2Fwoscc%2Ffull-record%2FWOS:000729818300025" TargetMode="External"/><Relationship Id="rId194" Type="http://schemas.openxmlformats.org/officeDocument/2006/relationships/hyperlink" Target="http://dx.doi.org/10.15405/epsbs.2021.07.02.40" TargetMode="External"/><Relationship Id="rId1918" Type="http://schemas.openxmlformats.org/officeDocument/2006/relationships/hyperlink" Target="https%3A%2F%2Fwww.webofscience.com%2Fwos%2Fwoscc%2Ffull-record%2FWOS:000790677400002" TargetMode="External"/><Relationship Id="rId2082" Type="http://schemas.openxmlformats.org/officeDocument/2006/relationships/hyperlink" Target="http://dx.doi.org/10.1051/matecconf/201710608074" TargetMode="External"/><Relationship Id="rId261" Type="http://schemas.openxmlformats.org/officeDocument/2006/relationships/hyperlink" Target="https%3A%2F%2Fwww.webofscience.com%2Fwos%2Fwoscc%2Ffull-record%2FWOS:000444615300004" TargetMode="External"/><Relationship Id="rId499" Type="http://schemas.openxmlformats.org/officeDocument/2006/relationships/hyperlink" Target="http://dx.doi.org/10.1134/S1023193511050053" TargetMode="External"/><Relationship Id="rId2387" Type="http://schemas.openxmlformats.org/officeDocument/2006/relationships/hyperlink" Target="https%3A%2F%2Fwww.webofscience.com%2Fwos%2Fwoscc%2Ffull-record%2FWOS:000382858400004" TargetMode="External"/><Relationship Id="rId359" Type="http://schemas.openxmlformats.org/officeDocument/2006/relationships/hyperlink" Target="https%3A%2F%2Fwww.webofscience.com%2Fwos%2Fwoscc%2Ffull-record%2FWOS:000671896200095" TargetMode="External"/><Relationship Id="rId566" Type="http://schemas.openxmlformats.org/officeDocument/2006/relationships/hyperlink" Target="https%3A%2F%2Fwww.webofscience.com%2Fwos%2Fwoscc%2Ffull-record%2FWOS:000451502800007" TargetMode="External"/><Relationship Id="rId773" Type="http://schemas.openxmlformats.org/officeDocument/2006/relationships/hyperlink" Target="https%3A%2F%2Fwww.webofscience.com%2Fwos%2Fwoscc%2Ffull-record%2FWOS:000456948700017" TargetMode="External"/><Relationship Id="rId1196" Type="http://schemas.openxmlformats.org/officeDocument/2006/relationships/hyperlink" Target="https%3A%2F%2Fwww.webofscience.com%2Fwos%2Fwoscc%2Ffull-record%2FWOS:000430880200012" TargetMode="External"/><Relationship Id="rId2247" Type="http://schemas.openxmlformats.org/officeDocument/2006/relationships/hyperlink" Target="https%3A%2F%2Fwww.webofscience.com%2Fwos%2Fwoscc%2Ffull-record%2FWOS:000885393200028" TargetMode="External"/><Relationship Id="rId2454" Type="http://schemas.openxmlformats.org/officeDocument/2006/relationships/hyperlink" Target="https%3A%2F%2Fwww.webofscience.com%2Fwos%2Fwoscc%2Ffull-record%2FWOS:000559769600002" TargetMode="External"/><Relationship Id="rId121" Type="http://schemas.openxmlformats.org/officeDocument/2006/relationships/hyperlink" Target="http://dx.doi.org/10.1134/S0031918X18070098" TargetMode="External"/><Relationship Id="rId219" Type="http://schemas.openxmlformats.org/officeDocument/2006/relationships/hyperlink" Target="https%3A%2F%2Fwww.webofscience.com%2Fwos%2Fwoscc%2Ffull-record%2FWOS:000253186900027" TargetMode="External"/><Relationship Id="rId426" Type="http://schemas.openxmlformats.org/officeDocument/2006/relationships/hyperlink" Target="https%3A%2F%2Fwww.webofscience.com%2Fwos%2Fwoscc%2Ffull-record%2FWOS:000935004600004" TargetMode="External"/><Relationship Id="rId633" Type="http://schemas.openxmlformats.org/officeDocument/2006/relationships/hyperlink" Target="http://dx.doi.org/10.1088/1742-6596/944/1/012088" TargetMode="External"/><Relationship Id="rId980" Type="http://schemas.openxmlformats.org/officeDocument/2006/relationships/hyperlink" Target="https%3A%2F%2Fwww.webofscience.com%2Fwos%2Fwoscc%2Ffull-record%2FWOS:000452093000013" TargetMode="External"/><Relationship Id="rId1056" Type="http://schemas.openxmlformats.org/officeDocument/2006/relationships/hyperlink" Target="http://dx.doi.org/10.1134/S0869864322030118" TargetMode="External"/><Relationship Id="rId1263" Type="http://schemas.openxmlformats.org/officeDocument/2006/relationships/hyperlink" Target="http://dx.doi.org/10.15688/jvolsu2.2023.1.13" TargetMode="External"/><Relationship Id="rId2107" Type="http://schemas.openxmlformats.org/officeDocument/2006/relationships/hyperlink" Target="http://dx.doi.org/10.25750/1995-4301-2020-2-044-050" TargetMode="External"/><Relationship Id="rId2314" Type="http://schemas.openxmlformats.org/officeDocument/2006/relationships/hyperlink" Target="http://dx.doi.org/10.1016/j.jbiomech.2019.109504" TargetMode="External"/><Relationship Id="rId840" Type="http://schemas.openxmlformats.org/officeDocument/2006/relationships/hyperlink" Target="http://dx.doi.org/10.17223/22220836/38/16" TargetMode="External"/><Relationship Id="rId938" Type="http://schemas.openxmlformats.org/officeDocument/2006/relationships/hyperlink" Target="https%3A%2F%2Fwww.webofscience.com%2Fwos%2Fwoscc%2Ffull-record%2FWOS:000443708100031" TargetMode="External"/><Relationship Id="rId1470" Type="http://schemas.openxmlformats.org/officeDocument/2006/relationships/hyperlink" Target="https%3A%2F%2Fwww.webofscience.com%2Fwos%2Fwoscc%2Ffull-record%2FWOS:000245221500014" TargetMode="External"/><Relationship Id="rId1568" Type="http://schemas.openxmlformats.org/officeDocument/2006/relationships/hyperlink" Target="https%3A%2F%2Fwww.webofscience.com%2Fwos%2Fwoscc%2Ffull-record%2FWOS:000365271200007" TargetMode="External"/><Relationship Id="rId1775" Type="http://schemas.openxmlformats.org/officeDocument/2006/relationships/hyperlink" Target="http://dx.doi.org/10.31166/VoprosyIstorii201911Statyi11" TargetMode="External"/><Relationship Id="rId67" Type="http://schemas.openxmlformats.org/officeDocument/2006/relationships/hyperlink" Target="http://dx.doi.org/10.1007/978-3-319-60696-5_71" TargetMode="External"/><Relationship Id="rId700" Type="http://schemas.openxmlformats.org/officeDocument/2006/relationships/hyperlink" Target="http://dx.doi.org/10.25750/1995-4301-2022-3-103-109" TargetMode="External"/><Relationship Id="rId1123" Type="http://schemas.openxmlformats.org/officeDocument/2006/relationships/hyperlink" Target="http://dx.doi.org/10.5281/zenodo.3722888" TargetMode="External"/><Relationship Id="rId1330" Type="http://schemas.openxmlformats.org/officeDocument/2006/relationships/hyperlink" Target="http://dx.doi.org/10.25750/1995-4301-2020-3-046-051" TargetMode="External"/><Relationship Id="rId1428" Type="http://schemas.openxmlformats.org/officeDocument/2006/relationships/hyperlink" Target="https%3A%2F%2Fwww.webofscience.com%2Fwos%2Fwoscc%2Ffull-record%2FWOS:000756004700004" TargetMode="External"/><Relationship Id="rId1635" Type="http://schemas.openxmlformats.org/officeDocument/2006/relationships/hyperlink" Target="http://dx.doi.org/10.1007/s11175-005-0117-9" TargetMode="External"/><Relationship Id="rId1982" Type="http://schemas.openxmlformats.org/officeDocument/2006/relationships/hyperlink" Target="http://dx.doi.org/10.1016/j.carbpol.2018.10.053" TargetMode="External"/><Relationship Id="rId1842" Type="http://schemas.openxmlformats.org/officeDocument/2006/relationships/hyperlink" Target="https%3A%2F%2Fwww.webofscience.com%2Fwos%2Fwoscc%2Ffull-record%2FWOS:000659867302065" TargetMode="External"/><Relationship Id="rId1702" Type="http://schemas.openxmlformats.org/officeDocument/2006/relationships/hyperlink" Target="https%3A%2F%2Fwww.webofscience.com%2Fwos%2Fwoscc%2Ffull-record%2FWOS:A1997WP64600032" TargetMode="External"/><Relationship Id="rId283" Type="http://schemas.openxmlformats.org/officeDocument/2006/relationships/hyperlink" Target="https%3A%2F%2Fwww.webofscience.com%2Fwos%2Fwoscc%2Ffull-record%2FWOS:000657722200008" TargetMode="External"/><Relationship Id="rId490" Type="http://schemas.openxmlformats.org/officeDocument/2006/relationships/hyperlink" Target="http://dx.doi.org/10.5281/zenodo.1343404" TargetMode="External"/><Relationship Id="rId2171" Type="http://schemas.openxmlformats.org/officeDocument/2006/relationships/hyperlink" Target="http://dx.doi.org/10.25750/1995-4301-2021-3-021-030" TargetMode="External"/><Relationship Id="rId143" Type="http://schemas.openxmlformats.org/officeDocument/2006/relationships/hyperlink" Target="https%3A%2F%2Fwww.webofscience.com%2Fwos%2Fwoscc%2Ffull-record%2FWOS:000613138500080" TargetMode="External"/><Relationship Id="rId350" Type="http://schemas.openxmlformats.org/officeDocument/2006/relationships/hyperlink" Target="http://dx.doi.org/10.1007/978-3-030-93244-2_78" TargetMode="External"/><Relationship Id="rId588" Type="http://schemas.openxmlformats.org/officeDocument/2006/relationships/hyperlink" Target="https%3A%2F%2Fwww.webofscience.com%2Fwos%2Fwoscc%2Ffull-record%2FWOS:000459821500007" TargetMode="External"/><Relationship Id="rId795" Type="http://schemas.openxmlformats.org/officeDocument/2006/relationships/hyperlink" Target="http://dx.doi.org/10.24224/2227-1295-2022-11-7-59-73" TargetMode="External"/><Relationship Id="rId2031" Type="http://schemas.openxmlformats.org/officeDocument/2006/relationships/hyperlink" Target="https%3A%2F%2Fwww.webofscience.com%2Fwos%2Fwoscc%2Ffull-record%2FWOS:000468564500004" TargetMode="External"/><Relationship Id="rId2269" Type="http://schemas.openxmlformats.org/officeDocument/2006/relationships/hyperlink" Target="https%3A%2F%2Fwww.webofscience.com%2Fwos%2Fwoscc%2Ffull-record%2FWOS:000737865000017" TargetMode="External"/><Relationship Id="rId2476" Type="http://schemas.openxmlformats.org/officeDocument/2006/relationships/hyperlink" Target="http://dx.doi.org/10.1002/erv.2731" TargetMode="External"/><Relationship Id="rId9" Type="http://schemas.openxmlformats.org/officeDocument/2006/relationships/hyperlink" Target="https%3A%2F%2Fwww.webofscience.com%2Fwos%2Fwoscc%2Ffull-record%2FWOS:000787124400007" TargetMode="External"/><Relationship Id="rId210" Type="http://schemas.openxmlformats.org/officeDocument/2006/relationships/hyperlink" Target="https%3A%2F%2Fwww.webofscience.com%2Fwos%2Fwoscc%2Ffull-record%2FWOS:000478963800053" TargetMode="External"/><Relationship Id="rId448" Type="http://schemas.openxmlformats.org/officeDocument/2006/relationships/hyperlink" Target="https%3A%2F%2Fwww.webofscience.com%2Fwos%2Fwoscc%2Ffull-record%2FWOS:000474459100009" TargetMode="External"/><Relationship Id="rId655" Type="http://schemas.openxmlformats.org/officeDocument/2006/relationships/hyperlink" Target="http://dx.doi.org/10.1080/09668136.2023.2181591" TargetMode="External"/><Relationship Id="rId862" Type="http://schemas.openxmlformats.org/officeDocument/2006/relationships/hyperlink" Target="http://dx.doi.org/10.18720/MCE.79.6" TargetMode="External"/><Relationship Id="rId1078" Type="http://schemas.openxmlformats.org/officeDocument/2006/relationships/hyperlink" Target="https%3A%2F%2Fwww.webofscience.com%2Fwos%2Fwoscc%2Ffull-record%2FWOS:000469452600026" TargetMode="External"/><Relationship Id="rId1285" Type="http://schemas.openxmlformats.org/officeDocument/2006/relationships/hyperlink" Target="https%3A%2F%2Fwww.webofscience.com%2Fwos%2Fwoscc%2Ffull-record%2FWOS:000819811100024" TargetMode="External"/><Relationship Id="rId1492" Type="http://schemas.openxmlformats.org/officeDocument/2006/relationships/hyperlink" Target="https%3A%2F%2Fwww.webofscience.com%2Fwos%2Fwoscc%2Ffull-record%2FWOS:000545295600018" TargetMode="External"/><Relationship Id="rId2129" Type="http://schemas.openxmlformats.org/officeDocument/2006/relationships/hyperlink" Target="http://dx.doi.org/10.29333/iji.2019.12346a" TargetMode="External"/><Relationship Id="rId2336" Type="http://schemas.openxmlformats.org/officeDocument/2006/relationships/hyperlink" Target="https%3A%2F%2Fwww.webofscience.com%2Fwos%2Fwoscc%2Ffull-record%2FWOS:000444615800007" TargetMode="External"/><Relationship Id="rId308" Type="http://schemas.openxmlformats.org/officeDocument/2006/relationships/hyperlink" Target="https%3A%2F%2Fwww.webofscience.com%2Fwos%2Fwoscc%2Ffull-record%2FWOS:000263675600016" TargetMode="External"/><Relationship Id="rId515" Type="http://schemas.openxmlformats.org/officeDocument/2006/relationships/hyperlink" Target="http://dx.doi.org/10.13187/me.2020.3.549" TargetMode="External"/><Relationship Id="rId722" Type="http://schemas.openxmlformats.org/officeDocument/2006/relationships/hyperlink" Target="http://dx.doi.org/10.3103/S0147688218030036" TargetMode="External"/><Relationship Id="rId1145" Type="http://schemas.openxmlformats.org/officeDocument/2006/relationships/hyperlink" Target="https%3A%2F%2Fwww.webofscience.com%2Fwos%2Fwoscc%2Ffull-record%2FWOS:000371617600040" TargetMode="External"/><Relationship Id="rId1352" Type="http://schemas.openxmlformats.org/officeDocument/2006/relationships/hyperlink" Target="https%3A%2F%2Fwww.webofscience.com%2Fwos%2Fwoscc%2Ffull-record%2FWOS:000493331800025" TargetMode="External"/><Relationship Id="rId1797" Type="http://schemas.openxmlformats.org/officeDocument/2006/relationships/hyperlink" Target="https%3A%2F%2Fwww.webofscience.com%2Fwos%2Fwoscc%2Ffull-record%2FWOS:000363241200001" TargetMode="External"/><Relationship Id="rId2403" Type="http://schemas.openxmlformats.org/officeDocument/2006/relationships/hyperlink" Target="https%3A%2F%2Fwww.webofscience.com%2Fwos%2Fwoscc%2Ffull-record%2FWOS:000752874700003" TargetMode="External"/><Relationship Id="rId89" Type="http://schemas.openxmlformats.org/officeDocument/2006/relationships/hyperlink" Target="https%3A%2F%2Fwww.webofscience.com%2Fwos%2Fwoscc%2Ffull-record%2FWOS:000601302200006" TargetMode="External"/><Relationship Id="rId1005" Type="http://schemas.openxmlformats.org/officeDocument/2006/relationships/hyperlink" Target="https%3A%2F%2Fwww.webofscience.com%2Fwos%2Fwoscc%2Ffull-record%2FWOS:000247977600003" TargetMode="External"/><Relationship Id="rId1212" Type="http://schemas.openxmlformats.org/officeDocument/2006/relationships/hyperlink" Target="https%3A%2F%2Fwww.webofscience.com%2Fwos%2Fwoscc%2Ffull-record%2FWOS:000454315400002" TargetMode="External"/><Relationship Id="rId1657" Type="http://schemas.openxmlformats.org/officeDocument/2006/relationships/hyperlink" Target="http://dx.doi.org/10.1088/1742-6596/1210/1/012150" TargetMode="External"/><Relationship Id="rId1864" Type="http://schemas.openxmlformats.org/officeDocument/2006/relationships/hyperlink" Target="http://dx.doi.org/10.1007/s13632-020-00702-w" TargetMode="External"/><Relationship Id="rId1517" Type="http://schemas.openxmlformats.org/officeDocument/2006/relationships/hyperlink" Target="http://dx.doi.org/10.1023/B:JANC.0000040698.44884.ad" TargetMode="External"/><Relationship Id="rId1724" Type="http://schemas.openxmlformats.org/officeDocument/2006/relationships/hyperlink" Target="http://dx.doi.org/10.1111/ijag.16578" TargetMode="External"/><Relationship Id="rId16" Type="http://schemas.openxmlformats.org/officeDocument/2006/relationships/hyperlink" Target="http://dx.doi.org/10.1007/978-3-030-39225-3_47" TargetMode="External"/><Relationship Id="rId1931" Type="http://schemas.openxmlformats.org/officeDocument/2006/relationships/hyperlink" Target="http://dx.doi.org/10.25750/1995-4301-2018-2-101/2-10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407"/>
  <sheetViews>
    <sheetView tabSelected="1" topLeftCell="A1093" workbookViewId="0">
      <selection activeCell="N1112" sqref="N1112"/>
    </sheetView>
  </sheetViews>
  <sheetFormatPr defaultRowHeight="12.75" customHeight="1" x14ac:dyDescent="0.2"/>
  <sheetData>
    <row r="1" spans="1:72" ht="12.75" customHeight="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ht="12.75" customHeight="1" x14ac:dyDescent="0.2">
      <c r="A2" t="s">
        <v>72</v>
      </c>
      <c r="B2" t="s">
        <v>73</v>
      </c>
      <c r="F2" t="s">
        <v>74</v>
      </c>
      <c r="I2" t="s">
        <v>75</v>
      </c>
      <c r="J2" t="s">
        <v>76</v>
      </c>
      <c r="AO2" t="s">
        <v>77</v>
      </c>
      <c r="AT2" t="s">
        <v>78</v>
      </c>
      <c r="AU2">
        <v>2011</v>
      </c>
      <c r="AW2">
        <v>3</v>
      </c>
      <c r="BB2">
        <v>102</v>
      </c>
      <c r="BC2">
        <v>111</v>
      </c>
      <c r="BS2" t="s">
        <v>79</v>
      </c>
      <c r="BT2" t="str">
        <f>HYPERLINK("https%3A%2F%2Fwww.webofscience.com%2Fwos%2Fwoscc%2Ffull-record%2FWOS:000292365000009","View Full Record in Web of Science")</f>
        <v>View Full Record in Web of Science</v>
      </c>
    </row>
    <row r="3" spans="1:72" ht="12.75" customHeight="1" x14ac:dyDescent="0.2">
      <c r="A3" t="s">
        <v>72</v>
      </c>
      <c r="B3" t="s">
        <v>80</v>
      </c>
      <c r="F3" t="s">
        <v>81</v>
      </c>
      <c r="I3" t="s">
        <v>82</v>
      </c>
      <c r="J3" t="s">
        <v>83</v>
      </c>
      <c r="AA3" t="s">
        <v>84</v>
      </c>
      <c r="AB3" t="s">
        <v>85</v>
      </c>
      <c r="AO3" t="s">
        <v>86</v>
      </c>
      <c r="AP3" t="s">
        <v>87</v>
      </c>
      <c r="AT3" t="s">
        <v>88</v>
      </c>
      <c r="AU3">
        <v>2022</v>
      </c>
      <c r="AV3">
        <v>61</v>
      </c>
      <c r="BD3">
        <v>101609</v>
      </c>
      <c r="BE3" t="s">
        <v>89</v>
      </c>
      <c r="BF3" t="str">
        <f>HYPERLINK("http://dx.doi.org/10.1016/j.jocs.2022.101609","http://dx.doi.org/10.1016/j.jocs.2022.101609")</f>
        <v>http://dx.doi.org/10.1016/j.jocs.2022.101609</v>
      </c>
      <c r="BH3" t="s">
        <v>90</v>
      </c>
      <c r="BS3" t="s">
        <v>91</v>
      </c>
      <c r="BT3" t="str">
        <f>HYPERLINK("https%3A%2F%2Fwww.webofscience.com%2Fwos%2Fwoscc%2Ffull-record%2FWOS:000782587900010","View Full Record in Web of Science")</f>
        <v>View Full Record in Web of Science</v>
      </c>
    </row>
    <row r="4" spans="1:72" ht="12.75" customHeight="1" x14ac:dyDescent="0.2">
      <c r="A4" t="s">
        <v>72</v>
      </c>
      <c r="B4" t="s">
        <v>92</v>
      </c>
      <c r="F4" t="s">
        <v>93</v>
      </c>
      <c r="I4" t="s">
        <v>94</v>
      </c>
      <c r="J4" t="s">
        <v>95</v>
      </c>
      <c r="AA4" t="s">
        <v>96</v>
      </c>
      <c r="AB4" t="s">
        <v>97</v>
      </c>
      <c r="AO4" t="s">
        <v>98</v>
      </c>
      <c r="AP4" t="s">
        <v>99</v>
      </c>
      <c r="AU4">
        <v>2022</v>
      </c>
      <c r="AW4">
        <v>1</v>
      </c>
      <c r="BB4">
        <v>235</v>
      </c>
      <c r="BC4">
        <v>242</v>
      </c>
      <c r="BE4" t="s">
        <v>100</v>
      </c>
      <c r="BF4" t="str">
        <f>HYPERLINK("http://dx.doi.org/10.25750/1995-4301-2022-1-235-242","http://dx.doi.org/10.25750/1995-4301-2022-1-235-242")</f>
        <v>http://dx.doi.org/10.25750/1995-4301-2022-1-235-242</v>
      </c>
      <c r="BS4" t="s">
        <v>101</v>
      </c>
      <c r="BT4" t="str">
        <f>HYPERLINK("https%3A%2F%2Fwww.webofscience.com%2Fwos%2Fwoscc%2Ffull-record%2FWOS:000819811100033","View Full Record in Web of Science")</f>
        <v>View Full Record in Web of Science</v>
      </c>
    </row>
    <row r="5" spans="1:72" ht="12.75" customHeight="1" x14ac:dyDescent="0.2">
      <c r="A5" t="s">
        <v>72</v>
      </c>
      <c r="B5" t="s">
        <v>102</v>
      </c>
      <c r="F5" t="s">
        <v>103</v>
      </c>
      <c r="I5" t="s">
        <v>104</v>
      </c>
      <c r="J5" t="s">
        <v>105</v>
      </c>
      <c r="AO5" t="s">
        <v>106</v>
      </c>
      <c r="AU5">
        <v>2022</v>
      </c>
      <c r="AW5">
        <v>2</v>
      </c>
      <c r="BB5">
        <v>384</v>
      </c>
      <c r="BC5" t="s">
        <v>107</v>
      </c>
      <c r="BE5" t="s">
        <v>108</v>
      </c>
      <c r="BF5" t="str">
        <f>HYPERLINK("http://dx.doi.org/10.28995/2073-0101-2022-2-384-395","http://dx.doi.org/10.28995/2073-0101-2022-2-384-395")</f>
        <v>http://dx.doi.org/10.28995/2073-0101-2022-2-384-395</v>
      </c>
      <c r="BS5" t="s">
        <v>109</v>
      </c>
      <c r="BT5" t="str">
        <f>HYPERLINK("https%3A%2F%2Fwww.webofscience.com%2Fwos%2Fwoscc%2Ffull-record%2FWOS:000868958500005","View Full Record in Web of Science")</f>
        <v>View Full Record in Web of Science</v>
      </c>
    </row>
    <row r="6" spans="1:72" ht="12.75" customHeight="1" x14ac:dyDescent="0.2">
      <c r="A6" t="s">
        <v>72</v>
      </c>
      <c r="B6" t="s">
        <v>110</v>
      </c>
      <c r="F6" t="s">
        <v>111</v>
      </c>
      <c r="I6" t="s">
        <v>112</v>
      </c>
      <c r="J6" t="s">
        <v>113</v>
      </c>
      <c r="AA6" t="s">
        <v>114</v>
      </c>
      <c r="AB6" t="s">
        <v>115</v>
      </c>
      <c r="AO6" t="s">
        <v>116</v>
      </c>
      <c r="AP6" t="s">
        <v>117</v>
      </c>
      <c r="AU6">
        <v>2022</v>
      </c>
      <c r="AV6">
        <v>27</v>
      </c>
      <c r="AW6">
        <v>2</v>
      </c>
      <c r="BB6">
        <v>67</v>
      </c>
      <c r="BC6">
        <v>80</v>
      </c>
      <c r="BE6" t="s">
        <v>118</v>
      </c>
      <c r="BF6" t="str">
        <f>HYPERLINK("http://dx.doi.org/10.15688/jvolsu4.2022.2.6","http://dx.doi.org/10.15688/jvolsu4.2022.2.6")</f>
        <v>http://dx.doi.org/10.15688/jvolsu4.2022.2.6</v>
      </c>
      <c r="BS6" t="s">
        <v>119</v>
      </c>
      <c r="BT6" t="str">
        <f>HYPERLINK("https%3A%2F%2Fwww.webofscience.com%2Fwos%2Fwoscc%2Ffull-record%2FWOS:000787124400007","View Full Record in Web of Science")</f>
        <v>View Full Record in Web of Science</v>
      </c>
    </row>
    <row r="7" spans="1:72" ht="12.75" customHeight="1" x14ac:dyDescent="0.2">
      <c r="A7" t="s">
        <v>72</v>
      </c>
      <c r="B7" t="s">
        <v>120</v>
      </c>
      <c r="F7" t="s">
        <v>121</v>
      </c>
      <c r="I7" t="s">
        <v>122</v>
      </c>
      <c r="J7" t="s">
        <v>123</v>
      </c>
      <c r="AO7" t="s">
        <v>124</v>
      </c>
      <c r="AT7" t="s">
        <v>125</v>
      </c>
      <c r="AU7">
        <v>2021</v>
      </c>
      <c r="AV7">
        <v>22</v>
      </c>
      <c r="AW7">
        <v>7</v>
      </c>
      <c r="BB7">
        <v>113</v>
      </c>
      <c r="BC7">
        <v>122</v>
      </c>
      <c r="BE7" t="s">
        <v>126</v>
      </c>
      <c r="BF7" t="str">
        <f>HYPERLINK("http://dx.doi.org/10.12911/22998993/139066","http://dx.doi.org/10.12911/22998993/139066")</f>
        <v>http://dx.doi.org/10.12911/22998993/139066</v>
      </c>
      <c r="BS7" t="s">
        <v>127</v>
      </c>
      <c r="BT7" t="str">
        <f>HYPERLINK("https%3A%2F%2Fwww.webofscience.com%2Fwos%2Fwoscc%2Ffull-record%2FWOS:000672663900013","View Full Record in Web of Science")</f>
        <v>View Full Record in Web of Science</v>
      </c>
    </row>
    <row r="8" spans="1:72" ht="12.75" customHeight="1" x14ac:dyDescent="0.2">
      <c r="A8" t="s">
        <v>72</v>
      </c>
      <c r="B8" t="s">
        <v>128</v>
      </c>
      <c r="F8" t="s">
        <v>129</v>
      </c>
      <c r="I8" t="s">
        <v>130</v>
      </c>
      <c r="J8" t="s">
        <v>131</v>
      </c>
      <c r="AA8" t="s">
        <v>132</v>
      </c>
      <c r="AB8" t="s">
        <v>133</v>
      </c>
      <c r="AO8" t="s">
        <v>134</v>
      </c>
      <c r="AP8" t="s">
        <v>135</v>
      </c>
      <c r="AU8">
        <v>2020</v>
      </c>
      <c r="AV8">
        <v>20</v>
      </c>
      <c r="AY8">
        <v>2</v>
      </c>
      <c r="BB8">
        <v>49</v>
      </c>
      <c r="BC8">
        <v>54</v>
      </c>
      <c r="BE8" t="s">
        <v>136</v>
      </c>
      <c r="BF8" t="str">
        <f>HYPERLINK("http://dx.doi.org/10.14529/hsm20s208","http://dx.doi.org/10.14529/hsm20s208")</f>
        <v>http://dx.doi.org/10.14529/hsm20s208</v>
      </c>
      <c r="BS8" t="s">
        <v>137</v>
      </c>
      <c r="BT8" t="str">
        <f>HYPERLINK("https%3A%2F%2Fwww.webofscience.com%2Fwos%2Fwoscc%2Ffull-record%2FWOS:000635166900008","View Full Record in Web of Science")</f>
        <v>View Full Record in Web of Science</v>
      </c>
    </row>
    <row r="9" spans="1:72" ht="12.75" customHeight="1" x14ac:dyDescent="0.2">
      <c r="A9" t="s">
        <v>72</v>
      </c>
      <c r="B9" t="s">
        <v>138</v>
      </c>
      <c r="F9" t="s">
        <v>139</v>
      </c>
      <c r="I9" t="s">
        <v>140</v>
      </c>
      <c r="J9" t="s">
        <v>141</v>
      </c>
      <c r="AA9" t="s">
        <v>142</v>
      </c>
      <c r="AB9" t="s">
        <v>143</v>
      </c>
      <c r="AO9" t="s">
        <v>144</v>
      </c>
      <c r="AU9">
        <v>2020</v>
      </c>
      <c r="AW9">
        <v>4</v>
      </c>
      <c r="BB9">
        <v>23</v>
      </c>
      <c r="BC9">
        <v>34</v>
      </c>
      <c r="BE9" t="s">
        <v>145</v>
      </c>
      <c r="BF9" t="str">
        <f>HYPERLINK("http://dx.doi.org/10.5281/zenodo.4316637","http://dx.doi.org/10.5281/zenodo.4316637")</f>
        <v>http://dx.doi.org/10.5281/zenodo.4316637</v>
      </c>
      <c r="BS9" t="s">
        <v>146</v>
      </c>
      <c r="BT9" t="str">
        <f>HYPERLINK("https%3A%2F%2Fwww.webofscience.com%2Fwos%2Fwoscc%2Ffull-record%2FWOS:000599902400003","View Full Record in Web of Science")</f>
        <v>View Full Record in Web of Science</v>
      </c>
    </row>
    <row r="10" spans="1:72" ht="12.75" customHeight="1" x14ac:dyDescent="0.2">
      <c r="A10" t="s">
        <v>147</v>
      </c>
      <c r="B10" t="s">
        <v>148</v>
      </c>
      <c r="D10" t="s">
        <v>149</v>
      </c>
      <c r="F10" t="s">
        <v>150</v>
      </c>
      <c r="I10" t="s">
        <v>151</v>
      </c>
      <c r="J10" t="s">
        <v>152</v>
      </c>
      <c r="K10" t="s">
        <v>153</v>
      </c>
      <c r="O10" t="s">
        <v>154</v>
      </c>
      <c r="P10" t="s">
        <v>155</v>
      </c>
      <c r="Q10" t="s">
        <v>156</v>
      </c>
      <c r="R10" t="s">
        <v>157</v>
      </c>
      <c r="AO10" t="s">
        <v>158</v>
      </c>
      <c r="AP10" t="s">
        <v>159</v>
      </c>
      <c r="AQ10" t="s">
        <v>160</v>
      </c>
      <c r="AU10">
        <v>2020</v>
      </c>
      <c r="AV10">
        <v>641</v>
      </c>
      <c r="BB10">
        <v>434</v>
      </c>
      <c r="BC10">
        <v>443</v>
      </c>
      <c r="BE10" t="s">
        <v>161</v>
      </c>
      <c r="BF10" t="str">
        <f>HYPERLINK("http://dx.doi.org/10.1007/978-3-030-39225-3_47","http://dx.doi.org/10.1007/978-3-030-39225-3_47")</f>
        <v>http://dx.doi.org/10.1007/978-3-030-39225-3_47</v>
      </c>
      <c r="BS10" t="s">
        <v>162</v>
      </c>
      <c r="BT10" t="str">
        <f>HYPERLINK("https%3A%2F%2Fwww.webofscience.com%2Fwos%2Fwoscc%2Ffull-record%2FWOS:000675525300047","View Full Record in Web of Science")</f>
        <v>View Full Record in Web of Science</v>
      </c>
    </row>
    <row r="11" spans="1:72" ht="12.75" customHeight="1" x14ac:dyDescent="0.2">
      <c r="A11" t="s">
        <v>72</v>
      </c>
      <c r="B11" t="s">
        <v>163</v>
      </c>
      <c r="F11" t="s">
        <v>164</v>
      </c>
      <c r="I11" t="s">
        <v>165</v>
      </c>
      <c r="J11" t="s">
        <v>166</v>
      </c>
      <c r="AA11" t="s">
        <v>167</v>
      </c>
      <c r="AB11" t="s">
        <v>168</v>
      </c>
      <c r="AO11" t="s">
        <v>169</v>
      </c>
      <c r="AP11" t="s">
        <v>170</v>
      </c>
      <c r="AT11" t="s">
        <v>171</v>
      </c>
      <c r="AU11">
        <v>2019</v>
      </c>
      <c r="AV11">
        <v>8</v>
      </c>
      <c r="AW11">
        <v>1</v>
      </c>
      <c r="BB11">
        <v>167</v>
      </c>
      <c r="BC11">
        <v>186</v>
      </c>
      <c r="BE11" t="s">
        <v>172</v>
      </c>
      <c r="BF11" t="str">
        <f>HYPERLINK("http://dx.doi.org/10.13187/ejced.2019.1.167","http://dx.doi.org/10.13187/ejced.2019.1.167")</f>
        <v>http://dx.doi.org/10.13187/ejced.2019.1.167</v>
      </c>
      <c r="BS11" t="s">
        <v>173</v>
      </c>
      <c r="BT11" t="str">
        <f>HYPERLINK("https%3A%2F%2Fwww.webofscience.com%2Fwos%2Fwoscc%2Ffull-record%2FWOS:000462498700013","View Full Record in Web of Science")</f>
        <v>View Full Record in Web of Science</v>
      </c>
    </row>
    <row r="12" spans="1:72" ht="12.75" customHeight="1" x14ac:dyDescent="0.2">
      <c r="A12" t="s">
        <v>147</v>
      </c>
      <c r="B12" t="s">
        <v>174</v>
      </c>
      <c r="E12" t="s">
        <v>175</v>
      </c>
      <c r="F12" t="s">
        <v>176</v>
      </c>
      <c r="I12" t="s">
        <v>177</v>
      </c>
      <c r="J12" t="s">
        <v>178</v>
      </c>
      <c r="K12" t="s">
        <v>179</v>
      </c>
      <c r="O12" t="s">
        <v>180</v>
      </c>
      <c r="P12" t="s">
        <v>181</v>
      </c>
      <c r="Q12" t="s">
        <v>182</v>
      </c>
      <c r="R12" t="s">
        <v>183</v>
      </c>
      <c r="S12" t="s">
        <v>184</v>
      </c>
      <c r="AA12" t="s">
        <v>185</v>
      </c>
      <c r="AB12" t="s">
        <v>186</v>
      </c>
      <c r="AO12" t="s">
        <v>187</v>
      </c>
      <c r="AP12" t="s">
        <v>188</v>
      </c>
      <c r="AU12">
        <v>2019</v>
      </c>
      <c r="AV12">
        <v>1399</v>
      </c>
      <c r="BD12">
        <v>33094</v>
      </c>
      <c r="BE12" t="s">
        <v>189</v>
      </c>
      <c r="BF12" t="str">
        <f>HYPERLINK("http://dx.doi.org/10.1088/1742-6596/1399/3/033094","http://dx.doi.org/10.1088/1742-6596/1399/3/033094")</f>
        <v>http://dx.doi.org/10.1088/1742-6596/1399/3/033094</v>
      </c>
      <c r="BS12" t="s">
        <v>190</v>
      </c>
      <c r="BT12" t="str">
        <f>HYPERLINK("https%3A%2F%2Fwww.webofscience.com%2Fwos%2Fwoscc%2Ffull-record%2FWOS:000589557100156","View Full Record in Web of Science")</f>
        <v>View Full Record in Web of Science</v>
      </c>
    </row>
    <row r="13" spans="1:72" ht="12.75" customHeight="1" x14ac:dyDescent="0.2">
      <c r="A13" t="s">
        <v>72</v>
      </c>
      <c r="B13" t="s">
        <v>191</v>
      </c>
      <c r="F13" t="s">
        <v>192</v>
      </c>
      <c r="I13" t="s">
        <v>193</v>
      </c>
      <c r="J13" t="s">
        <v>194</v>
      </c>
      <c r="AA13" t="s">
        <v>195</v>
      </c>
      <c r="AO13" t="s">
        <v>196</v>
      </c>
      <c r="AP13" t="s">
        <v>197</v>
      </c>
      <c r="AT13" t="s">
        <v>198</v>
      </c>
      <c r="AU13">
        <v>2018</v>
      </c>
      <c r="AV13">
        <v>16</v>
      </c>
      <c r="BB13">
        <v>148</v>
      </c>
      <c r="BC13">
        <v>160</v>
      </c>
      <c r="BE13" t="s">
        <v>199</v>
      </c>
      <c r="BF13" t="str">
        <f>HYPERLINK("http://dx.doi.org/10.17223/23062061/16/9","http://dx.doi.org/10.17223/23062061/16/9")</f>
        <v>http://dx.doi.org/10.17223/23062061/16/9</v>
      </c>
      <c r="BS13" t="s">
        <v>200</v>
      </c>
      <c r="BT13" t="str">
        <f>HYPERLINK("https%3A%2F%2Fwww.webofscience.com%2Fwos%2Fwoscc%2Ffull-record%2FWOS:000451192400009","View Full Record in Web of Science")</f>
        <v>View Full Record in Web of Science</v>
      </c>
    </row>
    <row r="14" spans="1:72" ht="12.75" customHeight="1" x14ac:dyDescent="0.2">
      <c r="A14" t="s">
        <v>72</v>
      </c>
      <c r="B14" t="s">
        <v>201</v>
      </c>
      <c r="F14" t="s">
        <v>202</v>
      </c>
      <c r="I14" t="s">
        <v>203</v>
      </c>
      <c r="J14" t="s">
        <v>204</v>
      </c>
      <c r="AO14" t="s">
        <v>205</v>
      </c>
      <c r="AP14" t="s">
        <v>206</v>
      </c>
      <c r="AT14" t="s">
        <v>198</v>
      </c>
      <c r="AU14">
        <v>2018</v>
      </c>
      <c r="AV14">
        <v>20</v>
      </c>
      <c r="AW14">
        <v>4</v>
      </c>
      <c r="BB14">
        <v>180</v>
      </c>
      <c r="BC14">
        <v>199</v>
      </c>
      <c r="BE14" t="s">
        <v>207</v>
      </c>
      <c r="BF14" t="str">
        <f>HYPERLINK("http://dx.doi.org/10.17853/1994-5639-2018-4-180-199","http://dx.doi.org/10.17853/1994-5639-2018-4-180-199")</f>
        <v>http://dx.doi.org/10.17853/1994-5639-2018-4-180-199</v>
      </c>
      <c r="BS14" t="s">
        <v>208</v>
      </c>
      <c r="BT14" t="str">
        <f>HYPERLINK("https%3A%2F%2Fwww.webofscience.com%2Fwos%2Fwoscc%2Ffull-record%2FWOS:000461120800008","View Full Record in Web of Science")</f>
        <v>View Full Record in Web of Science</v>
      </c>
    </row>
    <row r="15" spans="1:72" ht="12.75" customHeight="1" x14ac:dyDescent="0.2">
      <c r="A15" t="s">
        <v>147</v>
      </c>
      <c r="B15" t="s">
        <v>209</v>
      </c>
      <c r="E15" t="s">
        <v>210</v>
      </c>
      <c r="F15" t="s">
        <v>211</v>
      </c>
      <c r="I15" t="s">
        <v>212</v>
      </c>
      <c r="J15" t="s">
        <v>213</v>
      </c>
      <c r="O15" t="s">
        <v>214</v>
      </c>
      <c r="P15" t="s">
        <v>215</v>
      </c>
      <c r="Q15" t="s">
        <v>216</v>
      </c>
      <c r="S15" t="s">
        <v>217</v>
      </c>
      <c r="AQ15" t="s">
        <v>218</v>
      </c>
      <c r="AU15">
        <v>2018</v>
      </c>
      <c r="BS15" t="s">
        <v>219</v>
      </c>
      <c r="BT15" t="str">
        <f>HYPERLINK("https%3A%2F%2Fwww.webofscience.com%2Fwos%2Fwoscc%2Ffull-record%2FWOS:000478963800067","View Full Record in Web of Science")</f>
        <v>View Full Record in Web of Science</v>
      </c>
    </row>
    <row r="16" spans="1:72" ht="12.75" customHeight="1" x14ac:dyDescent="0.2">
      <c r="A16" t="s">
        <v>147</v>
      </c>
      <c r="B16" t="s">
        <v>220</v>
      </c>
      <c r="E16" t="s">
        <v>175</v>
      </c>
      <c r="F16" t="s">
        <v>221</v>
      </c>
      <c r="I16" t="s">
        <v>222</v>
      </c>
      <c r="J16" t="s">
        <v>223</v>
      </c>
      <c r="K16" t="s">
        <v>179</v>
      </c>
      <c r="O16" t="s">
        <v>224</v>
      </c>
      <c r="P16" t="s">
        <v>225</v>
      </c>
      <c r="Q16" t="s">
        <v>226</v>
      </c>
      <c r="S16" t="s">
        <v>227</v>
      </c>
      <c r="AA16" t="s">
        <v>228</v>
      </c>
      <c r="AO16" t="s">
        <v>187</v>
      </c>
      <c r="AP16" t="s">
        <v>188</v>
      </c>
      <c r="AU16">
        <v>2018</v>
      </c>
      <c r="AV16">
        <v>1015</v>
      </c>
      <c r="BD16">
        <v>32059</v>
      </c>
      <c r="BE16" t="s">
        <v>229</v>
      </c>
      <c r="BF16" t="str">
        <f>HYPERLINK("http://dx.doi.org/10.1088/1742-6596/1015/3/032059","http://dx.doi.org/10.1088/1742-6596/1015/3/032059")</f>
        <v>http://dx.doi.org/10.1088/1742-6596/1015/3/032059</v>
      </c>
      <c r="BS16" t="s">
        <v>230</v>
      </c>
      <c r="BT16" t="str">
        <f>HYPERLINK("https%3A%2F%2Fwww.webofscience.com%2Fwos%2Fwoscc%2Ffull-record%2FWOS:000446952000078","View Full Record in Web of Science")</f>
        <v>View Full Record in Web of Science</v>
      </c>
    </row>
    <row r="17" spans="1:72" ht="12.75" customHeight="1" x14ac:dyDescent="0.2">
      <c r="A17" t="s">
        <v>231</v>
      </c>
      <c r="B17" t="s">
        <v>232</v>
      </c>
      <c r="D17" t="s">
        <v>233</v>
      </c>
      <c r="F17" t="s">
        <v>234</v>
      </c>
      <c r="I17" t="s">
        <v>235</v>
      </c>
      <c r="J17" t="s">
        <v>236</v>
      </c>
      <c r="K17" t="s">
        <v>237</v>
      </c>
      <c r="AA17" t="s">
        <v>238</v>
      </c>
      <c r="AB17" t="s">
        <v>239</v>
      </c>
      <c r="AQ17" t="s">
        <v>240</v>
      </c>
      <c r="AU17">
        <v>2018</v>
      </c>
      <c r="BB17">
        <v>1</v>
      </c>
      <c r="BC17">
        <v>15</v>
      </c>
      <c r="BS17" t="s">
        <v>241</v>
      </c>
      <c r="BT17" t="str">
        <f>HYPERLINK("https%3A%2F%2Fwww.webofscience.com%2Fwos%2Fwoscc%2Ffull-record%2FWOS:000435422600001","View Full Record in Web of Science")</f>
        <v>View Full Record in Web of Science</v>
      </c>
    </row>
    <row r="18" spans="1:72" ht="12.75" customHeight="1" x14ac:dyDescent="0.2">
      <c r="A18" t="s">
        <v>72</v>
      </c>
      <c r="B18" t="s">
        <v>102</v>
      </c>
      <c r="F18" t="s">
        <v>242</v>
      </c>
      <c r="I18" t="s">
        <v>243</v>
      </c>
      <c r="J18" t="s">
        <v>244</v>
      </c>
      <c r="AO18" t="s">
        <v>245</v>
      </c>
      <c r="AP18" t="s">
        <v>246</v>
      </c>
      <c r="AU18">
        <v>2018</v>
      </c>
      <c r="AW18">
        <v>3</v>
      </c>
      <c r="BB18">
        <v>124</v>
      </c>
      <c r="BC18">
        <v>136</v>
      </c>
      <c r="BS18" t="s">
        <v>247</v>
      </c>
      <c r="BT18" t="str">
        <f>HYPERLINK("https%3A%2F%2Fwww.webofscience.com%2Fwos%2Fwoscc%2Ffull-record%2FWOS:000430782900010","View Full Record in Web of Science")</f>
        <v>View Full Record in Web of Science</v>
      </c>
    </row>
    <row r="19" spans="1:72" ht="12.75" customHeight="1" x14ac:dyDescent="0.2">
      <c r="A19" t="s">
        <v>147</v>
      </c>
      <c r="B19" t="s">
        <v>248</v>
      </c>
      <c r="D19" t="s">
        <v>249</v>
      </c>
      <c r="F19" t="s">
        <v>250</v>
      </c>
      <c r="I19" t="s">
        <v>251</v>
      </c>
      <c r="J19" t="s">
        <v>252</v>
      </c>
      <c r="K19" t="s">
        <v>253</v>
      </c>
      <c r="O19" t="s">
        <v>254</v>
      </c>
      <c r="P19" t="s">
        <v>255</v>
      </c>
      <c r="Q19" t="s">
        <v>256</v>
      </c>
      <c r="S19" t="s">
        <v>257</v>
      </c>
      <c r="AA19" t="s">
        <v>258</v>
      </c>
      <c r="AO19" t="s">
        <v>259</v>
      </c>
      <c r="AU19">
        <v>2017</v>
      </c>
      <c r="AV19">
        <v>29</v>
      </c>
      <c r="BB19">
        <v>475</v>
      </c>
      <c r="BC19">
        <v>484</v>
      </c>
      <c r="BE19" t="s">
        <v>260</v>
      </c>
      <c r="BF19" t="str">
        <f>HYPERLINK("http://dx.doi.org/10.15405/epsbs.2017.08.02.55","http://dx.doi.org/10.15405/epsbs.2017.08.02.55")</f>
        <v>http://dx.doi.org/10.15405/epsbs.2017.08.02.55</v>
      </c>
      <c r="BS19" t="s">
        <v>261</v>
      </c>
      <c r="BT19" t="str">
        <f>HYPERLINK("https%3A%2F%2Fwww.webofscience.com%2Fwos%2Fwoscc%2Ffull-record%2FWOS:000432421300055","View Full Record in Web of Science")</f>
        <v>View Full Record in Web of Science</v>
      </c>
    </row>
    <row r="20" spans="1:72" ht="12.75" customHeight="1" x14ac:dyDescent="0.2">
      <c r="A20" t="s">
        <v>147</v>
      </c>
      <c r="B20" t="s">
        <v>262</v>
      </c>
      <c r="D20" t="s">
        <v>249</v>
      </c>
      <c r="F20" t="s">
        <v>263</v>
      </c>
      <c r="I20" t="s">
        <v>264</v>
      </c>
      <c r="J20" t="s">
        <v>265</v>
      </c>
      <c r="K20" t="s">
        <v>253</v>
      </c>
      <c r="O20" t="s">
        <v>266</v>
      </c>
      <c r="P20" t="s">
        <v>267</v>
      </c>
      <c r="Q20" t="s">
        <v>268</v>
      </c>
      <c r="S20" t="s">
        <v>257</v>
      </c>
      <c r="AA20" t="s">
        <v>269</v>
      </c>
      <c r="AB20" t="s">
        <v>270</v>
      </c>
      <c r="AO20" t="s">
        <v>259</v>
      </c>
      <c r="AU20">
        <v>2016</v>
      </c>
      <c r="AV20">
        <v>12</v>
      </c>
      <c r="BB20">
        <v>45</v>
      </c>
      <c r="BC20">
        <v>49</v>
      </c>
      <c r="BE20" t="s">
        <v>271</v>
      </c>
      <c r="BF20" t="str">
        <f>HYPERLINK("http://dx.doi.org/10.15405/epsbs.2016.07.8","http://dx.doi.org/10.15405/epsbs.2016.07.8")</f>
        <v>http://dx.doi.org/10.15405/epsbs.2016.07.8</v>
      </c>
      <c r="BS20" t="s">
        <v>272</v>
      </c>
      <c r="BT20" t="str">
        <f>HYPERLINK("https%3A%2F%2Fwww.webofscience.com%2Fwos%2Fwoscc%2Ffull-record%2FWOS:000383393800008","View Full Record in Web of Science")</f>
        <v>View Full Record in Web of Science</v>
      </c>
    </row>
    <row r="21" spans="1:72" ht="12.75" customHeight="1" x14ac:dyDescent="0.2">
      <c r="A21" t="s">
        <v>72</v>
      </c>
      <c r="B21" t="s">
        <v>273</v>
      </c>
      <c r="F21" t="s">
        <v>274</v>
      </c>
      <c r="I21" t="s">
        <v>275</v>
      </c>
      <c r="J21" t="s">
        <v>244</v>
      </c>
      <c r="AA21" t="s">
        <v>276</v>
      </c>
      <c r="AB21" t="s">
        <v>277</v>
      </c>
      <c r="AO21" t="s">
        <v>245</v>
      </c>
      <c r="AP21" t="s">
        <v>246</v>
      </c>
      <c r="AU21">
        <v>2016</v>
      </c>
      <c r="AW21">
        <v>1</v>
      </c>
      <c r="BB21">
        <v>96</v>
      </c>
      <c r="BC21">
        <v>102</v>
      </c>
      <c r="BS21" t="s">
        <v>278</v>
      </c>
      <c r="BT21" t="str">
        <f>HYPERLINK("https%3A%2F%2Fwww.webofscience.com%2Fwos%2Fwoscc%2Ffull-record%2FWOS:000370908700007","View Full Record in Web of Science")</f>
        <v>View Full Record in Web of Science</v>
      </c>
    </row>
    <row r="22" spans="1:72" ht="12.75" customHeight="1" x14ac:dyDescent="0.2">
      <c r="A22" t="s">
        <v>147</v>
      </c>
      <c r="B22" t="s">
        <v>279</v>
      </c>
      <c r="E22" t="s">
        <v>280</v>
      </c>
      <c r="F22" t="s">
        <v>281</v>
      </c>
      <c r="I22" t="s">
        <v>282</v>
      </c>
      <c r="J22" t="s">
        <v>283</v>
      </c>
      <c r="K22" t="s">
        <v>284</v>
      </c>
      <c r="O22" t="s">
        <v>285</v>
      </c>
      <c r="P22" t="s">
        <v>286</v>
      </c>
      <c r="Q22" t="s">
        <v>287</v>
      </c>
      <c r="R22" t="s">
        <v>288</v>
      </c>
      <c r="AO22" t="s">
        <v>289</v>
      </c>
      <c r="AQ22" t="s">
        <v>290</v>
      </c>
      <c r="AU22">
        <v>2014</v>
      </c>
      <c r="BB22">
        <v>439</v>
      </c>
      <c r="BC22" t="s">
        <v>107</v>
      </c>
      <c r="BS22" t="s">
        <v>291</v>
      </c>
      <c r="BT22" t="str">
        <f>HYPERLINK("https%3A%2F%2Fwww.webofscience.com%2Fwos%2Fwoscc%2Ffull-record%2FWOS:000358190200056","View Full Record in Web of Science")</f>
        <v>View Full Record in Web of Science</v>
      </c>
    </row>
    <row r="23" spans="1:72" ht="12.75" customHeight="1" x14ac:dyDescent="0.2">
      <c r="A23" t="s">
        <v>72</v>
      </c>
      <c r="B23" t="s">
        <v>292</v>
      </c>
      <c r="F23" t="s">
        <v>293</v>
      </c>
      <c r="I23" t="s">
        <v>294</v>
      </c>
      <c r="J23" t="s">
        <v>244</v>
      </c>
      <c r="AO23" t="s">
        <v>245</v>
      </c>
      <c r="AU23">
        <v>2011</v>
      </c>
      <c r="AW23">
        <v>4</v>
      </c>
      <c r="BB23">
        <v>157</v>
      </c>
      <c r="BC23">
        <v>163</v>
      </c>
      <c r="BS23" t="s">
        <v>295</v>
      </c>
      <c r="BT23" t="str">
        <f>HYPERLINK("https%3A%2F%2Fwww.webofscience.com%2Fwos%2Fwoscc%2Ffull-record%2FWOS:000290830700011","View Full Record in Web of Science")</f>
        <v>View Full Record in Web of Science</v>
      </c>
    </row>
    <row r="24" spans="1:72" ht="12.75" customHeight="1" x14ac:dyDescent="0.2">
      <c r="A24" t="s">
        <v>72</v>
      </c>
      <c r="B24" t="s">
        <v>296</v>
      </c>
      <c r="F24" t="s">
        <v>297</v>
      </c>
      <c r="I24" t="s">
        <v>298</v>
      </c>
      <c r="J24" t="s">
        <v>244</v>
      </c>
      <c r="AA24" t="s">
        <v>299</v>
      </c>
      <c r="AB24" t="s">
        <v>300</v>
      </c>
      <c r="AO24" t="s">
        <v>245</v>
      </c>
      <c r="AU24">
        <v>2009</v>
      </c>
      <c r="AW24">
        <v>9</v>
      </c>
      <c r="BB24">
        <v>19</v>
      </c>
      <c r="BC24">
        <v>36</v>
      </c>
      <c r="BS24" t="s">
        <v>301</v>
      </c>
      <c r="BT24" t="str">
        <f>HYPERLINK("https%3A%2F%2Fwww.webofscience.com%2Fwos%2Fwoscc%2Ffull-record%2FWOS:000271159400002","View Full Record in Web of Science")</f>
        <v>View Full Record in Web of Science</v>
      </c>
    </row>
    <row r="25" spans="1:72" ht="12.75" customHeight="1" x14ac:dyDescent="0.2">
      <c r="A25" t="s">
        <v>72</v>
      </c>
      <c r="B25" t="s">
        <v>302</v>
      </c>
      <c r="F25" t="s">
        <v>302</v>
      </c>
      <c r="I25" t="s">
        <v>303</v>
      </c>
      <c r="J25" t="s">
        <v>304</v>
      </c>
      <c r="AA25" t="s">
        <v>305</v>
      </c>
      <c r="AB25" t="s">
        <v>306</v>
      </c>
      <c r="AO25" t="s">
        <v>77</v>
      </c>
      <c r="AT25" t="s">
        <v>307</v>
      </c>
      <c r="AU25">
        <v>2006</v>
      </c>
      <c r="AW25">
        <v>1</v>
      </c>
      <c r="BB25">
        <v>148</v>
      </c>
      <c r="BC25">
        <v>153</v>
      </c>
      <c r="BS25" t="s">
        <v>308</v>
      </c>
      <c r="BT25" t="str">
        <f>HYPERLINK("https%3A%2F%2Fwww.webofscience.com%2Fwos%2Fwoscc%2Ffull-record%2FWOS:000235642300014","View Full Record in Web of Science")</f>
        <v>View Full Record in Web of Science</v>
      </c>
    </row>
    <row r="26" spans="1:72" ht="12.75" customHeight="1" x14ac:dyDescent="0.2">
      <c r="A26" t="s">
        <v>72</v>
      </c>
      <c r="B26" t="s">
        <v>309</v>
      </c>
      <c r="F26" t="s">
        <v>309</v>
      </c>
      <c r="I26" t="s">
        <v>310</v>
      </c>
      <c r="J26" t="s">
        <v>311</v>
      </c>
      <c r="AO26" t="s">
        <v>312</v>
      </c>
      <c r="AT26" t="s">
        <v>313</v>
      </c>
      <c r="AU26">
        <v>2004</v>
      </c>
      <c r="AV26">
        <v>38</v>
      </c>
      <c r="AW26">
        <v>4</v>
      </c>
      <c r="BB26">
        <v>399</v>
      </c>
      <c r="BC26">
        <v>403</v>
      </c>
      <c r="BE26" t="s">
        <v>314</v>
      </c>
      <c r="BF26" t="str">
        <f>HYPERLINK("http://dx.doi.org/10.1023/B:TFCE.0000036967.86553.56","http://dx.doi.org/10.1023/B:TFCE.0000036967.86553.56")</f>
        <v>http://dx.doi.org/10.1023/B:TFCE.0000036967.86553.56</v>
      </c>
      <c r="BS26" t="s">
        <v>315</v>
      </c>
      <c r="BT26" t="str">
        <f>HYPERLINK("https%3A%2F%2Fwww.webofscience.com%2Fwos%2Fwoscc%2Ffull-record%2FWOS:000223571800010","View Full Record in Web of Science")</f>
        <v>View Full Record in Web of Science</v>
      </c>
    </row>
    <row r="27" spans="1:72" ht="12.75" customHeight="1" x14ac:dyDescent="0.2">
      <c r="A27" t="s">
        <v>72</v>
      </c>
      <c r="B27" t="s">
        <v>316</v>
      </c>
      <c r="F27" t="s">
        <v>317</v>
      </c>
      <c r="I27" t="s">
        <v>318</v>
      </c>
      <c r="J27" t="s">
        <v>204</v>
      </c>
      <c r="AO27" t="s">
        <v>205</v>
      </c>
      <c r="AP27" t="s">
        <v>206</v>
      </c>
      <c r="AT27" t="s">
        <v>319</v>
      </c>
      <c r="AU27">
        <v>2022</v>
      </c>
      <c r="AV27">
        <v>24</v>
      </c>
      <c r="AW27">
        <v>9</v>
      </c>
      <c r="BB27">
        <v>11</v>
      </c>
      <c r="BC27">
        <v>42</v>
      </c>
      <c r="BE27" t="s">
        <v>320</v>
      </c>
      <c r="BF27" t="str">
        <f>HYPERLINK("http://dx.doi.org/10.17853/1994-5639-2022-9-11-42","http://dx.doi.org/10.17853/1994-5639-2022-9-11-42")</f>
        <v>http://dx.doi.org/10.17853/1994-5639-2022-9-11-42</v>
      </c>
      <c r="BS27" t="s">
        <v>321</v>
      </c>
      <c r="BT27" t="str">
        <f>HYPERLINK("https%3A%2F%2Fwww.webofscience.com%2Fwos%2Fwoscc%2Ffull-record%2FWOS:000926386400001","View Full Record in Web of Science")</f>
        <v>View Full Record in Web of Science</v>
      </c>
    </row>
    <row r="28" spans="1:72" ht="12.75" customHeight="1" x14ac:dyDescent="0.2">
      <c r="A28" t="s">
        <v>72</v>
      </c>
      <c r="B28" t="s">
        <v>322</v>
      </c>
      <c r="F28" t="s">
        <v>323</v>
      </c>
      <c r="I28" t="s">
        <v>324</v>
      </c>
      <c r="J28" t="s">
        <v>325</v>
      </c>
      <c r="AA28" t="s">
        <v>326</v>
      </c>
      <c r="AB28" t="s">
        <v>327</v>
      </c>
      <c r="AO28" t="s">
        <v>328</v>
      </c>
      <c r="AP28" t="s">
        <v>329</v>
      </c>
      <c r="AU28">
        <v>2022</v>
      </c>
      <c r="AV28">
        <v>16</v>
      </c>
      <c r="AW28">
        <v>3</v>
      </c>
      <c r="BB28">
        <v>955</v>
      </c>
      <c r="BC28">
        <v>968</v>
      </c>
      <c r="BE28" t="s">
        <v>330</v>
      </c>
      <c r="BF28" t="str">
        <f>HYPERLINK("http://dx.doi.org/10.24874/IJQR16.03-20","http://dx.doi.org/10.24874/IJQR16.03-20")</f>
        <v>http://dx.doi.org/10.24874/IJQR16.03-20</v>
      </c>
      <c r="BS28" t="s">
        <v>331</v>
      </c>
      <c r="BT28" t="str">
        <f>HYPERLINK("https%3A%2F%2Fwww.webofscience.com%2Fwos%2Fwoscc%2Ffull-record%2FWOS:000891387700001","View Full Record in Web of Science")</f>
        <v>View Full Record in Web of Science</v>
      </c>
    </row>
    <row r="29" spans="1:72" ht="12.75" customHeight="1" x14ac:dyDescent="0.2">
      <c r="A29" t="s">
        <v>72</v>
      </c>
      <c r="B29" t="s">
        <v>332</v>
      </c>
      <c r="F29" t="s">
        <v>333</v>
      </c>
      <c r="I29" t="s">
        <v>334</v>
      </c>
      <c r="J29" t="s">
        <v>335</v>
      </c>
      <c r="AB29" t="s">
        <v>336</v>
      </c>
      <c r="AO29" t="s">
        <v>337</v>
      </c>
      <c r="AT29" t="s">
        <v>338</v>
      </c>
      <c r="AU29">
        <v>2020</v>
      </c>
      <c r="AV29">
        <v>7</v>
      </c>
      <c r="AZ29" t="s">
        <v>339</v>
      </c>
      <c r="BB29">
        <v>255</v>
      </c>
      <c r="BC29">
        <v>273</v>
      </c>
      <c r="BS29" t="s">
        <v>340</v>
      </c>
      <c r="BT29" t="str">
        <f>HYPERLINK("https%3A%2F%2Fwww.webofscience.com%2Fwos%2Fwoscc%2Ffull-record%2FWOS:000583771900020","View Full Record in Web of Science")</f>
        <v>View Full Record in Web of Science</v>
      </c>
    </row>
    <row r="30" spans="1:72" ht="12.75" customHeight="1" x14ac:dyDescent="0.2">
      <c r="A30" t="s">
        <v>72</v>
      </c>
      <c r="B30" t="s">
        <v>341</v>
      </c>
      <c r="F30" t="s">
        <v>342</v>
      </c>
      <c r="I30" t="s">
        <v>343</v>
      </c>
      <c r="J30" t="s">
        <v>244</v>
      </c>
      <c r="AA30" t="s">
        <v>344</v>
      </c>
      <c r="AB30" t="s">
        <v>345</v>
      </c>
      <c r="AO30" t="s">
        <v>245</v>
      </c>
      <c r="AP30" t="s">
        <v>246</v>
      </c>
      <c r="AU30">
        <v>2020</v>
      </c>
      <c r="AW30">
        <v>10</v>
      </c>
      <c r="AX30">
        <v>3</v>
      </c>
      <c r="BB30">
        <v>182</v>
      </c>
      <c r="BC30">
        <v>190</v>
      </c>
      <c r="BE30" t="s">
        <v>346</v>
      </c>
      <c r="BF30" t="str">
        <f>HYPERLINK("http://dx.doi.org/10.31166/VoprosyIstorii202010Staty165","http://dx.doi.org/10.31166/VoprosyIstorii202010Staty165")</f>
        <v>http://dx.doi.org/10.31166/VoprosyIstorii202010Staty165</v>
      </c>
      <c r="BS30" t="s">
        <v>347</v>
      </c>
      <c r="BT30" t="str">
        <f>HYPERLINK("https%3A%2F%2Fwww.webofscience.com%2Fwos%2Fwoscc%2Ffull-record%2FWOS:000605445300016","View Full Record in Web of Science")</f>
        <v>View Full Record in Web of Science</v>
      </c>
    </row>
    <row r="31" spans="1:72" ht="12.75" customHeight="1" x14ac:dyDescent="0.2">
      <c r="A31" t="s">
        <v>72</v>
      </c>
      <c r="B31" t="s">
        <v>348</v>
      </c>
      <c r="F31" t="s">
        <v>349</v>
      </c>
      <c r="I31" t="s">
        <v>350</v>
      </c>
      <c r="J31" t="s">
        <v>325</v>
      </c>
      <c r="AO31" t="s">
        <v>328</v>
      </c>
      <c r="AP31" t="s">
        <v>329</v>
      </c>
      <c r="AU31">
        <v>2020</v>
      </c>
      <c r="AV31">
        <v>14</v>
      </c>
      <c r="AW31">
        <v>2</v>
      </c>
      <c r="BB31">
        <v>523</v>
      </c>
      <c r="BC31">
        <v>541</v>
      </c>
      <c r="BE31" t="s">
        <v>351</v>
      </c>
      <c r="BF31" t="str">
        <f>HYPERLINK("http://dx.doi.org/10.24874/IJQR14.02-12","http://dx.doi.org/10.24874/IJQR14.02-12")</f>
        <v>http://dx.doi.org/10.24874/IJQR14.02-12</v>
      </c>
      <c r="BS31" t="s">
        <v>352</v>
      </c>
      <c r="BT31" t="str">
        <f>HYPERLINK("https%3A%2F%2Fwww.webofscience.com%2Fwos%2Fwoscc%2Ffull-record%2FWOS:000531047700012","View Full Record in Web of Science")</f>
        <v>View Full Record in Web of Science</v>
      </c>
    </row>
    <row r="32" spans="1:72" ht="12.75" customHeight="1" x14ac:dyDescent="0.2">
      <c r="A32" t="s">
        <v>72</v>
      </c>
      <c r="B32" t="s">
        <v>353</v>
      </c>
      <c r="F32" t="s">
        <v>354</v>
      </c>
      <c r="I32" t="s">
        <v>355</v>
      </c>
      <c r="J32" t="s">
        <v>95</v>
      </c>
      <c r="AO32" t="s">
        <v>98</v>
      </c>
      <c r="AP32" t="s">
        <v>99</v>
      </c>
      <c r="AU32">
        <v>2020</v>
      </c>
      <c r="AW32">
        <v>2</v>
      </c>
      <c r="BB32">
        <v>57</v>
      </c>
      <c r="BC32">
        <v>63</v>
      </c>
      <c r="BE32" t="s">
        <v>356</v>
      </c>
      <c r="BF32" t="str">
        <f>HYPERLINK("http://dx.doi.org/10.25750/1995-4301-2020-2-057-063","http://dx.doi.org/10.25750/1995-4301-2020-2-057-063")</f>
        <v>http://dx.doi.org/10.25750/1995-4301-2020-2-057-063</v>
      </c>
      <c r="BS32" t="s">
        <v>357</v>
      </c>
      <c r="BT32" t="str">
        <f>HYPERLINK("https%3A%2F%2Fwww.webofscience.com%2Fwos%2Fwoscc%2Ffull-record%2FWOS:000545295600007","View Full Record in Web of Science")</f>
        <v>View Full Record in Web of Science</v>
      </c>
    </row>
    <row r="33" spans="1:72" ht="12.75" customHeight="1" x14ac:dyDescent="0.2">
      <c r="A33" t="s">
        <v>147</v>
      </c>
      <c r="B33" t="s">
        <v>358</v>
      </c>
      <c r="E33" t="s">
        <v>210</v>
      </c>
      <c r="F33" t="s">
        <v>359</v>
      </c>
      <c r="I33" t="s">
        <v>360</v>
      </c>
      <c r="J33" t="s">
        <v>361</v>
      </c>
      <c r="K33" t="s">
        <v>362</v>
      </c>
      <c r="O33" t="s">
        <v>363</v>
      </c>
      <c r="P33" t="s">
        <v>364</v>
      </c>
      <c r="Q33" t="s">
        <v>365</v>
      </c>
      <c r="R33" t="s">
        <v>366</v>
      </c>
      <c r="AA33" t="s">
        <v>367</v>
      </c>
      <c r="AB33" t="s">
        <v>368</v>
      </c>
      <c r="AO33" t="s">
        <v>369</v>
      </c>
      <c r="AP33" t="s">
        <v>370</v>
      </c>
      <c r="AQ33" t="s">
        <v>371</v>
      </c>
      <c r="AU33">
        <v>2020</v>
      </c>
      <c r="BB33">
        <v>291</v>
      </c>
      <c r="BC33">
        <v>296</v>
      </c>
      <c r="BS33" t="s">
        <v>372</v>
      </c>
      <c r="BT33" t="str">
        <f>HYPERLINK("https%3A%2F%2Fwww.webofscience.com%2Fwos%2Fwoscc%2Ffull-record%2FWOS:000590125300040","View Full Record in Web of Science")</f>
        <v>View Full Record in Web of Science</v>
      </c>
    </row>
    <row r="34" spans="1:72" ht="12.75" customHeight="1" x14ac:dyDescent="0.2">
      <c r="A34" t="s">
        <v>147</v>
      </c>
      <c r="B34" t="s">
        <v>373</v>
      </c>
      <c r="D34" t="s">
        <v>149</v>
      </c>
      <c r="F34" t="s">
        <v>374</v>
      </c>
      <c r="I34" t="s">
        <v>375</v>
      </c>
      <c r="J34" t="s">
        <v>152</v>
      </c>
      <c r="K34" t="s">
        <v>153</v>
      </c>
      <c r="O34" t="s">
        <v>154</v>
      </c>
      <c r="P34" t="s">
        <v>155</v>
      </c>
      <c r="Q34" t="s">
        <v>156</v>
      </c>
      <c r="R34" t="s">
        <v>157</v>
      </c>
      <c r="AO34" t="s">
        <v>158</v>
      </c>
      <c r="AP34" t="s">
        <v>159</v>
      </c>
      <c r="AQ34" t="s">
        <v>160</v>
      </c>
      <c r="AU34">
        <v>2020</v>
      </c>
      <c r="AV34">
        <v>641</v>
      </c>
      <c r="BB34">
        <v>637</v>
      </c>
      <c r="BC34">
        <v>646</v>
      </c>
      <c r="BE34" t="s">
        <v>376</v>
      </c>
      <c r="BF34" t="str">
        <f>HYPERLINK("http://dx.doi.org/10.1007/978-3-030-39225-3_70","http://dx.doi.org/10.1007/978-3-030-39225-3_70")</f>
        <v>http://dx.doi.org/10.1007/978-3-030-39225-3_70</v>
      </c>
      <c r="BS34" t="s">
        <v>377</v>
      </c>
      <c r="BT34" t="str">
        <f>HYPERLINK("https%3A%2F%2Fwww.webofscience.com%2Fwos%2Fwoscc%2Ffull-record%2FWOS:000675525300070","View Full Record in Web of Science")</f>
        <v>View Full Record in Web of Science</v>
      </c>
    </row>
    <row r="35" spans="1:72" ht="12.75" customHeight="1" x14ac:dyDescent="0.2">
      <c r="A35" t="s">
        <v>72</v>
      </c>
      <c r="B35" t="s">
        <v>378</v>
      </c>
      <c r="F35" t="s">
        <v>379</v>
      </c>
      <c r="I35" t="s">
        <v>380</v>
      </c>
      <c r="J35" t="s">
        <v>381</v>
      </c>
      <c r="AO35" t="s">
        <v>382</v>
      </c>
      <c r="AT35" t="s">
        <v>383</v>
      </c>
      <c r="AU35">
        <v>2019</v>
      </c>
      <c r="AV35">
        <v>11</v>
      </c>
      <c r="AW35">
        <v>43</v>
      </c>
      <c r="BB35">
        <v>229</v>
      </c>
      <c r="BC35">
        <v>234</v>
      </c>
      <c r="BS35" t="s">
        <v>384</v>
      </c>
      <c r="BT35" t="str">
        <f>HYPERLINK("https%3A%2F%2Fwww.webofscience.com%2Fwos%2Fwoscc%2Ffull-record%2FWOS:000458750500010","View Full Record in Web of Science")</f>
        <v>View Full Record in Web of Science</v>
      </c>
    </row>
    <row r="36" spans="1:72" ht="12.75" customHeight="1" x14ac:dyDescent="0.2">
      <c r="A36" t="s">
        <v>147</v>
      </c>
      <c r="B36" t="s">
        <v>385</v>
      </c>
      <c r="D36" t="s">
        <v>386</v>
      </c>
      <c r="F36" t="s">
        <v>387</v>
      </c>
      <c r="I36" t="s">
        <v>388</v>
      </c>
      <c r="J36" t="s">
        <v>389</v>
      </c>
      <c r="K36" t="s">
        <v>390</v>
      </c>
      <c r="O36" t="s">
        <v>391</v>
      </c>
      <c r="P36" t="s">
        <v>392</v>
      </c>
      <c r="Q36" t="s">
        <v>393</v>
      </c>
      <c r="R36" t="s">
        <v>394</v>
      </c>
      <c r="AA36" t="s">
        <v>367</v>
      </c>
      <c r="AB36" t="s">
        <v>368</v>
      </c>
      <c r="AO36" t="s">
        <v>395</v>
      </c>
      <c r="AQ36" t="s">
        <v>396</v>
      </c>
      <c r="AU36">
        <v>2019</v>
      </c>
      <c r="BB36">
        <v>493</v>
      </c>
      <c r="BC36">
        <v>496</v>
      </c>
      <c r="BS36" t="s">
        <v>397</v>
      </c>
      <c r="BT36" t="str">
        <f>HYPERLINK("https%3A%2F%2Fwww.webofscience.com%2Fwos%2Fwoscc%2Ffull-record%2FWOS:000492146100119","View Full Record in Web of Science")</f>
        <v>View Full Record in Web of Science</v>
      </c>
    </row>
    <row r="37" spans="1:72" ht="12.75" customHeight="1" x14ac:dyDescent="0.2">
      <c r="A37" t="s">
        <v>72</v>
      </c>
      <c r="B37" t="s">
        <v>398</v>
      </c>
      <c r="F37" t="s">
        <v>399</v>
      </c>
      <c r="I37" t="s">
        <v>400</v>
      </c>
      <c r="J37" t="s">
        <v>194</v>
      </c>
      <c r="AA37" t="s">
        <v>401</v>
      </c>
      <c r="AB37" t="s">
        <v>402</v>
      </c>
      <c r="AO37" t="s">
        <v>196</v>
      </c>
      <c r="AP37" t="s">
        <v>197</v>
      </c>
      <c r="AT37" t="s">
        <v>403</v>
      </c>
      <c r="AU37">
        <v>2018</v>
      </c>
      <c r="AV37">
        <v>18</v>
      </c>
      <c r="BB37">
        <v>152</v>
      </c>
      <c r="BC37">
        <v>168</v>
      </c>
      <c r="BE37" t="s">
        <v>404</v>
      </c>
      <c r="BF37" t="str">
        <f>HYPERLINK("http://dx.doi.org/10.17223/23062061/18/8","http://dx.doi.org/10.17223/23062061/18/8")</f>
        <v>http://dx.doi.org/10.17223/23062061/18/8</v>
      </c>
      <c r="BS37" t="s">
        <v>405</v>
      </c>
      <c r="BT37" t="str">
        <f>HYPERLINK("https%3A%2F%2Fwww.webofscience.com%2Fwos%2Fwoscc%2Ffull-record%2FWOS:000455535400008","View Full Record in Web of Science")</f>
        <v>View Full Record in Web of Science</v>
      </c>
    </row>
    <row r="38" spans="1:72" ht="12.75" customHeight="1" x14ac:dyDescent="0.2">
      <c r="A38" t="s">
        <v>72</v>
      </c>
      <c r="B38" t="s">
        <v>406</v>
      </c>
      <c r="F38" t="s">
        <v>407</v>
      </c>
      <c r="I38" t="s">
        <v>408</v>
      </c>
      <c r="J38" t="s">
        <v>409</v>
      </c>
      <c r="AA38" t="s">
        <v>410</v>
      </c>
      <c r="AB38" t="s">
        <v>411</v>
      </c>
      <c r="AO38" t="s">
        <v>412</v>
      </c>
      <c r="AP38" t="s">
        <v>413</v>
      </c>
      <c r="AT38" t="s">
        <v>125</v>
      </c>
      <c r="AU38">
        <v>2018</v>
      </c>
      <c r="AV38">
        <v>91</v>
      </c>
      <c r="AW38">
        <v>7</v>
      </c>
      <c r="BB38">
        <v>1188</v>
      </c>
      <c r="BC38">
        <v>1192</v>
      </c>
      <c r="BE38" t="s">
        <v>414</v>
      </c>
      <c r="BF38" t="str">
        <f>HYPERLINK("http://dx.doi.org/10.1134/S1070427218070182","http://dx.doi.org/10.1134/S1070427218070182")</f>
        <v>http://dx.doi.org/10.1134/S1070427218070182</v>
      </c>
      <c r="BS38" t="s">
        <v>415</v>
      </c>
      <c r="BT38" t="str">
        <f>HYPERLINK("https%3A%2F%2Fwww.webofscience.com%2Fwos%2Fwoscc%2Ffull-record%2FWOS:000447673400018","View Full Record in Web of Science")</f>
        <v>View Full Record in Web of Science</v>
      </c>
    </row>
    <row r="39" spans="1:72" ht="12.75" customHeight="1" x14ac:dyDescent="0.2">
      <c r="A39" t="s">
        <v>147</v>
      </c>
      <c r="B39" t="s">
        <v>416</v>
      </c>
      <c r="E39" t="s">
        <v>210</v>
      </c>
      <c r="F39" t="s">
        <v>417</v>
      </c>
      <c r="I39" t="s">
        <v>418</v>
      </c>
      <c r="J39" t="s">
        <v>419</v>
      </c>
      <c r="K39" t="s">
        <v>420</v>
      </c>
      <c r="O39" t="s">
        <v>421</v>
      </c>
      <c r="P39" t="s">
        <v>422</v>
      </c>
      <c r="Q39" t="s">
        <v>423</v>
      </c>
      <c r="R39" t="s">
        <v>424</v>
      </c>
      <c r="AA39" t="s">
        <v>425</v>
      </c>
      <c r="AB39" t="s">
        <v>426</v>
      </c>
      <c r="AO39" t="s">
        <v>427</v>
      </c>
      <c r="AP39" t="s">
        <v>428</v>
      </c>
      <c r="AQ39" t="s">
        <v>429</v>
      </c>
      <c r="AU39">
        <v>2018</v>
      </c>
      <c r="BS39" t="s">
        <v>430</v>
      </c>
      <c r="BT39" t="str">
        <f>HYPERLINK("https%3A%2F%2Fwww.webofscience.com%2Fwos%2Fwoscc%2Ffull-record%2FWOS:000517795800002","View Full Record in Web of Science")</f>
        <v>View Full Record in Web of Science</v>
      </c>
    </row>
    <row r="40" spans="1:72" ht="12.75" customHeight="1" x14ac:dyDescent="0.2">
      <c r="A40" t="s">
        <v>72</v>
      </c>
      <c r="B40" t="s">
        <v>431</v>
      </c>
      <c r="F40" t="s">
        <v>432</v>
      </c>
      <c r="I40" t="s">
        <v>433</v>
      </c>
      <c r="J40" t="s">
        <v>434</v>
      </c>
      <c r="AA40" t="s">
        <v>435</v>
      </c>
      <c r="AB40" t="s">
        <v>436</v>
      </c>
      <c r="AO40" t="s">
        <v>437</v>
      </c>
      <c r="AP40" t="s">
        <v>438</v>
      </c>
      <c r="AU40">
        <v>2018</v>
      </c>
      <c r="AW40">
        <v>4</v>
      </c>
      <c r="BB40">
        <v>241</v>
      </c>
      <c r="BC40">
        <v>261</v>
      </c>
      <c r="BE40" t="s">
        <v>439</v>
      </c>
      <c r="BF40" t="str">
        <f>HYPERLINK("http://dx.doi.org/10.24833/2071-8160-2018-4-61-241-261","http://dx.doi.org/10.24833/2071-8160-2018-4-61-241-261")</f>
        <v>http://dx.doi.org/10.24833/2071-8160-2018-4-61-241-261</v>
      </c>
      <c r="BS40" t="s">
        <v>440</v>
      </c>
      <c r="BT40" t="str">
        <f>HYPERLINK("https%3A%2F%2Fwww.webofscience.com%2Fwos%2Fwoscc%2Ffull-record%2FWOS:000445743100013","View Full Record in Web of Science")</f>
        <v>View Full Record in Web of Science</v>
      </c>
    </row>
    <row r="41" spans="1:72" ht="12.75" customHeight="1" x14ac:dyDescent="0.2">
      <c r="A41" t="s">
        <v>147</v>
      </c>
      <c r="B41" t="s">
        <v>441</v>
      </c>
      <c r="D41" t="s">
        <v>233</v>
      </c>
      <c r="F41" t="s">
        <v>442</v>
      </c>
      <c r="I41" t="s">
        <v>443</v>
      </c>
      <c r="J41" t="s">
        <v>444</v>
      </c>
      <c r="K41" t="s">
        <v>445</v>
      </c>
      <c r="O41" t="s">
        <v>446</v>
      </c>
      <c r="P41" t="s">
        <v>447</v>
      </c>
      <c r="Q41" t="s">
        <v>448</v>
      </c>
      <c r="AB41" t="s">
        <v>449</v>
      </c>
      <c r="AO41" t="s">
        <v>450</v>
      </c>
      <c r="AQ41" t="s">
        <v>451</v>
      </c>
      <c r="AU41">
        <v>2017</v>
      </c>
      <c r="BB41">
        <v>15</v>
      </c>
      <c r="BC41">
        <v>20</v>
      </c>
      <c r="BE41" t="s">
        <v>452</v>
      </c>
      <c r="BF41" t="str">
        <f>HYPERLINK("http://dx.doi.org/10.1007/978-3-319-60696-5_3","http://dx.doi.org/10.1007/978-3-319-60696-5_3")</f>
        <v>http://dx.doi.org/10.1007/978-3-319-60696-5_3</v>
      </c>
      <c r="BS41" t="s">
        <v>453</v>
      </c>
      <c r="BT41" t="str">
        <f>HYPERLINK("https%3A%2F%2Fwww.webofscience.com%2Fwos%2Fwoscc%2Ffull-record%2FWOS:000426114200003","View Full Record in Web of Science")</f>
        <v>View Full Record in Web of Science</v>
      </c>
    </row>
    <row r="42" spans="1:72" ht="12.75" customHeight="1" x14ac:dyDescent="0.2">
      <c r="A42" t="s">
        <v>147</v>
      </c>
      <c r="B42" t="s">
        <v>454</v>
      </c>
      <c r="D42" t="s">
        <v>233</v>
      </c>
      <c r="F42" t="s">
        <v>455</v>
      </c>
      <c r="I42" t="s">
        <v>456</v>
      </c>
      <c r="J42" t="s">
        <v>444</v>
      </c>
      <c r="K42" t="s">
        <v>445</v>
      </c>
      <c r="O42" t="s">
        <v>446</v>
      </c>
      <c r="P42" t="s">
        <v>447</v>
      </c>
      <c r="Q42" t="s">
        <v>448</v>
      </c>
      <c r="AA42" t="s">
        <v>457</v>
      </c>
      <c r="AB42" t="s">
        <v>458</v>
      </c>
      <c r="AO42" t="s">
        <v>450</v>
      </c>
      <c r="AQ42" t="s">
        <v>451</v>
      </c>
      <c r="AU42">
        <v>2017</v>
      </c>
      <c r="BB42">
        <v>565</v>
      </c>
      <c r="BC42">
        <v>574</v>
      </c>
      <c r="BE42" t="s">
        <v>459</v>
      </c>
      <c r="BF42" t="str">
        <f>HYPERLINK("http://dx.doi.org/10.1007/978-3-319-60696-5_71","http://dx.doi.org/10.1007/978-3-319-60696-5_71")</f>
        <v>http://dx.doi.org/10.1007/978-3-319-60696-5_71</v>
      </c>
      <c r="BS42" t="s">
        <v>460</v>
      </c>
      <c r="BT42" t="str">
        <f>HYPERLINK("https%3A%2F%2Fwww.webofscience.com%2Fwos%2Fwoscc%2Ffull-record%2FWOS:000426114200071","View Full Record in Web of Science")</f>
        <v>View Full Record in Web of Science</v>
      </c>
    </row>
    <row r="43" spans="1:72" ht="12.75" customHeight="1" x14ac:dyDescent="0.2">
      <c r="A43" t="s">
        <v>147</v>
      </c>
      <c r="B43" t="s">
        <v>461</v>
      </c>
      <c r="E43" t="s">
        <v>210</v>
      </c>
      <c r="F43" t="s">
        <v>462</v>
      </c>
      <c r="I43" t="s">
        <v>463</v>
      </c>
      <c r="J43" t="s">
        <v>464</v>
      </c>
      <c r="K43" t="s">
        <v>465</v>
      </c>
      <c r="O43" t="s">
        <v>466</v>
      </c>
      <c r="P43" t="s">
        <v>467</v>
      </c>
      <c r="Q43" t="s">
        <v>468</v>
      </c>
      <c r="R43" t="s">
        <v>469</v>
      </c>
      <c r="AA43" t="s">
        <v>425</v>
      </c>
      <c r="AB43" t="s">
        <v>426</v>
      </c>
      <c r="AO43" t="s">
        <v>470</v>
      </c>
      <c r="AP43" t="s">
        <v>471</v>
      </c>
      <c r="AQ43" t="s">
        <v>472</v>
      </c>
      <c r="AU43">
        <v>2015</v>
      </c>
      <c r="BB43">
        <v>88</v>
      </c>
      <c r="BC43">
        <v>90</v>
      </c>
      <c r="BS43" t="s">
        <v>473</v>
      </c>
      <c r="BT43" t="str">
        <f>HYPERLINK("https%3A%2F%2Fwww.webofscience.com%2Fwos%2Fwoscc%2Ffull-record%2FWOS:000380404000020","View Full Record in Web of Science")</f>
        <v>View Full Record in Web of Science</v>
      </c>
    </row>
    <row r="44" spans="1:72" ht="12.75" customHeight="1" x14ac:dyDescent="0.2">
      <c r="A44" t="s">
        <v>72</v>
      </c>
      <c r="B44" t="s">
        <v>474</v>
      </c>
      <c r="F44" t="s">
        <v>475</v>
      </c>
      <c r="I44" t="s">
        <v>476</v>
      </c>
      <c r="J44" t="s">
        <v>244</v>
      </c>
      <c r="AO44" t="s">
        <v>245</v>
      </c>
      <c r="AP44" t="s">
        <v>246</v>
      </c>
      <c r="AU44">
        <v>2013</v>
      </c>
      <c r="AW44">
        <v>11</v>
      </c>
      <c r="BB44">
        <v>150</v>
      </c>
      <c r="BC44">
        <v>152</v>
      </c>
      <c r="BS44" t="s">
        <v>477</v>
      </c>
      <c r="BT44" t="str">
        <f>HYPERLINK("https%3A%2F%2Fwww.webofscience.com%2Fwos%2Fwoscc%2Ffull-record%2FWOS:000330336600010","View Full Record in Web of Science")</f>
        <v>View Full Record in Web of Science</v>
      </c>
    </row>
    <row r="45" spans="1:72" ht="12.75" customHeight="1" x14ac:dyDescent="0.2">
      <c r="A45" t="s">
        <v>72</v>
      </c>
      <c r="B45" t="s">
        <v>478</v>
      </c>
      <c r="F45" t="s">
        <v>478</v>
      </c>
      <c r="I45" t="s">
        <v>479</v>
      </c>
      <c r="J45" t="s">
        <v>409</v>
      </c>
      <c r="AA45" t="s">
        <v>480</v>
      </c>
      <c r="AB45" t="s">
        <v>481</v>
      </c>
      <c r="AO45" t="s">
        <v>412</v>
      </c>
      <c r="AT45" t="s">
        <v>198</v>
      </c>
      <c r="AU45">
        <v>2003</v>
      </c>
      <c r="AV45">
        <v>76</v>
      </c>
      <c r="AW45">
        <v>4</v>
      </c>
      <c r="BB45">
        <v>666</v>
      </c>
      <c r="BC45">
        <v>668</v>
      </c>
      <c r="BE45" t="s">
        <v>482</v>
      </c>
      <c r="BF45" t="str">
        <f>HYPERLINK("http://dx.doi.org/10.1023/A:1025776212553","http://dx.doi.org/10.1023/A:1025776212553")</f>
        <v>http://dx.doi.org/10.1023/A:1025776212553</v>
      </c>
      <c r="BS45" t="s">
        <v>483</v>
      </c>
      <c r="BT45" t="str">
        <f>HYPERLINK("https%3A%2F%2Fwww.webofscience.com%2Fwos%2Fwoscc%2Ffull-record%2FWOS:000184763100039","View Full Record in Web of Science")</f>
        <v>View Full Record in Web of Science</v>
      </c>
    </row>
    <row r="46" spans="1:72" ht="12.75" customHeight="1" x14ac:dyDescent="0.2">
      <c r="A46" t="s">
        <v>72</v>
      </c>
      <c r="B46" t="s">
        <v>484</v>
      </c>
      <c r="F46" t="s">
        <v>484</v>
      </c>
      <c r="I46" t="s">
        <v>485</v>
      </c>
      <c r="J46" t="s">
        <v>409</v>
      </c>
      <c r="O46" t="s">
        <v>486</v>
      </c>
      <c r="P46" t="s">
        <v>487</v>
      </c>
      <c r="Q46" t="s">
        <v>488</v>
      </c>
      <c r="AA46" t="s">
        <v>489</v>
      </c>
      <c r="AB46" t="s">
        <v>490</v>
      </c>
      <c r="AO46" t="s">
        <v>412</v>
      </c>
      <c r="AT46" t="s">
        <v>491</v>
      </c>
      <c r="AU46">
        <v>2000</v>
      </c>
      <c r="AV46">
        <v>73</v>
      </c>
      <c r="AW46">
        <v>6</v>
      </c>
      <c r="BB46">
        <v>1015</v>
      </c>
      <c r="BC46">
        <v>1020</v>
      </c>
      <c r="BS46" t="s">
        <v>492</v>
      </c>
      <c r="BT46" t="str">
        <f>HYPERLINK("https%3A%2F%2Fwww.webofscience.com%2Fwos%2Fwoscc%2Ffull-record%2FWOS:000165979500020","View Full Record in Web of Science")</f>
        <v>View Full Record in Web of Science</v>
      </c>
    </row>
    <row r="47" spans="1:72" ht="12.75" customHeight="1" x14ac:dyDescent="0.2">
      <c r="A47" t="s">
        <v>72</v>
      </c>
      <c r="B47" t="s">
        <v>493</v>
      </c>
      <c r="F47" t="s">
        <v>494</v>
      </c>
      <c r="I47" t="s">
        <v>495</v>
      </c>
      <c r="J47" t="s">
        <v>496</v>
      </c>
      <c r="AB47" t="s">
        <v>497</v>
      </c>
      <c r="AO47" t="s">
        <v>498</v>
      </c>
      <c r="AP47" t="s">
        <v>499</v>
      </c>
      <c r="AT47" t="s">
        <v>500</v>
      </c>
      <c r="AU47">
        <v>2022</v>
      </c>
      <c r="BE47" t="s">
        <v>501</v>
      </c>
      <c r="BF47" t="str">
        <f>HYPERLINK("http://dx.doi.org/10.1139/er-2022-0081","http://dx.doi.org/10.1139/er-2022-0081")</f>
        <v>http://dx.doi.org/10.1139/er-2022-0081</v>
      </c>
      <c r="BS47" t="s">
        <v>502</v>
      </c>
      <c r="BT47" t="str">
        <f>HYPERLINK("https%3A%2F%2Fwww.webofscience.com%2Fwos%2Fwoscc%2Ffull-record%2FWOS:000931841200001","View Full Record in Web of Science")</f>
        <v>View Full Record in Web of Science</v>
      </c>
    </row>
    <row r="48" spans="1:72" ht="12.75" customHeight="1" x14ac:dyDescent="0.2">
      <c r="A48" t="s">
        <v>72</v>
      </c>
      <c r="B48" t="s">
        <v>503</v>
      </c>
      <c r="F48" t="s">
        <v>504</v>
      </c>
      <c r="I48" t="s">
        <v>505</v>
      </c>
      <c r="J48" t="s">
        <v>506</v>
      </c>
      <c r="AA48" t="s">
        <v>507</v>
      </c>
      <c r="AB48" t="s">
        <v>508</v>
      </c>
      <c r="AO48" t="s">
        <v>509</v>
      </c>
      <c r="AP48" t="s">
        <v>510</v>
      </c>
      <c r="AU48">
        <v>2022</v>
      </c>
      <c r="AV48">
        <v>13</v>
      </c>
      <c r="AW48">
        <v>1</v>
      </c>
      <c r="BB48">
        <v>28</v>
      </c>
      <c r="BC48">
        <v>45</v>
      </c>
      <c r="BE48" t="s">
        <v>511</v>
      </c>
      <c r="BF48" t="str">
        <f>HYPERLINK("http://dx.doi.org/10.21638/spbu14.2022.102","http://dx.doi.org/10.21638/spbu14.2022.102")</f>
        <v>http://dx.doi.org/10.21638/spbu14.2022.102</v>
      </c>
      <c r="BS48" t="s">
        <v>512</v>
      </c>
      <c r="BT48" t="str">
        <f>HYPERLINK("https%3A%2F%2Fwww.webofscience.com%2Fwos%2Fwoscc%2Ffull-record%2FWOS:000806210500002","View Full Record in Web of Science")</f>
        <v>View Full Record in Web of Science</v>
      </c>
    </row>
    <row r="49" spans="1:72" ht="12.75" customHeight="1" x14ac:dyDescent="0.2">
      <c r="A49" t="s">
        <v>72</v>
      </c>
      <c r="B49" t="s">
        <v>513</v>
      </c>
      <c r="F49" t="s">
        <v>514</v>
      </c>
      <c r="I49" t="s">
        <v>515</v>
      </c>
      <c r="J49" t="s">
        <v>516</v>
      </c>
      <c r="AA49" t="s">
        <v>517</v>
      </c>
      <c r="AB49" t="s">
        <v>518</v>
      </c>
      <c r="AO49" t="s">
        <v>519</v>
      </c>
      <c r="AP49" t="s">
        <v>520</v>
      </c>
      <c r="AT49" t="s">
        <v>403</v>
      </c>
      <c r="AU49">
        <v>2021</v>
      </c>
      <c r="AW49">
        <v>22</v>
      </c>
      <c r="BB49">
        <v>27</v>
      </c>
      <c r="BC49">
        <v>47</v>
      </c>
      <c r="BE49" t="s">
        <v>521</v>
      </c>
      <c r="BF49" t="str">
        <f>HYPERLINK("http://dx.doi.org/10.17223/22274200/22/2","http://dx.doi.org/10.17223/22274200/22/2")</f>
        <v>http://dx.doi.org/10.17223/22274200/22/2</v>
      </c>
      <c r="BS49" t="s">
        <v>522</v>
      </c>
      <c r="BT49" t="str">
        <f>HYPERLINK("https%3A%2F%2Fwww.webofscience.com%2Fwos%2Fwoscc%2Ffull-record%2FWOS:000869082400002","View Full Record in Web of Science")</f>
        <v>View Full Record in Web of Science</v>
      </c>
    </row>
    <row r="50" spans="1:72" ht="12.75" customHeight="1" x14ac:dyDescent="0.2">
      <c r="A50" t="s">
        <v>72</v>
      </c>
      <c r="B50" t="s">
        <v>523</v>
      </c>
      <c r="F50" t="s">
        <v>524</v>
      </c>
      <c r="I50" t="s">
        <v>525</v>
      </c>
      <c r="J50" t="s">
        <v>141</v>
      </c>
      <c r="AA50" t="s">
        <v>142</v>
      </c>
      <c r="AB50" t="s">
        <v>526</v>
      </c>
      <c r="AO50" t="s">
        <v>144</v>
      </c>
      <c r="AU50">
        <v>2021</v>
      </c>
      <c r="AW50">
        <v>4</v>
      </c>
      <c r="BB50">
        <v>1</v>
      </c>
      <c r="BC50">
        <v>12</v>
      </c>
      <c r="BE50" t="s">
        <v>527</v>
      </c>
      <c r="BF50" t="str">
        <f>HYPERLINK("http://dx.doi.org/10.52254/1857-0070.2021.4-52.01","http://dx.doi.org/10.52254/1857-0070.2021.4-52.01")</f>
        <v>http://dx.doi.org/10.52254/1857-0070.2021.4-52.01</v>
      </c>
      <c r="BS50" t="s">
        <v>528</v>
      </c>
      <c r="BT50" t="str">
        <f>HYPERLINK("https%3A%2F%2Fwww.webofscience.com%2Fwos%2Fwoscc%2Ffull-record%2FWOS:000734088800001","View Full Record in Web of Science")</f>
        <v>View Full Record in Web of Science</v>
      </c>
    </row>
    <row r="51" spans="1:72" ht="12.75" customHeight="1" x14ac:dyDescent="0.2">
      <c r="A51" t="s">
        <v>72</v>
      </c>
      <c r="B51" t="s">
        <v>529</v>
      </c>
      <c r="F51" t="s">
        <v>530</v>
      </c>
      <c r="I51" t="s">
        <v>531</v>
      </c>
      <c r="J51" t="s">
        <v>532</v>
      </c>
      <c r="AA51" t="s">
        <v>533</v>
      </c>
      <c r="AO51" t="s">
        <v>534</v>
      </c>
      <c r="AU51">
        <v>2021</v>
      </c>
      <c r="AV51">
        <v>86</v>
      </c>
      <c r="AW51">
        <v>6</v>
      </c>
      <c r="BB51">
        <v>19</v>
      </c>
      <c r="BC51">
        <v>29</v>
      </c>
      <c r="BE51" t="s">
        <v>535</v>
      </c>
      <c r="BF51" t="str">
        <f>HYPERLINK("http://dx.doi.org/10.33407/itlt.v86i6.4320","http://dx.doi.org/10.33407/itlt.v86i6.4320")</f>
        <v>http://dx.doi.org/10.33407/itlt.v86i6.4320</v>
      </c>
      <c r="BS51" t="s">
        <v>536</v>
      </c>
      <c r="BT51" t="str">
        <f>HYPERLINK("https%3A%2F%2Fwww.webofscience.com%2Fwos%2Fwoscc%2Ffull-record%2FWOS:000750127200002","View Full Record in Web of Science")</f>
        <v>View Full Record in Web of Science</v>
      </c>
    </row>
    <row r="52" spans="1:72" ht="12.75" customHeight="1" x14ac:dyDescent="0.2">
      <c r="A52" t="s">
        <v>72</v>
      </c>
      <c r="B52" t="s">
        <v>120</v>
      </c>
      <c r="F52" t="s">
        <v>121</v>
      </c>
      <c r="I52" t="s">
        <v>537</v>
      </c>
      <c r="J52" t="s">
        <v>538</v>
      </c>
      <c r="AB52" t="s">
        <v>539</v>
      </c>
      <c r="AP52" t="s">
        <v>540</v>
      </c>
      <c r="AT52" t="s">
        <v>541</v>
      </c>
      <c r="AU52">
        <v>2021</v>
      </c>
      <c r="AV52">
        <v>13</v>
      </c>
      <c r="AW52">
        <v>1</v>
      </c>
      <c r="BD52">
        <v>47</v>
      </c>
      <c r="BE52" t="s">
        <v>542</v>
      </c>
      <c r="BF52" t="str">
        <f>HYPERLINK("http://dx.doi.org/10.3390/w13010047","http://dx.doi.org/10.3390/w13010047")</f>
        <v>http://dx.doi.org/10.3390/w13010047</v>
      </c>
      <c r="BS52" t="s">
        <v>543</v>
      </c>
      <c r="BT52" t="str">
        <f>HYPERLINK("https%3A%2F%2Fwww.webofscience.com%2Fwos%2Fwoscc%2Ffull-record%2FWOS:000606408000001","View Full Record in Web of Science")</f>
        <v>View Full Record in Web of Science</v>
      </c>
    </row>
    <row r="53" spans="1:72" ht="12.75" customHeight="1" x14ac:dyDescent="0.2">
      <c r="A53" t="s">
        <v>72</v>
      </c>
      <c r="B53" t="s">
        <v>544</v>
      </c>
      <c r="F53" t="s">
        <v>545</v>
      </c>
      <c r="I53" t="s">
        <v>546</v>
      </c>
      <c r="J53" t="s">
        <v>166</v>
      </c>
      <c r="AO53" t="s">
        <v>169</v>
      </c>
      <c r="AP53" t="s">
        <v>170</v>
      </c>
      <c r="AT53" t="s">
        <v>171</v>
      </c>
      <c r="AU53">
        <v>2020</v>
      </c>
      <c r="AV53">
        <v>9</v>
      </c>
      <c r="AW53">
        <v>1</v>
      </c>
      <c r="BB53">
        <v>160</v>
      </c>
      <c r="BC53">
        <v>176</v>
      </c>
      <c r="BE53" t="s">
        <v>547</v>
      </c>
      <c r="BF53" t="str">
        <f>HYPERLINK("http://dx.doi.org/10.13187/ejced.2020.1.160","http://dx.doi.org/10.13187/ejced.2020.1.160")</f>
        <v>http://dx.doi.org/10.13187/ejced.2020.1.160</v>
      </c>
      <c r="BS53" t="s">
        <v>548</v>
      </c>
      <c r="BT53" t="str">
        <f>HYPERLINK("https%3A%2F%2Fwww.webofscience.com%2Fwos%2Fwoscc%2Ffull-record%2FWOS:000522736400013","View Full Record in Web of Science")</f>
        <v>View Full Record in Web of Science</v>
      </c>
    </row>
    <row r="54" spans="1:72" ht="12.75" customHeight="1" x14ac:dyDescent="0.2">
      <c r="A54" t="s">
        <v>72</v>
      </c>
      <c r="B54" t="s">
        <v>549</v>
      </c>
      <c r="F54" t="s">
        <v>550</v>
      </c>
      <c r="I54" t="s">
        <v>551</v>
      </c>
      <c r="J54" t="s">
        <v>552</v>
      </c>
      <c r="AA54" t="s">
        <v>553</v>
      </c>
      <c r="AB54" t="s">
        <v>554</v>
      </c>
      <c r="AP54" t="s">
        <v>555</v>
      </c>
      <c r="AU54">
        <v>2020</v>
      </c>
      <c r="AV54">
        <v>24</v>
      </c>
      <c r="AW54">
        <v>6</v>
      </c>
      <c r="BB54">
        <v>310</v>
      </c>
      <c r="BC54">
        <v>315</v>
      </c>
      <c r="BE54" t="s">
        <v>556</v>
      </c>
      <c r="BF54" t="str">
        <f>HYPERLINK("http://dx.doi.org/10.15561/26649837.2020.0606","http://dx.doi.org/10.15561/26649837.2020.0606")</f>
        <v>http://dx.doi.org/10.15561/26649837.2020.0606</v>
      </c>
      <c r="BS54" t="s">
        <v>557</v>
      </c>
      <c r="BT54" t="str">
        <f>HYPERLINK("https%3A%2F%2Fwww.webofscience.com%2Fwos%2Fwoscc%2Ffull-record%2FWOS:000601302200006","View Full Record in Web of Science")</f>
        <v>View Full Record in Web of Science</v>
      </c>
    </row>
    <row r="55" spans="1:72" ht="12.75" customHeight="1" x14ac:dyDescent="0.2">
      <c r="A55" t="s">
        <v>72</v>
      </c>
      <c r="B55" t="s">
        <v>558</v>
      </c>
      <c r="F55" t="s">
        <v>559</v>
      </c>
      <c r="I55" t="s">
        <v>560</v>
      </c>
      <c r="J55" t="s">
        <v>561</v>
      </c>
      <c r="AA55" t="s">
        <v>562</v>
      </c>
      <c r="AB55" t="s">
        <v>563</v>
      </c>
      <c r="AO55" t="s">
        <v>564</v>
      </c>
      <c r="AP55" t="s">
        <v>565</v>
      </c>
      <c r="AT55" t="s">
        <v>171</v>
      </c>
      <c r="AU55">
        <v>2019</v>
      </c>
      <c r="AV55">
        <v>26</v>
      </c>
      <c r="AW55">
        <v>2</v>
      </c>
      <c r="BB55">
        <v>281</v>
      </c>
      <c r="BC55">
        <v>294</v>
      </c>
      <c r="BE55" t="s">
        <v>566</v>
      </c>
      <c r="BF55" t="str">
        <f>HYPERLINK("http://dx.doi.org/10.1134/S0869864319020112","http://dx.doi.org/10.1134/S0869864319020112")</f>
        <v>http://dx.doi.org/10.1134/S0869864319020112</v>
      </c>
      <c r="BS55" t="s">
        <v>567</v>
      </c>
      <c r="BT55" t="str">
        <f>HYPERLINK("https%3A%2F%2Fwww.webofscience.com%2Fwos%2Fwoscc%2Ffull-record%2FWOS:000471203300011","View Full Record in Web of Science")</f>
        <v>View Full Record in Web of Science</v>
      </c>
    </row>
    <row r="56" spans="1:72" ht="12.75" customHeight="1" x14ac:dyDescent="0.2">
      <c r="A56" t="s">
        <v>147</v>
      </c>
      <c r="B56" t="s">
        <v>568</v>
      </c>
      <c r="E56" t="s">
        <v>210</v>
      </c>
      <c r="F56" t="s">
        <v>569</v>
      </c>
      <c r="I56" t="s">
        <v>570</v>
      </c>
      <c r="J56" t="s">
        <v>571</v>
      </c>
      <c r="K56" t="s">
        <v>362</v>
      </c>
      <c r="O56" t="s">
        <v>572</v>
      </c>
      <c r="P56" t="s">
        <v>573</v>
      </c>
      <c r="Q56" t="s">
        <v>574</v>
      </c>
      <c r="R56" t="s">
        <v>575</v>
      </c>
      <c r="S56" t="s">
        <v>576</v>
      </c>
      <c r="AA56" t="s">
        <v>577</v>
      </c>
      <c r="AB56" t="s">
        <v>578</v>
      </c>
      <c r="AO56" t="s">
        <v>369</v>
      </c>
      <c r="AQ56" t="s">
        <v>579</v>
      </c>
      <c r="AU56">
        <v>2019</v>
      </c>
      <c r="BB56">
        <v>220</v>
      </c>
      <c r="BC56">
        <v>227</v>
      </c>
      <c r="BS56" t="s">
        <v>580</v>
      </c>
      <c r="BT56" t="str">
        <f>HYPERLINK("https%3A%2F%2Fwww.webofscience.com%2Fwos%2Fwoscc%2Ffull-record%2FWOS:000469999300031","View Full Record in Web of Science")</f>
        <v>View Full Record in Web of Science</v>
      </c>
    </row>
    <row r="57" spans="1:72" ht="12.75" customHeight="1" x14ac:dyDescent="0.2">
      <c r="A57" t="s">
        <v>72</v>
      </c>
      <c r="B57" t="s">
        <v>581</v>
      </c>
      <c r="F57" t="s">
        <v>582</v>
      </c>
      <c r="I57" t="s">
        <v>583</v>
      </c>
      <c r="J57" t="s">
        <v>584</v>
      </c>
      <c r="AA57" t="s">
        <v>585</v>
      </c>
      <c r="AB57" t="s">
        <v>586</v>
      </c>
      <c r="AO57" t="s">
        <v>587</v>
      </c>
      <c r="AP57" t="s">
        <v>588</v>
      </c>
      <c r="AU57">
        <v>2019</v>
      </c>
      <c r="AV57">
        <v>89</v>
      </c>
      <c r="AW57">
        <v>5</v>
      </c>
      <c r="BB57">
        <v>61</v>
      </c>
      <c r="BC57">
        <v>78</v>
      </c>
      <c r="BE57" t="s">
        <v>589</v>
      </c>
      <c r="BF57" t="str">
        <f>HYPERLINK("http://dx.doi.org/10.18720/MCE.89.6","http://dx.doi.org/10.18720/MCE.89.6")</f>
        <v>http://dx.doi.org/10.18720/MCE.89.6</v>
      </c>
      <c r="BS57" t="s">
        <v>590</v>
      </c>
      <c r="BT57" t="str">
        <f>HYPERLINK("https%3A%2F%2Fwww.webofscience.com%2Fwos%2Fwoscc%2Ffull-record%2FWOS:000487290800006","View Full Record in Web of Science")</f>
        <v>View Full Record in Web of Science</v>
      </c>
    </row>
    <row r="58" spans="1:72" ht="12.75" customHeight="1" x14ac:dyDescent="0.2">
      <c r="A58" t="s">
        <v>72</v>
      </c>
      <c r="B58" t="s">
        <v>591</v>
      </c>
      <c r="F58" t="s">
        <v>592</v>
      </c>
      <c r="I58" t="s">
        <v>593</v>
      </c>
      <c r="J58" t="s">
        <v>594</v>
      </c>
      <c r="AA58" t="s">
        <v>595</v>
      </c>
      <c r="AB58" t="s">
        <v>596</v>
      </c>
      <c r="AO58" t="s">
        <v>597</v>
      </c>
      <c r="AT58" t="s">
        <v>491</v>
      </c>
      <c r="AU58">
        <v>2018</v>
      </c>
      <c r="AV58">
        <v>8</v>
      </c>
      <c r="AW58">
        <v>6</v>
      </c>
      <c r="BB58">
        <v>270</v>
      </c>
      <c r="BC58">
        <v>282</v>
      </c>
      <c r="BS58" t="s">
        <v>598</v>
      </c>
      <c r="BT58" t="str">
        <f>HYPERLINK("https%3A%2F%2Fwww.webofscience.com%2Fwos%2Fwoscc%2Ffull-record%2FWOS:000443674500029","View Full Record in Web of Science")</f>
        <v>View Full Record in Web of Science</v>
      </c>
    </row>
    <row r="59" spans="1:72" ht="12.75" customHeight="1" x14ac:dyDescent="0.2">
      <c r="A59" t="s">
        <v>147</v>
      </c>
      <c r="B59" t="s">
        <v>599</v>
      </c>
      <c r="E59" t="s">
        <v>210</v>
      </c>
      <c r="F59" t="s">
        <v>600</v>
      </c>
      <c r="I59" t="s">
        <v>601</v>
      </c>
      <c r="J59" t="s">
        <v>419</v>
      </c>
      <c r="K59" t="s">
        <v>420</v>
      </c>
      <c r="O59" t="s">
        <v>421</v>
      </c>
      <c r="P59" t="s">
        <v>422</v>
      </c>
      <c r="Q59" t="s">
        <v>423</v>
      </c>
      <c r="R59" t="s">
        <v>424</v>
      </c>
      <c r="AA59" t="s">
        <v>602</v>
      </c>
      <c r="AB59" t="s">
        <v>603</v>
      </c>
      <c r="AO59" t="s">
        <v>427</v>
      </c>
      <c r="AP59" t="s">
        <v>428</v>
      </c>
      <c r="AQ59" t="s">
        <v>429</v>
      </c>
      <c r="AU59">
        <v>2018</v>
      </c>
      <c r="BS59" t="s">
        <v>604</v>
      </c>
      <c r="BT59" t="str">
        <f>HYPERLINK("https%3A%2F%2Fwww.webofscience.com%2Fwos%2Fwoscc%2Ffull-record%2FWOS:000517795800128","View Full Record in Web of Science")</f>
        <v>View Full Record in Web of Science</v>
      </c>
    </row>
    <row r="60" spans="1:72" ht="12.75" customHeight="1" x14ac:dyDescent="0.2">
      <c r="A60" t="s">
        <v>72</v>
      </c>
      <c r="B60" t="s">
        <v>605</v>
      </c>
      <c r="F60" t="s">
        <v>606</v>
      </c>
      <c r="I60" t="s">
        <v>607</v>
      </c>
      <c r="J60" t="s">
        <v>244</v>
      </c>
      <c r="AA60" t="s">
        <v>608</v>
      </c>
      <c r="AB60" t="s">
        <v>609</v>
      </c>
      <c r="AO60" t="s">
        <v>245</v>
      </c>
      <c r="AP60" t="s">
        <v>246</v>
      </c>
      <c r="AU60">
        <v>2016</v>
      </c>
      <c r="AW60">
        <v>10</v>
      </c>
      <c r="BB60">
        <v>105</v>
      </c>
      <c r="BC60">
        <v>125</v>
      </c>
      <c r="BS60" t="s">
        <v>610</v>
      </c>
      <c r="BT60" t="str">
        <f>HYPERLINK("https%3A%2F%2Fwww.webofscience.com%2Fwos%2Fwoscc%2Ffull-record%2FWOS:000386994400006","View Full Record in Web of Science")</f>
        <v>View Full Record in Web of Science</v>
      </c>
    </row>
    <row r="61" spans="1:72" ht="12.75" customHeight="1" x14ac:dyDescent="0.2">
      <c r="A61" t="s">
        <v>72</v>
      </c>
      <c r="B61" t="s">
        <v>611</v>
      </c>
      <c r="F61" t="s">
        <v>612</v>
      </c>
      <c r="I61" t="s">
        <v>613</v>
      </c>
      <c r="J61" t="s">
        <v>614</v>
      </c>
      <c r="AA61" t="s">
        <v>615</v>
      </c>
      <c r="AB61" t="s">
        <v>616</v>
      </c>
      <c r="AO61" t="s">
        <v>617</v>
      </c>
      <c r="AT61" t="s">
        <v>403</v>
      </c>
      <c r="AU61">
        <v>2012</v>
      </c>
      <c r="AV61">
        <v>48</v>
      </c>
      <c r="AW61">
        <v>12</v>
      </c>
      <c r="BB61">
        <v>1201</v>
      </c>
      <c r="BC61">
        <v>1203</v>
      </c>
      <c r="BE61" t="s">
        <v>618</v>
      </c>
      <c r="BF61" t="str">
        <f>HYPERLINK("http://dx.doi.org/10.1134/S1023193512120051","http://dx.doi.org/10.1134/S1023193512120051")</f>
        <v>http://dx.doi.org/10.1134/S1023193512120051</v>
      </c>
      <c r="BS61" t="s">
        <v>619</v>
      </c>
      <c r="BT61" t="str">
        <f>HYPERLINK("https%3A%2F%2Fwww.webofscience.com%2Fwos%2Fwoscc%2Ffull-record%2FWOS:000312405700009","View Full Record in Web of Science")</f>
        <v>View Full Record in Web of Science</v>
      </c>
    </row>
    <row r="62" spans="1:72" ht="12.75" customHeight="1" x14ac:dyDescent="0.2">
      <c r="A62" t="s">
        <v>72</v>
      </c>
      <c r="B62" t="s">
        <v>620</v>
      </c>
      <c r="F62" t="s">
        <v>621</v>
      </c>
      <c r="I62" t="s">
        <v>622</v>
      </c>
      <c r="J62" t="s">
        <v>623</v>
      </c>
      <c r="AO62" t="s">
        <v>624</v>
      </c>
      <c r="AT62" t="s">
        <v>541</v>
      </c>
      <c r="AU62">
        <v>2011</v>
      </c>
      <c r="AV62">
        <v>85</v>
      </c>
      <c r="AW62">
        <v>1</v>
      </c>
      <c r="BB62">
        <v>108</v>
      </c>
      <c r="BC62">
        <v>111</v>
      </c>
      <c r="BE62" t="s">
        <v>625</v>
      </c>
      <c r="BF62" t="str">
        <f>HYPERLINK("http://dx.doi.org/10.1134/S0036024411010286","http://dx.doi.org/10.1134/S0036024411010286")</f>
        <v>http://dx.doi.org/10.1134/S0036024411010286</v>
      </c>
      <c r="BS62" t="s">
        <v>626</v>
      </c>
      <c r="BT62" t="str">
        <f>HYPERLINK("https%3A%2F%2Fwww.webofscience.com%2Fwos%2Fwoscc%2Ffull-record%2FWOS:000288387800020","View Full Record in Web of Science")</f>
        <v>View Full Record in Web of Science</v>
      </c>
    </row>
    <row r="63" spans="1:72" ht="12.75" customHeight="1" x14ac:dyDescent="0.2">
      <c r="A63" t="s">
        <v>72</v>
      </c>
      <c r="B63" t="s">
        <v>627</v>
      </c>
      <c r="F63" t="s">
        <v>628</v>
      </c>
      <c r="I63" t="s">
        <v>629</v>
      </c>
      <c r="J63" t="s">
        <v>95</v>
      </c>
      <c r="AO63" t="s">
        <v>98</v>
      </c>
      <c r="AP63" t="s">
        <v>99</v>
      </c>
      <c r="AU63">
        <v>2022</v>
      </c>
      <c r="AW63">
        <v>4</v>
      </c>
      <c r="BB63">
        <v>119</v>
      </c>
      <c r="BC63">
        <v>123</v>
      </c>
      <c r="BE63" t="s">
        <v>630</v>
      </c>
      <c r="BF63" t="str">
        <f>HYPERLINK("http://dx.doi.org/10.25750/1995-4301-2022-4-119-123","http://dx.doi.org/10.25750/1995-4301-2022-4-119-123")</f>
        <v>http://dx.doi.org/10.25750/1995-4301-2022-4-119-123</v>
      </c>
      <c r="BS63" t="s">
        <v>631</v>
      </c>
      <c r="BT63" t="str">
        <f>HYPERLINK("https%3A%2F%2Fwww.webofscience.com%2Fwos%2Fwoscc%2Ffull-record%2FWOS:000929704700016","View Full Record in Web of Science")</f>
        <v>View Full Record in Web of Science</v>
      </c>
    </row>
    <row r="64" spans="1:72" ht="12.75" customHeight="1" x14ac:dyDescent="0.2">
      <c r="A64" t="s">
        <v>72</v>
      </c>
      <c r="B64" t="s">
        <v>632</v>
      </c>
      <c r="F64" t="s">
        <v>633</v>
      </c>
      <c r="I64" t="s">
        <v>634</v>
      </c>
      <c r="J64" t="s">
        <v>113</v>
      </c>
      <c r="AA64" t="s">
        <v>635</v>
      </c>
      <c r="AB64" t="s">
        <v>636</v>
      </c>
      <c r="AO64" t="s">
        <v>116</v>
      </c>
      <c r="AP64" t="s">
        <v>117</v>
      </c>
      <c r="AU64">
        <v>2022</v>
      </c>
      <c r="AV64">
        <v>27</v>
      </c>
      <c r="AW64">
        <v>2</v>
      </c>
      <c r="BB64">
        <v>90</v>
      </c>
      <c r="BC64">
        <v>100</v>
      </c>
      <c r="BE64" t="s">
        <v>637</v>
      </c>
      <c r="BF64" t="str">
        <f>HYPERLINK("http://dx.doi.org/10.15688/jvolsu4.2022.2.8","http://dx.doi.org/10.15688/jvolsu4.2022.2.8")</f>
        <v>http://dx.doi.org/10.15688/jvolsu4.2022.2.8</v>
      </c>
      <c r="BS64" t="s">
        <v>638</v>
      </c>
      <c r="BT64" t="str">
        <f>HYPERLINK("https%3A%2F%2Fwww.webofscience.com%2Fwos%2Fwoscc%2Ffull-record%2FWOS:000787124400009","View Full Record in Web of Science")</f>
        <v>View Full Record in Web of Science</v>
      </c>
    </row>
    <row r="65" spans="1:72" ht="12.75" customHeight="1" x14ac:dyDescent="0.2">
      <c r="A65" t="s">
        <v>72</v>
      </c>
      <c r="B65" t="s">
        <v>639</v>
      </c>
      <c r="F65" t="s">
        <v>640</v>
      </c>
      <c r="I65" t="s">
        <v>641</v>
      </c>
      <c r="J65" t="s">
        <v>642</v>
      </c>
      <c r="AO65" t="s">
        <v>643</v>
      </c>
      <c r="AP65" t="s">
        <v>644</v>
      </c>
      <c r="AU65">
        <v>2022</v>
      </c>
      <c r="AV65">
        <v>10</v>
      </c>
      <c r="AW65">
        <v>5</v>
      </c>
      <c r="BB65">
        <v>1691</v>
      </c>
      <c r="BC65">
        <v>1707</v>
      </c>
      <c r="BE65" t="s">
        <v>645</v>
      </c>
      <c r="BF65" t="str">
        <f>HYPERLINK("http://dx.doi.org/10.15826/qr.2022.5.755","http://dx.doi.org/10.15826/qr.2022.5.755")</f>
        <v>http://dx.doi.org/10.15826/qr.2022.5.755</v>
      </c>
      <c r="BS65" t="s">
        <v>646</v>
      </c>
      <c r="BT65" t="str">
        <f>HYPERLINK("https%3A%2F%2Fwww.webofscience.com%2Fwos%2Fwoscc%2Ffull-record%2FWOS:000945576100007","View Full Record in Web of Science")</f>
        <v>View Full Record in Web of Science</v>
      </c>
    </row>
    <row r="66" spans="1:72" ht="12.75" customHeight="1" x14ac:dyDescent="0.2">
      <c r="A66" t="s">
        <v>72</v>
      </c>
      <c r="B66" t="s">
        <v>647</v>
      </c>
      <c r="F66" t="s">
        <v>648</v>
      </c>
      <c r="I66" t="s">
        <v>649</v>
      </c>
      <c r="J66" t="s">
        <v>650</v>
      </c>
      <c r="AA66" t="s">
        <v>651</v>
      </c>
      <c r="AB66" t="s">
        <v>652</v>
      </c>
      <c r="AO66" t="s">
        <v>653</v>
      </c>
      <c r="AP66" t="s">
        <v>654</v>
      </c>
      <c r="AT66" t="s">
        <v>655</v>
      </c>
      <c r="AU66">
        <v>2020</v>
      </c>
      <c r="AV66">
        <v>2020</v>
      </c>
      <c r="AW66">
        <v>2</v>
      </c>
      <c r="BB66">
        <v>102</v>
      </c>
      <c r="BC66">
        <v>106</v>
      </c>
      <c r="BE66" t="s">
        <v>656</v>
      </c>
      <c r="BF66" t="str">
        <f>HYPERLINK("http://dx.doi.org/10.1134/S0036029520020032","http://dx.doi.org/10.1134/S0036029520020032")</f>
        <v>http://dx.doi.org/10.1134/S0036029520020032</v>
      </c>
      <c r="BS66" t="s">
        <v>657</v>
      </c>
      <c r="BT66" t="str">
        <f>HYPERLINK("https%3A%2F%2Fwww.webofscience.com%2Fwos%2Fwoscc%2Ffull-record%2FWOS:000520832000004","View Full Record in Web of Science")</f>
        <v>View Full Record in Web of Science</v>
      </c>
    </row>
    <row r="67" spans="1:72" ht="12.75" customHeight="1" x14ac:dyDescent="0.2">
      <c r="A67" t="s">
        <v>72</v>
      </c>
      <c r="B67" t="s">
        <v>658</v>
      </c>
      <c r="F67" t="s">
        <v>659</v>
      </c>
      <c r="I67" t="s">
        <v>660</v>
      </c>
      <c r="J67" t="s">
        <v>661</v>
      </c>
      <c r="AA67" t="s">
        <v>507</v>
      </c>
      <c r="AB67" t="s">
        <v>508</v>
      </c>
      <c r="AO67" t="s">
        <v>662</v>
      </c>
      <c r="AU67">
        <v>2020</v>
      </c>
      <c r="AV67">
        <v>10</v>
      </c>
      <c r="AW67">
        <v>1</v>
      </c>
      <c r="BB67">
        <v>165</v>
      </c>
      <c r="BC67">
        <v>176</v>
      </c>
      <c r="BE67" t="s">
        <v>663</v>
      </c>
      <c r="BF67" t="str">
        <f>HYPERLINK("http://dx.doi.org/10.17759/psylaw.2020100115","http://dx.doi.org/10.17759/psylaw.2020100115")</f>
        <v>http://dx.doi.org/10.17759/psylaw.2020100115</v>
      </c>
      <c r="BS67" t="s">
        <v>664</v>
      </c>
      <c r="BT67" t="str">
        <f>HYPERLINK("https%3A%2F%2Fwww.webofscience.com%2Fwos%2Fwoscc%2Ffull-record%2FWOS:000523598300015","View Full Record in Web of Science")</f>
        <v>View Full Record in Web of Science</v>
      </c>
    </row>
    <row r="68" spans="1:72" ht="12.75" customHeight="1" x14ac:dyDescent="0.2">
      <c r="A68" t="s">
        <v>72</v>
      </c>
      <c r="B68" t="s">
        <v>665</v>
      </c>
      <c r="F68" t="s">
        <v>666</v>
      </c>
      <c r="I68" t="s">
        <v>667</v>
      </c>
      <c r="J68" t="s">
        <v>668</v>
      </c>
      <c r="AO68" t="s">
        <v>669</v>
      </c>
      <c r="AP68" t="s">
        <v>670</v>
      </c>
      <c r="AU68">
        <v>2020</v>
      </c>
      <c r="AW68">
        <v>1</v>
      </c>
      <c r="BB68">
        <v>400</v>
      </c>
      <c r="BC68">
        <v>421</v>
      </c>
      <c r="BE68" t="s">
        <v>671</v>
      </c>
      <c r="BF68" t="str">
        <f>HYPERLINK("http://dx.doi.org/10.24224/2227-1295-2020-1-400-421","http://dx.doi.org/10.24224/2227-1295-2020-1-400-421")</f>
        <v>http://dx.doi.org/10.24224/2227-1295-2020-1-400-421</v>
      </c>
      <c r="BS68" t="s">
        <v>672</v>
      </c>
      <c r="BT68" t="str">
        <f>HYPERLINK("https%3A%2F%2Fwww.webofscience.com%2Fwos%2Fwoscc%2Ffull-record%2FWOS:000511435400025","View Full Record in Web of Science")</f>
        <v>View Full Record in Web of Science</v>
      </c>
    </row>
    <row r="69" spans="1:72" ht="12.75" customHeight="1" x14ac:dyDescent="0.2">
      <c r="A69" t="s">
        <v>72</v>
      </c>
      <c r="B69" t="s">
        <v>673</v>
      </c>
      <c r="F69" t="s">
        <v>674</v>
      </c>
      <c r="I69" t="s">
        <v>675</v>
      </c>
      <c r="J69" t="s">
        <v>676</v>
      </c>
      <c r="AA69" t="s">
        <v>677</v>
      </c>
      <c r="AB69" t="s">
        <v>678</v>
      </c>
      <c r="AO69" t="s">
        <v>679</v>
      </c>
      <c r="AU69">
        <v>2020</v>
      </c>
      <c r="AV69">
        <v>11</v>
      </c>
      <c r="AW69">
        <v>12</v>
      </c>
      <c r="AX69">
        <v>2</v>
      </c>
      <c r="BE69" t="s">
        <v>680</v>
      </c>
      <c r="BF69" t="str">
        <f>HYPERLINK("http://dx.doi.org/10.18254/S207987840013183-0","http://dx.doi.org/10.18254/S207987840013183-0")</f>
        <v>http://dx.doi.org/10.18254/S207987840013183-0</v>
      </c>
      <c r="BS69" t="s">
        <v>681</v>
      </c>
      <c r="BT69" t="str">
        <f>HYPERLINK("https%3A%2F%2Fwww.webofscience.com%2Fwos%2Fwoscc%2Ffull-record%2FWOS:000609191500013","View Full Record in Web of Science")</f>
        <v>View Full Record in Web of Science</v>
      </c>
    </row>
    <row r="70" spans="1:72" ht="12.75" customHeight="1" x14ac:dyDescent="0.2">
      <c r="A70" t="s">
        <v>72</v>
      </c>
      <c r="B70" t="s">
        <v>682</v>
      </c>
      <c r="F70" t="s">
        <v>683</v>
      </c>
      <c r="I70" t="s">
        <v>684</v>
      </c>
      <c r="J70" t="s">
        <v>685</v>
      </c>
      <c r="AA70" t="s">
        <v>686</v>
      </c>
      <c r="AO70" t="s">
        <v>687</v>
      </c>
      <c r="AP70" t="s">
        <v>688</v>
      </c>
      <c r="AT70" t="s">
        <v>319</v>
      </c>
      <c r="AU70">
        <v>2019</v>
      </c>
      <c r="AV70">
        <v>46</v>
      </c>
      <c r="AW70">
        <v>6</v>
      </c>
      <c r="BB70">
        <v>570</v>
      </c>
      <c r="BC70">
        <v>576</v>
      </c>
      <c r="BE70" t="s">
        <v>689</v>
      </c>
      <c r="BF70" t="str">
        <f>HYPERLINK("http://dx.doi.org/10.1134/S1062359019060116","http://dx.doi.org/10.1134/S1062359019060116")</f>
        <v>http://dx.doi.org/10.1134/S1062359019060116</v>
      </c>
      <c r="BS70" t="s">
        <v>690</v>
      </c>
      <c r="BT70" t="str">
        <f>HYPERLINK("https%3A%2F%2Fwww.webofscience.com%2Fwos%2Fwoscc%2Ffull-record%2FWOS:000511334100008","View Full Record in Web of Science")</f>
        <v>View Full Record in Web of Science</v>
      </c>
    </row>
    <row r="71" spans="1:72" ht="12.75" customHeight="1" x14ac:dyDescent="0.2">
      <c r="A71" t="s">
        <v>72</v>
      </c>
      <c r="B71" t="s">
        <v>691</v>
      </c>
      <c r="F71" t="s">
        <v>692</v>
      </c>
      <c r="I71" t="s">
        <v>693</v>
      </c>
      <c r="J71" t="s">
        <v>95</v>
      </c>
      <c r="AA71" t="s">
        <v>694</v>
      </c>
      <c r="AB71" t="s">
        <v>695</v>
      </c>
      <c r="AO71" t="s">
        <v>98</v>
      </c>
      <c r="AP71" t="s">
        <v>99</v>
      </c>
      <c r="AU71">
        <v>2019</v>
      </c>
      <c r="AW71">
        <v>3</v>
      </c>
      <c r="BB71">
        <v>87</v>
      </c>
      <c r="BC71">
        <v>94</v>
      </c>
      <c r="BE71" t="s">
        <v>696</v>
      </c>
      <c r="BF71" t="str">
        <f>HYPERLINK("http://dx.doi.org/10.25750/1995-4301-2019-3-087-094","http://dx.doi.org/10.25750/1995-4301-2019-3-087-094")</f>
        <v>http://dx.doi.org/10.25750/1995-4301-2019-3-087-094</v>
      </c>
      <c r="BS71" t="s">
        <v>697</v>
      </c>
      <c r="BT71" t="str">
        <f>HYPERLINK("https%3A%2F%2Fwww.webofscience.com%2Fwos%2Fwoscc%2Ffull-record%2FWOS:000490704900012","View Full Record in Web of Science")</f>
        <v>View Full Record in Web of Science</v>
      </c>
    </row>
    <row r="72" spans="1:72" ht="12.75" customHeight="1" x14ac:dyDescent="0.2">
      <c r="A72" t="s">
        <v>72</v>
      </c>
      <c r="B72" t="s">
        <v>698</v>
      </c>
      <c r="F72" t="s">
        <v>699</v>
      </c>
      <c r="I72" t="s">
        <v>700</v>
      </c>
      <c r="J72" t="s">
        <v>701</v>
      </c>
      <c r="AO72" t="s">
        <v>702</v>
      </c>
      <c r="AT72" t="s">
        <v>703</v>
      </c>
      <c r="AU72">
        <v>2018</v>
      </c>
      <c r="AV72">
        <v>10</v>
      </c>
      <c r="AW72">
        <v>5</v>
      </c>
      <c r="BB72">
        <v>389</v>
      </c>
      <c r="BC72">
        <v>392</v>
      </c>
      <c r="BS72" t="s">
        <v>704</v>
      </c>
      <c r="BT72" t="str">
        <f>HYPERLINK("https%3A%2F%2Fwww.webofscience.com%2Fwos%2Fwoscc%2Ffull-record%2FWOS:000457012100053","View Full Record in Web of Science")</f>
        <v>View Full Record in Web of Science</v>
      </c>
    </row>
    <row r="73" spans="1:72" ht="12.75" customHeight="1" x14ac:dyDescent="0.2">
      <c r="A73" t="s">
        <v>72</v>
      </c>
      <c r="B73" t="s">
        <v>705</v>
      </c>
      <c r="F73" t="s">
        <v>706</v>
      </c>
      <c r="I73" t="s">
        <v>707</v>
      </c>
      <c r="J73" t="s">
        <v>708</v>
      </c>
      <c r="AO73" t="s">
        <v>709</v>
      </c>
      <c r="AP73" t="s">
        <v>710</v>
      </c>
      <c r="AT73" t="s">
        <v>125</v>
      </c>
      <c r="AU73">
        <v>2018</v>
      </c>
      <c r="AV73">
        <v>119</v>
      </c>
      <c r="AW73">
        <v>7</v>
      </c>
      <c r="BB73">
        <v>634</v>
      </c>
      <c r="BC73">
        <v>642</v>
      </c>
      <c r="BE73" t="s">
        <v>711</v>
      </c>
      <c r="BF73" t="str">
        <f>HYPERLINK("http://dx.doi.org/10.1134/S0031918X18070098","http://dx.doi.org/10.1134/S0031918X18070098")</f>
        <v>http://dx.doi.org/10.1134/S0031918X18070098</v>
      </c>
      <c r="BS73" t="s">
        <v>712</v>
      </c>
      <c r="BT73" t="str">
        <f>HYPERLINK("https%3A%2F%2Fwww.webofscience.com%2Fwos%2Fwoscc%2Ffull-record%2FWOS:000440113400005","View Full Record in Web of Science")</f>
        <v>View Full Record in Web of Science</v>
      </c>
    </row>
    <row r="74" spans="1:72" ht="12.75" customHeight="1" x14ac:dyDescent="0.2">
      <c r="A74" t="s">
        <v>72</v>
      </c>
      <c r="B74" t="s">
        <v>713</v>
      </c>
      <c r="F74" t="s">
        <v>714</v>
      </c>
      <c r="I74" t="s">
        <v>715</v>
      </c>
      <c r="J74" t="s">
        <v>716</v>
      </c>
      <c r="AA74" t="s">
        <v>717</v>
      </c>
      <c r="AB74" t="s">
        <v>718</v>
      </c>
      <c r="AO74" t="s">
        <v>719</v>
      </c>
      <c r="AP74" t="s">
        <v>720</v>
      </c>
      <c r="AT74" t="s">
        <v>198</v>
      </c>
      <c r="AU74">
        <v>2018</v>
      </c>
      <c r="AW74">
        <v>429</v>
      </c>
      <c r="BB74">
        <v>160</v>
      </c>
      <c r="BC74">
        <v>167</v>
      </c>
      <c r="BE74" t="s">
        <v>721</v>
      </c>
      <c r="BF74" t="str">
        <f>HYPERLINK("http://dx.doi.org/10.17223/15617793/429/20","http://dx.doi.org/10.17223/15617793/429/20")</f>
        <v>http://dx.doi.org/10.17223/15617793/429/20</v>
      </c>
      <c r="BS74" t="s">
        <v>722</v>
      </c>
      <c r="BT74" t="str">
        <f>HYPERLINK("https%3A%2F%2Fwww.webofscience.com%2Fwos%2Fwoscc%2Ffull-record%2FWOS:000435701700020","View Full Record in Web of Science")</f>
        <v>View Full Record in Web of Science</v>
      </c>
    </row>
    <row r="75" spans="1:72" ht="12.75" customHeight="1" x14ac:dyDescent="0.2">
      <c r="A75" t="s">
        <v>72</v>
      </c>
      <c r="B75" t="s">
        <v>723</v>
      </c>
      <c r="F75" t="s">
        <v>724</v>
      </c>
      <c r="I75" t="s">
        <v>725</v>
      </c>
      <c r="J75" t="s">
        <v>244</v>
      </c>
      <c r="AA75" t="s">
        <v>726</v>
      </c>
      <c r="AB75" t="s">
        <v>727</v>
      </c>
      <c r="AO75" t="s">
        <v>245</v>
      </c>
      <c r="AP75" t="s">
        <v>246</v>
      </c>
      <c r="AU75">
        <v>2017</v>
      </c>
      <c r="AW75">
        <v>3</v>
      </c>
      <c r="BB75">
        <v>164</v>
      </c>
      <c r="BC75">
        <v>171</v>
      </c>
      <c r="BS75" t="s">
        <v>728</v>
      </c>
      <c r="BT75" t="str">
        <f>HYPERLINK("https%3A%2F%2Fwww.webofscience.com%2Fwos%2Fwoscc%2Ffull-record%2FWOS:000399357000012","View Full Record in Web of Science")</f>
        <v>View Full Record in Web of Science</v>
      </c>
    </row>
    <row r="76" spans="1:72" ht="12.75" customHeight="1" x14ac:dyDescent="0.2">
      <c r="A76" t="s">
        <v>147</v>
      </c>
      <c r="B76" t="s">
        <v>568</v>
      </c>
      <c r="E76" t="s">
        <v>210</v>
      </c>
      <c r="F76" t="s">
        <v>569</v>
      </c>
      <c r="I76" t="s">
        <v>729</v>
      </c>
      <c r="J76" t="s">
        <v>730</v>
      </c>
      <c r="O76" t="s">
        <v>421</v>
      </c>
      <c r="P76" t="s">
        <v>731</v>
      </c>
      <c r="Q76" t="s">
        <v>732</v>
      </c>
      <c r="R76" t="s">
        <v>733</v>
      </c>
      <c r="AA76" t="s">
        <v>734</v>
      </c>
      <c r="AB76" t="s">
        <v>735</v>
      </c>
      <c r="AQ76" t="s">
        <v>736</v>
      </c>
      <c r="AU76">
        <v>2016</v>
      </c>
      <c r="BS76" t="s">
        <v>737</v>
      </c>
      <c r="BT76" t="str">
        <f>HYPERLINK("https%3A%2F%2Fwww.webofscience.com%2Fwos%2Fwoscc%2Ffull-record%2FWOS:000400700700024","View Full Record in Web of Science")</f>
        <v>View Full Record in Web of Science</v>
      </c>
    </row>
    <row r="77" spans="1:72" ht="12.75" customHeight="1" x14ac:dyDescent="0.2">
      <c r="A77" t="s">
        <v>147</v>
      </c>
      <c r="B77" t="s">
        <v>738</v>
      </c>
      <c r="D77" t="s">
        <v>739</v>
      </c>
      <c r="F77" t="s">
        <v>740</v>
      </c>
      <c r="I77" t="s">
        <v>741</v>
      </c>
      <c r="J77" t="s">
        <v>742</v>
      </c>
      <c r="K77" t="s">
        <v>743</v>
      </c>
      <c r="O77" t="s">
        <v>744</v>
      </c>
      <c r="P77" t="s">
        <v>745</v>
      </c>
      <c r="Q77" t="s">
        <v>746</v>
      </c>
      <c r="R77" t="s">
        <v>747</v>
      </c>
      <c r="AA77" t="s">
        <v>425</v>
      </c>
      <c r="AB77" t="s">
        <v>426</v>
      </c>
      <c r="AO77" t="s">
        <v>748</v>
      </c>
      <c r="AQ77" t="s">
        <v>749</v>
      </c>
      <c r="AU77">
        <v>2016</v>
      </c>
      <c r="BS77" t="s">
        <v>750</v>
      </c>
      <c r="BT77" t="str">
        <f>HYPERLINK("https%3A%2F%2Fwww.webofscience.com%2Fwos%2Fwoscc%2Ffull-record%2FWOS:000383090900046","View Full Record in Web of Science")</f>
        <v>View Full Record in Web of Science</v>
      </c>
    </row>
    <row r="78" spans="1:72" ht="12.75" customHeight="1" x14ac:dyDescent="0.2">
      <c r="A78" t="s">
        <v>72</v>
      </c>
      <c r="B78" t="s">
        <v>751</v>
      </c>
      <c r="F78" t="s">
        <v>752</v>
      </c>
      <c r="I78" t="s">
        <v>753</v>
      </c>
      <c r="J78" t="s">
        <v>244</v>
      </c>
      <c r="AA78" t="s">
        <v>754</v>
      </c>
      <c r="AO78" t="s">
        <v>245</v>
      </c>
      <c r="AU78">
        <v>2011</v>
      </c>
      <c r="AW78">
        <v>8</v>
      </c>
      <c r="BB78">
        <v>122</v>
      </c>
      <c r="BC78">
        <v>128</v>
      </c>
      <c r="BS78" t="s">
        <v>755</v>
      </c>
      <c r="BT78" t="str">
        <f>HYPERLINK("https%3A%2F%2Fwww.webofscience.com%2Fwos%2Fwoscc%2Ffull-record%2FWOS:000295100200008","View Full Record in Web of Science")</f>
        <v>View Full Record in Web of Science</v>
      </c>
    </row>
    <row r="79" spans="1:72" ht="12.75" customHeight="1" x14ac:dyDescent="0.2">
      <c r="A79" t="s">
        <v>72</v>
      </c>
      <c r="B79" t="s">
        <v>756</v>
      </c>
      <c r="F79" t="s">
        <v>756</v>
      </c>
      <c r="I79" t="s">
        <v>757</v>
      </c>
      <c r="J79" t="s">
        <v>409</v>
      </c>
      <c r="AA79" t="s">
        <v>758</v>
      </c>
      <c r="AB79" t="s">
        <v>759</v>
      </c>
      <c r="AO79" t="s">
        <v>412</v>
      </c>
      <c r="AT79" t="s">
        <v>403</v>
      </c>
      <c r="AU79">
        <v>2000</v>
      </c>
      <c r="AV79">
        <v>73</v>
      </c>
      <c r="AW79">
        <v>12</v>
      </c>
      <c r="BB79">
        <v>2062</v>
      </c>
      <c r="BC79">
        <v>2066</v>
      </c>
      <c r="BS79" t="s">
        <v>760</v>
      </c>
      <c r="BT79" t="str">
        <f>HYPERLINK("https%3A%2F%2Fwww.webofscience.com%2Fwos%2Fwoscc%2Ffull-record%2FWOS:000169540600013","View Full Record in Web of Science")</f>
        <v>View Full Record in Web of Science</v>
      </c>
    </row>
    <row r="80" spans="1:72" ht="12.75" customHeight="1" x14ac:dyDescent="0.2">
      <c r="A80" t="s">
        <v>72</v>
      </c>
      <c r="B80" t="s">
        <v>761</v>
      </c>
      <c r="F80" t="s">
        <v>762</v>
      </c>
      <c r="I80" t="s">
        <v>763</v>
      </c>
      <c r="J80" t="s">
        <v>716</v>
      </c>
      <c r="AO80" t="s">
        <v>719</v>
      </c>
      <c r="AP80" t="s">
        <v>720</v>
      </c>
      <c r="AT80" t="s">
        <v>171</v>
      </c>
      <c r="AU80">
        <v>2021</v>
      </c>
      <c r="AW80">
        <v>464</v>
      </c>
      <c r="BB80">
        <v>216</v>
      </c>
      <c r="BC80">
        <v>224</v>
      </c>
      <c r="BE80" t="s">
        <v>764</v>
      </c>
      <c r="BF80" t="str">
        <f>HYPERLINK("http://dx.doi.org/10.17223/15617793/464/24","http://dx.doi.org/10.17223/15617793/464/24")</f>
        <v>http://dx.doi.org/10.17223/15617793/464/24</v>
      </c>
      <c r="BS80" t="s">
        <v>765</v>
      </c>
      <c r="BT80" t="str">
        <f>HYPERLINK("https%3A%2F%2Fwww.webofscience.com%2Fwos%2Fwoscc%2Ffull-record%2FWOS:000662849700024","View Full Record in Web of Science")</f>
        <v>View Full Record in Web of Science</v>
      </c>
    </row>
    <row r="81" spans="1:72" ht="12.75" customHeight="1" x14ac:dyDescent="0.2">
      <c r="A81" t="s">
        <v>147</v>
      </c>
      <c r="B81" t="s">
        <v>766</v>
      </c>
      <c r="F81" t="s">
        <v>767</v>
      </c>
      <c r="I81" t="s">
        <v>768</v>
      </c>
      <c r="J81" t="s">
        <v>769</v>
      </c>
      <c r="O81" t="s">
        <v>770</v>
      </c>
      <c r="P81" t="s">
        <v>771</v>
      </c>
      <c r="Q81" t="s">
        <v>772</v>
      </c>
      <c r="R81" t="s">
        <v>773</v>
      </c>
      <c r="AB81" t="s">
        <v>774</v>
      </c>
      <c r="AO81" t="s">
        <v>775</v>
      </c>
      <c r="AU81">
        <v>2021</v>
      </c>
      <c r="AV81">
        <v>38</v>
      </c>
      <c r="AX81">
        <v>4</v>
      </c>
      <c r="BB81">
        <v>1613</v>
      </c>
      <c r="BC81">
        <v>1616</v>
      </c>
      <c r="BE81" t="s">
        <v>776</v>
      </c>
      <c r="BF81" t="str">
        <f>HYPERLINK("http://dx.doi.org/10.1016/j.matpr.2020.08.165","http://dx.doi.org/10.1016/j.matpr.2020.08.165")</f>
        <v>http://dx.doi.org/10.1016/j.matpr.2020.08.165</v>
      </c>
      <c r="BH81" t="s">
        <v>777</v>
      </c>
      <c r="BS81" t="s">
        <v>778</v>
      </c>
      <c r="BT81" t="str">
        <f>HYPERLINK("https%3A%2F%2Fwww.webofscience.com%2Fwos%2Fwoscc%2Ffull-record%2FWOS:000624313400081","View Full Record in Web of Science")</f>
        <v>View Full Record in Web of Science</v>
      </c>
    </row>
    <row r="82" spans="1:72" ht="12.75" customHeight="1" x14ac:dyDescent="0.2">
      <c r="A82" t="s">
        <v>72</v>
      </c>
      <c r="B82" t="s">
        <v>779</v>
      </c>
      <c r="F82" t="s">
        <v>780</v>
      </c>
      <c r="I82" t="s">
        <v>781</v>
      </c>
      <c r="J82" t="s">
        <v>244</v>
      </c>
      <c r="AA82" t="s">
        <v>782</v>
      </c>
      <c r="AB82" t="s">
        <v>783</v>
      </c>
      <c r="AO82" t="s">
        <v>245</v>
      </c>
      <c r="AP82" t="s">
        <v>246</v>
      </c>
      <c r="AU82">
        <v>2021</v>
      </c>
      <c r="AV82">
        <v>12</v>
      </c>
      <c r="AW82">
        <v>5</v>
      </c>
      <c r="BB82">
        <v>237</v>
      </c>
      <c r="BC82">
        <v>250</v>
      </c>
      <c r="BE82" t="s">
        <v>784</v>
      </c>
      <c r="BF82" t="str">
        <f>HYPERLINK("http://dx.doi.org/10.31166/VoprosyIstorii202201Statyi02","http://dx.doi.org/10.31166/VoprosyIstorii202201Statyi02")</f>
        <v>http://dx.doi.org/10.31166/VoprosyIstorii202201Statyi02</v>
      </c>
      <c r="BS82" t="s">
        <v>785</v>
      </c>
      <c r="BT82" t="str">
        <f>HYPERLINK("https%3A%2F%2Fwww.webofscience.com%2Fwos%2Fwoscc%2Ffull-record%2FWOS:000757092500024","View Full Record in Web of Science")</f>
        <v>View Full Record in Web of Science</v>
      </c>
    </row>
    <row r="83" spans="1:72" ht="12.75" customHeight="1" x14ac:dyDescent="0.2">
      <c r="A83" t="s">
        <v>72</v>
      </c>
      <c r="B83" t="s">
        <v>673</v>
      </c>
      <c r="F83" t="s">
        <v>786</v>
      </c>
      <c r="I83" t="s">
        <v>787</v>
      </c>
      <c r="J83" t="s">
        <v>642</v>
      </c>
      <c r="AA83" t="s">
        <v>114</v>
      </c>
      <c r="AB83" t="s">
        <v>115</v>
      </c>
      <c r="AO83" t="s">
        <v>643</v>
      </c>
      <c r="AP83" t="s">
        <v>644</v>
      </c>
      <c r="AU83">
        <v>2021</v>
      </c>
      <c r="AV83">
        <v>9</v>
      </c>
      <c r="AW83">
        <v>3</v>
      </c>
      <c r="BB83">
        <v>1080</v>
      </c>
      <c r="BC83">
        <v>1094</v>
      </c>
      <c r="BE83" t="s">
        <v>788</v>
      </c>
      <c r="BF83" t="str">
        <f>HYPERLINK("http://dx.doi.org/10.15826/qr.2021.3.628","http://dx.doi.org/10.15826/qr.2021.3.628")</f>
        <v>http://dx.doi.org/10.15826/qr.2021.3.628</v>
      </c>
      <c r="BS83" t="s">
        <v>789</v>
      </c>
      <c r="BT83" t="str">
        <f>HYPERLINK("https%3A%2F%2Fwww.webofscience.com%2Fwos%2Fwoscc%2Ffull-record%2FWOS:000727336000020","View Full Record in Web of Science")</f>
        <v>View Full Record in Web of Science</v>
      </c>
    </row>
    <row r="84" spans="1:72" ht="12.75" customHeight="1" x14ac:dyDescent="0.2">
      <c r="A84" t="s">
        <v>72</v>
      </c>
      <c r="B84" t="s">
        <v>790</v>
      </c>
      <c r="F84" t="s">
        <v>791</v>
      </c>
      <c r="I84" t="s">
        <v>792</v>
      </c>
      <c r="J84" t="s">
        <v>793</v>
      </c>
      <c r="AB84" t="s">
        <v>794</v>
      </c>
      <c r="AO84" t="s">
        <v>795</v>
      </c>
      <c r="AP84" t="s">
        <v>796</v>
      </c>
      <c r="AT84" t="s">
        <v>88</v>
      </c>
      <c r="AU84">
        <v>2020</v>
      </c>
      <c r="AV84">
        <v>13</v>
      </c>
      <c r="AW84">
        <v>3</v>
      </c>
      <c r="BB84">
        <v>226</v>
      </c>
      <c r="BC84">
        <v>236</v>
      </c>
      <c r="BE84" t="s">
        <v>797</v>
      </c>
      <c r="BF84" t="str">
        <f>HYPERLINK("http://dx.doi.org/10.1134/S1995425520030105","http://dx.doi.org/10.1134/S1995425520030105")</f>
        <v>http://dx.doi.org/10.1134/S1995425520030105</v>
      </c>
      <c r="BS84" t="s">
        <v>798</v>
      </c>
      <c r="BT84" t="str">
        <f>HYPERLINK("https%3A%2F%2Fwww.webofscience.com%2Fwos%2Fwoscc%2Ffull-record%2FWOS:000545495200003","View Full Record in Web of Science")</f>
        <v>View Full Record in Web of Science</v>
      </c>
    </row>
    <row r="85" spans="1:72" ht="12.75" customHeight="1" x14ac:dyDescent="0.2">
      <c r="A85" t="s">
        <v>147</v>
      </c>
      <c r="B85" t="s">
        <v>799</v>
      </c>
      <c r="D85" t="s">
        <v>800</v>
      </c>
      <c r="F85" t="s">
        <v>801</v>
      </c>
      <c r="I85" t="s">
        <v>802</v>
      </c>
      <c r="J85" t="s">
        <v>803</v>
      </c>
      <c r="O85" t="s">
        <v>804</v>
      </c>
      <c r="P85" t="s">
        <v>805</v>
      </c>
      <c r="Q85" t="s">
        <v>806</v>
      </c>
      <c r="R85" t="s">
        <v>807</v>
      </c>
      <c r="AA85" t="s">
        <v>808</v>
      </c>
      <c r="AB85" t="s">
        <v>809</v>
      </c>
      <c r="AQ85" t="s">
        <v>810</v>
      </c>
      <c r="AU85">
        <v>2020</v>
      </c>
      <c r="BE85" t="s">
        <v>811</v>
      </c>
      <c r="BF85" t="str">
        <f>HYPERLINK("http://dx.doi.org/10.1109/ITNT49337.2020.9253206","http://dx.doi.org/10.1109/ITNT49337.2020.9253206")</f>
        <v>http://dx.doi.org/10.1109/ITNT49337.2020.9253206</v>
      </c>
      <c r="BS85" t="s">
        <v>812</v>
      </c>
      <c r="BT85" t="str">
        <f>HYPERLINK("https%3A%2F%2Fwww.webofscience.com%2Fwos%2Fwoscc%2Ffull-record%2FWOS:000647641500043","View Full Record in Web of Science")</f>
        <v>View Full Record in Web of Science</v>
      </c>
    </row>
    <row r="86" spans="1:72" ht="12.75" customHeight="1" x14ac:dyDescent="0.2">
      <c r="A86" t="s">
        <v>147</v>
      </c>
      <c r="B86" t="s">
        <v>813</v>
      </c>
      <c r="D86" t="s">
        <v>814</v>
      </c>
      <c r="F86" t="s">
        <v>815</v>
      </c>
      <c r="I86" t="s">
        <v>816</v>
      </c>
      <c r="J86" t="s">
        <v>817</v>
      </c>
      <c r="K86" t="s">
        <v>818</v>
      </c>
      <c r="O86" t="s">
        <v>819</v>
      </c>
      <c r="P86" t="s">
        <v>820</v>
      </c>
      <c r="Q86" t="s">
        <v>156</v>
      </c>
      <c r="R86" t="s">
        <v>821</v>
      </c>
      <c r="AO86" t="s">
        <v>822</v>
      </c>
      <c r="AP86" t="s">
        <v>823</v>
      </c>
      <c r="AQ86" t="s">
        <v>824</v>
      </c>
      <c r="AU86">
        <v>2020</v>
      </c>
      <c r="BB86">
        <v>743</v>
      </c>
      <c r="BC86">
        <v>751</v>
      </c>
      <c r="BE86" t="s">
        <v>825</v>
      </c>
      <c r="BF86" t="str">
        <f>HYPERLINK("http://dx.doi.org/10.1007/978-3-030-22041-9_80","http://dx.doi.org/10.1007/978-3-030-22041-9_80")</f>
        <v>http://dx.doi.org/10.1007/978-3-030-22041-9_80</v>
      </c>
      <c r="BS86" t="s">
        <v>826</v>
      </c>
      <c r="BT86" t="str">
        <f>HYPERLINK("https%3A%2F%2Fwww.webofscience.com%2Fwos%2Fwoscc%2Ffull-record%2FWOS:000613138500080","View Full Record in Web of Science")</f>
        <v>View Full Record in Web of Science</v>
      </c>
    </row>
    <row r="87" spans="1:72" ht="12.75" customHeight="1" x14ac:dyDescent="0.2">
      <c r="A87" t="s">
        <v>72</v>
      </c>
      <c r="B87" t="s">
        <v>827</v>
      </c>
      <c r="F87" t="s">
        <v>828</v>
      </c>
      <c r="I87" t="s">
        <v>829</v>
      </c>
      <c r="J87" t="s">
        <v>166</v>
      </c>
      <c r="AO87" t="s">
        <v>169</v>
      </c>
      <c r="AP87" t="s">
        <v>170</v>
      </c>
      <c r="AT87" t="s">
        <v>830</v>
      </c>
      <c r="AU87">
        <v>2019</v>
      </c>
      <c r="AV87">
        <v>8</v>
      </c>
      <c r="AW87">
        <v>3</v>
      </c>
      <c r="BB87">
        <v>613</v>
      </c>
      <c r="BC87">
        <v>626</v>
      </c>
      <c r="BE87" t="s">
        <v>831</v>
      </c>
      <c r="BF87" t="str">
        <f>HYPERLINK("http://dx.doi.org/10.13187/ejced.2019.3.613","http://dx.doi.org/10.13187/ejced.2019.3.613")</f>
        <v>http://dx.doi.org/10.13187/ejced.2019.3.613</v>
      </c>
      <c r="BS87" t="s">
        <v>832</v>
      </c>
      <c r="BT87" t="str">
        <f>HYPERLINK("https%3A%2F%2Fwww.webofscience.com%2Fwos%2Fwoscc%2Ffull-record%2FWOS:000486437000014","View Full Record in Web of Science")</f>
        <v>View Full Record in Web of Science</v>
      </c>
    </row>
    <row r="88" spans="1:72" ht="12.75" customHeight="1" x14ac:dyDescent="0.2">
      <c r="A88" t="s">
        <v>72</v>
      </c>
      <c r="B88" t="s">
        <v>833</v>
      </c>
      <c r="F88" t="s">
        <v>834</v>
      </c>
      <c r="I88" t="s">
        <v>835</v>
      </c>
      <c r="J88" t="s">
        <v>204</v>
      </c>
      <c r="AO88" t="s">
        <v>205</v>
      </c>
      <c r="AP88" t="s">
        <v>206</v>
      </c>
      <c r="AT88" t="s">
        <v>830</v>
      </c>
      <c r="AU88">
        <v>2019</v>
      </c>
      <c r="AV88">
        <v>21</v>
      </c>
      <c r="AW88">
        <v>7</v>
      </c>
      <c r="BB88">
        <v>164</v>
      </c>
      <c r="BC88">
        <v>202</v>
      </c>
      <c r="BE88" t="s">
        <v>836</v>
      </c>
      <c r="BF88" t="str">
        <f>HYPERLINK("http://dx.doi.org/10.17853/1994-5639-2019-7-164-202","http://dx.doi.org/10.17853/1994-5639-2019-7-164-202")</f>
        <v>http://dx.doi.org/10.17853/1994-5639-2019-7-164-202</v>
      </c>
      <c r="BS88" t="s">
        <v>837</v>
      </c>
      <c r="BT88" t="str">
        <f>HYPERLINK("https%3A%2F%2Fwww.webofscience.com%2Fwos%2Fwoscc%2Ffull-record%2FWOS:000497661800007","View Full Record in Web of Science")</f>
        <v>View Full Record in Web of Science</v>
      </c>
    </row>
    <row r="89" spans="1:72" ht="12.75" customHeight="1" x14ac:dyDescent="0.2">
      <c r="A89" t="s">
        <v>72</v>
      </c>
      <c r="B89" t="s">
        <v>838</v>
      </c>
      <c r="F89" t="s">
        <v>839</v>
      </c>
      <c r="I89" t="s">
        <v>840</v>
      </c>
      <c r="J89" t="s">
        <v>716</v>
      </c>
      <c r="AA89" t="s">
        <v>841</v>
      </c>
      <c r="AB89" t="s">
        <v>842</v>
      </c>
      <c r="AO89" t="s">
        <v>719</v>
      </c>
      <c r="AP89" t="s">
        <v>720</v>
      </c>
      <c r="AT89" t="s">
        <v>198</v>
      </c>
      <c r="AU89">
        <v>2019</v>
      </c>
      <c r="AW89">
        <v>441</v>
      </c>
      <c r="BB89">
        <v>44</v>
      </c>
      <c r="BC89">
        <v>53</v>
      </c>
      <c r="BE89" t="s">
        <v>843</v>
      </c>
      <c r="BF89" t="str">
        <f>HYPERLINK("http://dx.doi.org/10.17223/15617793/441/6","http://dx.doi.org/10.17223/15617793/441/6")</f>
        <v>http://dx.doi.org/10.17223/15617793/441/6</v>
      </c>
      <c r="BS89" t="s">
        <v>844</v>
      </c>
      <c r="BT89" t="str">
        <f>HYPERLINK("https%3A%2F%2Fwww.webofscience.com%2Fwos%2Fwoscc%2Ffull-record%2FWOS:000468214400006","View Full Record in Web of Science")</f>
        <v>View Full Record in Web of Science</v>
      </c>
    </row>
    <row r="90" spans="1:72" ht="12.75" customHeight="1" x14ac:dyDescent="0.2">
      <c r="A90" t="s">
        <v>147</v>
      </c>
      <c r="B90" t="s">
        <v>845</v>
      </c>
      <c r="D90" t="s">
        <v>846</v>
      </c>
      <c r="F90" t="s">
        <v>847</v>
      </c>
      <c r="I90" t="s">
        <v>848</v>
      </c>
      <c r="J90" t="s">
        <v>849</v>
      </c>
      <c r="K90" t="s">
        <v>850</v>
      </c>
      <c r="O90" t="s">
        <v>851</v>
      </c>
      <c r="P90" t="s">
        <v>852</v>
      </c>
      <c r="Q90" t="s">
        <v>853</v>
      </c>
      <c r="S90" t="s">
        <v>854</v>
      </c>
      <c r="AO90" t="s">
        <v>855</v>
      </c>
      <c r="AQ90" t="s">
        <v>856</v>
      </c>
      <c r="AU90">
        <v>2019</v>
      </c>
      <c r="AV90">
        <v>17</v>
      </c>
      <c r="BB90">
        <v>37</v>
      </c>
      <c r="BC90">
        <v>40</v>
      </c>
      <c r="BS90" t="s">
        <v>857</v>
      </c>
      <c r="BT90" t="str">
        <f>HYPERLINK("https%3A%2F%2Fwww.webofscience.com%2Fwos%2Fwoscc%2Ffull-record%2FWOS:000625435700011","View Full Record in Web of Science")</f>
        <v>View Full Record in Web of Science</v>
      </c>
    </row>
    <row r="91" spans="1:72" ht="12.75" customHeight="1" x14ac:dyDescent="0.2">
      <c r="A91" t="s">
        <v>72</v>
      </c>
      <c r="B91" t="s">
        <v>858</v>
      </c>
      <c r="F91" t="s">
        <v>859</v>
      </c>
      <c r="I91" t="s">
        <v>860</v>
      </c>
      <c r="J91" t="s">
        <v>861</v>
      </c>
      <c r="AA91" t="s">
        <v>862</v>
      </c>
      <c r="AB91" t="s">
        <v>863</v>
      </c>
      <c r="AO91" t="s">
        <v>864</v>
      </c>
      <c r="AP91" t="s">
        <v>865</v>
      </c>
      <c r="AU91">
        <v>2019</v>
      </c>
      <c r="AV91">
        <v>62</v>
      </c>
      <c r="AW91">
        <v>9</v>
      </c>
      <c r="BB91">
        <v>66</v>
      </c>
      <c r="BC91">
        <v>72</v>
      </c>
      <c r="BE91" t="s">
        <v>866</v>
      </c>
      <c r="BF91" t="str">
        <f>HYPERLINK("http://dx.doi.org/10.6060/ivkkt.20196209.5920","http://dx.doi.org/10.6060/ivkkt.20196209.5920")</f>
        <v>http://dx.doi.org/10.6060/ivkkt.20196209.5920</v>
      </c>
      <c r="BS91" t="s">
        <v>867</v>
      </c>
      <c r="BT91" t="str">
        <f>HYPERLINK("https%3A%2F%2Fwww.webofscience.com%2Fwos%2Fwoscc%2Ffull-record%2FWOS:000484823500009","View Full Record in Web of Science")</f>
        <v>View Full Record in Web of Science</v>
      </c>
    </row>
    <row r="92" spans="1:72" ht="12.75" customHeight="1" x14ac:dyDescent="0.2">
      <c r="A92" t="s">
        <v>72</v>
      </c>
      <c r="B92" t="s">
        <v>232</v>
      </c>
      <c r="F92" t="s">
        <v>234</v>
      </c>
      <c r="I92" t="s">
        <v>868</v>
      </c>
      <c r="J92" t="s">
        <v>869</v>
      </c>
      <c r="AA92" t="s">
        <v>238</v>
      </c>
      <c r="AB92" t="s">
        <v>239</v>
      </c>
      <c r="AO92" t="s">
        <v>870</v>
      </c>
      <c r="AT92" t="s">
        <v>125</v>
      </c>
      <c r="AU92">
        <v>2018</v>
      </c>
      <c r="AV92">
        <v>19</v>
      </c>
      <c r="AY92">
        <v>2</v>
      </c>
      <c r="BB92">
        <v>118</v>
      </c>
      <c r="BC92">
        <v>122</v>
      </c>
      <c r="BS92" t="s">
        <v>871</v>
      </c>
      <c r="BT92" t="str">
        <f>HYPERLINK("https%3A%2F%2Fwww.webofscience.com%2Fwos%2Fwoscc%2Ffull-record%2FWOS:000450658500021","View Full Record in Web of Science")</f>
        <v>View Full Record in Web of Science</v>
      </c>
    </row>
    <row r="93" spans="1:72" ht="12.75" customHeight="1" x14ac:dyDescent="0.2">
      <c r="A93" t="s">
        <v>72</v>
      </c>
      <c r="B93" t="s">
        <v>872</v>
      </c>
      <c r="F93" t="s">
        <v>873</v>
      </c>
      <c r="I93" t="s">
        <v>874</v>
      </c>
      <c r="J93" t="s">
        <v>875</v>
      </c>
      <c r="AA93" t="s">
        <v>876</v>
      </c>
      <c r="AB93" t="s">
        <v>877</v>
      </c>
      <c r="AO93" t="s">
        <v>878</v>
      </c>
      <c r="AP93" t="s">
        <v>879</v>
      </c>
      <c r="AU93">
        <v>2018</v>
      </c>
      <c r="AV93">
        <v>22</v>
      </c>
      <c r="AW93">
        <v>1</v>
      </c>
      <c r="BB93">
        <v>4</v>
      </c>
      <c r="BC93">
        <v>11</v>
      </c>
      <c r="BE93" t="s">
        <v>880</v>
      </c>
      <c r="BF93" t="str">
        <f>HYPERLINK("http://dx.doi.org/10.15561/20755279.2018.0101","http://dx.doi.org/10.15561/20755279.2018.0101")</f>
        <v>http://dx.doi.org/10.15561/20755279.2018.0101</v>
      </c>
      <c r="BS93" t="s">
        <v>881</v>
      </c>
      <c r="BT93" t="str">
        <f>HYPERLINK("https%3A%2F%2Fwww.webofscience.com%2Fwos%2Fwoscc%2Ffull-record%2FWOS:000429273100001","View Full Record in Web of Science")</f>
        <v>View Full Record in Web of Science</v>
      </c>
    </row>
    <row r="94" spans="1:72" ht="12.75" customHeight="1" x14ac:dyDescent="0.2">
      <c r="A94" t="s">
        <v>147</v>
      </c>
      <c r="B94" t="s">
        <v>882</v>
      </c>
      <c r="E94" t="s">
        <v>175</v>
      </c>
      <c r="F94" t="s">
        <v>883</v>
      </c>
      <c r="I94" t="s">
        <v>884</v>
      </c>
      <c r="J94" t="s">
        <v>885</v>
      </c>
      <c r="K94" t="s">
        <v>179</v>
      </c>
      <c r="O94" t="s">
        <v>886</v>
      </c>
      <c r="P94" t="s">
        <v>887</v>
      </c>
      <c r="Q94" t="s">
        <v>888</v>
      </c>
      <c r="AA94" t="s">
        <v>889</v>
      </c>
      <c r="AB94" t="s">
        <v>890</v>
      </c>
      <c r="AO94" t="s">
        <v>187</v>
      </c>
      <c r="AP94" t="s">
        <v>188</v>
      </c>
      <c r="AU94">
        <v>2018</v>
      </c>
      <c r="AV94">
        <v>944</v>
      </c>
      <c r="BD94">
        <v>12089</v>
      </c>
      <c r="BE94" t="s">
        <v>891</v>
      </c>
      <c r="BF94" t="str">
        <f>HYPERLINK("http://dx.doi.org/10.1088/1742-6596/944/1/012089","http://dx.doi.org/10.1088/1742-6596/944/1/012089")</f>
        <v>http://dx.doi.org/10.1088/1742-6596/944/1/012089</v>
      </c>
      <c r="BS94" t="s">
        <v>892</v>
      </c>
      <c r="BT94" t="str">
        <f>HYPERLINK("https%3A%2F%2Fwww.webofscience.com%2Fwos%2Fwoscc%2Ffull-record%2FWOS:000431622000089","View Full Record in Web of Science")</f>
        <v>View Full Record in Web of Science</v>
      </c>
    </row>
    <row r="95" spans="1:72" ht="12.75" customHeight="1" x14ac:dyDescent="0.2">
      <c r="A95" t="s">
        <v>72</v>
      </c>
      <c r="B95" t="s">
        <v>893</v>
      </c>
      <c r="F95" t="s">
        <v>894</v>
      </c>
      <c r="I95" t="s">
        <v>895</v>
      </c>
      <c r="J95" t="s">
        <v>896</v>
      </c>
      <c r="AA95" t="s">
        <v>897</v>
      </c>
      <c r="AB95" t="s">
        <v>898</v>
      </c>
      <c r="AO95" t="s">
        <v>899</v>
      </c>
      <c r="AU95">
        <v>2018</v>
      </c>
      <c r="AV95">
        <v>50</v>
      </c>
      <c r="AW95">
        <v>4</v>
      </c>
      <c r="BB95">
        <v>1725</v>
      </c>
      <c r="BC95">
        <v>1733</v>
      </c>
      <c r="BE95" t="s">
        <v>900</v>
      </c>
      <c r="BF95" t="str">
        <f>HYPERLINK("http://dx.doi.org/10.13187/bg.2018.4.1725","http://dx.doi.org/10.13187/bg.2018.4.1725")</f>
        <v>http://dx.doi.org/10.13187/bg.2018.4.1725</v>
      </c>
      <c r="BS95" t="s">
        <v>901</v>
      </c>
      <c r="BT95" t="str">
        <f>HYPERLINK("https%3A%2F%2Fwww.webofscience.com%2Fwos%2Fwoscc%2Ffull-record%2FWOS:000451963100038","View Full Record in Web of Science")</f>
        <v>View Full Record in Web of Science</v>
      </c>
    </row>
    <row r="96" spans="1:72" ht="12.75" customHeight="1" x14ac:dyDescent="0.2">
      <c r="A96" t="s">
        <v>147</v>
      </c>
      <c r="B96" t="s">
        <v>902</v>
      </c>
      <c r="D96" t="s">
        <v>903</v>
      </c>
      <c r="F96" t="s">
        <v>904</v>
      </c>
      <c r="I96" t="s">
        <v>905</v>
      </c>
      <c r="J96" t="s">
        <v>906</v>
      </c>
      <c r="K96" t="s">
        <v>907</v>
      </c>
      <c r="O96" t="s">
        <v>908</v>
      </c>
      <c r="P96" t="s">
        <v>909</v>
      </c>
      <c r="Q96" t="s">
        <v>910</v>
      </c>
      <c r="R96" t="s">
        <v>911</v>
      </c>
      <c r="AA96" t="s">
        <v>562</v>
      </c>
      <c r="AB96" t="s">
        <v>563</v>
      </c>
      <c r="AO96" t="s">
        <v>912</v>
      </c>
      <c r="AU96">
        <v>2017</v>
      </c>
      <c r="AV96">
        <v>206</v>
      </c>
      <c r="BB96">
        <v>1801</v>
      </c>
      <c r="BC96">
        <v>1807</v>
      </c>
      <c r="BE96" t="s">
        <v>913</v>
      </c>
      <c r="BF96" t="str">
        <f>HYPERLINK("http://dx.doi.org/10.1016/j.proeng.2017.10.716","http://dx.doi.org/10.1016/j.proeng.2017.10.716")</f>
        <v>http://dx.doi.org/10.1016/j.proeng.2017.10.716</v>
      </c>
      <c r="BS96" t="s">
        <v>914</v>
      </c>
      <c r="BT96" t="str">
        <f>HYPERLINK("https%3A%2F%2Fwww.webofscience.com%2Fwos%2Fwoscc%2Ffull-record%2FWOS:000425674300290","View Full Record in Web of Science")</f>
        <v>View Full Record in Web of Science</v>
      </c>
    </row>
    <row r="97" spans="1:72" ht="12.75" customHeight="1" x14ac:dyDescent="0.2">
      <c r="A97" t="s">
        <v>147</v>
      </c>
      <c r="B97" t="s">
        <v>568</v>
      </c>
      <c r="E97" t="s">
        <v>210</v>
      </c>
      <c r="F97" t="s">
        <v>569</v>
      </c>
      <c r="I97" t="s">
        <v>915</v>
      </c>
      <c r="J97" t="s">
        <v>916</v>
      </c>
      <c r="K97" t="s">
        <v>420</v>
      </c>
      <c r="O97" t="s">
        <v>917</v>
      </c>
      <c r="P97" t="s">
        <v>918</v>
      </c>
      <c r="Q97" t="s">
        <v>919</v>
      </c>
      <c r="R97" t="s">
        <v>920</v>
      </c>
      <c r="AA97" t="s">
        <v>921</v>
      </c>
      <c r="AB97" t="s">
        <v>922</v>
      </c>
      <c r="AO97" t="s">
        <v>427</v>
      </c>
      <c r="AP97" t="s">
        <v>428</v>
      </c>
      <c r="AQ97" t="s">
        <v>923</v>
      </c>
      <c r="AU97">
        <v>2017</v>
      </c>
      <c r="BS97" t="s">
        <v>924</v>
      </c>
      <c r="BT97" t="str">
        <f>HYPERLINK("https%3A%2F%2Fwww.webofscience.com%2Fwos%2Fwoscc%2Ffull-record%2FWOS:000426878200006","View Full Record in Web of Science")</f>
        <v>View Full Record in Web of Science</v>
      </c>
    </row>
    <row r="98" spans="1:72" ht="12.75" customHeight="1" x14ac:dyDescent="0.2">
      <c r="A98" t="s">
        <v>147</v>
      </c>
      <c r="B98" t="s">
        <v>925</v>
      </c>
      <c r="E98" t="s">
        <v>210</v>
      </c>
      <c r="F98" t="s">
        <v>926</v>
      </c>
      <c r="I98" t="s">
        <v>927</v>
      </c>
      <c r="J98" t="s">
        <v>928</v>
      </c>
      <c r="O98" t="s">
        <v>929</v>
      </c>
      <c r="P98" t="s">
        <v>930</v>
      </c>
      <c r="Q98" t="s">
        <v>931</v>
      </c>
      <c r="R98" t="s">
        <v>932</v>
      </c>
      <c r="S98" t="s">
        <v>933</v>
      </c>
      <c r="AA98" t="s">
        <v>934</v>
      </c>
      <c r="AB98" t="s">
        <v>935</v>
      </c>
      <c r="AQ98" t="s">
        <v>936</v>
      </c>
      <c r="AU98">
        <v>2016</v>
      </c>
      <c r="BB98">
        <v>76</v>
      </c>
      <c r="BC98">
        <v>79</v>
      </c>
      <c r="BE98" t="s">
        <v>937</v>
      </c>
      <c r="BF98" t="str">
        <f>HYPERLINK("http://dx.doi.org/10.1109/EnT.2016.23","http://dx.doi.org/10.1109/EnT.2016.23")</f>
        <v>http://dx.doi.org/10.1109/EnT.2016.23</v>
      </c>
      <c r="BS98" t="s">
        <v>938</v>
      </c>
      <c r="BT98" t="str">
        <f>HYPERLINK("https%3A%2F%2Fwww.webofscience.com%2Fwos%2Fwoscc%2Ffull-record%2FWOS:000404436600017","View Full Record in Web of Science")</f>
        <v>View Full Record in Web of Science</v>
      </c>
    </row>
    <row r="99" spans="1:72" ht="12.75" customHeight="1" x14ac:dyDescent="0.2">
      <c r="A99" t="s">
        <v>72</v>
      </c>
      <c r="B99" t="s">
        <v>705</v>
      </c>
      <c r="F99" t="s">
        <v>706</v>
      </c>
      <c r="I99" t="s">
        <v>939</v>
      </c>
      <c r="J99" t="s">
        <v>940</v>
      </c>
      <c r="AA99" t="s">
        <v>941</v>
      </c>
      <c r="AB99" t="s">
        <v>942</v>
      </c>
      <c r="AO99" t="s">
        <v>943</v>
      </c>
      <c r="AP99" t="s">
        <v>944</v>
      </c>
      <c r="AT99" t="s">
        <v>171</v>
      </c>
      <c r="AU99">
        <v>2015</v>
      </c>
      <c r="AV99">
        <v>56</v>
      </c>
      <c r="AW99" t="s">
        <v>945</v>
      </c>
      <c r="BB99">
        <v>676</v>
      </c>
      <c r="BC99">
        <v>680</v>
      </c>
      <c r="BE99" t="s">
        <v>946</v>
      </c>
      <c r="BF99" t="str">
        <f>HYPERLINK("http://dx.doi.org/10.1007/s11041-015-9821-6","http://dx.doi.org/10.1007/s11041-015-9821-6")</f>
        <v>http://dx.doi.org/10.1007/s11041-015-9821-6</v>
      </c>
      <c r="BS99" t="s">
        <v>947</v>
      </c>
      <c r="BT99" t="str">
        <f>HYPERLINK("https%3A%2F%2Fwww.webofscience.com%2Fwos%2Fwoscc%2Ffull-record%2FWOS:000352980200020","View Full Record in Web of Science")</f>
        <v>View Full Record in Web of Science</v>
      </c>
    </row>
    <row r="100" spans="1:72" ht="12.75" customHeight="1" x14ac:dyDescent="0.2">
      <c r="A100" t="s">
        <v>147</v>
      </c>
      <c r="B100" t="s">
        <v>948</v>
      </c>
      <c r="D100" t="s">
        <v>949</v>
      </c>
      <c r="F100" t="s">
        <v>950</v>
      </c>
      <c r="I100" t="s">
        <v>951</v>
      </c>
      <c r="J100" t="s">
        <v>952</v>
      </c>
      <c r="O100" t="s">
        <v>953</v>
      </c>
      <c r="P100" t="s">
        <v>954</v>
      </c>
      <c r="Q100" t="s">
        <v>955</v>
      </c>
      <c r="R100" t="s">
        <v>956</v>
      </c>
      <c r="AA100" t="s">
        <v>957</v>
      </c>
      <c r="AB100" t="s">
        <v>958</v>
      </c>
      <c r="AQ100" t="s">
        <v>959</v>
      </c>
      <c r="AU100">
        <v>2014</v>
      </c>
      <c r="BB100">
        <v>403</v>
      </c>
      <c r="BC100">
        <v>408</v>
      </c>
      <c r="BE100" t="s">
        <v>960</v>
      </c>
      <c r="BF100" t="str">
        <f>HYPERLINK("http://dx.doi.org/10.1109/EMS.2014.71","http://dx.doi.org/10.1109/EMS.2014.71")</f>
        <v>http://dx.doi.org/10.1109/EMS.2014.71</v>
      </c>
      <c r="BS100" t="s">
        <v>961</v>
      </c>
      <c r="BT100" t="str">
        <f>HYPERLINK("https%3A%2F%2Fwww.webofscience.com%2Fwos%2Fwoscc%2Ffull-record%2FWOS:000411856100067","View Full Record in Web of Science")</f>
        <v>View Full Record in Web of Science</v>
      </c>
    </row>
    <row r="101" spans="1:72" ht="12.75" customHeight="1" x14ac:dyDescent="0.2">
      <c r="A101" t="s">
        <v>147</v>
      </c>
      <c r="B101" t="s">
        <v>962</v>
      </c>
      <c r="E101" t="s">
        <v>280</v>
      </c>
      <c r="F101" t="s">
        <v>963</v>
      </c>
      <c r="I101" t="s">
        <v>964</v>
      </c>
      <c r="J101" t="s">
        <v>283</v>
      </c>
      <c r="K101" t="s">
        <v>284</v>
      </c>
      <c r="O101" t="s">
        <v>285</v>
      </c>
      <c r="P101" t="s">
        <v>286</v>
      </c>
      <c r="Q101" t="s">
        <v>287</v>
      </c>
      <c r="R101" t="s">
        <v>288</v>
      </c>
      <c r="AA101" t="s">
        <v>965</v>
      </c>
      <c r="AB101" t="s">
        <v>966</v>
      </c>
      <c r="AO101" t="s">
        <v>289</v>
      </c>
      <c r="AQ101" t="s">
        <v>290</v>
      </c>
      <c r="AU101">
        <v>2014</v>
      </c>
      <c r="BB101">
        <v>297</v>
      </c>
      <c r="BC101">
        <v>304</v>
      </c>
      <c r="BS101" t="s">
        <v>967</v>
      </c>
      <c r="BT101" t="str">
        <f>HYPERLINK("https%3A%2F%2Fwww.webofscience.com%2Fwos%2Fwoscc%2Ffull-record%2FWOS:000358190200039","View Full Record in Web of Science")</f>
        <v>View Full Record in Web of Science</v>
      </c>
    </row>
    <row r="102" spans="1:72" ht="12.75" customHeight="1" x14ac:dyDescent="0.2">
      <c r="A102" t="s">
        <v>72</v>
      </c>
      <c r="B102" t="s">
        <v>968</v>
      </c>
      <c r="F102" t="s">
        <v>969</v>
      </c>
      <c r="I102" t="s">
        <v>970</v>
      </c>
      <c r="J102" t="s">
        <v>971</v>
      </c>
      <c r="AA102" t="s">
        <v>972</v>
      </c>
      <c r="AO102" t="s">
        <v>973</v>
      </c>
      <c r="AP102" t="s">
        <v>974</v>
      </c>
      <c r="AT102" t="s">
        <v>88</v>
      </c>
      <c r="AU102">
        <v>2013</v>
      </c>
      <c r="AV102">
        <v>49</v>
      </c>
      <c r="AW102">
        <v>3</v>
      </c>
      <c r="BB102">
        <v>280</v>
      </c>
      <c r="BC102">
        <v>286</v>
      </c>
      <c r="BE102" t="s">
        <v>975</v>
      </c>
      <c r="BF102" t="str">
        <f>HYPERLINK("http://dx.doi.org/10.1134/S0003683813030150","http://dx.doi.org/10.1134/S0003683813030150")</f>
        <v>http://dx.doi.org/10.1134/S0003683813030150</v>
      </c>
      <c r="BS102" t="s">
        <v>976</v>
      </c>
      <c r="BT102" t="str">
        <f>HYPERLINK("https%3A%2F%2Fwww.webofscience.com%2Fwos%2Fwoscc%2Ffull-record%2FWOS:000318798500010","View Full Record in Web of Science")</f>
        <v>View Full Record in Web of Science</v>
      </c>
    </row>
    <row r="103" spans="1:72" ht="12.75" customHeight="1" x14ac:dyDescent="0.2">
      <c r="A103" t="s">
        <v>72</v>
      </c>
      <c r="B103" t="s">
        <v>977</v>
      </c>
      <c r="F103" t="s">
        <v>978</v>
      </c>
      <c r="I103" t="s">
        <v>979</v>
      </c>
      <c r="J103" t="s">
        <v>244</v>
      </c>
      <c r="AA103" t="s">
        <v>782</v>
      </c>
      <c r="AB103" t="s">
        <v>783</v>
      </c>
      <c r="AO103" t="s">
        <v>245</v>
      </c>
      <c r="AP103" t="s">
        <v>246</v>
      </c>
      <c r="AU103">
        <v>2013</v>
      </c>
      <c r="AW103">
        <v>10</v>
      </c>
      <c r="BB103">
        <v>138</v>
      </c>
      <c r="BC103">
        <v>145</v>
      </c>
      <c r="BS103" t="s">
        <v>980</v>
      </c>
      <c r="BT103" t="str">
        <f>HYPERLINK("https%3A%2F%2Fwww.webofscience.com%2Fwos%2Fwoscc%2Ffull-record%2FWOS:000326774100013","View Full Record in Web of Science")</f>
        <v>View Full Record in Web of Science</v>
      </c>
    </row>
    <row r="104" spans="1:72" ht="12.75" customHeight="1" x14ac:dyDescent="0.2">
      <c r="A104" t="s">
        <v>72</v>
      </c>
      <c r="B104" t="s">
        <v>981</v>
      </c>
      <c r="F104" t="s">
        <v>982</v>
      </c>
      <c r="I104" t="s">
        <v>983</v>
      </c>
      <c r="J104" t="s">
        <v>409</v>
      </c>
      <c r="AA104" t="s">
        <v>758</v>
      </c>
      <c r="AB104" t="s">
        <v>759</v>
      </c>
      <c r="AO104" t="s">
        <v>412</v>
      </c>
      <c r="AT104" t="s">
        <v>491</v>
      </c>
      <c r="AU104">
        <v>2012</v>
      </c>
      <c r="AV104">
        <v>85</v>
      </c>
      <c r="AW104">
        <v>6</v>
      </c>
      <c r="BB104">
        <v>949</v>
      </c>
      <c r="BC104">
        <v>952</v>
      </c>
      <c r="BE104" t="s">
        <v>984</v>
      </c>
      <c r="BF104" t="str">
        <f>HYPERLINK("http://dx.doi.org/10.1134/S1070427212050195","http://dx.doi.org/10.1134/S1070427212050195")</f>
        <v>http://dx.doi.org/10.1134/S1070427212050195</v>
      </c>
      <c r="BS104" t="s">
        <v>985</v>
      </c>
      <c r="BT104" t="str">
        <f>HYPERLINK("https%3A%2F%2Fwww.webofscience.com%2Fwos%2Fwoscc%2Ffull-record%2FWOS:000306594000019","View Full Record in Web of Science")</f>
        <v>View Full Record in Web of Science</v>
      </c>
    </row>
    <row r="105" spans="1:72" ht="12.75" customHeight="1" x14ac:dyDescent="0.2">
      <c r="A105" t="s">
        <v>72</v>
      </c>
      <c r="B105" t="s">
        <v>986</v>
      </c>
      <c r="F105" t="s">
        <v>987</v>
      </c>
      <c r="I105" t="s">
        <v>988</v>
      </c>
      <c r="J105" t="s">
        <v>989</v>
      </c>
      <c r="AA105" t="s">
        <v>990</v>
      </c>
      <c r="AB105" t="s">
        <v>991</v>
      </c>
      <c r="AO105" t="s">
        <v>992</v>
      </c>
      <c r="AP105" t="s">
        <v>993</v>
      </c>
      <c r="AT105" t="s">
        <v>491</v>
      </c>
      <c r="AU105">
        <v>2009</v>
      </c>
      <c r="AV105">
        <v>85</v>
      </c>
      <c r="AW105" t="s">
        <v>994</v>
      </c>
      <c r="BB105">
        <v>767</v>
      </c>
      <c r="BC105">
        <v>779</v>
      </c>
      <c r="BE105" t="s">
        <v>995</v>
      </c>
      <c r="BF105" t="str">
        <f>HYPERLINK("http://dx.doi.org/10.1134/S0001434609050198","http://dx.doi.org/10.1134/S0001434609050198")</f>
        <v>http://dx.doi.org/10.1134/S0001434609050198</v>
      </c>
      <c r="BS105" t="s">
        <v>996</v>
      </c>
      <c r="BT105" t="str">
        <f>HYPERLINK("https%3A%2F%2Fwww.webofscience.com%2Fwos%2Fwoscc%2Ffull-record%2FWOS:000267684500019","View Full Record in Web of Science")</f>
        <v>View Full Record in Web of Science</v>
      </c>
    </row>
    <row r="106" spans="1:72" ht="12.75" customHeight="1" x14ac:dyDescent="0.2">
      <c r="A106" t="s">
        <v>72</v>
      </c>
      <c r="B106" t="s">
        <v>997</v>
      </c>
      <c r="F106" t="s">
        <v>998</v>
      </c>
      <c r="I106" t="s">
        <v>999</v>
      </c>
      <c r="J106" t="s">
        <v>971</v>
      </c>
      <c r="AO106" t="s">
        <v>973</v>
      </c>
      <c r="AP106" t="s">
        <v>974</v>
      </c>
      <c r="AT106" t="s">
        <v>125</v>
      </c>
      <c r="AU106">
        <v>2007</v>
      </c>
      <c r="AV106">
        <v>43</v>
      </c>
      <c r="AW106">
        <v>4</v>
      </c>
      <c r="BB106">
        <v>399</v>
      </c>
      <c r="BC106">
        <v>402</v>
      </c>
      <c r="BE106" t="s">
        <v>1000</v>
      </c>
      <c r="BF106" t="str">
        <f>HYPERLINK("http://dx.doi.org/10.1134/S0003683807040072","http://dx.doi.org/10.1134/S0003683807040072")</f>
        <v>http://dx.doi.org/10.1134/S0003683807040072</v>
      </c>
      <c r="BS106" t="s">
        <v>1001</v>
      </c>
      <c r="BT106" t="str">
        <f>HYPERLINK("https%3A%2F%2Fwww.webofscience.com%2Fwos%2Fwoscc%2Ffull-record%2FWOS:000248054600007","View Full Record in Web of Science")</f>
        <v>View Full Record in Web of Science</v>
      </c>
    </row>
    <row r="107" spans="1:72" ht="12.75" customHeight="1" x14ac:dyDescent="0.2">
      <c r="A107" t="s">
        <v>72</v>
      </c>
      <c r="B107" t="s">
        <v>1002</v>
      </c>
      <c r="F107" t="s">
        <v>1003</v>
      </c>
      <c r="I107" t="s">
        <v>1004</v>
      </c>
      <c r="J107" t="s">
        <v>1005</v>
      </c>
      <c r="AO107" t="s">
        <v>1006</v>
      </c>
      <c r="AP107" t="s">
        <v>1007</v>
      </c>
      <c r="AT107" t="s">
        <v>78</v>
      </c>
      <c r="AU107">
        <v>2006</v>
      </c>
      <c r="AV107">
        <v>75</v>
      </c>
      <c r="AW107">
        <v>3</v>
      </c>
      <c r="BB107">
        <v>312</v>
      </c>
      <c r="BC107">
        <v>316</v>
      </c>
      <c r="BE107" t="s">
        <v>1008</v>
      </c>
      <c r="BF107" t="str">
        <f>HYPERLINK("http://dx.doi.org/10.1134/S002626170603012X","http://dx.doi.org/10.1134/S002626170603012X")</f>
        <v>http://dx.doi.org/10.1134/S002626170603012X</v>
      </c>
      <c r="BS107" t="s">
        <v>1009</v>
      </c>
      <c r="BT107" t="str">
        <f>HYPERLINK("https%3A%2F%2Fwww.webofscience.com%2Fwos%2Fwoscc%2Ffull-record%2FWOS:000238267100012","View Full Record in Web of Science")</f>
        <v>View Full Record in Web of Science</v>
      </c>
    </row>
    <row r="108" spans="1:72" ht="12.75" customHeight="1" x14ac:dyDescent="0.2">
      <c r="A108" t="s">
        <v>72</v>
      </c>
      <c r="B108" t="s">
        <v>1010</v>
      </c>
      <c r="F108" t="s">
        <v>1010</v>
      </c>
      <c r="I108" t="s">
        <v>1011</v>
      </c>
      <c r="J108" t="s">
        <v>311</v>
      </c>
      <c r="AO108" t="s">
        <v>312</v>
      </c>
      <c r="AT108" t="s">
        <v>1012</v>
      </c>
      <c r="AU108">
        <v>2001</v>
      </c>
      <c r="AV108">
        <v>35</v>
      </c>
      <c r="AW108">
        <v>5</v>
      </c>
      <c r="BB108">
        <v>518</v>
      </c>
      <c r="BC108">
        <v>519</v>
      </c>
      <c r="BE108" t="s">
        <v>1013</v>
      </c>
      <c r="BF108" t="str">
        <f>HYPERLINK("http://dx.doi.org/10.1023/A:1012394524649","http://dx.doi.org/10.1023/A:1012394524649")</f>
        <v>http://dx.doi.org/10.1023/A:1012394524649</v>
      </c>
      <c r="BS108" t="s">
        <v>1014</v>
      </c>
      <c r="BT108" t="str">
        <f>HYPERLINK("https%3A%2F%2Fwww.webofscience.com%2Fwos%2Fwoscc%2Ffull-record%2FWOS:000171839100018","View Full Record in Web of Science")</f>
        <v>View Full Record in Web of Science</v>
      </c>
    </row>
    <row r="109" spans="1:72" ht="12.75" customHeight="1" x14ac:dyDescent="0.2">
      <c r="A109" t="s">
        <v>72</v>
      </c>
      <c r="B109" t="s">
        <v>1015</v>
      </c>
      <c r="F109" t="s">
        <v>1015</v>
      </c>
      <c r="I109" t="s">
        <v>1016</v>
      </c>
      <c r="J109" t="s">
        <v>940</v>
      </c>
      <c r="AO109" t="s">
        <v>943</v>
      </c>
      <c r="AT109" t="s">
        <v>78</v>
      </c>
      <c r="AU109">
        <v>1998</v>
      </c>
      <c r="AV109">
        <v>40</v>
      </c>
      <c r="AW109" t="s">
        <v>994</v>
      </c>
      <c r="BB109">
        <v>179</v>
      </c>
      <c r="BC109">
        <v>181</v>
      </c>
      <c r="BE109" t="s">
        <v>1017</v>
      </c>
      <c r="BF109" t="str">
        <f>HYPERLINK("http://dx.doi.org/10.1007/BF02467476","http://dx.doi.org/10.1007/BF02467476")</f>
        <v>http://dx.doi.org/10.1007/BF02467476</v>
      </c>
      <c r="BS109" t="s">
        <v>1018</v>
      </c>
      <c r="BT109" t="str">
        <f>HYPERLINK("https%3A%2F%2Fwww.webofscience.com%2Fwos%2Fwoscc%2Ffull-record%2FWOS:000077330900001","View Full Record in Web of Science")</f>
        <v>View Full Record in Web of Science</v>
      </c>
    </row>
    <row r="110" spans="1:72" ht="12.75" customHeight="1" x14ac:dyDescent="0.2">
      <c r="A110" t="s">
        <v>72</v>
      </c>
      <c r="B110" t="s">
        <v>1019</v>
      </c>
      <c r="F110" t="s">
        <v>1019</v>
      </c>
      <c r="I110" t="s">
        <v>1020</v>
      </c>
      <c r="J110" t="s">
        <v>614</v>
      </c>
      <c r="O110" t="s">
        <v>1021</v>
      </c>
      <c r="P110">
        <v>1994</v>
      </c>
      <c r="Q110" t="s">
        <v>1022</v>
      </c>
      <c r="R110" t="s">
        <v>1023</v>
      </c>
      <c r="AA110" t="s">
        <v>1024</v>
      </c>
      <c r="AB110" t="s">
        <v>1025</v>
      </c>
      <c r="AO110" t="s">
        <v>617</v>
      </c>
      <c r="AT110" t="s">
        <v>655</v>
      </c>
      <c r="AU110">
        <v>1996</v>
      </c>
      <c r="AV110">
        <v>32</v>
      </c>
      <c r="AW110">
        <v>2</v>
      </c>
      <c r="BB110">
        <v>265</v>
      </c>
      <c r="BC110">
        <v>267</v>
      </c>
      <c r="BS110" t="s">
        <v>1026</v>
      </c>
      <c r="BT110" t="str">
        <f>HYPERLINK("https%3A%2F%2Fwww.webofscience.com%2Fwos%2Fwoscc%2Ffull-record%2FWOS:A1996TY61200025","View Full Record in Web of Science")</f>
        <v>View Full Record in Web of Science</v>
      </c>
    </row>
    <row r="111" spans="1:72" ht="12.75" customHeight="1" x14ac:dyDescent="0.2">
      <c r="A111" t="s">
        <v>72</v>
      </c>
      <c r="B111" t="s">
        <v>1027</v>
      </c>
      <c r="F111" t="s">
        <v>1028</v>
      </c>
      <c r="I111" t="s">
        <v>1029</v>
      </c>
      <c r="J111" t="s">
        <v>1030</v>
      </c>
      <c r="AA111" t="s">
        <v>1031</v>
      </c>
      <c r="AB111" t="s">
        <v>1032</v>
      </c>
      <c r="AO111" t="s">
        <v>1033</v>
      </c>
      <c r="AP111" t="s">
        <v>1034</v>
      </c>
      <c r="AT111" t="s">
        <v>491</v>
      </c>
      <c r="AU111">
        <v>2022</v>
      </c>
      <c r="AV111">
        <v>56</v>
      </c>
      <c r="AW111">
        <v>3</v>
      </c>
      <c r="BB111">
        <v>131</v>
      </c>
      <c r="BC111">
        <v>137</v>
      </c>
      <c r="BE111" t="s">
        <v>1035</v>
      </c>
      <c r="BF111" t="str">
        <f>HYPERLINK("http://dx.doi.org/10.3103/S0005105522030037","http://dx.doi.org/10.3103/S0005105522030037")</f>
        <v>http://dx.doi.org/10.3103/S0005105522030037</v>
      </c>
      <c r="BS111" t="s">
        <v>1036</v>
      </c>
      <c r="BT111" t="str">
        <f>HYPERLINK("https%3A%2F%2Fwww.webofscience.com%2Fwos%2Fwoscc%2Ffull-record%2FWOS:000840844200004","View Full Record in Web of Science")</f>
        <v>View Full Record in Web of Science</v>
      </c>
    </row>
    <row r="112" spans="1:72" ht="12.75" customHeight="1" x14ac:dyDescent="0.2">
      <c r="A112" t="s">
        <v>72</v>
      </c>
      <c r="B112" t="s">
        <v>1037</v>
      </c>
      <c r="F112" t="s">
        <v>1038</v>
      </c>
      <c r="I112" t="s">
        <v>1039</v>
      </c>
      <c r="J112" t="s">
        <v>716</v>
      </c>
      <c r="AO112" t="s">
        <v>719</v>
      </c>
      <c r="AP112" t="s">
        <v>720</v>
      </c>
      <c r="AT112" t="s">
        <v>125</v>
      </c>
      <c r="AU112">
        <v>2021</v>
      </c>
      <c r="AW112">
        <v>468</v>
      </c>
      <c r="BB112">
        <v>211</v>
      </c>
      <c r="BC112">
        <v>218</v>
      </c>
      <c r="BE112" t="s">
        <v>1040</v>
      </c>
      <c r="BF112" t="str">
        <f>HYPERLINK("http://dx.doi.org/10.17223/15617793/468/24","http://dx.doi.org/10.17223/15617793/468/24")</f>
        <v>http://dx.doi.org/10.17223/15617793/468/24</v>
      </c>
      <c r="BS112" t="s">
        <v>1041</v>
      </c>
      <c r="BT112" t="str">
        <f>HYPERLINK("https%3A%2F%2Fwww.webofscience.com%2Fwos%2Fwoscc%2Ffull-record%2FWOS:000727809000024","View Full Record in Web of Science")</f>
        <v>View Full Record in Web of Science</v>
      </c>
    </row>
    <row r="113" spans="1:72" ht="12.75" customHeight="1" x14ac:dyDescent="0.2">
      <c r="A113" t="s">
        <v>72</v>
      </c>
      <c r="B113" t="s">
        <v>1042</v>
      </c>
      <c r="F113" t="s">
        <v>1043</v>
      </c>
      <c r="I113" t="s">
        <v>1044</v>
      </c>
      <c r="J113" t="s">
        <v>1045</v>
      </c>
      <c r="AA113" t="s">
        <v>1046</v>
      </c>
      <c r="AB113" t="s">
        <v>1047</v>
      </c>
      <c r="AO113" t="s">
        <v>1048</v>
      </c>
      <c r="AP113" t="s">
        <v>1049</v>
      </c>
      <c r="AT113" t="s">
        <v>198</v>
      </c>
      <c r="AU113">
        <v>2021</v>
      </c>
      <c r="AV113">
        <v>48</v>
      </c>
      <c r="AW113">
        <v>2</v>
      </c>
      <c r="BB113">
        <v>107</v>
      </c>
      <c r="BC113">
        <v>113</v>
      </c>
      <c r="BE113" t="s">
        <v>1050</v>
      </c>
      <c r="BF113" t="str">
        <f>HYPERLINK("http://dx.doi.org/10.3103/S0147688221020064","http://dx.doi.org/10.3103/S0147688221020064")</f>
        <v>http://dx.doi.org/10.3103/S0147688221020064</v>
      </c>
      <c r="BS113" t="s">
        <v>1051</v>
      </c>
      <c r="BT113" t="str">
        <f>HYPERLINK("https%3A%2F%2Fwww.webofscience.com%2Fwos%2Fwoscc%2Ffull-record%2FWOS:000694881900005","View Full Record in Web of Science")</f>
        <v>View Full Record in Web of Science</v>
      </c>
    </row>
    <row r="114" spans="1:72" ht="12.75" customHeight="1" x14ac:dyDescent="0.2">
      <c r="A114" t="s">
        <v>147</v>
      </c>
      <c r="B114" t="s">
        <v>568</v>
      </c>
      <c r="E114" t="s">
        <v>210</v>
      </c>
      <c r="F114" t="s">
        <v>569</v>
      </c>
      <c r="I114" t="s">
        <v>1052</v>
      </c>
      <c r="J114" t="s">
        <v>1053</v>
      </c>
      <c r="K114" t="s">
        <v>743</v>
      </c>
      <c r="O114" t="s">
        <v>744</v>
      </c>
      <c r="P114" t="s">
        <v>1054</v>
      </c>
      <c r="Q114" t="s">
        <v>256</v>
      </c>
      <c r="R114" t="s">
        <v>1055</v>
      </c>
      <c r="S114" t="s">
        <v>257</v>
      </c>
      <c r="AA114" t="s">
        <v>1056</v>
      </c>
      <c r="AB114" t="s">
        <v>1057</v>
      </c>
      <c r="AO114" t="s">
        <v>748</v>
      </c>
      <c r="AQ114" t="s">
        <v>1058</v>
      </c>
      <c r="AU114">
        <v>2021</v>
      </c>
      <c r="BE114" t="s">
        <v>1059</v>
      </c>
      <c r="BF114" t="str">
        <f>HYPERLINK("http://dx.doi.org/10.1109/SIBCON50419.2021.9438922","http://dx.doi.org/10.1109/SIBCON50419.2021.9438922")</f>
        <v>http://dx.doi.org/10.1109/SIBCON50419.2021.9438922</v>
      </c>
      <c r="BS114" t="s">
        <v>1060</v>
      </c>
      <c r="BT114" t="str">
        <f>HYPERLINK("https%3A%2F%2Fwww.webofscience.com%2Fwos%2Fwoscc%2Ffull-record%2FWOS:000680842100070","View Full Record in Web of Science")</f>
        <v>View Full Record in Web of Science</v>
      </c>
    </row>
    <row r="115" spans="1:72" ht="12.75" customHeight="1" x14ac:dyDescent="0.2">
      <c r="A115" t="s">
        <v>147</v>
      </c>
      <c r="B115" t="s">
        <v>1061</v>
      </c>
      <c r="D115" t="s">
        <v>1062</v>
      </c>
      <c r="F115" t="s">
        <v>1063</v>
      </c>
      <c r="I115" t="s">
        <v>1064</v>
      </c>
      <c r="J115" t="s">
        <v>1065</v>
      </c>
      <c r="K115" t="s">
        <v>253</v>
      </c>
      <c r="O115" t="s">
        <v>1066</v>
      </c>
      <c r="P115" t="s">
        <v>1067</v>
      </c>
      <c r="Q115" t="s">
        <v>1068</v>
      </c>
      <c r="R115" t="s">
        <v>1069</v>
      </c>
      <c r="S115" t="s">
        <v>1070</v>
      </c>
      <c r="AP115" t="s">
        <v>259</v>
      </c>
      <c r="AQ115" t="s">
        <v>1071</v>
      </c>
      <c r="AU115">
        <v>2021</v>
      </c>
      <c r="AV115">
        <v>114</v>
      </c>
      <c r="BB115">
        <v>332</v>
      </c>
      <c r="BC115">
        <v>348</v>
      </c>
      <c r="BE115" t="s">
        <v>1072</v>
      </c>
      <c r="BF115" t="str">
        <f>HYPERLINK("http://dx.doi.org/10.15405/epsbs.2021.07.02.40","http://dx.doi.org/10.15405/epsbs.2021.07.02.40")</f>
        <v>http://dx.doi.org/10.15405/epsbs.2021.07.02.40</v>
      </c>
      <c r="BS115" t="s">
        <v>1073</v>
      </c>
      <c r="BT115" t="str">
        <f>HYPERLINK("https%3A%2F%2Fwww.webofscience.com%2Fwos%2Fwoscc%2Ffull-record%2FWOS:000771919100040","View Full Record in Web of Science")</f>
        <v>View Full Record in Web of Science</v>
      </c>
    </row>
    <row r="116" spans="1:72" ht="12.75" customHeight="1" x14ac:dyDescent="0.2">
      <c r="A116" t="s">
        <v>72</v>
      </c>
      <c r="B116" t="s">
        <v>1074</v>
      </c>
      <c r="F116" t="s">
        <v>1075</v>
      </c>
      <c r="I116" t="s">
        <v>1076</v>
      </c>
      <c r="J116" t="s">
        <v>1077</v>
      </c>
      <c r="AA116" t="s">
        <v>1078</v>
      </c>
      <c r="AB116" t="s">
        <v>1079</v>
      </c>
      <c r="AO116" t="s">
        <v>1080</v>
      </c>
      <c r="AP116" t="s">
        <v>1081</v>
      </c>
      <c r="AT116" t="s">
        <v>830</v>
      </c>
      <c r="AU116">
        <v>2020</v>
      </c>
      <c r="AV116">
        <v>41</v>
      </c>
      <c r="AW116">
        <v>9</v>
      </c>
      <c r="AZ116" t="s">
        <v>339</v>
      </c>
      <c r="BB116">
        <v>1684</v>
      </c>
      <c r="BC116">
        <v>1692</v>
      </c>
      <c r="BE116" t="s">
        <v>1082</v>
      </c>
      <c r="BF116" t="str">
        <f>HYPERLINK("http://dx.doi.org/10.1134/S1995080220090255","http://dx.doi.org/10.1134/S1995080220090255")</f>
        <v>http://dx.doi.org/10.1134/S1995080220090255</v>
      </c>
      <c r="BS116" t="s">
        <v>1083</v>
      </c>
      <c r="BT116" t="str">
        <f>HYPERLINK("https%3A%2F%2Fwww.webofscience.com%2Fwos%2Fwoscc%2Ffull-record%2FWOS:000587460100010","View Full Record in Web of Science")</f>
        <v>View Full Record in Web of Science</v>
      </c>
    </row>
    <row r="117" spans="1:72" ht="12.75" customHeight="1" x14ac:dyDescent="0.2">
      <c r="A117" t="s">
        <v>72</v>
      </c>
      <c r="B117" t="s">
        <v>1084</v>
      </c>
      <c r="F117" t="s">
        <v>1085</v>
      </c>
      <c r="I117" t="s">
        <v>1086</v>
      </c>
      <c r="J117" t="s">
        <v>1087</v>
      </c>
      <c r="O117" t="s">
        <v>1088</v>
      </c>
      <c r="P117" t="s">
        <v>1089</v>
      </c>
      <c r="Q117" t="s">
        <v>1090</v>
      </c>
      <c r="AA117" t="s">
        <v>1091</v>
      </c>
      <c r="AB117" t="s">
        <v>1092</v>
      </c>
      <c r="AO117" t="s">
        <v>1093</v>
      </c>
      <c r="AP117" t="s">
        <v>1094</v>
      </c>
      <c r="AT117" t="s">
        <v>171</v>
      </c>
      <c r="AU117">
        <v>2020</v>
      </c>
      <c r="AV117">
        <v>57</v>
      </c>
      <c r="AW117">
        <v>1</v>
      </c>
      <c r="BB117">
        <v>69</v>
      </c>
      <c r="BC117">
        <v>79</v>
      </c>
      <c r="BE117" t="s">
        <v>1095</v>
      </c>
      <c r="BF117" t="str">
        <f>HYPERLINK("http://dx.doi.org/10.37358/mp.20.1.5313","http://dx.doi.org/10.37358/mp.20.1.5313")</f>
        <v>http://dx.doi.org/10.37358/mp.20.1.5313</v>
      </c>
      <c r="BS117" t="s">
        <v>1096</v>
      </c>
      <c r="BT117" t="str">
        <f>HYPERLINK("https%3A%2F%2Fwww.webofscience.com%2Fwos%2Fwoscc%2Ffull-record%2FWOS:000528195000009","View Full Record in Web of Science")</f>
        <v>View Full Record in Web of Science</v>
      </c>
    </row>
    <row r="118" spans="1:72" ht="12.75" customHeight="1" x14ac:dyDescent="0.2">
      <c r="A118" t="s">
        <v>72</v>
      </c>
      <c r="B118" t="s">
        <v>1097</v>
      </c>
      <c r="F118" t="s">
        <v>1098</v>
      </c>
      <c r="I118" t="s">
        <v>1099</v>
      </c>
      <c r="J118" t="s">
        <v>861</v>
      </c>
      <c r="AA118" t="s">
        <v>1100</v>
      </c>
      <c r="AB118" t="s">
        <v>1101</v>
      </c>
      <c r="AO118" t="s">
        <v>864</v>
      </c>
      <c r="AP118" t="s">
        <v>865</v>
      </c>
      <c r="AU118">
        <v>2020</v>
      </c>
      <c r="AV118">
        <v>63</v>
      </c>
      <c r="AW118">
        <v>1</v>
      </c>
      <c r="BB118">
        <v>58</v>
      </c>
      <c r="BC118">
        <v>63</v>
      </c>
      <c r="BE118" t="s">
        <v>1102</v>
      </c>
      <c r="BF118" t="str">
        <f>HYPERLINK("http://dx.doi.org/10.6060/ivkkt.20206301.6051","http://dx.doi.org/10.6060/ivkkt.20206301.6051")</f>
        <v>http://dx.doi.org/10.6060/ivkkt.20206301.6051</v>
      </c>
      <c r="BS118" t="s">
        <v>1103</v>
      </c>
      <c r="BT118" t="str">
        <f>HYPERLINK("https%3A%2F%2Fwww.webofscience.com%2Fwos%2Fwoscc%2Ffull-record%2FWOS:000502525400009","View Full Record in Web of Science")</f>
        <v>View Full Record in Web of Science</v>
      </c>
    </row>
    <row r="119" spans="1:72" ht="12.75" customHeight="1" x14ac:dyDescent="0.2">
      <c r="A119" t="s">
        <v>147</v>
      </c>
      <c r="B119" t="s">
        <v>1104</v>
      </c>
      <c r="D119" t="s">
        <v>814</v>
      </c>
      <c r="F119" t="s">
        <v>1105</v>
      </c>
      <c r="I119" t="s">
        <v>1106</v>
      </c>
      <c r="J119" t="s">
        <v>817</v>
      </c>
      <c r="K119" t="s">
        <v>818</v>
      </c>
      <c r="O119" t="s">
        <v>819</v>
      </c>
      <c r="P119" t="s">
        <v>820</v>
      </c>
      <c r="Q119" t="s">
        <v>156</v>
      </c>
      <c r="R119" t="s">
        <v>821</v>
      </c>
      <c r="AA119" t="s">
        <v>1107</v>
      </c>
      <c r="AB119" t="s">
        <v>1108</v>
      </c>
      <c r="AO119" t="s">
        <v>822</v>
      </c>
      <c r="AP119" t="s">
        <v>823</v>
      </c>
      <c r="AQ119" t="s">
        <v>824</v>
      </c>
      <c r="AU119">
        <v>2020</v>
      </c>
      <c r="BB119">
        <v>1073</v>
      </c>
      <c r="BC119">
        <v>1088</v>
      </c>
      <c r="BE119" t="s">
        <v>1109</v>
      </c>
      <c r="BF119" t="str">
        <f>HYPERLINK("http://dx.doi.org/10.1007/978-3-030-22041-9_113","http://dx.doi.org/10.1007/978-3-030-22041-9_113")</f>
        <v>http://dx.doi.org/10.1007/978-3-030-22041-9_113</v>
      </c>
      <c r="BS119" t="s">
        <v>1110</v>
      </c>
      <c r="BT119" t="str">
        <f>HYPERLINK("https%3A%2F%2Fwww.webofscience.com%2Fwos%2Fwoscc%2Ffull-record%2FWOS:000613138500113","View Full Record in Web of Science")</f>
        <v>View Full Record in Web of Science</v>
      </c>
    </row>
    <row r="120" spans="1:72" ht="12.75" customHeight="1" x14ac:dyDescent="0.2">
      <c r="A120" t="s">
        <v>72</v>
      </c>
      <c r="B120" t="s">
        <v>1111</v>
      </c>
      <c r="F120" t="s">
        <v>1112</v>
      </c>
      <c r="I120" t="s">
        <v>1113</v>
      </c>
      <c r="J120" t="s">
        <v>1114</v>
      </c>
      <c r="AA120" t="s">
        <v>1115</v>
      </c>
      <c r="AB120" t="s">
        <v>1116</v>
      </c>
      <c r="AO120" t="s">
        <v>1117</v>
      </c>
      <c r="AT120" t="s">
        <v>313</v>
      </c>
      <c r="AU120">
        <v>2019</v>
      </c>
      <c r="AV120">
        <v>8</v>
      </c>
      <c r="AW120">
        <v>21</v>
      </c>
      <c r="BB120">
        <v>731</v>
      </c>
      <c r="BC120">
        <v>746</v>
      </c>
      <c r="BS120" t="s">
        <v>1118</v>
      </c>
      <c r="BT120" t="str">
        <f>HYPERLINK("https%3A%2F%2Fwww.webofscience.com%2Fwos%2Fwoscc%2Ffull-record%2FWOS:000485631000022","View Full Record in Web of Science")</f>
        <v>View Full Record in Web of Science</v>
      </c>
    </row>
    <row r="121" spans="1:72" ht="12.75" customHeight="1" x14ac:dyDescent="0.2">
      <c r="A121" t="s">
        <v>72</v>
      </c>
      <c r="B121" t="s">
        <v>1119</v>
      </c>
      <c r="F121" t="s">
        <v>1120</v>
      </c>
      <c r="I121" t="s">
        <v>1121</v>
      </c>
      <c r="J121" t="s">
        <v>1122</v>
      </c>
      <c r="AA121" t="s">
        <v>1123</v>
      </c>
      <c r="AO121" t="s">
        <v>1124</v>
      </c>
      <c r="AP121" t="s">
        <v>1125</v>
      </c>
      <c r="AU121">
        <v>2019</v>
      </c>
      <c r="AW121">
        <v>62</v>
      </c>
      <c r="BB121">
        <v>72</v>
      </c>
      <c r="BC121">
        <v>79</v>
      </c>
      <c r="BE121" t="s">
        <v>1126</v>
      </c>
      <c r="BF121" t="str">
        <f>HYPERLINK("http://dx.doi.org/10.17223/19988613/62/9","http://dx.doi.org/10.17223/19988613/62/9")</f>
        <v>http://dx.doi.org/10.17223/19988613/62/9</v>
      </c>
      <c r="BS121" t="s">
        <v>1127</v>
      </c>
      <c r="BT121" t="str">
        <f>HYPERLINK("https%3A%2F%2Fwww.webofscience.com%2Fwos%2Fwoscc%2Ffull-record%2FWOS:000510467300009","View Full Record in Web of Science")</f>
        <v>View Full Record in Web of Science</v>
      </c>
    </row>
    <row r="122" spans="1:72" ht="12.75" customHeight="1" x14ac:dyDescent="0.2">
      <c r="A122" t="s">
        <v>72</v>
      </c>
      <c r="B122" t="s">
        <v>1128</v>
      </c>
      <c r="F122" t="s">
        <v>1129</v>
      </c>
      <c r="I122" t="s">
        <v>1130</v>
      </c>
      <c r="J122" t="s">
        <v>1131</v>
      </c>
      <c r="AA122" t="s">
        <v>132</v>
      </c>
      <c r="AB122" t="s">
        <v>133</v>
      </c>
      <c r="AO122" t="s">
        <v>1132</v>
      </c>
      <c r="AP122" t="s">
        <v>1133</v>
      </c>
      <c r="AU122">
        <v>2018</v>
      </c>
      <c r="AW122">
        <v>4</v>
      </c>
      <c r="BB122">
        <v>60</v>
      </c>
      <c r="BC122">
        <v>62</v>
      </c>
      <c r="BE122" t="s">
        <v>1134</v>
      </c>
      <c r="BF122" t="str">
        <f>HYPERLINK("http://dx.doi.org/10.25789/YMJ.2018.64.17","http://dx.doi.org/10.25789/YMJ.2018.64.17")</f>
        <v>http://dx.doi.org/10.25789/YMJ.2018.64.17</v>
      </c>
      <c r="BS122" t="s">
        <v>1135</v>
      </c>
      <c r="BT122" t="str">
        <f>HYPERLINK("https%3A%2F%2Fwww.webofscience.com%2Fwos%2Fwoscc%2Ffull-record%2FWOS:000453449700017","View Full Record in Web of Science")</f>
        <v>View Full Record in Web of Science</v>
      </c>
    </row>
    <row r="123" spans="1:72" ht="12.75" customHeight="1" x14ac:dyDescent="0.2">
      <c r="A123" t="s">
        <v>147</v>
      </c>
      <c r="B123" t="s">
        <v>1136</v>
      </c>
      <c r="E123" t="s">
        <v>210</v>
      </c>
      <c r="F123" t="s">
        <v>1137</v>
      </c>
      <c r="I123" t="s">
        <v>1138</v>
      </c>
      <c r="J123" t="s">
        <v>1139</v>
      </c>
      <c r="K123" t="s">
        <v>390</v>
      </c>
      <c r="O123" t="s">
        <v>1140</v>
      </c>
      <c r="P123" t="s">
        <v>1141</v>
      </c>
      <c r="Q123" t="s">
        <v>393</v>
      </c>
      <c r="R123" t="s">
        <v>1142</v>
      </c>
      <c r="AA123" t="s">
        <v>1143</v>
      </c>
      <c r="AB123" t="s">
        <v>1144</v>
      </c>
      <c r="AO123" t="s">
        <v>395</v>
      </c>
      <c r="AQ123" t="s">
        <v>1145</v>
      </c>
      <c r="AU123">
        <v>2018</v>
      </c>
      <c r="BB123">
        <v>304</v>
      </c>
      <c r="BC123">
        <v>307</v>
      </c>
      <c r="BS123" t="s">
        <v>1146</v>
      </c>
      <c r="BT123" t="str">
        <f>HYPERLINK("https%3A%2F%2Fwww.webofscience.com%2Fwos%2Fwoscc%2Ffull-record%2FWOS:000644432200078","View Full Record in Web of Science")</f>
        <v>View Full Record in Web of Science</v>
      </c>
    </row>
    <row r="124" spans="1:72" ht="12.75" customHeight="1" x14ac:dyDescent="0.2">
      <c r="A124" t="s">
        <v>147</v>
      </c>
      <c r="B124" t="s">
        <v>1147</v>
      </c>
      <c r="E124" t="s">
        <v>210</v>
      </c>
      <c r="F124" t="s">
        <v>1148</v>
      </c>
      <c r="I124" t="s">
        <v>1149</v>
      </c>
      <c r="J124" t="s">
        <v>213</v>
      </c>
      <c r="O124" t="s">
        <v>214</v>
      </c>
      <c r="P124" t="s">
        <v>215</v>
      </c>
      <c r="Q124" t="s">
        <v>216</v>
      </c>
      <c r="S124" t="s">
        <v>217</v>
      </c>
      <c r="AA124" t="s">
        <v>1150</v>
      </c>
      <c r="AB124" t="s">
        <v>1151</v>
      </c>
      <c r="AQ124" t="s">
        <v>218</v>
      </c>
      <c r="AU124">
        <v>2018</v>
      </c>
      <c r="BS124" t="s">
        <v>1152</v>
      </c>
      <c r="BT124" t="str">
        <f>HYPERLINK("https%3A%2F%2Fwww.webofscience.com%2Fwos%2Fwoscc%2Ffull-record%2FWOS:000478963800053","View Full Record in Web of Science")</f>
        <v>View Full Record in Web of Science</v>
      </c>
    </row>
    <row r="125" spans="1:72" ht="12.75" customHeight="1" x14ac:dyDescent="0.2">
      <c r="A125" t="s">
        <v>147</v>
      </c>
      <c r="B125" t="s">
        <v>568</v>
      </c>
      <c r="E125" t="s">
        <v>210</v>
      </c>
      <c r="F125" t="s">
        <v>569</v>
      </c>
      <c r="I125" t="s">
        <v>1153</v>
      </c>
      <c r="J125" t="s">
        <v>419</v>
      </c>
      <c r="K125" t="s">
        <v>420</v>
      </c>
      <c r="O125" t="s">
        <v>421</v>
      </c>
      <c r="P125" t="s">
        <v>422</v>
      </c>
      <c r="Q125" t="s">
        <v>423</v>
      </c>
      <c r="R125" t="s">
        <v>424</v>
      </c>
      <c r="AA125" t="s">
        <v>577</v>
      </c>
      <c r="AB125" t="s">
        <v>578</v>
      </c>
      <c r="AO125" t="s">
        <v>427</v>
      </c>
      <c r="AP125" t="s">
        <v>428</v>
      </c>
      <c r="AQ125" t="s">
        <v>429</v>
      </c>
      <c r="AU125">
        <v>2018</v>
      </c>
      <c r="BS125" t="s">
        <v>1154</v>
      </c>
      <c r="BT125" t="str">
        <f>HYPERLINK("https%3A%2F%2Fwww.webofscience.com%2Fwos%2Fwoscc%2Ffull-record%2FWOS:000517795800099","View Full Record in Web of Science")</f>
        <v>View Full Record in Web of Science</v>
      </c>
    </row>
    <row r="126" spans="1:72" ht="12.75" customHeight="1" x14ac:dyDescent="0.2">
      <c r="A126" t="s">
        <v>147</v>
      </c>
      <c r="B126" t="s">
        <v>1155</v>
      </c>
      <c r="E126" t="s">
        <v>210</v>
      </c>
      <c r="F126" t="s">
        <v>1156</v>
      </c>
      <c r="I126" t="s">
        <v>1157</v>
      </c>
      <c r="J126" t="s">
        <v>419</v>
      </c>
      <c r="K126" t="s">
        <v>420</v>
      </c>
      <c r="O126" t="s">
        <v>421</v>
      </c>
      <c r="P126" t="s">
        <v>422</v>
      </c>
      <c r="Q126" t="s">
        <v>423</v>
      </c>
      <c r="R126" t="s">
        <v>424</v>
      </c>
      <c r="AA126" t="s">
        <v>425</v>
      </c>
      <c r="AB126" t="s">
        <v>426</v>
      </c>
      <c r="AO126" t="s">
        <v>427</v>
      </c>
      <c r="AP126" t="s">
        <v>428</v>
      </c>
      <c r="AQ126" t="s">
        <v>429</v>
      </c>
      <c r="AU126">
        <v>2018</v>
      </c>
      <c r="BS126" t="s">
        <v>1158</v>
      </c>
      <c r="BT126" t="str">
        <f>HYPERLINK("https%3A%2F%2Fwww.webofscience.com%2Fwos%2Fwoscc%2Ffull-record%2FWOS:000517795800058","View Full Record in Web of Science")</f>
        <v>View Full Record in Web of Science</v>
      </c>
    </row>
    <row r="127" spans="1:72" ht="12.75" customHeight="1" x14ac:dyDescent="0.2">
      <c r="A127" t="s">
        <v>72</v>
      </c>
      <c r="B127" t="s">
        <v>1159</v>
      </c>
      <c r="F127" t="s">
        <v>1160</v>
      </c>
      <c r="I127" t="s">
        <v>1161</v>
      </c>
      <c r="J127" t="s">
        <v>409</v>
      </c>
      <c r="AO127" t="s">
        <v>412</v>
      </c>
      <c r="AT127" t="s">
        <v>403</v>
      </c>
      <c r="AU127">
        <v>2011</v>
      </c>
      <c r="AV127">
        <v>84</v>
      </c>
      <c r="AW127">
        <v>12</v>
      </c>
      <c r="BB127">
        <v>2152</v>
      </c>
      <c r="BC127">
        <v>2154</v>
      </c>
      <c r="BE127" t="s">
        <v>1162</v>
      </c>
      <c r="BF127" t="str">
        <f>HYPERLINK("http://dx.doi.org/10.1134/S1070427211120263","http://dx.doi.org/10.1134/S1070427211120263")</f>
        <v>http://dx.doi.org/10.1134/S1070427211120263</v>
      </c>
      <c r="BS127" t="s">
        <v>1163</v>
      </c>
      <c r="BT127" t="str">
        <f>HYPERLINK("https%3A%2F%2Fwww.webofscience.com%2Fwos%2Fwoscc%2Ffull-record%2FWOS:000300088400026","View Full Record in Web of Science")</f>
        <v>View Full Record in Web of Science</v>
      </c>
    </row>
    <row r="128" spans="1:72" ht="12.75" customHeight="1" x14ac:dyDescent="0.2">
      <c r="A128" t="s">
        <v>72</v>
      </c>
      <c r="B128" t="s">
        <v>1164</v>
      </c>
      <c r="F128" t="s">
        <v>1165</v>
      </c>
      <c r="I128" t="s">
        <v>1166</v>
      </c>
      <c r="J128" t="s">
        <v>409</v>
      </c>
      <c r="AO128" t="s">
        <v>412</v>
      </c>
      <c r="AT128" t="s">
        <v>1167</v>
      </c>
      <c r="AU128">
        <v>2008</v>
      </c>
      <c r="AV128">
        <v>81</v>
      </c>
      <c r="AW128">
        <v>10</v>
      </c>
      <c r="BB128">
        <v>1774</v>
      </c>
      <c r="BC128">
        <v>1777</v>
      </c>
      <c r="BE128" t="s">
        <v>1168</v>
      </c>
      <c r="BF128" t="str">
        <f>HYPERLINK("http://dx.doi.org/10.1134/S1070427208100133","http://dx.doi.org/10.1134/S1070427208100133")</f>
        <v>http://dx.doi.org/10.1134/S1070427208100133</v>
      </c>
      <c r="BS128" t="s">
        <v>1169</v>
      </c>
      <c r="BT128" t="str">
        <f>HYPERLINK("https%3A%2F%2Fwww.webofscience.com%2Fwos%2Fwoscc%2Ffull-record%2FWOS:000263171600013","View Full Record in Web of Science")</f>
        <v>View Full Record in Web of Science</v>
      </c>
    </row>
    <row r="129" spans="1:72" ht="12.75" customHeight="1" x14ac:dyDescent="0.2">
      <c r="A129" t="s">
        <v>72</v>
      </c>
      <c r="B129" t="s">
        <v>1170</v>
      </c>
      <c r="F129" t="s">
        <v>1171</v>
      </c>
      <c r="I129" t="s">
        <v>1172</v>
      </c>
      <c r="J129" t="s">
        <v>311</v>
      </c>
      <c r="AO129" t="s">
        <v>312</v>
      </c>
      <c r="AT129" t="s">
        <v>1173</v>
      </c>
      <c r="AU129">
        <v>2008</v>
      </c>
      <c r="AV129">
        <v>42</v>
      </c>
      <c r="AW129">
        <v>4</v>
      </c>
      <c r="BB129">
        <v>366</v>
      </c>
      <c r="BC129">
        <v>376</v>
      </c>
      <c r="BE129" t="s">
        <v>1174</v>
      </c>
      <c r="BF129" t="str">
        <f>HYPERLINK("http://dx.doi.org/10.1134/S0040579508040040","http://dx.doi.org/10.1134/S0040579508040040")</f>
        <v>http://dx.doi.org/10.1134/S0040579508040040</v>
      </c>
      <c r="BS129" t="s">
        <v>1175</v>
      </c>
      <c r="BT129" t="str">
        <f>HYPERLINK("https%3A%2F%2Fwww.webofscience.com%2Fwos%2Fwoscc%2Ffull-record%2FWOS:000258408800004","View Full Record in Web of Science")</f>
        <v>View Full Record in Web of Science</v>
      </c>
    </row>
    <row r="130" spans="1:72" ht="12.75" customHeight="1" x14ac:dyDescent="0.2">
      <c r="A130" t="s">
        <v>72</v>
      </c>
      <c r="B130" t="s">
        <v>1176</v>
      </c>
      <c r="F130" t="s">
        <v>1177</v>
      </c>
      <c r="I130" t="s">
        <v>1178</v>
      </c>
      <c r="J130" t="s">
        <v>304</v>
      </c>
      <c r="AO130" t="s">
        <v>77</v>
      </c>
      <c r="AU130">
        <v>2008</v>
      </c>
      <c r="AW130">
        <v>1</v>
      </c>
      <c r="BB130">
        <v>209</v>
      </c>
      <c r="BC130">
        <v>210</v>
      </c>
      <c r="BS130" t="s">
        <v>1179</v>
      </c>
      <c r="BT130" t="str">
        <f>HYPERLINK("https%3A%2F%2Fwww.webofscience.com%2Fwos%2Fwoscc%2Ffull-record%2FWOS:000253186900027","View Full Record in Web of Science")</f>
        <v>View Full Record in Web of Science</v>
      </c>
    </row>
    <row r="131" spans="1:72" ht="12.75" customHeight="1" x14ac:dyDescent="0.2">
      <c r="A131" t="s">
        <v>147</v>
      </c>
      <c r="B131" t="s">
        <v>1180</v>
      </c>
      <c r="D131" t="s">
        <v>1181</v>
      </c>
      <c r="F131" t="s">
        <v>1182</v>
      </c>
      <c r="I131" t="s">
        <v>1183</v>
      </c>
      <c r="J131" t="s">
        <v>1184</v>
      </c>
      <c r="K131" t="s">
        <v>1185</v>
      </c>
      <c r="O131" t="s">
        <v>1186</v>
      </c>
      <c r="P131" t="s">
        <v>1187</v>
      </c>
      <c r="Q131" t="s">
        <v>1188</v>
      </c>
      <c r="R131" t="s">
        <v>1189</v>
      </c>
      <c r="AO131" t="s">
        <v>1190</v>
      </c>
      <c r="AQ131" t="s">
        <v>1191</v>
      </c>
      <c r="AU131">
        <v>2008</v>
      </c>
      <c r="AV131">
        <v>6936</v>
      </c>
      <c r="BD131">
        <v>693609</v>
      </c>
      <c r="BE131" t="s">
        <v>1192</v>
      </c>
      <c r="BF131" t="str">
        <f>HYPERLINK("http://dx.doi.org/10.1117/12.783049","http://dx.doi.org/10.1117/12.783049")</f>
        <v>http://dx.doi.org/10.1117/12.783049</v>
      </c>
      <c r="BS131" t="s">
        <v>1193</v>
      </c>
      <c r="BT131" t="str">
        <f>HYPERLINK("https%3A%2F%2Fwww.webofscience.com%2Fwos%2Fwoscc%2Ffull-record%2FWOS:000256667200009","View Full Record in Web of Science")</f>
        <v>View Full Record in Web of Science</v>
      </c>
    </row>
    <row r="132" spans="1:72" ht="12.75" customHeight="1" x14ac:dyDescent="0.2">
      <c r="A132" t="s">
        <v>72</v>
      </c>
      <c r="B132" t="s">
        <v>1194</v>
      </c>
      <c r="F132" t="s">
        <v>1195</v>
      </c>
      <c r="I132" t="s">
        <v>1196</v>
      </c>
      <c r="J132" t="s">
        <v>1197</v>
      </c>
      <c r="AO132" t="s">
        <v>1198</v>
      </c>
      <c r="AP132" t="s">
        <v>1199</v>
      </c>
      <c r="AT132" t="s">
        <v>1200</v>
      </c>
      <c r="AU132">
        <v>2006</v>
      </c>
      <c r="AV132">
        <v>152</v>
      </c>
      <c r="BB132">
        <v>70</v>
      </c>
      <c r="BC132">
        <v>77</v>
      </c>
      <c r="BE132" t="s">
        <v>1201</v>
      </c>
      <c r="BF132" t="str">
        <f>HYPERLINK("http://dx.doi.org/10.1016/j.quaint.2006.02.018","http://dx.doi.org/10.1016/j.quaint.2006.02.018")</f>
        <v>http://dx.doi.org/10.1016/j.quaint.2006.02.018</v>
      </c>
      <c r="BS132" t="s">
        <v>1202</v>
      </c>
      <c r="BT132" t="str">
        <f>HYPERLINK("https%3A%2F%2Fwww.webofscience.com%2Fwos%2Fwoscc%2Ffull-record%2FWOS:000239755800008","View Full Record in Web of Science")</f>
        <v>View Full Record in Web of Science</v>
      </c>
    </row>
    <row r="133" spans="1:72" ht="12.75" customHeight="1" x14ac:dyDescent="0.2">
      <c r="A133" t="s">
        <v>72</v>
      </c>
      <c r="B133" t="s">
        <v>1203</v>
      </c>
      <c r="F133" t="s">
        <v>1204</v>
      </c>
      <c r="I133" t="s">
        <v>1205</v>
      </c>
      <c r="J133" t="s">
        <v>1206</v>
      </c>
      <c r="AO133" t="s">
        <v>624</v>
      </c>
      <c r="AT133" t="s">
        <v>171</v>
      </c>
      <c r="AU133">
        <v>2006</v>
      </c>
      <c r="AV133">
        <v>80</v>
      </c>
      <c r="AW133">
        <v>3</v>
      </c>
      <c r="BB133">
        <v>449</v>
      </c>
      <c r="BC133">
        <v>452</v>
      </c>
      <c r="BE133" t="s">
        <v>1207</v>
      </c>
      <c r="BF133" t="str">
        <f>HYPERLINK("http://dx.doi.org/10.1134/S0036024406030241","http://dx.doi.org/10.1134/S0036024406030241")</f>
        <v>http://dx.doi.org/10.1134/S0036024406030241</v>
      </c>
      <c r="BS133" t="s">
        <v>1208</v>
      </c>
      <c r="BT133" t="str">
        <f>HYPERLINK("https%3A%2F%2Fwww.webofscience.com%2Fwos%2Fwoscc%2Ffull-record%2FWOS:000243768200024","View Full Record in Web of Science")</f>
        <v>View Full Record in Web of Science</v>
      </c>
    </row>
    <row r="134" spans="1:72" ht="12.75" customHeight="1" x14ac:dyDescent="0.2">
      <c r="A134" t="s">
        <v>72</v>
      </c>
      <c r="B134" t="s">
        <v>1209</v>
      </c>
      <c r="F134" t="s">
        <v>1210</v>
      </c>
      <c r="I134" t="s">
        <v>1211</v>
      </c>
      <c r="J134" t="s">
        <v>141</v>
      </c>
      <c r="AO134" t="s">
        <v>144</v>
      </c>
      <c r="AU134">
        <v>2021</v>
      </c>
      <c r="AW134">
        <v>4</v>
      </c>
      <c r="BB134">
        <v>99</v>
      </c>
      <c r="BC134">
        <v>114</v>
      </c>
      <c r="BE134" t="s">
        <v>1212</v>
      </c>
      <c r="BF134" t="str">
        <f>HYPERLINK("http://dx.doi.org/10.52254/1857-0070.2021.4-52.10","http://dx.doi.org/10.52254/1857-0070.2021.4-52.10")</f>
        <v>http://dx.doi.org/10.52254/1857-0070.2021.4-52.10</v>
      </c>
      <c r="BS134" t="s">
        <v>1213</v>
      </c>
      <c r="BT134" t="str">
        <f>HYPERLINK("https%3A%2F%2Fwww.webofscience.com%2Fwos%2Fwoscc%2Ffull-record%2FWOS:000734088800009","View Full Record in Web of Science")</f>
        <v>View Full Record in Web of Science</v>
      </c>
    </row>
    <row r="135" spans="1:72" ht="12.75" customHeight="1" x14ac:dyDescent="0.2">
      <c r="A135" t="s">
        <v>147</v>
      </c>
      <c r="B135" t="s">
        <v>1214</v>
      </c>
      <c r="D135" t="s">
        <v>1215</v>
      </c>
      <c r="F135" t="s">
        <v>1216</v>
      </c>
      <c r="I135" t="s">
        <v>1217</v>
      </c>
      <c r="J135" t="s">
        <v>1218</v>
      </c>
      <c r="K135" t="s">
        <v>1219</v>
      </c>
      <c r="O135" t="s">
        <v>1220</v>
      </c>
      <c r="P135" t="s">
        <v>1221</v>
      </c>
      <c r="Q135" t="s">
        <v>1222</v>
      </c>
      <c r="AO135" t="s">
        <v>1223</v>
      </c>
      <c r="AU135">
        <v>2020</v>
      </c>
      <c r="AV135">
        <v>24</v>
      </c>
      <c r="BD135">
        <v>73</v>
      </c>
      <c r="BE135" t="s">
        <v>1224</v>
      </c>
      <c r="BF135" t="str">
        <f>HYPERLINK("http://dx.doi.org/10.1051/bioconf/20202400073","http://dx.doi.org/10.1051/bioconf/20202400073")</f>
        <v>http://dx.doi.org/10.1051/bioconf/20202400073</v>
      </c>
      <c r="BS135" t="s">
        <v>1225</v>
      </c>
      <c r="BT135" t="str">
        <f>HYPERLINK("https%3A%2F%2Fwww.webofscience.com%2Fwos%2Fwoscc%2Ffull-record%2FWOS:000624287900073","View Full Record in Web of Science")</f>
        <v>View Full Record in Web of Science</v>
      </c>
    </row>
    <row r="136" spans="1:72" ht="12.75" customHeight="1" x14ac:dyDescent="0.2">
      <c r="A136" t="s">
        <v>72</v>
      </c>
      <c r="B136" t="s">
        <v>378</v>
      </c>
      <c r="F136" t="s">
        <v>1226</v>
      </c>
      <c r="I136" t="s">
        <v>1227</v>
      </c>
      <c r="J136" t="s">
        <v>1228</v>
      </c>
      <c r="AA136" t="s">
        <v>553</v>
      </c>
      <c r="AB136" t="s">
        <v>554</v>
      </c>
      <c r="AO136" t="s">
        <v>1229</v>
      </c>
      <c r="AU136">
        <v>2019</v>
      </c>
      <c r="AV136">
        <v>8</v>
      </c>
      <c r="AW136">
        <v>12</v>
      </c>
      <c r="BB136">
        <v>41</v>
      </c>
      <c r="BC136">
        <v>45</v>
      </c>
      <c r="BS136" t="s">
        <v>1230</v>
      </c>
      <c r="BT136" t="str">
        <f>HYPERLINK("https%3A%2F%2Fwww.webofscience.com%2Fwos%2Fwoscc%2Ffull-record%2FWOS:000514803300005","View Full Record in Web of Science")</f>
        <v>View Full Record in Web of Science</v>
      </c>
    </row>
    <row r="137" spans="1:72" ht="12.75" customHeight="1" x14ac:dyDescent="0.2">
      <c r="A137" t="s">
        <v>147</v>
      </c>
      <c r="B137" t="s">
        <v>1231</v>
      </c>
      <c r="C137" t="s">
        <v>1232</v>
      </c>
      <c r="F137" t="s">
        <v>1233</v>
      </c>
      <c r="G137" t="s">
        <v>1232</v>
      </c>
      <c r="I137" t="s">
        <v>1234</v>
      </c>
      <c r="J137" t="s">
        <v>1235</v>
      </c>
      <c r="K137" t="s">
        <v>1236</v>
      </c>
      <c r="O137" t="s">
        <v>1237</v>
      </c>
      <c r="P137" t="s">
        <v>1238</v>
      </c>
      <c r="Q137" t="s">
        <v>910</v>
      </c>
      <c r="R137" t="s">
        <v>1239</v>
      </c>
      <c r="AO137" t="s">
        <v>1240</v>
      </c>
      <c r="AU137">
        <v>2019</v>
      </c>
      <c r="AV137">
        <v>110</v>
      </c>
      <c r="BD137">
        <v>2026</v>
      </c>
      <c r="BE137" t="s">
        <v>1241</v>
      </c>
      <c r="BF137" t="str">
        <f>HYPERLINK("http://dx.doi.org/10.1051/e3sconf/201911002026","http://dx.doi.org/10.1051/e3sconf/201911002026")</f>
        <v>http://dx.doi.org/10.1051/e3sconf/201911002026</v>
      </c>
      <c r="BS137" t="s">
        <v>1242</v>
      </c>
      <c r="BT137" t="str">
        <f>HYPERLINK("https%3A%2F%2Fwww.webofscience.com%2Fwos%2Fwoscc%2Ffull-record%2FWOS:000569050000115","View Full Record in Web of Science")</f>
        <v>View Full Record in Web of Science</v>
      </c>
    </row>
    <row r="138" spans="1:72" ht="12.75" customHeight="1" x14ac:dyDescent="0.2">
      <c r="A138" t="s">
        <v>72</v>
      </c>
      <c r="B138" t="s">
        <v>1243</v>
      </c>
      <c r="F138" t="s">
        <v>1244</v>
      </c>
      <c r="I138" t="s">
        <v>1245</v>
      </c>
      <c r="J138" t="s">
        <v>166</v>
      </c>
      <c r="AA138" t="s">
        <v>1246</v>
      </c>
      <c r="AB138" t="s">
        <v>1247</v>
      </c>
      <c r="AO138" t="s">
        <v>169</v>
      </c>
      <c r="AP138" t="s">
        <v>170</v>
      </c>
      <c r="AT138" t="s">
        <v>491</v>
      </c>
      <c r="AU138">
        <v>2018</v>
      </c>
      <c r="AV138">
        <v>7</v>
      </c>
      <c r="AW138">
        <v>2</v>
      </c>
      <c r="BB138">
        <v>275</v>
      </c>
      <c r="BC138">
        <v>285</v>
      </c>
      <c r="BE138" t="s">
        <v>1248</v>
      </c>
      <c r="BF138" t="str">
        <f>HYPERLINK("http://dx.doi.org/10.13187/ejced.2018.2.275","http://dx.doi.org/10.13187/ejced.2018.2.275")</f>
        <v>http://dx.doi.org/10.13187/ejced.2018.2.275</v>
      </c>
      <c r="BS138" t="s">
        <v>1249</v>
      </c>
      <c r="BT138" t="str">
        <f>HYPERLINK("https%3A%2F%2Fwww.webofscience.com%2Fwos%2Fwoscc%2Ffull-record%2FWOS:000434838300005","View Full Record in Web of Science")</f>
        <v>View Full Record in Web of Science</v>
      </c>
    </row>
    <row r="139" spans="1:72" ht="12.75" customHeight="1" x14ac:dyDescent="0.2">
      <c r="A139" t="s">
        <v>147</v>
      </c>
      <c r="B139" t="s">
        <v>568</v>
      </c>
      <c r="E139" t="s">
        <v>210</v>
      </c>
      <c r="F139" t="s">
        <v>569</v>
      </c>
      <c r="I139" t="s">
        <v>1250</v>
      </c>
      <c r="J139" t="s">
        <v>419</v>
      </c>
      <c r="K139" t="s">
        <v>420</v>
      </c>
      <c r="O139" t="s">
        <v>421</v>
      </c>
      <c r="P139" t="s">
        <v>422</v>
      </c>
      <c r="Q139" t="s">
        <v>423</v>
      </c>
      <c r="R139" t="s">
        <v>424</v>
      </c>
      <c r="AA139" t="s">
        <v>1251</v>
      </c>
      <c r="AB139" t="s">
        <v>578</v>
      </c>
      <c r="AO139" t="s">
        <v>427</v>
      </c>
      <c r="AP139" t="s">
        <v>428</v>
      </c>
      <c r="AQ139" t="s">
        <v>429</v>
      </c>
      <c r="AU139">
        <v>2018</v>
      </c>
      <c r="BS139" t="s">
        <v>1252</v>
      </c>
      <c r="BT139" t="str">
        <f>HYPERLINK("https%3A%2F%2Fwww.webofscience.com%2Fwos%2Fwoscc%2Ffull-record%2FWOS:000517795800079","View Full Record in Web of Science")</f>
        <v>View Full Record in Web of Science</v>
      </c>
    </row>
    <row r="140" spans="1:72" ht="12.75" customHeight="1" x14ac:dyDescent="0.2">
      <c r="A140" t="s">
        <v>72</v>
      </c>
      <c r="B140" t="s">
        <v>1253</v>
      </c>
      <c r="F140" t="s">
        <v>1254</v>
      </c>
      <c r="I140" t="s">
        <v>1255</v>
      </c>
      <c r="J140" t="s">
        <v>95</v>
      </c>
      <c r="AO140" t="s">
        <v>98</v>
      </c>
      <c r="AP140" t="s">
        <v>99</v>
      </c>
      <c r="AU140">
        <v>2018</v>
      </c>
      <c r="AW140">
        <v>3</v>
      </c>
      <c r="BB140">
        <v>19</v>
      </c>
      <c r="BC140">
        <v>26</v>
      </c>
      <c r="BE140" t="s">
        <v>1256</v>
      </c>
      <c r="BF140" t="str">
        <f>HYPERLINK("http://dx.doi.org/10.25750/1995-4301-2018-3-019-026","http://dx.doi.org/10.25750/1995-4301-2018-3-019-026")</f>
        <v>http://dx.doi.org/10.25750/1995-4301-2018-3-019-026</v>
      </c>
      <c r="BS140" t="s">
        <v>1257</v>
      </c>
      <c r="BT140" t="str">
        <f>HYPERLINK("https%3A%2F%2Fwww.webofscience.com%2Fwos%2Fwoscc%2Ffull-record%2FWOS:000468564900003","View Full Record in Web of Science")</f>
        <v>View Full Record in Web of Science</v>
      </c>
    </row>
    <row r="141" spans="1:72" ht="12.75" customHeight="1" x14ac:dyDescent="0.2">
      <c r="A141" t="s">
        <v>147</v>
      </c>
      <c r="B141" t="s">
        <v>1258</v>
      </c>
      <c r="E141" t="s">
        <v>210</v>
      </c>
      <c r="F141" t="s">
        <v>1259</v>
      </c>
      <c r="I141" t="s">
        <v>1260</v>
      </c>
      <c r="J141" t="s">
        <v>1261</v>
      </c>
      <c r="O141" t="s">
        <v>214</v>
      </c>
      <c r="P141" t="s">
        <v>909</v>
      </c>
      <c r="Q141" t="s">
        <v>910</v>
      </c>
      <c r="R141" t="s">
        <v>1262</v>
      </c>
      <c r="AQ141" t="s">
        <v>1263</v>
      </c>
      <c r="AU141">
        <v>2017</v>
      </c>
      <c r="BS141" t="s">
        <v>1264</v>
      </c>
      <c r="BT141" t="str">
        <f>HYPERLINK("https%3A%2F%2Fwww.webofscience.com%2Fwos%2Fwoscc%2Ffull-record%2FWOS:000414282400134","View Full Record in Web of Science")</f>
        <v>View Full Record in Web of Science</v>
      </c>
    </row>
    <row r="142" spans="1:72" ht="12.75" customHeight="1" x14ac:dyDescent="0.2">
      <c r="A142" t="s">
        <v>147</v>
      </c>
      <c r="B142" t="s">
        <v>1265</v>
      </c>
      <c r="E142" t="s">
        <v>210</v>
      </c>
      <c r="F142" t="s">
        <v>1266</v>
      </c>
      <c r="I142" t="s">
        <v>1267</v>
      </c>
      <c r="J142" t="s">
        <v>1261</v>
      </c>
      <c r="O142" t="s">
        <v>214</v>
      </c>
      <c r="P142" t="s">
        <v>909</v>
      </c>
      <c r="Q142" t="s">
        <v>910</v>
      </c>
      <c r="R142" t="s">
        <v>1262</v>
      </c>
      <c r="AA142" t="s">
        <v>1268</v>
      </c>
      <c r="AB142" t="s">
        <v>1269</v>
      </c>
      <c r="AQ142" t="s">
        <v>1263</v>
      </c>
      <c r="AU142">
        <v>2017</v>
      </c>
      <c r="BS142" t="s">
        <v>1270</v>
      </c>
      <c r="BT142" t="str">
        <f>HYPERLINK("https%3A%2F%2Fwww.webofscience.com%2Fwos%2Fwoscc%2Ffull-record%2FWOS:000414282400179","View Full Record in Web of Science")</f>
        <v>View Full Record in Web of Science</v>
      </c>
    </row>
    <row r="143" spans="1:72" ht="12.75" customHeight="1" x14ac:dyDescent="0.2">
      <c r="A143" t="s">
        <v>147</v>
      </c>
      <c r="B143" t="s">
        <v>1271</v>
      </c>
      <c r="D143" t="s">
        <v>1272</v>
      </c>
      <c r="F143" t="s">
        <v>1273</v>
      </c>
      <c r="I143" t="s">
        <v>1274</v>
      </c>
      <c r="J143" t="s">
        <v>1275</v>
      </c>
      <c r="K143" t="s">
        <v>1276</v>
      </c>
      <c r="O143" t="s">
        <v>1277</v>
      </c>
      <c r="P143" t="s">
        <v>1278</v>
      </c>
      <c r="Q143" t="s">
        <v>772</v>
      </c>
      <c r="R143" t="s">
        <v>1279</v>
      </c>
      <c r="AA143" t="s">
        <v>1280</v>
      </c>
      <c r="AB143" t="s">
        <v>1281</v>
      </c>
      <c r="AO143" t="s">
        <v>1282</v>
      </c>
      <c r="AU143">
        <v>2017</v>
      </c>
      <c r="AV143">
        <v>129</v>
      </c>
      <c r="BD143">
        <v>1013</v>
      </c>
      <c r="BE143" t="s">
        <v>1283</v>
      </c>
      <c r="BF143" t="str">
        <f>HYPERLINK("http://dx.doi.org/10.1051/matecconf/201712901013","http://dx.doi.org/10.1051/matecconf/201712901013")</f>
        <v>http://dx.doi.org/10.1051/matecconf/201712901013</v>
      </c>
      <c r="BS143" t="s">
        <v>1284</v>
      </c>
      <c r="BT143" t="str">
        <f>HYPERLINK("https%3A%2F%2Fwww.webofscience.com%2Fwos%2Fwoscc%2Ffull-record%2FWOS:000426431000013","View Full Record in Web of Science")</f>
        <v>View Full Record in Web of Science</v>
      </c>
    </row>
    <row r="144" spans="1:72" ht="12.75" customHeight="1" x14ac:dyDescent="0.2">
      <c r="A144" t="s">
        <v>147</v>
      </c>
      <c r="B144" t="s">
        <v>1285</v>
      </c>
      <c r="E144" t="s">
        <v>210</v>
      </c>
      <c r="F144" t="s">
        <v>1286</v>
      </c>
      <c r="I144" t="s">
        <v>1287</v>
      </c>
      <c r="J144" t="s">
        <v>1261</v>
      </c>
      <c r="O144" t="s">
        <v>214</v>
      </c>
      <c r="P144" t="s">
        <v>909</v>
      </c>
      <c r="Q144" t="s">
        <v>910</v>
      </c>
      <c r="R144" t="s">
        <v>1262</v>
      </c>
      <c r="AA144" t="s">
        <v>1288</v>
      </c>
      <c r="AB144" t="s">
        <v>1289</v>
      </c>
      <c r="AQ144" t="s">
        <v>1263</v>
      </c>
      <c r="AU144">
        <v>2017</v>
      </c>
      <c r="BS144" t="s">
        <v>1290</v>
      </c>
      <c r="BT144" t="str">
        <f>HYPERLINK("https%3A%2F%2Fwww.webofscience.com%2Fwos%2Fwoscc%2Ffull-record%2FWOS:000414282400356","View Full Record in Web of Science")</f>
        <v>View Full Record in Web of Science</v>
      </c>
    </row>
    <row r="145" spans="1:72" ht="12.75" customHeight="1" x14ac:dyDescent="0.2">
      <c r="A145" t="s">
        <v>72</v>
      </c>
      <c r="B145" t="s">
        <v>110</v>
      </c>
      <c r="F145" t="s">
        <v>1291</v>
      </c>
      <c r="I145" t="s">
        <v>1292</v>
      </c>
      <c r="J145" t="s">
        <v>244</v>
      </c>
      <c r="AA145" t="s">
        <v>677</v>
      </c>
      <c r="AB145" t="s">
        <v>678</v>
      </c>
      <c r="AO145" t="s">
        <v>245</v>
      </c>
      <c r="AP145" t="s">
        <v>246</v>
      </c>
      <c r="AU145">
        <v>2017</v>
      </c>
      <c r="AW145">
        <v>5</v>
      </c>
      <c r="BB145">
        <v>3</v>
      </c>
      <c r="BC145">
        <v>15</v>
      </c>
      <c r="BS145" t="s">
        <v>1293</v>
      </c>
      <c r="BT145" t="str">
        <f>HYPERLINK("https%3A%2F%2Fwww.webofscience.com%2Fwos%2Fwoscc%2Ffull-record%2FWOS:000403853500001","View Full Record in Web of Science")</f>
        <v>View Full Record in Web of Science</v>
      </c>
    </row>
    <row r="146" spans="1:72" ht="12.75" customHeight="1" x14ac:dyDescent="0.2">
      <c r="A146" t="s">
        <v>147</v>
      </c>
      <c r="B146" t="s">
        <v>1294</v>
      </c>
      <c r="D146" t="s">
        <v>1295</v>
      </c>
      <c r="F146" t="s">
        <v>1296</v>
      </c>
      <c r="I146" t="s">
        <v>1297</v>
      </c>
      <c r="J146" t="s">
        <v>1298</v>
      </c>
      <c r="K146" t="s">
        <v>1299</v>
      </c>
      <c r="O146" t="s">
        <v>1300</v>
      </c>
      <c r="P146" t="s">
        <v>1301</v>
      </c>
      <c r="Q146" t="s">
        <v>1302</v>
      </c>
      <c r="AO146" t="s">
        <v>1303</v>
      </c>
      <c r="AP146" t="s">
        <v>1304</v>
      </c>
      <c r="AQ146" t="s">
        <v>1305</v>
      </c>
      <c r="AU146">
        <v>2016</v>
      </c>
      <c r="AV146">
        <v>9729</v>
      </c>
      <c r="BB146">
        <v>155</v>
      </c>
      <c r="BC146">
        <v>169</v>
      </c>
      <c r="BE146" t="s">
        <v>1306</v>
      </c>
      <c r="BF146" t="str">
        <f>HYPERLINK("http://dx.doi.org/10.1007/978-3-319-41920-6_12","http://dx.doi.org/10.1007/978-3-319-41920-6_12")</f>
        <v>http://dx.doi.org/10.1007/978-3-319-41920-6_12</v>
      </c>
      <c r="BS146" t="s">
        <v>1307</v>
      </c>
      <c r="BT146" t="str">
        <f>HYPERLINK("https%3A%2F%2Fwww.webofscience.com%2Fwos%2Fwoscc%2Ffull-record%2FWOS:000386510300012","View Full Record in Web of Science")</f>
        <v>View Full Record in Web of Science</v>
      </c>
    </row>
    <row r="147" spans="1:72" ht="12.75" customHeight="1" x14ac:dyDescent="0.2">
      <c r="A147" t="s">
        <v>147</v>
      </c>
      <c r="B147" t="s">
        <v>1308</v>
      </c>
      <c r="D147" t="s">
        <v>1309</v>
      </c>
      <c r="F147" t="s">
        <v>1310</v>
      </c>
      <c r="I147" t="s">
        <v>1311</v>
      </c>
      <c r="J147" t="s">
        <v>1312</v>
      </c>
      <c r="K147" t="s">
        <v>1313</v>
      </c>
      <c r="O147" t="s">
        <v>1314</v>
      </c>
      <c r="P147" t="s">
        <v>1315</v>
      </c>
      <c r="Q147" t="s">
        <v>1316</v>
      </c>
      <c r="AA147" t="s">
        <v>1317</v>
      </c>
      <c r="AB147" t="s">
        <v>1318</v>
      </c>
      <c r="AO147" t="s">
        <v>1319</v>
      </c>
      <c r="AQ147" t="s">
        <v>1320</v>
      </c>
      <c r="AU147">
        <v>2016</v>
      </c>
      <c r="AV147">
        <v>464</v>
      </c>
      <c r="BB147">
        <v>203</v>
      </c>
      <c r="BC147">
        <v>211</v>
      </c>
      <c r="BE147" t="s">
        <v>1321</v>
      </c>
      <c r="BF147" t="str">
        <f>HYPERLINK("http://dx.doi.org/10.1007/978-3-319-33625-1_19","http://dx.doi.org/10.1007/978-3-319-33625-1_19")</f>
        <v>http://dx.doi.org/10.1007/978-3-319-33625-1_19</v>
      </c>
      <c r="BS147" t="s">
        <v>1322</v>
      </c>
      <c r="BT147" t="str">
        <f>HYPERLINK("https%3A%2F%2Fwww.webofscience.com%2Fwos%2Fwoscc%2Ffull-record%2FWOS:000385237600019","View Full Record in Web of Science")</f>
        <v>View Full Record in Web of Science</v>
      </c>
    </row>
    <row r="148" spans="1:72" ht="12.75" customHeight="1" x14ac:dyDescent="0.2">
      <c r="A148" t="s">
        <v>147</v>
      </c>
      <c r="B148" t="s">
        <v>1323</v>
      </c>
      <c r="D148" t="s">
        <v>739</v>
      </c>
      <c r="F148" t="s">
        <v>1324</v>
      </c>
      <c r="I148" t="s">
        <v>1325</v>
      </c>
      <c r="J148" t="s">
        <v>1326</v>
      </c>
      <c r="O148" t="s">
        <v>744</v>
      </c>
      <c r="P148" t="s">
        <v>1327</v>
      </c>
      <c r="Q148" t="s">
        <v>1328</v>
      </c>
      <c r="R148" t="s">
        <v>1329</v>
      </c>
      <c r="S148" t="s">
        <v>1330</v>
      </c>
      <c r="AA148" t="s">
        <v>1150</v>
      </c>
      <c r="AB148" t="s">
        <v>1151</v>
      </c>
      <c r="AQ148" t="s">
        <v>1331</v>
      </c>
      <c r="AU148">
        <v>2013</v>
      </c>
      <c r="BS148" t="s">
        <v>1332</v>
      </c>
      <c r="BT148" t="str">
        <f>HYPERLINK("https%3A%2F%2Fwww.webofscience.com%2Fwos%2Fwoscc%2Ffull-record%2FWOS:000331107100053","View Full Record in Web of Science")</f>
        <v>View Full Record in Web of Science</v>
      </c>
    </row>
    <row r="149" spans="1:72" ht="12.75" customHeight="1" x14ac:dyDescent="0.2">
      <c r="A149" t="s">
        <v>72</v>
      </c>
      <c r="B149" t="s">
        <v>611</v>
      </c>
      <c r="F149" t="s">
        <v>612</v>
      </c>
      <c r="I149" t="s">
        <v>1333</v>
      </c>
      <c r="J149" t="s">
        <v>623</v>
      </c>
      <c r="AA149" t="s">
        <v>615</v>
      </c>
      <c r="AB149" t="s">
        <v>616</v>
      </c>
      <c r="AO149" t="s">
        <v>624</v>
      </c>
      <c r="AP149" t="s">
        <v>1334</v>
      </c>
      <c r="AT149" t="s">
        <v>171</v>
      </c>
      <c r="AU149">
        <v>2011</v>
      </c>
      <c r="AV149">
        <v>85</v>
      </c>
      <c r="AW149">
        <v>3</v>
      </c>
      <c r="BB149">
        <v>499</v>
      </c>
      <c r="BC149">
        <v>502</v>
      </c>
      <c r="BE149" t="s">
        <v>1335</v>
      </c>
      <c r="BF149" t="str">
        <f>HYPERLINK("http://dx.doi.org/10.1134/S0036024411030204","http://dx.doi.org/10.1134/S0036024411030204")</f>
        <v>http://dx.doi.org/10.1134/S0036024411030204</v>
      </c>
      <c r="BS149" t="s">
        <v>1336</v>
      </c>
      <c r="BT149" t="str">
        <f>HYPERLINK("https%3A%2F%2Fwww.webofscience.com%2Fwos%2Fwoscc%2Ffull-record%2FWOS:000286985400027","View Full Record in Web of Science")</f>
        <v>View Full Record in Web of Science</v>
      </c>
    </row>
    <row r="150" spans="1:72" ht="12.75" customHeight="1" x14ac:dyDescent="0.2">
      <c r="A150" t="s">
        <v>72</v>
      </c>
      <c r="B150" t="s">
        <v>1337</v>
      </c>
      <c r="F150" t="s">
        <v>1338</v>
      </c>
      <c r="I150" t="s">
        <v>1339</v>
      </c>
      <c r="J150" t="s">
        <v>123</v>
      </c>
      <c r="AB150" t="s">
        <v>497</v>
      </c>
      <c r="AO150" t="s">
        <v>124</v>
      </c>
      <c r="AT150" t="s">
        <v>491</v>
      </c>
      <c r="AU150">
        <v>2022</v>
      </c>
      <c r="AV150">
        <v>23</v>
      </c>
      <c r="AW150">
        <v>6</v>
      </c>
      <c r="BB150">
        <v>245</v>
      </c>
      <c r="BC150">
        <v>252</v>
      </c>
      <c r="BE150" t="s">
        <v>1340</v>
      </c>
      <c r="BF150" t="str">
        <f>HYPERLINK("http://dx.doi.org/10.12911/22998993/148148","http://dx.doi.org/10.12911/22998993/148148")</f>
        <v>http://dx.doi.org/10.12911/22998993/148148</v>
      </c>
      <c r="BS150" t="s">
        <v>1341</v>
      </c>
      <c r="BT150" t="str">
        <f>HYPERLINK("https%3A%2F%2Fwww.webofscience.com%2Fwos%2Fwoscc%2Ffull-record%2FWOS:000814321000001","View Full Record in Web of Science")</f>
        <v>View Full Record in Web of Science</v>
      </c>
    </row>
    <row r="151" spans="1:72" ht="12.75" customHeight="1" x14ac:dyDescent="0.2">
      <c r="A151" t="s">
        <v>1342</v>
      </c>
      <c r="B151" t="s">
        <v>1343</v>
      </c>
      <c r="D151" t="s">
        <v>1344</v>
      </c>
      <c r="F151" t="s">
        <v>1345</v>
      </c>
      <c r="I151" t="s">
        <v>1346</v>
      </c>
      <c r="J151" t="s">
        <v>1347</v>
      </c>
      <c r="K151" t="s">
        <v>1348</v>
      </c>
      <c r="AO151" t="s">
        <v>1349</v>
      </c>
      <c r="AP151" t="s">
        <v>1350</v>
      </c>
      <c r="AQ151" t="s">
        <v>1351</v>
      </c>
      <c r="AU151">
        <v>2021</v>
      </c>
      <c r="BB151">
        <v>335</v>
      </c>
      <c r="BC151">
        <v>342</v>
      </c>
      <c r="BE151" t="s">
        <v>1352</v>
      </c>
      <c r="BF151" t="str">
        <f>HYPERLINK("http://dx.doi.org/10.1007/978-3-030-70194-9_33","http://dx.doi.org/10.1007/978-3-030-70194-9_33")</f>
        <v>http://dx.doi.org/10.1007/978-3-030-70194-9_33</v>
      </c>
      <c r="BG151" t="s">
        <v>1353</v>
      </c>
      <c r="BS151" t="s">
        <v>1354</v>
      </c>
      <c r="BT151" t="str">
        <f>HYPERLINK("https%3A%2F%2Fwww.webofscience.com%2Fwos%2Fwoscc%2Ffull-record%2FWOS:000849737100032","View Full Record in Web of Science")</f>
        <v>View Full Record in Web of Science</v>
      </c>
    </row>
    <row r="152" spans="1:72" ht="12.75" customHeight="1" x14ac:dyDescent="0.2">
      <c r="A152" t="s">
        <v>72</v>
      </c>
      <c r="B152" t="s">
        <v>1355</v>
      </c>
      <c r="F152" t="s">
        <v>1356</v>
      </c>
      <c r="I152" t="s">
        <v>1357</v>
      </c>
      <c r="J152" t="s">
        <v>1358</v>
      </c>
      <c r="AO152" t="s">
        <v>1359</v>
      </c>
      <c r="AP152" t="s">
        <v>1360</v>
      </c>
      <c r="AT152" t="s">
        <v>1173</v>
      </c>
      <c r="AU152">
        <v>2019</v>
      </c>
      <c r="AV152">
        <v>50</v>
      </c>
      <c r="BB152">
        <v>55</v>
      </c>
      <c r="BC152">
        <v>64</v>
      </c>
      <c r="BE152" t="s">
        <v>1361</v>
      </c>
      <c r="BF152" t="str">
        <f>HYPERLINK("http://dx.doi.org/10.17223/1998863X/50/6","http://dx.doi.org/10.17223/1998863X/50/6")</f>
        <v>http://dx.doi.org/10.17223/1998863X/50/6</v>
      </c>
      <c r="BS152" t="s">
        <v>1362</v>
      </c>
      <c r="BT152" t="str">
        <f>HYPERLINK("https%3A%2F%2Fwww.webofscience.com%2Fwos%2Fwoscc%2Ffull-record%2FWOS:000500733100006","View Full Record in Web of Science")</f>
        <v>View Full Record in Web of Science</v>
      </c>
    </row>
    <row r="153" spans="1:72" ht="12.75" customHeight="1" x14ac:dyDescent="0.2">
      <c r="A153" t="s">
        <v>72</v>
      </c>
      <c r="B153" t="s">
        <v>1042</v>
      </c>
      <c r="F153" t="s">
        <v>1363</v>
      </c>
      <c r="I153" t="s">
        <v>1364</v>
      </c>
      <c r="J153" t="s">
        <v>1045</v>
      </c>
      <c r="AA153" t="s">
        <v>1046</v>
      </c>
      <c r="AB153" t="s">
        <v>1365</v>
      </c>
      <c r="AO153" t="s">
        <v>1048</v>
      </c>
      <c r="AP153" t="s">
        <v>1049</v>
      </c>
      <c r="AT153" t="s">
        <v>198</v>
      </c>
      <c r="AU153">
        <v>2019</v>
      </c>
      <c r="AV153">
        <v>46</v>
      </c>
      <c r="AW153">
        <v>2</v>
      </c>
      <c r="BB153">
        <v>110</v>
      </c>
      <c r="BC153">
        <v>116</v>
      </c>
      <c r="BE153" t="s">
        <v>1366</v>
      </c>
      <c r="BF153" t="str">
        <f>HYPERLINK("http://dx.doi.org/10.3103/S0147688219020096","http://dx.doi.org/10.3103/S0147688219020096")</f>
        <v>http://dx.doi.org/10.3103/S0147688219020096</v>
      </c>
      <c r="BS153" t="s">
        <v>1367</v>
      </c>
      <c r="BT153" t="str">
        <f>HYPERLINK("https%3A%2F%2Fwww.webofscience.com%2Fwos%2Fwoscc%2Ffull-record%2FWOS:000481530700008","View Full Record in Web of Science")</f>
        <v>View Full Record in Web of Science</v>
      </c>
    </row>
    <row r="154" spans="1:72" ht="12.75" customHeight="1" x14ac:dyDescent="0.2">
      <c r="A154" t="s">
        <v>147</v>
      </c>
      <c r="B154" t="s">
        <v>1368</v>
      </c>
      <c r="D154" t="s">
        <v>249</v>
      </c>
      <c r="F154" t="s">
        <v>1369</v>
      </c>
      <c r="I154" t="s">
        <v>1370</v>
      </c>
      <c r="J154" t="s">
        <v>1371</v>
      </c>
      <c r="O154" t="s">
        <v>1372</v>
      </c>
      <c r="P154" t="s">
        <v>1373</v>
      </c>
      <c r="Q154" t="s">
        <v>256</v>
      </c>
      <c r="S154" t="s">
        <v>257</v>
      </c>
      <c r="AQ154" t="s">
        <v>1374</v>
      </c>
      <c r="AU154">
        <v>2019</v>
      </c>
      <c r="BB154">
        <v>735</v>
      </c>
      <c r="BC154">
        <v>749</v>
      </c>
      <c r="BE154" t="s">
        <v>1375</v>
      </c>
      <c r="BF154" t="str">
        <f>HYPERLINK("http://dx.doi.org/10.3897/ap.1.e0698","http://dx.doi.org/10.3897/ap.1.e0698")</f>
        <v>http://dx.doi.org/10.3897/ap.1.e0698</v>
      </c>
      <c r="BS154" t="s">
        <v>1376</v>
      </c>
      <c r="BT154" t="str">
        <f>HYPERLINK("https%3A%2F%2Fwww.webofscience.com%2Fwos%2Fwoscc%2Ffull-record%2FWOS:000520005200072","View Full Record in Web of Science")</f>
        <v>View Full Record in Web of Science</v>
      </c>
    </row>
    <row r="155" spans="1:72" ht="12.75" customHeight="1" x14ac:dyDescent="0.2">
      <c r="A155" t="s">
        <v>72</v>
      </c>
      <c r="B155" t="s">
        <v>1377</v>
      </c>
      <c r="F155" t="s">
        <v>1378</v>
      </c>
      <c r="I155" t="s">
        <v>1379</v>
      </c>
      <c r="J155" t="s">
        <v>1380</v>
      </c>
      <c r="AA155" t="s">
        <v>1381</v>
      </c>
      <c r="AB155" t="s">
        <v>1382</v>
      </c>
      <c r="AO155" t="s">
        <v>1383</v>
      </c>
      <c r="AT155" t="s">
        <v>830</v>
      </c>
      <c r="AU155">
        <v>2018</v>
      </c>
      <c r="AV155">
        <v>73</v>
      </c>
      <c r="AW155">
        <v>3</v>
      </c>
      <c r="BB155">
        <v>28</v>
      </c>
      <c r="BC155" t="s">
        <v>107</v>
      </c>
      <c r="BS155" t="s">
        <v>1384</v>
      </c>
      <c r="BT155" t="str">
        <f>HYPERLINK("https%3A%2F%2Fwww.webofscience.com%2Fwos%2Fwoscc%2Ffull-record%2FWOS:000444615300004","View Full Record in Web of Science")</f>
        <v>View Full Record in Web of Science</v>
      </c>
    </row>
    <row r="156" spans="1:72" ht="12.75" customHeight="1" x14ac:dyDescent="0.2">
      <c r="A156" t="s">
        <v>147</v>
      </c>
      <c r="B156" t="s">
        <v>568</v>
      </c>
      <c r="E156" t="s">
        <v>210</v>
      </c>
      <c r="F156" t="s">
        <v>569</v>
      </c>
      <c r="I156" t="s">
        <v>1385</v>
      </c>
      <c r="J156" t="s">
        <v>1139</v>
      </c>
      <c r="K156" t="s">
        <v>390</v>
      </c>
      <c r="O156" t="s">
        <v>1140</v>
      </c>
      <c r="P156" t="s">
        <v>1141</v>
      </c>
      <c r="Q156" t="s">
        <v>393</v>
      </c>
      <c r="R156" t="s">
        <v>1142</v>
      </c>
      <c r="AA156" t="s">
        <v>1386</v>
      </c>
      <c r="AB156" t="s">
        <v>1387</v>
      </c>
      <c r="AO156" t="s">
        <v>395</v>
      </c>
      <c r="AQ156" t="s">
        <v>1145</v>
      </c>
      <c r="AU156">
        <v>2018</v>
      </c>
      <c r="BB156">
        <v>435</v>
      </c>
      <c r="BC156">
        <v>438</v>
      </c>
      <c r="BS156" t="s">
        <v>1388</v>
      </c>
      <c r="BT156" t="str">
        <f>HYPERLINK("https%3A%2F%2Fwww.webofscience.com%2Fwos%2Fwoscc%2Ffull-record%2FWOS:000644432200110","View Full Record in Web of Science")</f>
        <v>View Full Record in Web of Science</v>
      </c>
    </row>
    <row r="157" spans="1:72" ht="12.75" customHeight="1" x14ac:dyDescent="0.2">
      <c r="A157" t="s">
        <v>147</v>
      </c>
      <c r="B157" t="s">
        <v>1389</v>
      </c>
      <c r="E157" t="s">
        <v>210</v>
      </c>
      <c r="F157" t="s">
        <v>1390</v>
      </c>
      <c r="I157" t="s">
        <v>1391</v>
      </c>
      <c r="J157" t="s">
        <v>213</v>
      </c>
      <c r="O157" t="s">
        <v>214</v>
      </c>
      <c r="P157" t="s">
        <v>215</v>
      </c>
      <c r="Q157" t="s">
        <v>216</v>
      </c>
      <c r="S157" t="s">
        <v>217</v>
      </c>
      <c r="AQ157" t="s">
        <v>218</v>
      </c>
      <c r="AU157">
        <v>2018</v>
      </c>
      <c r="BS157" t="s">
        <v>1392</v>
      </c>
      <c r="BT157" t="str">
        <f>HYPERLINK("https%3A%2F%2Fwww.webofscience.com%2Fwos%2Fwoscc%2Ffull-record%2FWOS:000478963800186","View Full Record in Web of Science")</f>
        <v>View Full Record in Web of Science</v>
      </c>
    </row>
    <row r="158" spans="1:72" ht="12.75" customHeight="1" x14ac:dyDescent="0.2">
      <c r="A158" t="s">
        <v>72</v>
      </c>
      <c r="B158" t="s">
        <v>1393</v>
      </c>
      <c r="F158" t="s">
        <v>1394</v>
      </c>
      <c r="I158" t="s">
        <v>1395</v>
      </c>
      <c r="J158" t="s">
        <v>95</v>
      </c>
      <c r="AO158" t="s">
        <v>98</v>
      </c>
      <c r="AP158" t="s">
        <v>99</v>
      </c>
      <c r="AU158">
        <v>2018</v>
      </c>
      <c r="AW158">
        <v>4</v>
      </c>
      <c r="BB158">
        <v>108</v>
      </c>
      <c r="BC158">
        <v>113</v>
      </c>
      <c r="BE158" t="s">
        <v>1396</v>
      </c>
      <c r="BF158" t="str">
        <f>HYPERLINK("http://dx.doi.org/10.25750/1995-4301-2018-4-108-113","http://dx.doi.org/10.25750/1995-4301-2018-4-108-113")</f>
        <v>http://dx.doi.org/10.25750/1995-4301-2018-4-108-113</v>
      </c>
      <c r="BS158" t="s">
        <v>1397</v>
      </c>
      <c r="BT158" t="str">
        <f>HYPERLINK("https%3A%2F%2Fwww.webofscience.com%2Fwos%2Fwoscc%2Ffull-record%2FWOS:000468565300014","View Full Record in Web of Science")</f>
        <v>View Full Record in Web of Science</v>
      </c>
    </row>
    <row r="159" spans="1:72" ht="12.75" customHeight="1" x14ac:dyDescent="0.2">
      <c r="A159" t="s">
        <v>72</v>
      </c>
      <c r="B159" t="s">
        <v>1398</v>
      </c>
      <c r="F159" t="s">
        <v>1399</v>
      </c>
      <c r="I159" t="s">
        <v>1400</v>
      </c>
      <c r="J159" t="s">
        <v>1401</v>
      </c>
      <c r="AA159" t="s">
        <v>1402</v>
      </c>
      <c r="AB159" t="s">
        <v>1403</v>
      </c>
      <c r="AO159" t="s">
        <v>1404</v>
      </c>
      <c r="AP159" t="s">
        <v>1405</v>
      </c>
      <c r="AT159" t="s">
        <v>541</v>
      </c>
      <c r="AU159">
        <v>2016</v>
      </c>
      <c r="AV159">
        <v>55</v>
      </c>
      <c r="AW159">
        <v>1</v>
      </c>
      <c r="BB159">
        <v>106</v>
      </c>
      <c r="BC159">
        <v>114</v>
      </c>
      <c r="BE159" t="s">
        <v>1406</v>
      </c>
      <c r="BF159" t="str">
        <f>HYPERLINK("http://dx.doi.org/10.1134/S1064230715060106","http://dx.doi.org/10.1134/S1064230715060106")</f>
        <v>http://dx.doi.org/10.1134/S1064230715060106</v>
      </c>
      <c r="BS159" t="s">
        <v>1407</v>
      </c>
      <c r="BT159" t="str">
        <f>HYPERLINK("https%3A%2F%2Fwww.webofscience.com%2Fwos%2Fwoscc%2Ffull-record%2FWOS:000373156600007","View Full Record in Web of Science")</f>
        <v>View Full Record in Web of Science</v>
      </c>
    </row>
    <row r="160" spans="1:72" ht="12.75" customHeight="1" x14ac:dyDescent="0.2">
      <c r="A160" t="s">
        <v>147</v>
      </c>
      <c r="B160" t="s">
        <v>1408</v>
      </c>
      <c r="E160" t="s">
        <v>280</v>
      </c>
      <c r="F160" t="s">
        <v>1409</v>
      </c>
      <c r="I160" t="s">
        <v>1410</v>
      </c>
      <c r="J160" t="s">
        <v>1411</v>
      </c>
      <c r="K160" t="s">
        <v>284</v>
      </c>
      <c r="O160" t="s">
        <v>285</v>
      </c>
      <c r="P160" t="s">
        <v>286</v>
      </c>
      <c r="Q160" t="s">
        <v>287</v>
      </c>
      <c r="R160" t="s">
        <v>288</v>
      </c>
      <c r="AA160" t="s">
        <v>1412</v>
      </c>
      <c r="AB160" t="s">
        <v>1413</v>
      </c>
      <c r="AO160" t="s">
        <v>289</v>
      </c>
      <c r="AQ160" t="s">
        <v>1414</v>
      </c>
      <c r="AU160">
        <v>2014</v>
      </c>
      <c r="BB160">
        <v>187</v>
      </c>
      <c r="BC160">
        <v>194</v>
      </c>
      <c r="BS160" t="s">
        <v>1415</v>
      </c>
      <c r="BT160" t="str">
        <f>HYPERLINK("https%3A%2F%2Fwww.webofscience.com%2Fwos%2Fwoscc%2Ffull-record%2FWOS:000357943500021","View Full Record in Web of Science")</f>
        <v>View Full Record in Web of Science</v>
      </c>
    </row>
    <row r="161" spans="1:72" ht="12.75" customHeight="1" x14ac:dyDescent="0.2">
      <c r="A161" t="s">
        <v>72</v>
      </c>
      <c r="B161" t="s">
        <v>1416</v>
      </c>
      <c r="F161" t="s">
        <v>1417</v>
      </c>
      <c r="I161" t="s">
        <v>1418</v>
      </c>
      <c r="J161" t="s">
        <v>244</v>
      </c>
      <c r="AA161" t="s">
        <v>608</v>
      </c>
      <c r="AB161" t="s">
        <v>609</v>
      </c>
      <c r="AO161" t="s">
        <v>245</v>
      </c>
      <c r="AP161" t="s">
        <v>246</v>
      </c>
      <c r="AU161">
        <v>2013</v>
      </c>
      <c r="AW161">
        <v>2</v>
      </c>
      <c r="BB161">
        <v>18</v>
      </c>
      <c r="BC161">
        <v>33</v>
      </c>
      <c r="BS161" t="s">
        <v>1419</v>
      </c>
      <c r="BT161" t="str">
        <f>HYPERLINK("https%3A%2F%2Fwww.webofscience.com%2Fwos%2Fwoscc%2Ffull-record%2FWOS:000316525400002","View Full Record in Web of Science")</f>
        <v>View Full Record in Web of Science</v>
      </c>
    </row>
    <row r="162" spans="1:72" ht="12.75" customHeight="1" x14ac:dyDescent="0.2">
      <c r="A162" t="s">
        <v>72</v>
      </c>
      <c r="B162" t="s">
        <v>1420</v>
      </c>
      <c r="F162" t="s">
        <v>1421</v>
      </c>
      <c r="I162" t="s">
        <v>1422</v>
      </c>
      <c r="J162" t="s">
        <v>409</v>
      </c>
      <c r="AA162" t="s">
        <v>480</v>
      </c>
      <c r="AB162" t="s">
        <v>481</v>
      </c>
      <c r="AO162" t="s">
        <v>412</v>
      </c>
      <c r="AT162" t="s">
        <v>1173</v>
      </c>
      <c r="AU162">
        <v>2012</v>
      </c>
      <c r="AV162">
        <v>85</v>
      </c>
      <c r="AW162">
        <v>8</v>
      </c>
      <c r="BB162">
        <v>1197</v>
      </c>
      <c r="BC162">
        <v>1200</v>
      </c>
      <c r="BE162" t="s">
        <v>1423</v>
      </c>
      <c r="BF162" t="str">
        <f>HYPERLINK("http://dx.doi.org/10.1134/S1070427212080101","http://dx.doi.org/10.1134/S1070427212080101")</f>
        <v>http://dx.doi.org/10.1134/S1070427212080101</v>
      </c>
      <c r="BS162" t="s">
        <v>1424</v>
      </c>
      <c r="BT162" t="str">
        <f>HYPERLINK("https%3A%2F%2Fwww.webofscience.com%2Fwos%2Fwoscc%2Ffull-record%2FWOS:000308813500010","View Full Record in Web of Science")</f>
        <v>View Full Record in Web of Science</v>
      </c>
    </row>
    <row r="163" spans="1:72" ht="12.75" customHeight="1" x14ac:dyDescent="0.2">
      <c r="A163" t="s">
        <v>72</v>
      </c>
      <c r="B163" t="s">
        <v>1176</v>
      </c>
      <c r="F163" t="s">
        <v>1177</v>
      </c>
      <c r="I163" t="s">
        <v>1425</v>
      </c>
      <c r="J163" t="s">
        <v>244</v>
      </c>
      <c r="AO163" t="s">
        <v>245</v>
      </c>
      <c r="AU163">
        <v>2007</v>
      </c>
      <c r="AW163">
        <v>5</v>
      </c>
      <c r="BB163">
        <v>175</v>
      </c>
      <c r="BC163">
        <v>175</v>
      </c>
      <c r="BS163" t="s">
        <v>1426</v>
      </c>
      <c r="BT163" t="str">
        <f>HYPERLINK("https%3A%2F%2Fwww.webofscience.com%2Fwos%2Fwoscc%2Ffull-record%2FWOS:000247859600017","View Full Record in Web of Science")</f>
        <v>View Full Record in Web of Science</v>
      </c>
    </row>
    <row r="164" spans="1:72" ht="12.75" customHeight="1" x14ac:dyDescent="0.2">
      <c r="A164" t="s">
        <v>72</v>
      </c>
      <c r="B164" t="s">
        <v>1427</v>
      </c>
      <c r="F164" t="s">
        <v>1428</v>
      </c>
      <c r="I164" t="s">
        <v>1429</v>
      </c>
      <c r="J164" t="s">
        <v>304</v>
      </c>
      <c r="AO164" t="s">
        <v>77</v>
      </c>
      <c r="AT164" t="s">
        <v>1012</v>
      </c>
      <c r="AU164">
        <v>2006</v>
      </c>
      <c r="AW164">
        <v>5</v>
      </c>
      <c r="BB164">
        <v>39</v>
      </c>
      <c r="BC164">
        <v>49</v>
      </c>
      <c r="BS164" t="s">
        <v>1430</v>
      </c>
      <c r="BT164" t="str">
        <f>HYPERLINK("https%3A%2F%2Fwww.webofscience.com%2Fwos%2Fwoscc%2Ffull-record%2FWOS:000241086700004","View Full Record in Web of Science")</f>
        <v>View Full Record in Web of Science</v>
      </c>
    </row>
    <row r="165" spans="1:72" ht="12.75" customHeight="1" x14ac:dyDescent="0.2">
      <c r="A165" t="s">
        <v>72</v>
      </c>
      <c r="B165" t="s">
        <v>1431</v>
      </c>
      <c r="F165" t="s">
        <v>1431</v>
      </c>
      <c r="I165" t="s">
        <v>1432</v>
      </c>
      <c r="J165" t="s">
        <v>1433</v>
      </c>
      <c r="AO165" t="s">
        <v>1434</v>
      </c>
      <c r="AT165" t="s">
        <v>655</v>
      </c>
      <c r="AU165">
        <v>1997</v>
      </c>
      <c r="AV165">
        <v>61</v>
      </c>
      <c r="AW165">
        <v>2</v>
      </c>
      <c r="BB165">
        <v>246</v>
      </c>
      <c r="BC165">
        <v>248</v>
      </c>
      <c r="BS165" t="s">
        <v>1435</v>
      </c>
      <c r="BT165" t="str">
        <f>HYPERLINK("https%3A%2F%2Fwww.webofscience.com%2Fwos%2Fwoscc%2Ffull-record%2FWOS:A1997WU95900007","View Full Record in Web of Science")</f>
        <v>View Full Record in Web of Science</v>
      </c>
    </row>
    <row r="166" spans="1:72" ht="12.75" customHeight="1" x14ac:dyDescent="0.2">
      <c r="A166" t="s">
        <v>72</v>
      </c>
      <c r="B166" t="s">
        <v>1436</v>
      </c>
      <c r="F166" t="s">
        <v>1436</v>
      </c>
      <c r="I166" t="s">
        <v>1437</v>
      </c>
      <c r="J166" t="s">
        <v>244</v>
      </c>
      <c r="AO166" t="s">
        <v>245</v>
      </c>
      <c r="AU166">
        <v>1997</v>
      </c>
      <c r="AW166">
        <v>5</v>
      </c>
      <c r="BB166">
        <v>38</v>
      </c>
      <c r="BC166">
        <v>48</v>
      </c>
      <c r="BS166" t="s">
        <v>1438</v>
      </c>
      <c r="BT166" t="str">
        <f>HYPERLINK("https%3A%2F%2Fwww.webofscience.com%2Fwos%2Fwoscc%2Ffull-record%2FWOS:A1997XG33200003","View Full Record in Web of Science")</f>
        <v>View Full Record in Web of Science</v>
      </c>
    </row>
    <row r="167" spans="1:72" ht="12.75" customHeight="1" x14ac:dyDescent="0.2">
      <c r="A167" t="s">
        <v>72</v>
      </c>
      <c r="B167" t="s">
        <v>1439</v>
      </c>
      <c r="F167" t="s">
        <v>1440</v>
      </c>
      <c r="I167" t="s">
        <v>1441</v>
      </c>
      <c r="J167" t="s">
        <v>244</v>
      </c>
      <c r="AA167" t="s">
        <v>1442</v>
      </c>
      <c r="AB167" t="s">
        <v>1443</v>
      </c>
      <c r="AO167" t="s">
        <v>245</v>
      </c>
      <c r="AP167" t="s">
        <v>246</v>
      </c>
      <c r="AU167">
        <v>2021</v>
      </c>
      <c r="AV167">
        <v>6</v>
      </c>
      <c r="AW167">
        <v>2</v>
      </c>
      <c r="BB167">
        <v>139</v>
      </c>
      <c r="BC167">
        <v>151</v>
      </c>
      <c r="BE167" t="s">
        <v>1444</v>
      </c>
      <c r="BF167" t="str">
        <f>HYPERLINK("http://dx.doi.org/10.31166/VoprosyIstorii202106Statyi39","http://dx.doi.org/10.31166/VoprosyIstorii202106Statyi39")</f>
        <v>http://dx.doi.org/10.31166/VoprosyIstorii202106Statyi39</v>
      </c>
      <c r="BS167" t="s">
        <v>1445</v>
      </c>
      <c r="BT167" t="str">
        <f>HYPERLINK("https%3A%2F%2Fwww.webofscience.com%2Fwos%2Fwoscc%2Ffull-record%2FWOS:000729816200015","View Full Record in Web of Science")</f>
        <v>View Full Record in Web of Science</v>
      </c>
    </row>
    <row r="168" spans="1:72" ht="12.75" customHeight="1" x14ac:dyDescent="0.2">
      <c r="A168" t="s">
        <v>72</v>
      </c>
      <c r="B168" t="s">
        <v>581</v>
      </c>
      <c r="F168" t="s">
        <v>582</v>
      </c>
      <c r="I168" t="s">
        <v>1446</v>
      </c>
      <c r="J168" t="s">
        <v>584</v>
      </c>
      <c r="AA168" t="s">
        <v>1447</v>
      </c>
      <c r="AB168" t="s">
        <v>1448</v>
      </c>
      <c r="AO168" t="s">
        <v>1449</v>
      </c>
      <c r="AP168" t="s">
        <v>588</v>
      </c>
      <c r="AU168">
        <v>2021</v>
      </c>
      <c r="AV168">
        <v>107</v>
      </c>
      <c r="AW168">
        <v>7</v>
      </c>
      <c r="BD168">
        <v>10707</v>
      </c>
      <c r="BE168" t="s">
        <v>1450</v>
      </c>
      <c r="BF168" t="str">
        <f>HYPERLINK("http://dx.doi.org/10.34910/MCE.107.7","http://dx.doi.org/10.34910/MCE.107.7")</f>
        <v>http://dx.doi.org/10.34910/MCE.107.7</v>
      </c>
      <c r="BS168" t="s">
        <v>1451</v>
      </c>
      <c r="BT168" t="str">
        <f>HYPERLINK("https%3A%2F%2Fwww.webofscience.com%2Fwos%2Fwoscc%2Ffull-record%2FWOS:000730911700005","View Full Record in Web of Science")</f>
        <v>View Full Record in Web of Science</v>
      </c>
    </row>
    <row r="169" spans="1:72" ht="12.75" customHeight="1" x14ac:dyDescent="0.2">
      <c r="A169" t="s">
        <v>147</v>
      </c>
      <c r="B169" t="s">
        <v>1452</v>
      </c>
      <c r="D169" t="s">
        <v>149</v>
      </c>
      <c r="F169" t="s">
        <v>1453</v>
      </c>
      <c r="I169" t="s">
        <v>1454</v>
      </c>
      <c r="J169" t="s">
        <v>152</v>
      </c>
      <c r="K169" t="s">
        <v>153</v>
      </c>
      <c r="O169" t="s">
        <v>154</v>
      </c>
      <c r="P169" t="s">
        <v>155</v>
      </c>
      <c r="Q169" t="s">
        <v>156</v>
      </c>
      <c r="R169" t="s">
        <v>157</v>
      </c>
      <c r="AO169" t="s">
        <v>158</v>
      </c>
      <c r="AP169" t="s">
        <v>159</v>
      </c>
      <c r="AQ169" t="s">
        <v>160</v>
      </c>
      <c r="AU169">
        <v>2020</v>
      </c>
      <c r="AV169">
        <v>641</v>
      </c>
      <c r="BB169">
        <v>596</v>
      </c>
      <c r="BC169">
        <v>605</v>
      </c>
      <c r="BE169" t="s">
        <v>1455</v>
      </c>
      <c r="BF169" t="str">
        <f>HYPERLINK("http://dx.doi.org/10.1007/978-3-030-39225-3_65","http://dx.doi.org/10.1007/978-3-030-39225-3_65")</f>
        <v>http://dx.doi.org/10.1007/978-3-030-39225-3_65</v>
      </c>
      <c r="BS169" t="s">
        <v>1456</v>
      </c>
      <c r="BT169" t="str">
        <f>HYPERLINK("https%3A%2F%2Fwww.webofscience.com%2Fwos%2Fwoscc%2Ffull-record%2FWOS:000675525300065","View Full Record in Web of Science")</f>
        <v>View Full Record in Web of Science</v>
      </c>
    </row>
    <row r="170" spans="1:72" ht="12.75" customHeight="1" x14ac:dyDescent="0.2">
      <c r="A170" t="s">
        <v>72</v>
      </c>
      <c r="B170" t="s">
        <v>1457</v>
      </c>
      <c r="F170" t="s">
        <v>1458</v>
      </c>
      <c r="I170" t="s">
        <v>1459</v>
      </c>
      <c r="J170" t="s">
        <v>244</v>
      </c>
      <c r="AA170" t="s">
        <v>1460</v>
      </c>
      <c r="AB170" t="s">
        <v>1461</v>
      </c>
      <c r="AO170" t="s">
        <v>245</v>
      </c>
      <c r="AP170" t="s">
        <v>246</v>
      </c>
      <c r="AU170">
        <v>2020</v>
      </c>
      <c r="AW170">
        <v>6</v>
      </c>
      <c r="BB170">
        <v>129</v>
      </c>
      <c r="BC170">
        <v>140</v>
      </c>
      <c r="BE170" t="s">
        <v>1462</v>
      </c>
      <c r="BF170" t="str">
        <f>HYPERLINK("http://dx.doi.org/10.31166/VoprosyIstorii202006Statyi08","http://dx.doi.org/10.31166/VoprosyIstorii202006Statyi08")</f>
        <v>http://dx.doi.org/10.31166/VoprosyIstorii202006Statyi08</v>
      </c>
      <c r="BS170" t="s">
        <v>1463</v>
      </c>
      <c r="BT170" t="str">
        <f>HYPERLINK("https%3A%2F%2Fwww.webofscience.com%2Fwos%2Fwoscc%2Ffull-record%2FWOS:000657722200008","View Full Record in Web of Science")</f>
        <v>View Full Record in Web of Science</v>
      </c>
    </row>
    <row r="171" spans="1:72" ht="12.75" customHeight="1" x14ac:dyDescent="0.2">
      <c r="A171" t="s">
        <v>147</v>
      </c>
      <c r="B171" t="s">
        <v>1464</v>
      </c>
      <c r="E171" t="s">
        <v>1465</v>
      </c>
      <c r="F171" t="s">
        <v>1466</v>
      </c>
      <c r="I171" t="s">
        <v>1467</v>
      </c>
      <c r="J171" t="s">
        <v>1468</v>
      </c>
      <c r="K171" t="s">
        <v>1469</v>
      </c>
      <c r="O171" t="s">
        <v>1277</v>
      </c>
      <c r="P171" t="s">
        <v>771</v>
      </c>
      <c r="Q171" t="s">
        <v>1470</v>
      </c>
      <c r="R171" t="s">
        <v>1471</v>
      </c>
      <c r="AB171" t="s">
        <v>774</v>
      </c>
      <c r="AO171" t="s">
        <v>1472</v>
      </c>
      <c r="AU171">
        <v>2020</v>
      </c>
      <c r="AV171">
        <v>971</v>
      </c>
      <c r="BD171">
        <v>32024</v>
      </c>
      <c r="BE171" t="s">
        <v>1473</v>
      </c>
      <c r="BF171" t="str">
        <f>HYPERLINK("http://dx.doi.org/10.1088/1757-899X/971/3/032024","http://dx.doi.org/10.1088/1757-899X/971/3/032024")</f>
        <v>http://dx.doi.org/10.1088/1757-899X/971/3/032024</v>
      </c>
      <c r="BS171" t="s">
        <v>1474</v>
      </c>
      <c r="BT171" t="str">
        <f>HYPERLINK("https%3A%2F%2Fwww.webofscience.com%2Fwos%2Fwoscc%2Ffull-record%2FWOS:000646359100125","View Full Record in Web of Science")</f>
        <v>View Full Record in Web of Science</v>
      </c>
    </row>
    <row r="172" spans="1:72" ht="12.75" customHeight="1" x14ac:dyDescent="0.2">
      <c r="A172" t="s">
        <v>72</v>
      </c>
      <c r="B172" t="s">
        <v>1475</v>
      </c>
      <c r="F172" t="s">
        <v>1476</v>
      </c>
      <c r="I172" t="s">
        <v>1477</v>
      </c>
      <c r="J172" t="s">
        <v>1478</v>
      </c>
      <c r="AA172" t="s">
        <v>608</v>
      </c>
      <c r="AB172" t="s">
        <v>609</v>
      </c>
      <c r="AO172" t="s">
        <v>1479</v>
      </c>
      <c r="AU172">
        <v>2020</v>
      </c>
      <c r="AW172">
        <v>4</v>
      </c>
      <c r="BB172">
        <v>98</v>
      </c>
      <c r="BC172">
        <v>118</v>
      </c>
      <c r="BE172" t="s">
        <v>1480</v>
      </c>
      <c r="BF172" t="str">
        <f>HYPERLINK("http://dx.doi.org/10.24411/2500-2872-2020-10030","http://dx.doi.org/10.24411/2500-2872-2020-10030")</f>
        <v>http://dx.doi.org/10.24411/2500-2872-2020-10030</v>
      </c>
      <c r="BS172" t="s">
        <v>1481</v>
      </c>
      <c r="BT172" t="str">
        <f>HYPERLINK("https%3A%2F%2Fwww.webofscience.com%2Fwos%2Fwoscc%2Ffull-record%2FWOS:000604555300006","View Full Record in Web of Science")</f>
        <v>View Full Record in Web of Science</v>
      </c>
    </row>
    <row r="173" spans="1:72" ht="12.75" customHeight="1" x14ac:dyDescent="0.2">
      <c r="A173" t="s">
        <v>72</v>
      </c>
      <c r="B173" t="s">
        <v>1482</v>
      </c>
      <c r="F173" t="s">
        <v>1483</v>
      </c>
      <c r="I173" t="s">
        <v>1484</v>
      </c>
      <c r="J173" t="s">
        <v>166</v>
      </c>
      <c r="AA173" t="s">
        <v>1485</v>
      </c>
      <c r="AB173" t="s">
        <v>1486</v>
      </c>
      <c r="AO173" t="s">
        <v>169</v>
      </c>
      <c r="AP173" t="s">
        <v>170</v>
      </c>
      <c r="AT173" t="s">
        <v>491</v>
      </c>
      <c r="AU173">
        <v>2019</v>
      </c>
      <c r="AV173">
        <v>8</v>
      </c>
      <c r="AW173">
        <v>2</v>
      </c>
      <c r="BB173">
        <v>357</v>
      </c>
      <c r="BC173">
        <v>369</v>
      </c>
      <c r="BE173" t="s">
        <v>1487</v>
      </c>
      <c r="BF173" t="str">
        <f>HYPERLINK("http://dx.doi.org/10.13187/ejced.2019.2.357","http://dx.doi.org/10.13187/ejced.2019.2.357")</f>
        <v>http://dx.doi.org/10.13187/ejced.2019.2.357</v>
      </c>
      <c r="BS173" t="s">
        <v>1488</v>
      </c>
      <c r="BT173" t="str">
        <f>HYPERLINK("https%3A%2F%2Fwww.webofscience.com%2Fwos%2Fwoscc%2Ffull-record%2FWOS:000471936000009","View Full Record in Web of Science")</f>
        <v>View Full Record in Web of Science</v>
      </c>
    </row>
    <row r="174" spans="1:72" ht="12.75" customHeight="1" x14ac:dyDescent="0.2">
      <c r="A174" t="s">
        <v>147</v>
      </c>
      <c r="B174" t="s">
        <v>1489</v>
      </c>
      <c r="D174" t="s">
        <v>1490</v>
      </c>
      <c r="F174" t="s">
        <v>1491</v>
      </c>
      <c r="I174" t="s">
        <v>1492</v>
      </c>
      <c r="J174" t="s">
        <v>1493</v>
      </c>
      <c r="K174" t="s">
        <v>1494</v>
      </c>
      <c r="O174" t="s">
        <v>1495</v>
      </c>
      <c r="P174" t="s">
        <v>1496</v>
      </c>
      <c r="Q174" t="s">
        <v>256</v>
      </c>
      <c r="R174" t="s">
        <v>1497</v>
      </c>
      <c r="S174" t="s">
        <v>257</v>
      </c>
      <c r="AA174" t="s">
        <v>1498</v>
      </c>
      <c r="AB174" t="s">
        <v>1499</v>
      </c>
      <c r="AO174" t="s">
        <v>1500</v>
      </c>
      <c r="AP174" t="s">
        <v>1304</v>
      </c>
      <c r="AQ174" t="s">
        <v>1501</v>
      </c>
      <c r="AU174">
        <v>2019</v>
      </c>
      <c r="AV174">
        <v>11832</v>
      </c>
      <c r="BB174">
        <v>134</v>
      </c>
      <c r="BC174">
        <v>144</v>
      </c>
      <c r="BE174" t="s">
        <v>1502</v>
      </c>
      <c r="BF174" t="str">
        <f>HYPERLINK("http://dx.doi.org/10.1007/978-3-030-37334-4_12","http://dx.doi.org/10.1007/978-3-030-37334-4_12")</f>
        <v>http://dx.doi.org/10.1007/978-3-030-37334-4_12</v>
      </c>
      <c r="BS174" t="s">
        <v>1503</v>
      </c>
      <c r="BT174" t="str">
        <f>HYPERLINK("https%3A%2F%2Fwww.webofscience.com%2Fwos%2Fwoscc%2Ffull-record%2FWOS:000611787800012","View Full Record in Web of Science")</f>
        <v>View Full Record in Web of Science</v>
      </c>
    </row>
    <row r="175" spans="1:72" ht="12.75" customHeight="1" x14ac:dyDescent="0.2">
      <c r="A175" t="s">
        <v>72</v>
      </c>
      <c r="B175" t="s">
        <v>1504</v>
      </c>
      <c r="F175" t="s">
        <v>1505</v>
      </c>
      <c r="I175" t="s">
        <v>1506</v>
      </c>
      <c r="J175" t="s">
        <v>561</v>
      </c>
      <c r="AA175" t="s">
        <v>562</v>
      </c>
      <c r="AB175" t="s">
        <v>563</v>
      </c>
      <c r="AO175" t="s">
        <v>564</v>
      </c>
      <c r="AP175" t="s">
        <v>565</v>
      </c>
      <c r="AT175" t="s">
        <v>541</v>
      </c>
      <c r="AU175">
        <v>2019</v>
      </c>
      <c r="AV175">
        <v>26</v>
      </c>
      <c r="AW175">
        <v>1</v>
      </c>
      <c r="BB175">
        <v>69</v>
      </c>
      <c r="BC175">
        <v>77</v>
      </c>
      <c r="BE175" t="s">
        <v>1507</v>
      </c>
      <c r="BF175" t="str">
        <f>HYPERLINK("http://dx.doi.org/10.1134/S0869864319010074","http://dx.doi.org/10.1134/S0869864319010074")</f>
        <v>http://dx.doi.org/10.1134/S0869864319010074</v>
      </c>
      <c r="BS175" t="s">
        <v>1508</v>
      </c>
      <c r="BT175" t="str">
        <f>HYPERLINK("https%3A%2F%2Fwww.webofscience.com%2Fwos%2Fwoscc%2Ffull-record%2FWOS:000465534000008","View Full Record in Web of Science")</f>
        <v>View Full Record in Web of Science</v>
      </c>
    </row>
    <row r="176" spans="1:72" ht="12.75" customHeight="1" x14ac:dyDescent="0.2">
      <c r="A176" t="s">
        <v>231</v>
      </c>
      <c r="B176" t="s">
        <v>1509</v>
      </c>
      <c r="D176" t="s">
        <v>1510</v>
      </c>
      <c r="F176" t="s">
        <v>1511</v>
      </c>
      <c r="I176" t="s">
        <v>1512</v>
      </c>
      <c r="J176" t="s">
        <v>1513</v>
      </c>
      <c r="AQ176" t="s">
        <v>1514</v>
      </c>
      <c r="AU176">
        <v>2019</v>
      </c>
      <c r="BB176">
        <v>136</v>
      </c>
      <c r="BC176">
        <v>149</v>
      </c>
      <c r="BS176" t="s">
        <v>1515</v>
      </c>
      <c r="BT176" t="str">
        <f>HYPERLINK("https%3A%2F%2Fwww.webofscience.com%2Fwos%2Fwoscc%2Ffull-record%2FWOS:000739878500009","View Full Record in Web of Science")</f>
        <v>View Full Record in Web of Science</v>
      </c>
    </row>
    <row r="177" spans="1:72" ht="12.75" customHeight="1" x14ac:dyDescent="0.2">
      <c r="A177" t="s">
        <v>72</v>
      </c>
      <c r="B177" t="s">
        <v>1516</v>
      </c>
      <c r="F177" t="s">
        <v>1517</v>
      </c>
      <c r="I177" t="s">
        <v>1518</v>
      </c>
      <c r="J177" t="s">
        <v>650</v>
      </c>
      <c r="AA177" t="s">
        <v>1519</v>
      </c>
      <c r="AB177" t="s">
        <v>1520</v>
      </c>
      <c r="AO177" t="s">
        <v>653</v>
      </c>
      <c r="AP177" t="s">
        <v>654</v>
      </c>
      <c r="AT177" t="s">
        <v>1173</v>
      </c>
      <c r="AU177">
        <v>2018</v>
      </c>
      <c r="AW177">
        <v>8</v>
      </c>
      <c r="BB177">
        <v>771</v>
      </c>
      <c r="BC177">
        <v>776</v>
      </c>
      <c r="BE177" t="s">
        <v>1521</v>
      </c>
      <c r="BF177" t="str">
        <f>HYPERLINK("http://dx.doi.org/10.1134/S0036029518080049","http://dx.doi.org/10.1134/S0036029518080049")</f>
        <v>http://dx.doi.org/10.1134/S0036029518080049</v>
      </c>
      <c r="BS177" t="s">
        <v>1522</v>
      </c>
      <c r="BT177" t="str">
        <f>HYPERLINK("https%3A%2F%2Fwww.webofscience.com%2Fwos%2Fwoscc%2Ffull-record%2FWOS:000454273600015","View Full Record in Web of Science")</f>
        <v>View Full Record in Web of Science</v>
      </c>
    </row>
    <row r="178" spans="1:72" ht="12.75" customHeight="1" x14ac:dyDescent="0.2">
      <c r="A178" t="s">
        <v>72</v>
      </c>
      <c r="B178" t="s">
        <v>698</v>
      </c>
      <c r="F178" t="s">
        <v>699</v>
      </c>
      <c r="I178" t="s">
        <v>1523</v>
      </c>
      <c r="J178" t="s">
        <v>1524</v>
      </c>
      <c r="AO178" t="s">
        <v>1525</v>
      </c>
      <c r="AT178" t="s">
        <v>491</v>
      </c>
      <c r="AU178">
        <v>2018</v>
      </c>
      <c r="AV178">
        <v>7</v>
      </c>
      <c r="AW178">
        <v>2</v>
      </c>
      <c r="BB178">
        <v>26</v>
      </c>
      <c r="BC178">
        <v>31</v>
      </c>
      <c r="BE178" t="s">
        <v>1526</v>
      </c>
      <c r="BF178" t="str">
        <f>HYPERLINK("http://dx.doi.org/10.22631/ijaep.v7i2.268","http://dx.doi.org/10.22631/ijaep.v7i2.268")</f>
        <v>http://dx.doi.org/10.22631/ijaep.v7i2.268</v>
      </c>
      <c r="BS178" t="s">
        <v>1527</v>
      </c>
      <c r="BT178" t="str">
        <f>HYPERLINK("https%3A%2F%2Fwww.webofscience.com%2Fwos%2Fwoscc%2Ffull-record%2FWOS:000435602100004","View Full Record in Web of Science")</f>
        <v>View Full Record in Web of Science</v>
      </c>
    </row>
    <row r="179" spans="1:72" ht="12.75" customHeight="1" x14ac:dyDescent="0.2">
      <c r="A179" t="s">
        <v>72</v>
      </c>
      <c r="B179" t="s">
        <v>1528</v>
      </c>
      <c r="F179" t="s">
        <v>1529</v>
      </c>
      <c r="I179" t="s">
        <v>1530</v>
      </c>
      <c r="J179" t="s">
        <v>1531</v>
      </c>
      <c r="AA179" t="s">
        <v>1532</v>
      </c>
      <c r="AB179" t="s">
        <v>1533</v>
      </c>
      <c r="AO179" t="s">
        <v>1534</v>
      </c>
      <c r="AP179" t="s">
        <v>1535</v>
      </c>
      <c r="AT179" t="s">
        <v>171</v>
      </c>
      <c r="AU179">
        <v>2018</v>
      </c>
      <c r="AW179">
        <v>1</v>
      </c>
      <c r="BB179">
        <v>117</v>
      </c>
      <c r="BC179">
        <v>124</v>
      </c>
      <c r="BE179" t="s">
        <v>1536</v>
      </c>
      <c r="BF179" t="str">
        <f>HYPERLINK("http://dx.doi.org/10.17223/2312461X/19/9","http://dx.doi.org/10.17223/2312461X/19/9")</f>
        <v>http://dx.doi.org/10.17223/2312461X/19/9</v>
      </c>
      <c r="BS179" t="s">
        <v>1537</v>
      </c>
      <c r="BT179" t="str">
        <f>HYPERLINK("https%3A%2F%2Fwww.webofscience.com%2Fwos%2Fwoscc%2Ffull-record%2FWOS:000429668400009","View Full Record in Web of Science")</f>
        <v>View Full Record in Web of Science</v>
      </c>
    </row>
    <row r="180" spans="1:72" ht="12.75" customHeight="1" x14ac:dyDescent="0.2">
      <c r="A180" t="s">
        <v>147</v>
      </c>
      <c r="B180" t="s">
        <v>1452</v>
      </c>
      <c r="E180" t="s">
        <v>210</v>
      </c>
      <c r="F180" t="s">
        <v>1453</v>
      </c>
      <c r="I180" t="s">
        <v>1538</v>
      </c>
      <c r="J180" t="s">
        <v>1539</v>
      </c>
      <c r="O180" t="s">
        <v>1540</v>
      </c>
      <c r="P180" t="s">
        <v>1541</v>
      </c>
      <c r="Q180" t="s">
        <v>1542</v>
      </c>
      <c r="R180" t="s">
        <v>1543</v>
      </c>
      <c r="AA180" t="s">
        <v>1268</v>
      </c>
      <c r="AB180" t="s">
        <v>1269</v>
      </c>
      <c r="AQ180" t="s">
        <v>1544</v>
      </c>
      <c r="AU180">
        <v>2016</v>
      </c>
      <c r="BS180" t="s">
        <v>1545</v>
      </c>
      <c r="BT180" t="str">
        <f>HYPERLINK("https%3A%2F%2Fwww.webofscience.com%2Fwos%2Fwoscc%2Ffull-record%2FWOS:000403604400156","View Full Record in Web of Science")</f>
        <v>View Full Record in Web of Science</v>
      </c>
    </row>
    <row r="181" spans="1:72" ht="12.75" customHeight="1" x14ac:dyDescent="0.2">
      <c r="A181" t="s">
        <v>147</v>
      </c>
      <c r="B181" t="s">
        <v>1546</v>
      </c>
      <c r="D181" t="s">
        <v>1547</v>
      </c>
      <c r="F181" t="s">
        <v>1548</v>
      </c>
      <c r="I181" t="s">
        <v>1549</v>
      </c>
      <c r="J181" t="s">
        <v>1550</v>
      </c>
      <c r="K181" t="s">
        <v>390</v>
      </c>
      <c r="O181" t="s">
        <v>1551</v>
      </c>
      <c r="P181" t="s">
        <v>1552</v>
      </c>
      <c r="Q181" t="s">
        <v>1553</v>
      </c>
      <c r="R181" t="s">
        <v>1554</v>
      </c>
      <c r="AA181" t="s">
        <v>1555</v>
      </c>
      <c r="AB181" t="s">
        <v>1556</v>
      </c>
      <c r="AO181" t="s">
        <v>395</v>
      </c>
      <c r="AQ181" t="s">
        <v>1557</v>
      </c>
      <c r="AU181">
        <v>2016</v>
      </c>
      <c r="BB181">
        <v>124</v>
      </c>
      <c r="BC181">
        <v>127</v>
      </c>
      <c r="BS181" t="s">
        <v>1558</v>
      </c>
      <c r="BT181" t="str">
        <f>HYPERLINK("https%3A%2F%2Fwww.webofscience.com%2Fwos%2Fwoscc%2Ffull-record%2FWOS:000387159800034","View Full Record in Web of Science")</f>
        <v>View Full Record in Web of Science</v>
      </c>
    </row>
    <row r="182" spans="1:72" ht="12.75" customHeight="1" x14ac:dyDescent="0.2">
      <c r="A182" t="s">
        <v>147</v>
      </c>
      <c r="B182" t="s">
        <v>1559</v>
      </c>
      <c r="E182" t="s">
        <v>1560</v>
      </c>
      <c r="F182" t="s">
        <v>1561</v>
      </c>
      <c r="I182" t="s">
        <v>1562</v>
      </c>
      <c r="J182" t="s">
        <v>1563</v>
      </c>
      <c r="O182" t="s">
        <v>1564</v>
      </c>
      <c r="P182" t="s">
        <v>1565</v>
      </c>
      <c r="Q182" t="s">
        <v>1566</v>
      </c>
      <c r="AA182" t="s">
        <v>1567</v>
      </c>
      <c r="AB182" t="s">
        <v>1568</v>
      </c>
      <c r="AQ182" t="s">
        <v>1569</v>
      </c>
      <c r="AU182">
        <v>2016</v>
      </c>
      <c r="BB182">
        <v>1</v>
      </c>
      <c r="BC182">
        <v>7</v>
      </c>
      <c r="BS182" t="s">
        <v>1570</v>
      </c>
      <c r="BT182" t="str">
        <f>HYPERLINK("https%3A%2F%2Fwww.webofscience.com%2Fwos%2Fwoscc%2Ffull-record%2FWOS:000387945700001","View Full Record in Web of Science")</f>
        <v>View Full Record in Web of Science</v>
      </c>
    </row>
    <row r="183" spans="1:72" ht="12.75" customHeight="1" x14ac:dyDescent="0.2">
      <c r="A183" t="s">
        <v>147</v>
      </c>
      <c r="B183" t="s">
        <v>1571</v>
      </c>
      <c r="D183" t="s">
        <v>1572</v>
      </c>
      <c r="F183" t="s">
        <v>1573</v>
      </c>
      <c r="I183" t="s">
        <v>1574</v>
      </c>
      <c r="J183" t="s">
        <v>1575</v>
      </c>
      <c r="K183" t="s">
        <v>1576</v>
      </c>
      <c r="O183" t="s">
        <v>1577</v>
      </c>
      <c r="P183" t="s">
        <v>1578</v>
      </c>
      <c r="Q183" t="s">
        <v>1566</v>
      </c>
      <c r="AA183" t="s">
        <v>1579</v>
      </c>
      <c r="AB183" t="s">
        <v>1580</v>
      </c>
      <c r="AO183" t="s">
        <v>1581</v>
      </c>
      <c r="AU183">
        <v>2016</v>
      </c>
      <c r="AV183">
        <v>41</v>
      </c>
      <c r="BD183">
        <v>12024</v>
      </c>
      <c r="BE183" t="s">
        <v>1582</v>
      </c>
      <c r="BF183" t="str">
        <f>HYPERLINK("http://dx.doi.org/10.1088/1755-1315/41/1/012024","http://dx.doi.org/10.1088/1755-1315/41/1/012024")</f>
        <v>http://dx.doi.org/10.1088/1755-1315/41/1/012024</v>
      </c>
      <c r="BS183" t="s">
        <v>1583</v>
      </c>
      <c r="BT183" t="str">
        <f>HYPERLINK("https%3A%2F%2Fwww.webofscience.com%2Fwos%2Fwoscc%2Ffull-record%2FWOS:000389919500024","View Full Record in Web of Science")</f>
        <v>View Full Record in Web of Science</v>
      </c>
    </row>
    <row r="184" spans="1:72" ht="12.75" customHeight="1" x14ac:dyDescent="0.2">
      <c r="A184" t="s">
        <v>147</v>
      </c>
      <c r="B184" t="s">
        <v>373</v>
      </c>
      <c r="E184" t="s">
        <v>210</v>
      </c>
      <c r="F184" t="s">
        <v>1584</v>
      </c>
      <c r="I184" t="s">
        <v>1585</v>
      </c>
      <c r="J184" t="s">
        <v>1539</v>
      </c>
      <c r="O184" t="s">
        <v>1540</v>
      </c>
      <c r="P184" t="s">
        <v>1541</v>
      </c>
      <c r="Q184" t="s">
        <v>1542</v>
      </c>
      <c r="R184" t="s">
        <v>1543</v>
      </c>
      <c r="AA184" t="s">
        <v>1586</v>
      </c>
      <c r="AB184" t="s">
        <v>1289</v>
      </c>
      <c r="AQ184" t="s">
        <v>1544</v>
      </c>
      <c r="AU184">
        <v>2016</v>
      </c>
      <c r="BS184" t="s">
        <v>1587</v>
      </c>
      <c r="BT184" t="str">
        <f>HYPERLINK("https%3A%2F%2Fwww.webofscience.com%2Fwos%2Fwoscc%2Ffull-record%2FWOS:000403604400281","View Full Record in Web of Science")</f>
        <v>View Full Record in Web of Science</v>
      </c>
    </row>
    <row r="185" spans="1:72" ht="12.75" customHeight="1" x14ac:dyDescent="0.2">
      <c r="A185" t="s">
        <v>72</v>
      </c>
      <c r="B185" t="s">
        <v>1588</v>
      </c>
      <c r="F185" t="s">
        <v>1589</v>
      </c>
      <c r="I185" t="s">
        <v>1590</v>
      </c>
      <c r="J185" t="s">
        <v>623</v>
      </c>
      <c r="AO185" t="s">
        <v>624</v>
      </c>
      <c r="AP185" t="s">
        <v>1334</v>
      </c>
      <c r="AT185" t="s">
        <v>171</v>
      </c>
      <c r="AU185">
        <v>2009</v>
      </c>
      <c r="AV185">
        <v>83</v>
      </c>
      <c r="AW185">
        <v>3</v>
      </c>
      <c r="BB185">
        <v>412</v>
      </c>
      <c r="BC185">
        <v>417</v>
      </c>
      <c r="BE185" t="s">
        <v>1591</v>
      </c>
      <c r="BF185" t="str">
        <f>HYPERLINK("http://dx.doi.org/10.1134/S0036024409030169","http://dx.doi.org/10.1134/S0036024409030169")</f>
        <v>http://dx.doi.org/10.1134/S0036024409030169</v>
      </c>
      <c r="BS185" t="s">
        <v>1592</v>
      </c>
      <c r="BT185" t="str">
        <f>HYPERLINK("https%3A%2F%2Fwww.webofscience.com%2Fwos%2Fwoscc%2Ffull-record%2FWOS:000263675600016","View Full Record in Web of Science")</f>
        <v>View Full Record in Web of Science</v>
      </c>
    </row>
    <row r="186" spans="1:72" ht="12.75" customHeight="1" x14ac:dyDescent="0.2">
      <c r="A186" t="s">
        <v>72</v>
      </c>
      <c r="B186" t="s">
        <v>705</v>
      </c>
      <c r="F186" t="s">
        <v>706</v>
      </c>
      <c r="I186" t="s">
        <v>1593</v>
      </c>
      <c r="J186" t="s">
        <v>940</v>
      </c>
      <c r="AA186" t="s">
        <v>941</v>
      </c>
      <c r="AB186" t="s">
        <v>942</v>
      </c>
      <c r="AO186" t="s">
        <v>943</v>
      </c>
      <c r="AT186" t="s">
        <v>1012</v>
      </c>
      <c r="AU186">
        <v>2006</v>
      </c>
      <c r="AV186">
        <v>48</v>
      </c>
      <c r="AW186" t="s">
        <v>1594</v>
      </c>
      <c r="BB186">
        <v>437</v>
      </c>
      <c r="BC186">
        <v>442</v>
      </c>
      <c r="BE186" t="s">
        <v>1595</v>
      </c>
      <c r="BF186" t="str">
        <f>HYPERLINK("http://dx.doi.org/10.1007/s11041-006-0113-z","http://dx.doi.org/10.1007/s11041-006-0113-z")</f>
        <v>http://dx.doi.org/10.1007/s11041-006-0113-z</v>
      </c>
      <c r="BS186" t="s">
        <v>1596</v>
      </c>
      <c r="BT186" t="str">
        <f>HYPERLINK("https%3A%2F%2Fwww.webofscience.com%2Fwos%2Fwoscc%2Ffull-record%2FWOS:000245753200011","View Full Record in Web of Science")</f>
        <v>View Full Record in Web of Science</v>
      </c>
    </row>
    <row r="187" spans="1:72" ht="12.75" customHeight="1" x14ac:dyDescent="0.2">
      <c r="A187" t="s">
        <v>72</v>
      </c>
      <c r="B187" t="s">
        <v>1597</v>
      </c>
      <c r="F187" t="s">
        <v>1597</v>
      </c>
      <c r="I187" t="s">
        <v>1598</v>
      </c>
      <c r="J187" t="s">
        <v>244</v>
      </c>
      <c r="AO187" t="s">
        <v>245</v>
      </c>
      <c r="AU187">
        <v>2004</v>
      </c>
      <c r="AW187">
        <v>6</v>
      </c>
      <c r="BB187">
        <v>134</v>
      </c>
      <c r="BC187">
        <v>138</v>
      </c>
      <c r="BS187" t="s">
        <v>1599</v>
      </c>
      <c r="BT187" t="str">
        <f>HYPERLINK("https%3A%2F%2Fwww.webofscience.com%2Fwos%2Fwoscc%2Ffull-record%2FWOS:000223263200010","View Full Record in Web of Science")</f>
        <v>View Full Record in Web of Science</v>
      </c>
    </row>
    <row r="188" spans="1:72" ht="12.75" customHeight="1" x14ac:dyDescent="0.2">
      <c r="A188" t="s">
        <v>72</v>
      </c>
      <c r="B188" t="s">
        <v>1600</v>
      </c>
      <c r="F188" t="s">
        <v>1600</v>
      </c>
      <c r="I188" t="s">
        <v>1601</v>
      </c>
      <c r="J188" t="s">
        <v>1602</v>
      </c>
      <c r="AO188" t="s">
        <v>1603</v>
      </c>
      <c r="AT188" t="s">
        <v>319</v>
      </c>
      <c r="AU188">
        <v>1998</v>
      </c>
      <c r="AV188">
        <v>40</v>
      </c>
      <c r="AW188">
        <v>11</v>
      </c>
      <c r="BB188">
        <v>1876</v>
      </c>
      <c r="BC188">
        <v>1880</v>
      </c>
      <c r="BS188" t="s">
        <v>1604</v>
      </c>
      <c r="BT188" t="str">
        <f>HYPERLINK("https%3A%2F%2Fwww.webofscience.com%2Fwos%2Fwoscc%2Ffull-record%2FWOS:000077454300020","View Full Record in Web of Science")</f>
        <v>View Full Record in Web of Science</v>
      </c>
    </row>
    <row r="189" spans="1:72" ht="12.75" customHeight="1" x14ac:dyDescent="0.2">
      <c r="A189" t="s">
        <v>72</v>
      </c>
      <c r="B189" t="s">
        <v>1605</v>
      </c>
      <c r="F189" t="s">
        <v>1606</v>
      </c>
      <c r="I189" t="s">
        <v>1607</v>
      </c>
      <c r="J189" t="s">
        <v>1608</v>
      </c>
      <c r="AA189" t="s">
        <v>1609</v>
      </c>
      <c r="AB189" t="s">
        <v>1610</v>
      </c>
      <c r="AO189" t="s">
        <v>1611</v>
      </c>
      <c r="AP189" t="s">
        <v>1612</v>
      </c>
      <c r="AU189">
        <v>2021</v>
      </c>
      <c r="AV189">
        <v>31</v>
      </c>
      <c r="AW189">
        <v>3</v>
      </c>
      <c r="BB189">
        <v>349</v>
      </c>
      <c r="BC189">
        <v>363</v>
      </c>
      <c r="BE189" t="s">
        <v>1613</v>
      </c>
      <c r="BF189" t="str">
        <f>HYPERLINK("http://dx.doi.org/10.15507/2658-4123.031.202103.349-363","http://dx.doi.org/10.15507/2658-4123.031.202103.349-363")</f>
        <v>http://dx.doi.org/10.15507/2658-4123.031.202103.349-363</v>
      </c>
      <c r="BS189" t="s">
        <v>1614</v>
      </c>
      <c r="BT189" t="str">
        <f>HYPERLINK("https%3A%2F%2Fwww.webofscience.com%2Fwos%2Fwoscc%2Ffull-record%2FWOS:000698672500002","View Full Record in Web of Science")</f>
        <v>View Full Record in Web of Science</v>
      </c>
    </row>
    <row r="190" spans="1:72" ht="12.75" customHeight="1" x14ac:dyDescent="0.2">
      <c r="A190" t="s">
        <v>147</v>
      </c>
      <c r="B190" t="s">
        <v>1615</v>
      </c>
      <c r="E190" t="s">
        <v>1465</v>
      </c>
      <c r="F190" t="s">
        <v>1616</v>
      </c>
      <c r="I190" t="s">
        <v>1617</v>
      </c>
      <c r="J190" t="s">
        <v>1618</v>
      </c>
      <c r="K190" t="s">
        <v>1469</v>
      </c>
      <c r="O190" t="s">
        <v>1619</v>
      </c>
      <c r="P190" t="s">
        <v>1620</v>
      </c>
      <c r="Q190" t="s">
        <v>156</v>
      </c>
      <c r="R190" t="s">
        <v>1621</v>
      </c>
      <c r="AO190" t="s">
        <v>1472</v>
      </c>
      <c r="AU190">
        <v>2020</v>
      </c>
      <c r="AV190">
        <v>962</v>
      </c>
      <c r="BD190">
        <v>22047</v>
      </c>
      <c r="BE190" t="s">
        <v>1622</v>
      </c>
      <c r="BF190" t="str">
        <f>HYPERLINK("http://dx.doi.org/10.1088/1757-899X/962/2/022047","http://dx.doi.org/10.1088/1757-899X/962/2/022047")</f>
        <v>http://dx.doi.org/10.1088/1757-899X/962/2/022047</v>
      </c>
      <c r="BS190" t="s">
        <v>1623</v>
      </c>
      <c r="BT190" t="str">
        <f>HYPERLINK("https%3A%2F%2Fwww.webofscience.com%2Fwos%2Fwoscc%2Ffull-record%2FWOS:000648432000047","View Full Record in Web of Science")</f>
        <v>View Full Record in Web of Science</v>
      </c>
    </row>
    <row r="191" spans="1:72" ht="12.75" customHeight="1" x14ac:dyDescent="0.2">
      <c r="A191" t="s">
        <v>147</v>
      </c>
      <c r="B191" t="s">
        <v>568</v>
      </c>
      <c r="E191" t="s">
        <v>210</v>
      </c>
      <c r="F191" t="s">
        <v>569</v>
      </c>
      <c r="I191" t="s">
        <v>1624</v>
      </c>
      <c r="J191" t="s">
        <v>1625</v>
      </c>
      <c r="O191" t="s">
        <v>1626</v>
      </c>
      <c r="P191" t="s">
        <v>1627</v>
      </c>
      <c r="Q191" t="s">
        <v>1628</v>
      </c>
      <c r="R191" t="s">
        <v>1629</v>
      </c>
      <c r="AA191" t="s">
        <v>1056</v>
      </c>
      <c r="AB191" t="s">
        <v>1057</v>
      </c>
      <c r="AQ191" t="s">
        <v>1630</v>
      </c>
      <c r="AU191">
        <v>2020</v>
      </c>
      <c r="BB191">
        <v>110</v>
      </c>
      <c r="BC191">
        <v>115</v>
      </c>
      <c r="BS191" t="s">
        <v>1631</v>
      </c>
      <c r="BT191" t="str">
        <f>HYPERLINK("https%3A%2F%2Fwww.webofscience.com%2Fwos%2Fwoscc%2Ffull-record%2FWOS:000610803200022","View Full Record in Web of Science")</f>
        <v>View Full Record in Web of Science</v>
      </c>
    </row>
    <row r="192" spans="1:72" ht="12.75" customHeight="1" x14ac:dyDescent="0.2">
      <c r="A192" t="s">
        <v>72</v>
      </c>
      <c r="B192" t="s">
        <v>1632</v>
      </c>
      <c r="F192" t="s">
        <v>1633</v>
      </c>
      <c r="I192" t="s">
        <v>1634</v>
      </c>
      <c r="J192" t="s">
        <v>1635</v>
      </c>
      <c r="AO192" t="s">
        <v>1636</v>
      </c>
      <c r="AP192" t="s">
        <v>1637</v>
      </c>
      <c r="AT192" t="s">
        <v>1638</v>
      </c>
      <c r="AU192">
        <v>2019</v>
      </c>
      <c r="AV192">
        <v>27</v>
      </c>
      <c r="AW192" t="s">
        <v>1639</v>
      </c>
      <c r="AZ192" t="s">
        <v>339</v>
      </c>
      <c r="BB192">
        <v>159</v>
      </c>
      <c r="BC192">
        <v>165</v>
      </c>
      <c r="BE192" t="s">
        <v>1640</v>
      </c>
      <c r="BF192" t="str">
        <f>HYPERLINK("http://dx.doi.org/10.1108/OTH-07-2019-0041","http://dx.doi.org/10.1108/OTH-07-2019-0041")</f>
        <v>http://dx.doi.org/10.1108/OTH-07-2019-0041</v>
      </c>
      <c r="BS192" t="s">
        <v>1641</v>
      </c>
      <c r="BT192" t="str">
        <f>HYPERLINK("https%3A%2F%2Fwww.webofscience.com%2Fwos%2Fwoscc%2Ffull-record%2FWOS:000491196500005","View Full Record in Web of Science")</f>
        <v>View Full Record in Web of Science</v>
      </c>
    </row>
    <row r="193" spans="1:72" ht="12.75" customHeight="1" x14ac:dyDescent="0.2">
      <c r="A193" t="s">
        <v>72</v>
      </c>
      <c r="B193" t="s">
        <v>1642</v>
      </c>
      <c r="F193" t="s">
        <v>1643</v>
      </c>
      <c r="I193" t="s">
        <v>1644</v>
      </c>
      <c r="J193" t="s">
        <v>1645</v>
      </c>
      <c r="AA193" t="s">
        <v>1646</v>
      </c>
      <c r="AB193" t="s">
        <v>1647</v>
      </c>
      <c r="AO193" t="s">
        <v>1648</v>
      </c>
      <c r="AU193">
        <v>2019</v>
      </c>
      <c r="AW193">
        <v>12</v>
      </c>
      <c r="BB193">
        <v>100</v>
      </c>
      <c r="BC193">
        <v>119</v>
      </c>
      <c r="BE193" t="s">
        <v>1649</v>
      </c>
      <c r="BF193" t="str">
        <f>HYPERLINK("http://dx.doi.org/10.33186/1027-3689-2019-12-100-119","http://dx.doi.org/10.33186/1027-3689-2019-12-100-119")</f>
        <v>http://dx.doi.org/10.33186/1027-3689-2019-12-100-119</v>
      </c>
      <c r="BS193" t="s">
        <v>1650</v>
      </c>
      <c r="BT193" t="str">
        <f>HYPERLINK("https%3A%2F%2Fwww.webofscience.com%2Fwos%2Fwoscc%2Ffull-record%2FWOS:000502575300009","View Full Record in Web of Science")</f>
        <v>View Full Record in Web of Science</v>
      </c>
    </row>
    <row r="194" spans="1:72" ht="12.75" customHeight="1" x14ac:dyDescent="0.2">
      <c r="A194" t="s">
        <v>72</v>
      </c>
      <c r="B194" t="s">
        <v>378</v>
      </c>
      <c r="F194" t="s">
        <v>1226</v>
      </c>
      <c r="I194" t="s">
        <v>1651</v>
      </c>
      <c r="J194" t="s">
        <v>1652</v>
      </c>
      <c r="AA194" t="s">
        <v>553</v>
      </c>
      <c r="AB194" t="s">
        <v>554</v>
      </c>
      <c r="AO194" t="s">
        <v>1653</v>
      </c>
      <c r="AT194" t="s">
        <v>703</v>
      </c>
      <c r="AU194">
        <v>2018</v>
      </c>
      <c r="AV194">
        <v>12</v>
      </c>
      <c r="AW194">
        <v>4</v>
      </c>
      <c r="BB194">
        <v>1804</v>
      </c>
      <c r="BC194">
        <v>1806</v>
      </c>
      <c r="BS194" t="s">
        <v>1654</v>
      </c>
      <c r="BT194" t="str">
        <f>HYPERLINK("https%3A%2F%2Fwww.webofscience.com%2Fwos%2Fwoscc%2Ffull-record%2FWOS:000468146000153","View Full Record in Web of Science")</f>
        <v>View Full Record in Web of Science</v>
      </c>
    </row>
    <row r="195" spans="1:72" ht="12.75" customHeight="1" x14ac:dyDescent="0.2">
      <c r="A195" t="s">
        <v>72</v>
      </c>
      <c r="B195" t="s">
        <v>1655</v>
      </c>
      <c r="F195" t="s">
        <v>1656</v>
      </c>
      <c r="I195" t="s">
        <v>1657</v>
      </c>
      <c r="J195" t="s">
        <v>716</v>
      </c>
      <c r="AA195" t="s">
        <v>1442</v>
      </c>
      <c r="AB195" t="s">
        <v>1443</v>
      </c>
      <c r="AO195" t="s">
        <v>719</v>
      </c>
      <c r="AP195" t="s">
        <v>720</v>
      </c>
      <c r="AT195" t="s">
        <v>830</v>
      </c>
      <c r="AU195">
        <v>2018</v>
      </c>
      <c r="AW195">
        <v>434</v>
      </c>
      <c r="BB195">
        <v>193</v>
      </c>
      <c r="BC195">
        <v>198</v>
      </c>
      <c r="BE195" t="s">
        <v>1658</v>
      </c>
      <c r="BF195" t="str">
        <f>HYPERLINK("http://dx.doi.org/10.17223/15617793/434/26","http://dx.doi.org/10.17223/15617793/434/26")</f>
        <v>http://dx.doi.org/10.17223/15617793/434/26</v>
      </c>
      <c r="BS195" t="s">
        <v>1659</v>
      </c>
      <c r="BT195" t="str">
        <f>HYPERLINK("https%3A%2F%2Fwww.webofscience.com%2Fwos%2Fwoscc%2Ffull-record%2FWOS:000451260400026","View Full Record in Web of Science")</f>
        <v>View Full Record in Web of Science</v>
      </c>
    </row>
    <row r="196" spans="1:72" ht="12.75" customHeight="1" x14ac:dyDescent="0.2">
      <c r="A196" t="s">
        <v>72</v>
      </c>
      <c r="B196" t="s">
        <v>1660</v>
      </c>
      <c r="F196" t="s">
        <v>1661</v>
      </c>
      <c r="I196" t="s">
        <v>1662</v>
      </c>
      <c r="J196" t="s">
        <v>244</v>
      </c>
      <c r="AA196" t="s">
        <v>1460</v>
      </c>
      <c r="AB196" t="s">
        <v>1461</v>
      </c>
      <c r="AO196" t="s">
        <v>245</v>
      </c>
      <c r="AP196" t="s">
        <v>246</v>
      </c>
      <c r="AU196">
        <v>2018</v>
      </c>
      <c r="AW196">
        <v>7</v>
      </c>
      <c r="BB196">
        <v>94</v>
      </c>
      <c r="BC196">
        <v>98</v>
      </c>
      <c r="BS196" t="s">
        <v>1663</v>
      </c>
      <c r="BT196" t="str">
        <f>HYPERLINK("https%3A%2F%2Fwww.webofscience.com%2Fwos%2Fwoscc%2Ffull-record%2FWOS:000443793600009","View Full Record in Web of Science")</f>
        <v>View Full Record in Web of Science</v>
      </c>
    </row>
    <row r="197" spans="1:72" ht="12.75" customHeight="1" x14ac:dyDescent="0.2">
      <c r="A197" t="s">
        <v>147</v>
      </c>
      <c r="B197" t="s">
        <v>1664</v>
      </c>
      <c r="D197" t="s">
        <v>1665</v>
      </c>
      <c r="F197" t="s">
        <v>1666</v>
      </c>
      <c r="I197" t="s">
        <v>1667</v>
      </c>
      <c r="J197" t="s">
        <v>1668</v>
      </c>
      <c r="K197" t="s">
        <v>1669</v>
      </c>
      <c r="O197" t="s">
        <v>1670</v>
      </c>
      <c r="P197" t="s">
        <v>1671</v>
      </c>
      <c r="Q197" t="s">
        <v>910</v>
      </c>
      <c r="R197" t="s">
        <v>1672</v>
      </c>
      <c r="AA197" t="s">
        <v>1673</v>
      </c>
      <c r="AB197" t="s">
        <v>1674</v>
      </c>
      <c r="AO197" t="s">
        <v>1675</v>
      </c>
      <c r="AP197" t="s">
        <v>1676</v>
      </c>
      <c r="AQ197" t="s">
        <v>1677</v>
      </c>
      <c r="AU197">
        <v>2018</v>
      </c>
      <c r="AV197">
        <v>930</v>
      </c>
      <c r="BB197">
        <v>139</v>
      </c>
      <c r="BC197">
        <v>151</v>
      </c>
      <c r="BE197" t="s">
        <v>1678</v>
      </c>
      <c r="BF197" t="str">
        <f>HYPERLINK("http://dx.doi.org/10.1007/978-3-030-01204-5_14","http://dx.doi.org/10.1007/978-3-030-01204-5_14")</f>
        <v>http://dx.doi.org/10.1007/978-3-030-01204-5_14</v>
      </c>
      <c r="BS197" t="s">
        <v>1679</v>
      </c>
      <c r="BT197" t="str">
        <f>HYPERLINK("https%3A%2F%2Fwww.webofscience.com%2Fwos%2Fwoscc%2Ffull-record%2FWOS:000460557600014","View Full Record in Web of Science")</f>
        <v>View Full Record in Web of Science</v>
      </c>
    </row>
    <row r="198" spans="1:72" ht="12.75" customHeight="1" x14ac:dyDescent="0.2">
      <c r="A198" t="s">
        <v>72</v>
      </c>
      <c r="B198" t="s">
        <v>1680</v>
      </c>
      <c r="F198" t="s">
        <v>1681</v>
      </c>
      <c r="I198" t="s">
        <v>1682</v>
      </c>
      <c r="J198" t="s">
        <v>861</v>
      </c>
      <c r="AA198" t="s">
        <v>1683</v>
      </c>
      <c r="AB198" t="s">
        <v>1684</v>
      </c>
      <c r="AO198" t="s">
        <v>864</v>
      </c>
      <c r="AP198" t="s">
        <v>865</v>
      </c>
      <c r="AU198">
        <v>2018</v>
      </c>
      <c r="AV198">
        <v>61</v>
      </c>
      <c r="AW198" t="s">
        <v>1685</v>
      </c>
      <c r="BB198">
        <v>76</v>
      </c>
      <c r="BC198">
        <v>83</v>
      </c>
      <c r="BE198" t="s">
        <v>1686</v>
      </c>
      <c r="BF198" t="str">
        <f>HYPERLINK("http://dx.doi.org/10.6060/tcct.20186104-05.5596","http://dx.doi.org/10.6060/tcct.20186104-05.5596")</f>
        <v>http://dx.doi.org/10.6060/tcct.20186104-05.5596</v>
      </c>
      <c r="BS198" t="s">
        <v>1687</v>
      </c>
      <c r="BT198" t="str">
        <f>HYPERLINK("https%3A%2F%2Fwww.webofscience.com%2Fwos%2Fwoscc%2Ffull-record%2FWOS:000435584400009","View Full Record in Web of Science")</f>
        <v>View Full Record in Web of Science</v>
      </c>
    </row>
    <row r="199" spans="1:72" ht="12.75" customHeight="1" x14ac:dyDescent="0.2">
      <c r="A199" t="s">
        <v>1342</v>
      </c>
      <c r="B199" t="s">
        <v>1688</v>
      </c>
      <c r="D199" t="s">
        <v>1689</v>
      </c>
      <c r="F199" t="s">
        <v>1690</v>
      </c>
      <c r="I199" t="s">
        <v>1691</v>
      </c>
      <c r="J199" t="s">
        <v>1692</v>
      </c>
      <c r="K199" t="s">
        <v>1693</v>
      </c>
      <c r="AA199" t="s">
        <v>1694</v>
      </c>
      <c r="AB199" t="s">
        <v>1695</v>
      </c>
      <c r="AO199" t="s">
        <v>1696</v>
      </c>
      <c r="AQ199" t="s">
        <v>1697</v>
      </c>
      <c r="AU199">
        <v>2018</v>
      </c>
      <c r="AV199">
        <v>135</v>
      </c>
      <c r="BB199">
        <v>97</v>
      </c>
      <c r="BC199">
        <v>118</v>
      </c>
      <c r="BE199" t="s">
        <v>1698</v>
      </c>
      <c r="BF199" t="str">
        <f>HYPERLINK("http://dx.doi.org/10.1007/978-3-319-67516-9_4","http://dx.doi.org/10.1007/978-3-319-67516-9_4")</f>
        <v>http://dx.doi.org/10.1007/978-3-319-67516-9_4</v>
      </c>
      <c r="BG199" t="s">
        <v>1699</v>
      </c>
      <c r="BS199" t="s">
        <v>1700</v>
      </c>
      <c r="BT199" t="str">
        <f>HYPERLINK("https%3A%2F%2Fwww.webofscience.com%2Fwos%2Fwoscc%2Ffull-record%2FWOS:000440661000005","View Full Record in Web of Science")</f>
        <v>View Full Record in Web of Science</v>
      </c>
    </row>
    <row r="200" spans="1:72" ht="12.75" customHeight="1" x14ac:dyDescent="0.2">
      <c r="A200" t="s">
        <v>147</v>
      </c>
      <c r="B200" t="s">
        <v>581</v>
      </c>
      <c r="E200" t="s">
        <v>175</v>
      </c>
      <c r="F200" t="s">
        <v>582</v>
      </c>
      <c r="I200" t="s">
        <v>1701</v>
      </c>
      <c r="J200" t="s">
        <v>1702</v>
      </c>
      <c r="K200" t="s">
        <v>1469</v>
      </c>
      <c r="O200" t="s">
        <v>1619</v>
      </c>
      <c r="P200" t="s">
        <v>1703</v>
      </c>
      <c r="Q200" t="s">
        <v>1704</v>
      </c>
      <c r="R200" t="s">
        <v>1705</v>
      </c>
      <c r="S200" t="s">
        <v>157</v>
      </c>
      <c r="AA200" t="s">
        <v>585</v>
      </c>
      <c r="AB200" t="s">
        <v>586</v>
      </c>
      <c r="AO200" t="s">
        <v>1472</v>
      </c>
      <c r="AU200">
        <v>2018</v>
      </c>
      <c r="AV200">
        <v>451</v>
      </c>
      <c r="BD200">
        <v>12046</v>
      </c>
      <c r="BE200" t="s">
        <v>1706</v>
      </c>
      <c r="BF200" t="str">
        <f>HYPERLINK("http://dx.doi.org/10.1088/1757-899X/451/1/012046","http://dx.doi.org/10.1088/1757-899X/451/1/012046")</f>
        <v>http://dx.doi.org/10.1088/1757-899X/451/1/012046</v>
      </c>
      <c r="BS200" t="s">
        <v>1707</v>
      </c>
      <c r="BT200" t="str">
        <f>HYPERLINK("https%3A%2F%2Fwww.webofscience.com%2Fwos%2Fwoscc%2Ffull-record%2FWOS:000648426900046","View Full Record in Web of Science")</f>
        <v>View Full Record in Web of Science</v>
      </c>
    </row>
    <row r="201" spans="1:72" ht="12.75" customHeight="1" x14ac:dyDescent="0.2">
      <c r="A201" t="s">
        <v>72</v>
      </c>
      <c r="B201" t="s">
        <v>1708</v>
      </c>
      <c r="F201" t="s">
        <v>1709</v>
      </c>
      <c r="I201" t="s">
        <v>1710</v>
      </c>
      <c r="J201" t="s">
        <v>244</v>
      </c>
      <c r="AA201" t="s">
        <v>782</v>
      </c>
      <c r="AB201" t="s">
        <v>783</v>
      </c>
      <c r="AO201" t="s">
        <v>245</v>
      </c>
      <c r="AP201" t="s">
        <v>246</v>
      </c>
      <c r="AU201">
        <v>2017</v>
      </c>
      <c r="AW201">
        <v>12</v>
      </c>
      <c r="BB201">
        <v>137</v>
      </c>
      <c r="BC201">
        <v>144</v>
      </c>
      <c r="BS201" t="s">
        <v>1711</v>
      </c>
      <c r="BT201" t="str">
        <f>HYPERLINK("https%3A%2F%2Fwww.webofscience.com%2Fwos%2Fwoscc%2Ffull-record%2FWOS:000423138700013","View Full Record in Web of Science")</f>
        <v>View Full Record in Web of Science</v>
      </c>
    </row>
    <row r="202" spans="1:72" ht="12.75" customHeight="1" x14ac:dyDescent="0.2">
      <c r="A202" t="s">
        <v>72</v>
      </c>
      <c r="B202" t="s">
        <v>977</v>
      </c>
      <c r="F202" t="s">
        <v>1712</v>
      </c>
      <c r="I202" t="s">
        <v>1713</v>
      </c>
      <c r="J202" t="s">
        <v>244</v>
      </c>
      <c r="AA202" t="s">
        <v>782</v>
      </c>
      <c r="AB202" t="s">
        <v>783</v>
      </c>
      <c r="AO202" t="s">
        <v>245</v>
      </c>
      <c r="AP202" t="s">
        <v>246</v>
      </c>
      <c r="AU202">
        <v>2016</v>
      </c>
      <c r="AW202">
        <v>2</v>
      </c>
      <c r="BB202">
        <v>150</v>
      </c>
      <c r="BC202">
        <v>159</v>
      </c>
      <c r="BS202" t="s">
        <v>1714</v>
      </c>
      <c r="BT202" t="str">
        <f>HYPERLINK("https%3A%2F%2Fwww.webofscience.com%2Fwos%2Fwoscc%2Ffull-record%2FWOS:000372373000011","View Full Record in Web of Science")</f>
        <v>View Full Record in Web of Science</v>
      </c>
    </row>
    <row r="203" spans="1:72" ht="12.75" customHeight="1" x14ac:dyDescent="0.2">
      <c r="A203" t="s">
        <v>72</v>
      </c>
      <c r="B203" t="s">
        <v>1715</v>
      </c>
      <c r="F203" t="s">
        <v>1716</v>
      </c>
      <c r="I203" t="s">
        <v>1717</v>
      </c>
      <c r="J203" t="s">
        <v>614</v>
      </c>
      <c r="AA203" t="s">
        <v>1718</v>
      </c>
      <c r="AB203" t="s">
        <v>1719</v>
      </c>
      <c r="AO203" t="s">
        <v>617</v>
      </c>
      <c r="AP203" t="s">
        <v>1720</v>
      </c>
      <c r="AT203" t="s">
        <v>88</v>
      </c>
      <c r="AU203">
        <v>2015</v>
      </c>
      <c r="AV203">
        <v>51</v>
      </c>
      <c r="AW203">
        <v>5</v>
      </c>
      <c r="BB203">
        <v>473</v>
      </c>
      <c r="BC203">
        <v>477</v>
      </c>
      <c r="BE203" t="s">
        <v>1721</v>
      </c>
      <c r="BF203" t="str">
        <f>HYPERLINK("http://dx.doi.org/10.1134/S102319351505002X","http://dx.doi.org/10.1134/S102319351505002X")</f>
        <v>http://dx.doi.org/10.1134/S102319351505002X</v>
      </c>
      <c r="BS203" t="s">
        <v>1722</v>
      </c>
      <c r="BT203" t="str">
        <f>HYPERLINK("https%3A%2F%2Fwww.webofscience.com%2Fwos%2Fwoscc%2Ffull-record%2FWOS:000355411900015","View Full Record in Web of Science")</f>
        <v>View Full Record in Web of Science</v>
      </c>
    </row>
    <row r="204" spans="1:72" ht="12.75" customHeight="1" x14ac:dyDescent="0.2">
      <c r="A204" t="s">
        <v>147</v>
      </c>
      <c r="B204" t="s">
        <v>948</v>
      </c>
      <c r="E204" t="s">
        <v>210</v>
      </c>
      <c r="F204" t="s">
        <v>950</v>
      </c>
      <c r="I204" t="s">
        <v>1723</v>
      </c>
      <c r="J204" t="s">
        <v>1724</v>
      </c>
      <c r="O204" t="s">
        <v>421</v>
      </c>
      <c r="P204" t="s">
        <v>1725</v>
      </c>
      <c r="Q204" t="s">
        <v>1726</v>
      </c>
      <c r="R204" t="s">
        <v>1727</v>
      </c>
      <c r="AA204" t="s">
        <v>957</v>
      </c>
      <c r="AB204" t="s">
        <v>958</v>
      </c>
      <c r="AQ204" t="s">
        <v>1728</v>
      </c>
      <c r="AU204">
        <v>2015</v>
      </c>
      <c r="BS204" t="s">
        <v>1729</v>
      </c>
      <c r="BT204" t="str">
        <f>HYPERLINK("https%3A%2F%2Fwww.webofscience.com%2Fwos%2Fwoscc%2Ffull-record%2FWOS:000382527700042","View Full Record in Web of Science")</f>
        <v>View Full Record in Web of Science</v>
      </c>
    </row>
    <row r="205" spans="1:72" ht="12.75" customHeight="1" x14ac:dyDescent="0.2">
      <c r="A205" t="s">
        <v>72</v>
      </c>
      <c r="B205" t="s">
        <v>1730</v>
      </c>
      <c r="F205" t="s">
        <v>1731</v>
      </c>
      <c r="I205" t="s">
        <v>1732</v>
      </c>
      <c r="J205" t="s">
        <v>409</v>
      </c>
      <c r="AA205" t="s">
        <v>1733</v>
      </c>
      <c r="AO205" t="s">
        <v>412</v>
      </c>
      <c r="AP205" t="s">
        <v>413</v>
      </c>
      <c r="AT205" t="s">
        <v>1173</v>
      </c>
      <c r="AU205">
        <v>2014</v>
      </c>
      <c r="AV205">
        <v>87</v>
      </c>
      <c r="AW205">
        <v>8</v>
      </c>
      <c r="BB205">
        <v>1077</v>
      </c>
      <c r="BC205">
        <v>1084</v>
      </c>
      <c r="BE205" t="s">
        <v>1734</v>
      </c>
      <c r="BF205" t="str">
        <f>HYPERLINK("http://dx.doi.org/10.1134/S1070427214080126","http://dx.doi.org/10.1134/S1070427214080126")</f>
        <v>http://dx.doi.org/10.1134/S1070427214080126</v>
      </c>
      <c r="BS205" t="s">
        <v>1735</v>
      </c>
      <c r="BT205" t="str">
        <f>HYPERLINK("https%3A%2F%2Fwww.webofscience.com%2Fwos%2Fwoscc%2Ffull-record%2FWOS:000345395800012","View Full Record in Web of Science")</f>
        <v>View Full Record in Web of Science</v>
      </c>
    </row>
    <row r="206" spans="1:72" ht="12.75" customHeight="1" x14ac:dyDescent="0.2">
      <c r="A206" t="s">
        <v>72</v>
      </c>
      <c r="B206" t="s">
        <v>1736</v>
      </c>
      <c r="F206" t="s">
        <v>1737</v>
      </c>
      <c r="I206" t="s">
        <v>1738</v>
      </c>
      <c r="J206" t="s">
        <v>409</v>
      </c>
      <c r="AA206" t="s">
        <v>1739</v>
      </c>
      <c r="AO206" t="s">
        <v>412</v>
      </c>
      <c r="AT206" t="s">
        <v>1173</v>
      </c>
      <c r="AU206">
        <v>2008</v>
      </c>
      <c r="AV206">
        <v>81</v>
      </c>
      <c r="AW206">
        <v>8</v>
      </c>
      <c r="BB206">
        <v>1423</v>
      </c>
      <c r="BC206">
        <v>1426</v>
      </c>
      <c r="BE206" t="s">
        <v>1740</v>
      </c>
      <c r="BF206" t="str">
        <f>HYPERLINK("http://dx.doi.org/10.1134/S107042720808020X","http://dx.doi.org/10.1134/S107042720808020X")</f>
        <v>http://dx.doi.org/10.1134/S107042720808020X</v>
      </c>
      <c r="BS206" t="s">
        <v>1741</v>
      </c>
      <c r="BT206" t="str">
        <f>HYPERLINK("https%3A%2F%2Fwww.webofscience.com%2Fwos%2Fwoscc%2Ffull-record%2FWOS:000259579700020","View Full Record in Web of Science")</f>
        <v>View Full Record in Web of Science</v>
      </c>
    </row>
    <row r="207" spans="1:72" ht="12.75" customHeight="1" x14ac:dyDescent="0.2">
      <c r="A207" t="s">
        <v>72</v>
      </c>
      <c r="B207" t="s">
        <v>1170</v>
      </c>
      <c r="F207" t="s">
        <v>1171</v>
      </c>
      <c r="I207" t="s">
        <v>1742</v>
      </c>
      <c r="J207" t="s">
        <v>311</v>
      </c>
      <c r="AO207" t="s">
        <v>312</v>
      </c>
      <c r="AT207" t="s">
        <v>491</v>
      </c>
      <c r="AU207">
        <v>2008</v>
      </c>
      <c r="AV207">
        <v>42</v>
      </c>
      <c r="AW207">
        <v>3</v>
      </c>
      <c r="BB207">
        <v>271</v>
      </c>
      <c r="BC207">
        <v>277</v>
      </c>
      <c r="BE207" t="s">
        <v>1743</v>
      </c>
      <c r="BF207" t="str">
        <f>HYPERLINK("http://dx.doi.org/10.1134/S004057950803007X","http://dx.doi.org/10.1134/S004057950803007X")</f>
        <v>http://dx.doi.org/10.1134/S004057950803007X</v>
      </c>
      <c r="BS207" t="s">
        <v>1744</v>
      </c>
      <c r="BT207" t="str">
        <f>HYPERLINK("https%3A%2F%2Fwww.webofscience.com%2Fwos%2Fwoscc%2Ffull-record%2FWOS:000257394200007","View Full Record in Web of Science")</f>
        <v>View Full Record in Web of Science</v>
      </c>
    </row>
    <row r="208" spans="1:72" ht="12.75" customHeight="1" x14ac:dyDescent="0.2">
      <c r="A208" t="s">
        <v>72</v>
      </c>
      <c r="B208" t="s">
        <v>1745</v>
      </c>
      <c r="F208" t="s">
        <v>1745</v>
      </c>
      <c r="I208" t="s">
        <v>1746</v>
      </c>
      <c r="J208" t="s">
        <v>614</v>
      </c>
      <c r="O208" t="s">
        <v>1747</v>
      </c>
      <c r="P208" t="s">
        <v>1748</v>
      </c>
      <c r="Q208" t="s">
        <v>1749</v>
      </c>
      <c r="S208" t="s">
        <v>1750</v>
      </c>
      <c r="AO208" t="s">
        <v>617</v>
      </c>
      <c r="AT208" t="s">
        <v>88</v>
      </c>
      <c r="AU208">
        <v>2003</v>
      </c>
      <c r="AV208">
        <v>39</v>
      </c>
      <c r="AW208">
        <v>5</v>
      </c>
      <c r="BB208">
        <v>542</v>
      </c>
      <c r="BC208">
        <v>548</v>
      </c>
      <c r="BE208" t="s">
        <v>1751</v>
      </c>
      <c r="BF208" t="str">
        <f>HYPERLINK("http://dx.doi.org/10.1023/A:1023833111833","http://dx.doi.org/10.1023/A:1023833111833")</f>
        <v>http://dx.doi.org/10.1023/A:1023833111833</v>
      </c>
      <c r="BS208" t="s">
        <v>1752</v>
      </c>
      <c r="BT208" t="str">
        <f>HYPERLINK("https%3A%2F%2Fwww.webofscience.com%2Fwos%2Fwoscc%2Ffull-record%2FWOS:000183347900016","View Full Record in Web of Science")</f>
        <v>View Full Record in Web of Science</v>
      </c>
    </row>
    <row r="209" spans="1:72" ht="12.75" customHeight="1" x14ac:dyDescent="0.2">
      <c r="A209" t="s">
        <v>72</v>
      </c>
      <c r="B209" t="s">
        <v>1753</v>
      </c>
      <c r="F209" t="s">
        <v>1753</v>
      </c>
      <c r="I209" t="s">
        <v>1754</v>
      </c>
      <c r="J209" t="s">
        <v>244</v>
      </c>
      <c r="AO209" t="s">
        <v>245</v>
      </c>
      <c r="AU209">
        <v>1996</v>
      </c>
      <c r="AW209">
        <v>9</v>
      </c>
      <c r="BB209">
        <v>158</v>
      </c>
      <c r="BC209">
        <v>163</v>
      </c>
      <c r="BS209" t="s">
        <v>1755</v>
      </c>
      <c r="BT209" t="str">
        <f>HYPERLINK("https%3A%2F%2Fwww.webofscience.com%2Fwos%2Fwoscc%2Ffull-record%2FWOS:A1996VT67800011","View Full Record in Web of Science")</f>
        <v>View Full Record in Web of Science</v>
      </c>
    </row>
    <row r="210" spans="1:72" ht="12.75" customHeight="1" x14ac:dyDescent="0.2">
      <c r="A210" t="s">
        <v>72</v>
      </c>
      <c r="B210" t="s">
        <v>1756</v>
      </c>
      <c r="F210" t="s">
        <v>1757</v>
      </c>
      <c r="I210" t="s">
        <v>1758</v>
      </c>
      <c r="J210" t="s">
        <v>989</v>
      </c>
      <c r="AA210" t="s">
        <v>1759</v>
      </c>
      <c r="AB210" t="s">
        <v>1760</v>
      </c>
      <c r="AO210" t="s">
        <v>992</v>
      </c>
      <c r="AP210" t="s">
        <v>993</v>
      </c>
      <c r="AT210" t="s">
        <v>1167</v>
      </c>
      <c r="AU210">
        <v>2022</v>
      </c>
      <c r="AV210">
        <v>112</v>
      </c>
      <c r="AW210" t="s">
        <v>1639</v>
      </c>
      <c r="BB210">
        <v>382</v>
      </c>
      <c r="BC210">
        <v>387</v>
      </c>
      <c r="BE210" t="s">
        <v>1761</v>
      </c>
      <c r="BF210" t="str">
        <f>HYPERLINK("http://dx.doi.org/10.1134/S0001434622090061","http://dx.doi.org/10.1134/S0001434622090061")</f>
        <v>http://dx.doi.org/10.1134/S0001434622090061</v>
      </c>
      <c r="BS210" t="s">
        <v>1762</v>
      </c>
      <c r="BT210" t="str">
        <f>HYPERLINK("https%3A%2F%2Fwww.webofscience.com%2Fwos%2Fwoscc%2Ffull-record%2FWOS:000871088800006","View Full Record in Web of Science")</f>
        <v>View Full Record in Web of Science</v>
      </c>
    </row>
    <row r="211" spans="1:72" ht="12.75" customHeight="1" x14ac:dyDescent="0.2">
      <c r="A211" t="s">
        <v>147</v>
      </c>
      <c r="B211" t="s">
        <v>1763</v>
      </c>
      <c r="D211" t="s">
        <v>233</v>
      </c>
      <c r="F211" t="s">
        <v>1764</v>
      </c>
      <c r="I211" t="s">
        <v>1765</v>
      </c>
      <c r="J211" t="s">
        <v>1766</v>
      </c>
      <c r="K211" t="s">
        <v>1767</v>
      </c>
      <c r="O211" t="s">
        <v>1768</v>
      </c>
      <c r="P211" t="s">
        <v>1769</v>
      </c>
      <c r="Q211" t="s">
        <v>1770</v>
      </c>
      <c r="S211" t="s">
        <v>1771</v>
      </c>
      <c r="AA211" t="s">
        <v>238</v>
      </c>
      <c r="AB211" t="s">
        <v>239</v>
      </c>
      <c r="AO211" t="s">
        <v>1772</v>
      </c>
      <c r="AP211" t="s">
        <v>1773</v>
      </c>
      <c r="AQ211" t="s">
        <v>1774</v>
      </c>
      <c r="AU211">
        <v>2022</v>
      </c>
      <c r="AV211">
        <v>368</v>
      </c>
      <c r="BB211">
        <v>723</v>
      </c>
      <c r="BC211">
        <v>733</v>
      </c>
      <c r="BE211" t="s">
        <v>1775</v>
      </c>
      <c r="BF211" t="str">
        <f>HYPERLINK("http://dx.doi.org/10.1007/978-3-030-93244-2_78","http://dx.doi.org/10.1007/978-3-030-93244-2_78")</f>
        <v>http://dx.doi.org/10.1007/978-3-030-93244-2_78</v>
      </c>
      <c r="BS211" t="s">
        <v>1776</v>
      </c>
      <c r="BT211" t="str">
        <f>HYPERLINK("https%3A%2F%2Fwww.webofscience.com%2Fwos%2Fwoscc%2Ffull-record%2FWOS:000759460600078","View Full Record in Web of Science")</f>
        <v>View Full Record in Web of Science</v>
      </c>
    </row>
    <row r="212" spans="1:72" ht="12.75" customHeight="1" x14ac:dyDescent="0.2">
      <c r="A212" t="s">
        <v>72</v>
      </c>
      <c r="B212" t="s">
        <v>1777</v>
      </c>
      <c r="F212" t="s">
        <v>1778</v>
      </c>
      <c r="I212" t="s">
        <v>1779</v>
      </c>
      <c r="J212" t="s">
        <v>1780</v>
      </c>
      <c r="AA212" t="s">
        <v>1781</v>
      </c>
      <c r="AB212" t="s">
        <v>1782</v>
      </c>
      <c r="AO212" t="s">
        <v>1783</v>
      </c>
      <c r="AT212" t="s">
        <v>78</v>
      </c>
      <c r="AU212">
        <v>2021</v>
      </c>
      <c r="AW212">
        <v>3</v>
      </c>
      <c r="BB212">
        <v>27</v>
      </c>
      <c r="BC212">
        <v>37</v>
      </c>
      <c r="BE212" t="s">
        <v>1784</v>
      </c>
      <c r="BF212" t="str">
        <f>HYPERLINK("http://dx.doi.org/10.15211/soveurope320212737","http://dx.doi.org/10.15211/soveurope320212737")</f>
        <v>http://dx.doi.org/10.15211/soveurope320212737</v>
      </c>
      <c r="BS212" t="s">
        <v>1785</v>
      </c>
      <c r="BT212" t="str">
        <f>HYPERLINK("https%3A%2F%2Fwww.webofscience.com%2Fwos%2Fwoscc%2Ffull-record%2FWOS:000708406300003","View Full Record in Web of Science")</f>
        <v>View Full Record in Web of Science</v>
      </c>
    </row>
    <row r="213" spans="1:72" ht="12.75" customHeight="1" x14ac:dyDescent="0.2">
      <c r="A213" t="s">
        <v>72</v>
      </c>
      <c r="B213" t="s">
        <v>102</v>
      </c>
      <c r="F213" t="s">
        <v>1786</v>
      </c>
      <c r="I213" t="s">
        <v>1787</v>
      </c>
      <c r="J213" t="s">
        <v>1788</v>
      </c>
      <c r="AO213" t="s">
        <v>1789</v>
      </c>
      <c r="AP213" t="s">
        <v>1790</v>
      </c>
      <c r="AT213" t="s">
        <v>655</v>
      </c>
      <c r="AU213">
        <v>2021</v>
      </c>
      <c r="AV213">
        <v>20</v>
      </c>
      <c r="AW213">
        <v>1</v>
      </c>
      <c r="BB213">
        <v>108</v>
      </c>
      <c r="BC213">
        <v>124</v>
      </c>
      <c r="BE213" t="s">
        <v>1791</v>
      </c>
      <c r="BF213" t="str">
        <f>HYPERLINK("http://dx.doi.org/10.22363/2312-8674-2021-20-1-108-124","http://dx.doi.org/10.22363/2312-8674-2021-20-1-108-124")</f>
        <v>http://dx.doi.org/10.22363/2312-8674-2021-20-1-108-124</v>
      </c>
      <c r="BS213" t="s">
        <v>1792</v>
      </c>
      <c r="BT213" t="str">
        <f>HYPERLINK("https%3A%2F%2Fwww.webofscience.com%2Fwos%2Fwoscc%2Ffull-record%2FWOS:000624911700007","View Full Record in Web of Science")</f>
        <v>View Full Record in Web of Science</v>
      </c>
    </row>
    <row r="214" spans="1:72" ht="12.75" customHeight="1" x14ac:dyDescent="0.2">
      <c r="A214" t="s">
        <v>72</v>
      </c>
      <c r="B214" t="s">
        <v>1793</v>
      </c>
      <c r="F214" t="s">
        <v>1794</v>
      </c>
      <c r="I214" t="s">
        <v>1795</v>
      </c>
      <c r="J214" t="s">
        <v>95</v>
      </c>
      <c r="AA214" t="s">
        <v>1796</v>
      </c>
      <c r="AB214" t="s">
        <v>1797</v>
      </c>
      <c r="AO214" t="s">
        <v>98</v>
      </c>
      <c r="AP214" t="s">
        <v>99</v>
      </c>
      <c r="AU214">
        <v>2021</v>
      </c>
      <c r="AW214">
        <v>1</v>
      </c>
      <c r="BB214">
        <v>181</v>
      </c>
      <c r="BC214">
        <v>187</v>
      </c>
      <c r="BE214" t="s">
        <v>1798</v>
      </c>
      <c r="BF214" t="str">
        <f>HYPERLINK("http://dx.doi.org/10.25750/1995-4301-2021-1-181-187","http://dx.doi.org/10.25750/1995-4301-2021-1-181-187")</f>
        <v>http://dx.doi.org/10.25750/1995-4301-2021-1-181-187</v>
      </c>
      <c r="BS214" t="s">
        <v>1799</v>
      </c>
      <c r="BT214" t="str">
        <f>HYPERLINK("https%3A%2F%2Fwww.webofscience.com%2Fwos%2Fwoscc%2Ffull-record%2FWOS:000632219100024","View Full Record in Web of Science")</f>
        <v>View Full Record in Web of Science</v>
      </c>
    </row>
    <row r="215" spans="1:72" ht="12.75" customHeight="1" x14ac:dyDescent="0.2">
      <c r="A215" t="s">
        <v>147</v>
      </c>
      <c r="B215" t="s">
        <v>1800</v>
      </c>
      <c r="D215" t="s">
        <v>1801</v>
      </c>
      <c r="F215" t="s">
        <v>1802</v>
      </c>
      <c r="I215" t="s">
        <v>1803</v>
      </c>
      <c r="J215" t="s">
        <v>1804</v>
      </c>
      <c r="K215" t="s">
        <v>1805</v>
      </c>
      <c r="O215" t="s">
        <v>1806</v>
      </c>
      <c r="P215" t="s">
        <v>1807</v>
      </c>
      <c r="Q215" t="s">
        <v>1808</v>
      </c>
      <c r="S215" t="s">
        <v>257</v>
      </c>
      <c r="AO215" t="s">
        <v>1809</v>
      </c>
      <c r="AQ215" t="s">
        <v>1810</v>
      </c>
      <c r="AU215">
        <v>2020</v>
      </c>
      <c r="BB215">
        <v>1227</v>
      </c>
      <c r="BC215">
        <v>1239</v>
      </c>
      <c r="BE215" t="s">
        <v>1811</v>
      </c>
      <c r="BF215" t="str">
        <f>HYPERLINK("http://dx.doi.org/10.3897/ap.2.e1227","http://dx.doi.org/10.3897/ap.2.e1227")</f>
        <v>http://dx.doi.org/10.3897/ap.2.e1227</v>
      </c>
      <c r="BS215" t="s">
        <v>1812</v>
      </c>
      <c r="BT215" t="str">
        <f>HYPERLINK("https%3A%2F%2Fwww.webofscience.com%2Fwos%2Fwoscc%2Ffull-record%2FWOS:000671896200095","View Full Record in Web of Science")</f>
        <v>View Full Record in Web of Science</v>
      </c>
    </row>
    <row r="216" spans="1:72" ht="12.75" customHeight="1" x14ac:dyDescent="0.2">
      <c r="A216" t="s">
        <v>72</v>
      </c>
      <c r="B216" t="s">
        <v>1813</v>
      </c>
      <c r="F216" t="s">
        <v>1814</v>
      </c>
      <c r="I216" t="s">
        <v>1815</v>
      </c>
      <c r="J216" t="s">
        <v>325</v>
      </c>
      <c r="AA216" t="s">
        <v>1816</v>
      </c>
      <c r="AB216" t="s">
        <v>1817</v>
      </c>
      <c r="AO216" t="s">
        <v>328</v>
      </c>
      <c r="AP216" t="s">
        <v>329</v>
      </c>
      <c r="AU216">
        <v>2020</v>
      </c>
      <c r="AV216">
        <v>14</v>
      </c>
      <c r="AW216">
        <v>1</v>
      </c>
      <c r="BB216">
        <v>93</v>
      </c>
      <c r="BC216">
        <v>110</v>
      </c>
      <c r="BE216" t="s">
        <v>1818</v>
      </c>
      <c r="BF216" t="str">
        <f>HYPERLINK("http://dx.doi.org/10.24874/IJQR14.01-07","http://dx.doi.org/10.24874/IJQR14.01-07")</f>
        <v>http://dx.doi.org/10.24874/IJQR14.01-07</v>
      </c>
      <c r="BS216" t="s">
        <v>1819</v>
      </c>
      <c r="BT216" t="str">
        <f>HYPERLINK("https%3A%2F%2Fwww.webofscience.com%2Fwos%2Fwoscc%2Ffull-record%2FWOS:000518417300007","View Full Record in Web of Science")</f>
        <v>View Full Record in Web of Science</v>
      </c>
    </row>
    <row r="217" spans="1:72" ht="12.75" customHeight="1" x14ac:dyDescent="0.2">
      <c r="A217" t="s">
        <v>72</v>
      </c>
      <c r="B217" t="s">
        <v>1820</v>
      </c>
      <c r="F217" t="s">
        <v>1821</v>
      </c>
      <c r="I217" t="s">
        <v>1822</v>
      </c>
      <c r="J217" t="s">
        <v>1635</v>
      </c>
      <c r="AA217" t="s">
        <v>1823</v>
      </c>
      <c r="AB217" t="s">
        <v>1824</v>
      </c>
      <c r="AO217" t="s">
        <v>1636</v>
      </c>
      <c r="AP217" t="s">
        <v>1637</v>
      </c>
      <c r="AT217" t="s">
        <v>1638</v>
      </c>
      <c r="AU217">
        <v>2019</v>
      </c>
      <c r="AV217">
        <v>27</v>
      </c>
      <c r="AW217" t="s">
        <v>1639</v>
      </c>
      <c r="AZ217" t="s">
        <v>339</v>
      </c>
      <c r="BB217">
        <v>239</v>
      </c>
      <c r="BC217">
        <v>244</v>
      </c>
      <c r="BE217" t="s">
        <v>1825</v>
      </c>
      <c r="BF217" t="str">
        <f>HYPERLINK("http://dx.doi.org/10.1108/OTH-07-2019-0042","http://dx.doi.org/10.1108/OTH-07-2019-0042")</f>
        <v>http://dx.doi.org/10.1108/OTH-07-2019-0042</v>
      </c>
      <c r="BS217" t="s">
        <v>1826</v>
      </c>
      <c r="BT217" t="str">
        <f>HYPERLINK("https%3A%2F%2Fwww.webofscience.com%2Fwos%2Fwoscc%2Ffull-record%2FWOS:000491196500016","View Full Record in Web of Science")</f>
        <v>View Full Record in Web of Science</v>
      </c>
    </row>
    <row r="218" spans="1:72" ht="12.75" customHeight="1" x14ac:dyDescent="0.2">
      <c r="A218" t="s">
        <v>147</v>
      </c>
      <c r="B218" t="s">
        <v>1827</v>
      </c>
      <c r="E218" t="s">
        <v>210</v>
      </c>
      <c r="F218" t="s">
        <v>1828</v>
      </c>
      <c r="I218" t="s">
        <v>1829</v>
      </c>
      <c r="J218" t="s">
        <v>571</v>
      </c>
      <c r="K218" t="s">
        <v>362</v>
      </c>
      <c r="O218" t="s">
        <v>572</v>
      </c>
      <c r="P218" t="s">
        <v>573</v>
      </c>
      <c r="Q218" t="s">
        <v>574</v>
      </c>
      <c r="R218" t="s">
        <v>575</v>
      </c>
      <c r="S218" t="s">
        <v>576</v>
      </c>
      <c r="AA218" t="s">
        <v>367</v>
      </c>
      <c r="AB218" t="s">
        <v>368</v>
      </c>
      <c r="AO218" t="s">
        <v>369</v>
      </c>
      <c r="AQ218" t="s">
        <v>579</v>
      </c>
      <c r="AU218">
        <v>2019</v>
      </c>
      <c r="BB218">
        <v>249</v>
      </c>
      <c r="BC218">
        <v>254</v>
      </c>
      <c r="BS218" t="s">
        <v>1830</v>
      </c>
      <c r="BT218" t="str">
        <f>HYPERLINK("https%3A%2F%2Fwww.webofscience.com%2Fwos%2Fwoscc%2Ffull-record%2FWOS:000469999300035","View Full Record in Web of Science")</f>
        <v>View Full Record in Web of Science</v>
      </c>
    </row>
    <row r="219" spans="1:72" ht="12.75" customHeight="1" x14ac:dyDescent="0.2">
      <c r="A219" t="s">
        <v>147</v>
      </c>
      <c r="B219" t="s">
        <v>1831</v>
      </c>
      <c r="D219" t="s">
        <v>739</v>
      </c>
      <c r="F219" t="s">
        <v>1832</v>
      </c>
      <c r="I219" t="s">
        <v>1833</v>
      </c>
      <c r="J219" t="s">
        <v>1834</v>
      </c>
      <c r="K219" t="s">
        <v>743</v>
      </c>
      <c r="O219" t="s">
        <v>744</v>
      </c>
      <c r="P219" t="s">
        <v>1835</v>
      </c>
      <c r="Q219" t="s">
        <v>1836</v>
      </c>
      <c r="R219" t="s">
        <v>1837</v>
      </c>
      <c r="S219" t="s">
        <v>1838</v>
      </c>
      <c r="AO219" t="s">
        <v>748</v>
      </c>
      <c r="AQ219" t="s">
        <v>1839</v>
      </c>
      <c r="AU219">
        <v>2019</v>
      </c>
      <c r="BS219" t="s">
        <v>1840</v>
      </c>
      <c r="BT219" t="str">
        <f>HYPERLINK("https%3A%2F%2Fwww.webofscience.com%2Fwos%2Fwoscc%2Ffull-record%2FWOS:000477706200026","View Full Record in Web of Science")</f>
        <v>View Full Record in Web of Science</v>
      </c>
    </row>
    <row r="220" spans="1:72" ht="12.75" customHeight="1" x14ac:dyDescent="0.2">
      <c r="A220" t="s">
        <v>72</v>
      </c>
      <c r="B220" t="s">
        <v>581</v>
      </c>
      <c r="F220" t="s">
        <v>582</v>
      </c>
      <c r="I220" t="s">
        <v>1841</v>
      </c>
      <c r="J220" t="s">
        <v>584</v>
      </c>
      <c r="AA220" t="s">
        <v>1842</v>
      </c>
      <c r="AB220" t="s">
        <v>1843</v>
      </c>
      <c r="AO220" t="s">
        <v>587</v>
      </c>
      <c r="AP220" t="s">
        <v>588</v>
      </c>
      <c r="AU220">
        <v>2019</v>
      </c>
      <c r="AV220">
        <v>91</v>
      </c>
      <c r="AW220">
        <v>7</v>
      </c>
      <c r="BB220">
        <v>80</v>
      </c>
      <c r="BC220">
        <v>97</v>
      </c>
      <c r="BE220" t="s">
        <v>1844</v>
      </c>
      <c r="BF220" t="str">
        <f>HYPERLINK("http://dx.doi.org/10.18720/MCE.91.8","http://dx.doi.org/10.18720/MCE.91.8")</f>
        <v>http://dx.doi.org/10.18720/MCE.91.8</v>
      </c>
      <c r="BS220" t="s">
        <v>1845</v>
      </c>
      <c r="BT220" t="str">
        <f>HYPERLINK("https%3A%2F%2Fwww.webofscience.com%2Fwos%2Fwoscc%2Ffull-record%2FWOS:000593141100008","View Full Record in Web of Science")</f>
        <v>View Full Record in Web of Science</v>
      </c>
    </row>
    <row r="221" spans="1:72" ht="12.75" customHeight="1" x14ac:dyDescent="0.2">
      <c r="A221" t="s">
        <v>72</v>
      </c>
      <c r="B221" t="s">
        <v>1846</v>
      </c>
      <c r="F221" t="s">
        <v>1847</v>
      </c>
      <c r="I221" t="s">
        <v>1848</v>
      </c>
      <c r="J221" t="s">
        <v>594</v>
      </c>
      <c r="AA221" t="s">
        <v>1849</v>
      </c>
      <c r="AB221" t="s">
        <v>1850</v>
      </c>
      <c r="AO221" t="s">
        <v>597</v>
      </c>
      <c r="AT221" t="s">
        <v>491</v>
      </c>
      <c r="AU221">
        <v>2018</v>
      </c>
      <c r="AV221">
        <v>8</v>
      </c>
      <c r="AW221">
        <v>6</v>
      </c>
      <c r="BB221">
        <v>356</v>
      </c>
      <c r="BC221">
        <v>362</v>
      </c>
      <c r="BS221" t="s">
        <v>1851</v>
      </c>
      <c r="BT221" t="str">
        <f>HYPERLINK("https%3A%2F%2Fwww.webofscience.com%2Fwos%2Fwoscc%2Ffull-record%2FWOS:000443674500037","View Full Record in Web of Science")</f>
        <v>View Full Record in Web of Science</v>
      </c>
    </row>
    <row r="222" spans="1:72" ht="12.75" customHeight="1" x14ac:dyDescent="0.2">
      <c r="A222" t="s">
        <v>147</v>
      </c>
      <c r="B222" t="s">
        <v>1852</v>
      </c>
      <c r="E222" t="s">
        <v>210</v>
      </c>
      <c r="F222" t="s">
        <v>1853</v>
      </c>
      <c r="I222" t="s">
        <v>1854</v>
      </c>
      <c r="J222" t="s">
        <v>213</v>
      </c>
      <c r="O222" t="s">
        <v>214</v>
      </c>
      <c r="P222" t="s">
        <v>215</v>
      </c>
      <c r="Q222" t="s">
        <v>216</v>
      </c>
      <c r="S222" t="s">
        <v>217</v>
      </c>
      <c r="AA222" t="s">
        <v>142</v>
      </c>
      <c r="AB222" t="s">
        <v>143</v>
      </c>
      <c r="AQ222" t="s">
        <v>218</v>
      </c>
      <c r="AU222">
        <v>2018</v>
      </c>
      <c r="BS222" t="s">
        <v>1855</v>
      </c>
      <c r="BT222" t="str">
        <f>HYPERLINK("https%3A%2F%2Fwww.webofscience.com%2Fwos%2Fwoscc%2Ffull-record%2FWOS:000478963800033","View Full Record in Web of Science")</f>
        <v>View Full Record in Web of Science</v>
      </c>
    </row>
    <row r="223" spans="1:72" ht="12.75" customHeight="1" x14ac:dyDescent="0.2">
      <c r="A223" t="s">
        <v>147</v>
      </c>
      <c r="B223" t="s">
        <v>1856</v>
      </c>
      <c r="E223" t="s">
        <v>210</v>
      </c>
      <c r="F223" t="s">
        <v>1857</v>
      </c>
      <c r="I223" t="s">
        <v>1858</v>
      </c>
      <c r="J223" t="s">
        <v>213</v>
      </c>
      <c r="O223" t="s">
        <v>214</v>
      </c>
      <c r="P223" t="s">
        <v>215</v>
      </c>
      <c r="Q223" t="s">
        <v>216</v>
      </c>
      <c r="S223" t="s">
        <v>217</v>
      </c>
      <c r="AQ223" t="s">
        <v>218</v>
      </c>
      <c r="AU223">
        <v>2018</v>
      </c>
      <c r="BS223" t="s">
        <v>1859</v>
      </c>
      <c r="BT223" t="str">
        <f>HYPERLINK("https%3A%2F%2Fwww.webofscience.com%2Fwos%2Fwoscc%2Ffull-record%2FWOS:000478963800234","View Full Record in Web of Science")</f>
        <v>View Full Record in Web of Science</v>
      </c>
    </row>
    <row r="224" spans="1:72" ht="12.75" customHeight="1" x14ac:dyDescent="0.2">
      <c r="A224" t="s">
        <v>72</v>
      </c>
      <c r="B224" t="s">
        <v>110</v>
      </c>
      <c r="F224" t="s">
        <v>1860</v>
      </c>
      <c r="I224" t="s">
        <v>1861</v>
      </c>
      <c r="J224" t="s">
        <v>1862</v>
      </c>
      <c r="AA224" t="s">
        <v>677</v>
      </c>
      <c r="AB224" t="s">
        <v>678</v>
      </c>
      <c r="AO224" t="s">
        <v>1863</v>
      </c>
      <c r="AU224">
        <v>2018</v>
      </c>
      <c r="AV224">
        <v>43</v>
      </c>
      <c r="AW224">
        <v>4</v>
      </c>
      <c r="BB224">
        <v>107</v>
      </c>
      <c r="BC224">
        <v>116</v>
      </c>
      <c r="BE224" t="s">
        <v>1864</v>
      </c>
      <c r="BF224" t="str">
        <f>HYPERLINK("http://dx.doi.org/10.17072/2219-3111-2018-4-107-116","http://dx.doi.org/10.17072/2219-3111-2018-4-107-116")</f>
        <v>http://dx.doi.org/10.17072/2219-3111-2018-4-107-116</v>
      </c>
      <c r="BS224" t="s">
        <v>1865</v>
      </c>
      <c r="BT224" t="str">
        <f>HYPERLINK("https%3A%2F%2Fwww.webofscience.com%2Fwos%2Fwoscc%2Ffull-record%2FWOS:000456115100012","View Full Record in Web of Science")</f>
        <v>View Full Record in Web of Science</v>
      </c>
    </row>
    <row r="225" spans="1:72" ht="12.75" customHeight="1" x14ac:dyDescent="0.2">
      <c r="A225" t="s">
        <v>147</v>
      </c>
      <c r="B225" t="s">
        <v>1866</v>
      </c>
      <c r="E225" t="s">
        <v>210</v>
      </c>
      <c r="F225" t="s">
        <v>1867</v>
      </c>
      <c r="I225" t="s">
        <v>1868</v>
      </c>
      <c r="J225" t="s">
        <v>1261</v>
      </c>
      <c r="O225" t="s">
        <v>214</v>
      </c>
      <c r="P225" t="s">
        <v>909</v>
      </c>
      <c r="Q225" t="s">
        <v>910</v>
      </c>
      <c r="R225" t="s">
        <v>1262</v>
      </c>
      <c r="AA225" t="s">
        <v>142</v>
      </c>
      <c r="AB225" t="s">
        <v>143</v>
      </c>
      <c r="AQ225" t="s">
        <v>1263</v>
      </c>
      <c r="AU225">
        <v>2017</v>
      </c>
      <c r="BS225" t="s">
        <v>1869</v>
      </c>
      <c r="BT225" t="str">
        <f>HYPERLINK("https%3A%2F%2Fwww.webofscience.com%2Fwos%2Fwoscc%2Ffull-record%2FWOS:000414282400171","View Full Record in Web of Science")</f>
        <v>View Full Record in Web of Science</v>
      </c>
    </row>
    <row r="226" spans="1:72" ht="12.75" customHeight="1" x14ac:dyDescent="0.2">
      <c r="A226" t="s">
        <v>147</v>
      </c>
      <c r="B226" t="s">
        <v>1870</v>
      </c>
      <c r="E226" t="s">
        <v>210</v>
      </c>
      <c r="F226" t="s">
        <v>1871</v>
      </c>
      <c r="I226" t="s">
        <v>1872</v>
      </c>
      <c r="J226" t="s">
        <v>1261</v>
      </c>
      <c r="O226" t="s">
        <v>214</v>
      </c>
      <c r="P226" t="s">
        <v>909</v>
      </c>
      <c r="Q226" t="s">
        <v>910</v>
      </c>
      <c r="R226" t="s">
        <v>1262</v>
      </c>
      <c r="AB226" t="s">
        <v>1873</v>
      </c>
      <c r="AQ226" t="s">
        <v>1263</v>
      </c>
      <c r="AU226">
        <v>2017</v>
      </c>
      <c r="BS226" t="s">
        <v>1874</v>
      </c>
      <c r="BT226" t="str">
        <f>HYPERLINK("https%3A%2F%2Fwww.webofscience.com%2Fwos%2Fwoscc%2Ffull-record%2FWOS:000414282400175","View Full Record in Web of Science")</f>
        <v>View Full Record in Web of Science</v>
      </c>
    </row>
    <row r="227" spans="1:72" ht="12.75" customHeight="1" x14ac:dyDescent="0.2">
      <c r="A227" t="s">
        <v>147</v>
      </c>
      <c r="B227" t="s">
        <v>1875</v>
      </c>
      <c r="D227" t="s">
        <v>1876</v>
      </c>
      <c r="F227" t="s">
        <v>1877</v>
      </c>
      <c r="I227" t="s">
        <v>1878</v>
      </c>
      <c r="J227" t="s">
        <v>1879</v>
      </c>
      <c r="K227" t="s">
        <v>1276</v>
      </c>
      <c r="O227" t="s">
        <v>1880</v>
      </c>
      <c r="P227" t="s">
        <v>1881</v>
      </c>
      <c r="Q227" t="s">
        <v>1882</v>
      </c>
      <c r="R227" t="s">
        <v>1883</v>
      </c>
      <c r="S227" t="s">
        <v>1884</v>
      </c>
      <c r="AA227" t="s">
        <v>1885</v>
      </c>
      <c r="AB227" t="s">
        <v>1886</v>
      </c>
      <c r="AO227" t="s">
        <v>1282</v>
      </c>
      <c r="AU227">
        <v>2017</v>
      </c>
      <c r="AV227">
        <v>106</v>
      </c>
      <c r="BD227">
        <v>8012</v>
      </c>
      <c r="BE227" t="s">
        <v>1887</v>
      </c>
      <c r="BF227" t="str">
        <f>HYPERLINK("http://dx.doi.org/10.1051/matecconf/201710608012","http://dx.doi.org/10.1051/matecconf/201710608012")</f>
        <v>http://dx.doi.org/10.1051/matecconf/201710608012</v>
      </c>
      <c r="BS227" t="s">
        <v>1888</v>
      </c>
      <c r="BT227" t="str">
        <f>HYPERLINK("https%3A%2F%2Fwww.webofscience.com%2Fwos%2Fwoscc%2Ffull-record%2FWOS:000426426600197","View Full Record in Web of Science")</f>
        <v>View Full Record in Web of Science</v>
      </c>
    </row>
    <row r="228" spans="1:72" ht="12.75" customHeight="1" x14ac:dyDescent="0.2">
      <c r="A228" t="s">
        <v>147</v>
      </c>
      <c r="B228" t="s">
        <v>1889</v>
      </c>
      <c r="D228" t="s">
        <v>249</v>
      </c>
      <c r="F228" t="s">
        <v>1890</v>
      </c>
      <c r="I228" t="s">
        <v>1891</v>
      </c>
      <c r="J228" t="s">
        <v>252</v>
      </c>
      <c r="K228" t="s">
        <v>253</v>
      </c>
      <c r="O228" t="s">
        <v>254</v>
      </c>
      <c r="P228" t="s">
        <v>255</v>
      </c>
      <c r="Q228" t="s">
        <v>256</v>
      </c>
      <c r="S228" t="s">
        <v>257</v>
      </c>
      <c r="AA228" t="s">
        <v>1892</v>
      </c>
      <c r="AB228" t="s">
        <v>1893</v>
      </c>
      <c r="AO228" t="s">
        <v>259</v>
      </c>
      <c r="AU228">
        <v>2017</v>
      </c>
      <c r="AV228">
        <v>29</v>
      </c>
      <c r="BB228">
        <v>554</v>
      </c>
      <c r="BC228">
        <v>562</v>
      </c>
      <c r="BE228" t="s">
        <v>1894</v>
      </c>
      <c r="BF228" t="str">
        <f>HYPERLINK("http://dx.doi.org/10.15405/epsbs.2017.08.02.64","http://dx.doi.org/10.15405/epsbs.2017.08.02.64")</f>
        <v>http://dx.doi.org/10.15405/epsbs.2017.08.02.64</v>
      </c>
      <c r="BS228" t="s">
        <v>1895</v>
      </c>
      <c r="BT228" t="str">
        <f>HYPERLINK("https%3A%2F%2Fwww.webofscience.com%2Fwos%2Fwoscc%2Ffull-record%2FWOS:000432421300064","View Full Record in Web of Science")</f>
        <v>View Full Record in Web of Science</v>
      </c>
    </row>
    <row r="229" spans="1:72" ht="12.75" customHeight="1" x14ac:dyDescent="0.2">
      <c r="A229" t="s">
        <v>147</v>
      </c>
      <c r="B229" t="s">
        <v>1896</v>
      </c>
      <c r="E229" t="s">
        <v>210</v>
      </c>
      <c r="F229" t="s">
        <v>1897</v>
      </c>
      <c r="I229" t="s">
        <v>1898</v>
      </c>
      <c r="J229" t="s">
        <v>1261</v>
      </c>
      <c r="O229" t="s">
        <v>214</v>
      </c>
      <c r="P229" t="s">
        <v>909</v>
      </c>
      <c r="Q229" t="s">
        <v>910</v>
      </c>
      <c r="R229" t="s">
        <v>1262</v>
      </c>
      <c r="AA229" t="s">
        <v>1899</v>
      </c>
      <c r="AB229" t="s">
        <v>1900</v>
      </c>
      <c r="AQ229" t="s">
        <v>1263</v>
      </c>
      <c r="AU229">
        <v>2017</v>
      </c>
      <c r="BS229" t="s">
        <v>1901</v>
      </c>
      <c r="BT229" t="str">
        <f>HYPERLINK("https%3A%2F%2Fwww.webofscience.com%2Fwos%2Fwoscc%2Ffull-record%2FWOS:000414282400176","View Full Record in Web of Science")</f>
        <v>View Full Record in Web of Science</v>
      </c>
    </row>
    <row r="230" spans="1:72" ht="12.75" customHeight="1" x14ac:dyDescent="0.2">
      <c r="A230" t="s">
        <v>72</v>
      </c>
      <c r="B230" t="s">
        <v>1902</v>
      </c>
      <c r="F230" t="s">
        <v>1903</v>
      </c>
      <c r="I230" t="s">
        <v>1904</v>
      </c>
      <c r="J230" t="s">
        <v>1905</v>
      </c>
      <c r="AA230" t="s">
        <v>1718</v>
      </c>
      <c r="AB230" t="s">
        <v>1719</v>
      </c>
      <c r="AO230" t="s">
        <v>1906</v>
      </c>
      <c r="AT230" t="s">
        <v>125</v>
      </c>
      <c r="AU230">
        <v>2012</v>
      </c>
      <c r="AV230">
        <v>38</v>
      </c>
      <c r="AW230">
        <v>4</v>
      </c>
      <c r="BB230">
        <v>402</v>
      </c>
      <c r="BC230">
        <v>412</v>
      </c>
      <c r="BE230" t="s">
        <v>1907</v>
      </c>
      <c r="BF230" t="str">
        <f>HYPERLINK("http://dx.doi.org/10.1134/S1087659612040025","http://dx.doi.org/10.1134/S1087659612040025")</f>
        <v>http://dx.doi.org/10.1134/S1087659612040025</v>
      </c>
      <c r="BS230" t="s">
        <v>1908</v>
      </c>
      <c r="BT230" t="str">
        <f>HYPERLINK("https%3A%2F%2Fwww.webofscience.com%2Fwos%2Fwoscc%2Ffull-record%2FWOS:000307556900009","View Full Record in Web of Science")</f>
        <v>View Full Record in Web of Science</v>
      </c>
    </row>
    <row r="231" spans="1:72" ht="12.75" customHeight="1" x14ac:dyDescent="0.2">
      <c r="A231" t="s">
        <v>72</v>
      </c>
      <c r="B231" t="s">
        <v>1909</v>
      </c>
      <c r="F231" t="s">
        <v>1910</v>
      </c>
      <c r="I231" t="s">
        <v>1911</v>
      </c>
      <c r="J231" t="s">
        <v>1905</v>
      </c>
      <c r="AA231" t="s">
        <v>1718</v>
      </c>
      <c r="AB231" t="s">
        <v>1719</v>
      </c>
      <c r="AO231" t="s">
        <v>1906</v>
      </c>
      <c r="AP231" t="s">
        <v>1912</v>
      </c>
      <c r="AT231" t="s">
        <v>403</v>
      </c>
      <c r="AU231">
        <v>2011</v>
      </c>
      <c r="AV231">
        <v>37</v>
      </c>
      <c r="AW231">
        <v>6</v>
      </c>
      <c r="BB231">
        <v>640</v>
      </c>
      <c r="BC231">
        <v>649</v>
      </c>
      <c r="BE231" t="s">
        <v>1913</v>
      </c>
      <c r="BF231" t="str">
        <f>HYPERLINK("http://dx.doi.org/10.1134/S1087659611060095","http://dx.doi.org/10.1134/S1087659611060095")</f>
        <v>http://dx.doi.org/10.1134/S1087659611060095</v>
      </c>
      <c r="BS231" t="s">
        <v>1914</v>
      </c>
      <c r="BT231" t="str">
        <f>HYPERLINK("https%3A%2F%2Fwww.webofscience.com%2Fwos%2Fwoscc%2Ffull-record%2FWOS:000298396000009","View Full Record in Web of Science")</f>
        <v>View Full Record in Web of Science</v>
      </c>
    </row>
    <row r="232" spans="1:72" ht="12.75" customHeight="1" x14ac:dyDescent="0.2">
      <c r="A232" t="s">
        <v>72</v>
      </c>
      <c r="B232" t="s">
        <v>1588</v>
      </c>
      <c r="F232" t="s">
        <v>1589</v>
      </c>
      <c r="I232" t="s">
        <v>1915</v>
      </c>
      <c r="J232" t="s">
        <v>623</v>
      </c>
      <c r="AO232" t="s">
        <v>624</v>
      </c>
      <c r="AT232" t="s">
        <v>171</v>
      </c>
      <c r="AU232">
        <v>2009</v>
      </c>
      <c r="AV232">
        <v>83</v>
      </c>
      <c r="AW232">
        <v>3</v>
      </c>
      <c r="BB232">
        <v>418</v>
      </c>
      <c r="BC232">
        <v>423</v>
      </c>
      <c r="BE232" t="s">
        <v>1916</v>
      </c>
      <c r="BF232" t="str">
        <f>HYPERLINK("http://dx.doi.org/10.1134/S0036024409030170","http://dx.doi.org/10.1134/S0036024409030170")</f>
        <v>http://dx.doi.org/10.1134/S0036024409030170</v>
      </c>
      <c r="BS232" t="s">
        <v>1917</v>
      </c>
      <c r="BT232" t="str">
        <f>HYPERLINK("https%3A%2F%2Fwww.webofscience.com%2Fwos%2Fwoscc%2Ffull-record%2FWOS:000263675600017","View Full Record in Web of Science")</f>
        <v>View Full Record in Web of Science</v>
      </c>
    </row>
    <row r="233" spans="1:72" ht="12.75" customHeight="1" x14ac:dyDescent="0.2">
      <c r="A233" t="s">
        <v>72</v>
      </c>
      <c r="B233" t="s">
        <v>1918</v>
      </c>
      <c r="F233" t="s">
        <v>1919</v>
      </c>
      <c r="I233" t="s">
        <v>1920</v>
      </c>
      <c r="J233" t="s">
        <v>409</v>
      </c>
      <c r="AO233" t="s">
        <v>412</v>
      </c>
      <c r="AT233" t="s">
        <v>655</v>
      </c>
      <c r="AU233">
        <v>2008</v>
      </c>
      <c r="AV233">
        <v>81</v>
      </c>
      <c r="AW233">
        <v>2</v>
      </c>
      <c r="BB233">
        <v>202</v>
      </c>
      <c r="BC233">
        <v>206</v>
      </c>
      <c r="BE233" t="s">
        <v>1921</v>
      </c>
      <c r="BF233" t="str">
        <f>HYPERLINK("http://dx.doi.org/10.1134/S1070427208020080","http://dx.doi.org/10.1134/S1070427208020080")</f>
        <v>http://dx.doi.org/10.1134/S1070427208020080</v>
      </c>
      <c r="BS233" t="s">
        <v>1922</v>
      </c>
      <c r="BT233" t="str">
        <f>HYPERLINK("https%3A%2F%2Fwww.webofscience.com%2Fwos%2Fwoscc%2Ffull-record%2FWOS:000254752400008","View Full Record in Web of Science")</f>
        <v>View Full Record in Web of Science</v>
      </c>
    </row>
    <row r="234" spans="1:72" ht="12.75" customHeight="1" x14ac:dyDescent="0.2">
      <c r="A234" t="s">
        <v>72</v>
      </c>
      <c r="B234" t="s">
        <v>1923</v>
      </c>
      <c r="F234" t="s">
        <v>1923</v>
      </c>
      <c r="I234" t="s">
        <v>1924</v>
      </c>
      <c r="J234" t="s">
        <v>311</v>
      </c>
      <c r="AO234" t="s">
        <v>312</v>
      </c>
      <c r="AT234" t="s">
        <v>307</v>
      </c>
      <c r="AU234">
        <v>2001</v>
      </c>
      <c r="AV234">
        <v>35</v>
      </c>
      <c r="AW234">
        <v>1</v>
      </c>
      <c r="BB234">
        <v>97</v>
      </c>
      <c r="BC234">
        <v>100</v>
      </c>
      <c r="BS234" t="s">
        <v>1925</v>
      </c>
      <c r="BT234" t="str">
        <f>HYPERLINK("https%3A%2F%2Fwww.webofscience.com%2Fwos%2Fwoscc%2Ffull-record%2FWOS:000167436400016","View Full Record in Web of Science")</f>
        <v>View Full Record in Web of Science</v>
      </c>
    </row>
    <row r="235" spans="1:72" ht="12.75" customHeight="1" x14ac:dyDescent="0.2">
      <c r="A235" t="s">
        <v>72</v>
      </c>
      <c r="B235" t="s">
        <v>1416</v>
      </c>
      <c r="F235" t="s">
        <v>1416</v>
      </c>
      <c r="I235" t="s">
        <v>1926</v>
      </c>
      <c r="J235" t="s">
        <v>244</v>
      </c>
      <c r="AA235" t="s">
        <v>608</v>
      </c>
      <c r="AB235" t="s">
        <v>609</v>
      </c>
      <c r="AO235" t="s">
        <v>245</v>
      </c>
      <c r="AU235">
        <v>1996</v>
      </c>
      <c r="AW235" t="s">
        <v>945</v>
      </c>
      <c r="BB235">
        <v>54</v>
      </c>
      <c r="BC235">
        <v>72</v>
      </c>
      <c r="BS235" t="s">
        <v>1927</v>
      </c>
      <c r="BT235" t="str">
        <f>HYPERLINK("https%3A%2F%2Fwww.webofscience.com%2Fwos%2Fwoscc%2Ffull-record%2FWOS:A1996WH88100004","View Full Record in Web of Science")</f>
        <v>View Full Record in Web of Science</v>
      </c>
    </row>
    <row r="236" spans="1:72" ht="12.75" customHeight="1" x14ac:dyDescent="0.2">
      <c r="A236" t="s">
        <v>72</v>
      </c>
      <c r="B236" t="s">
        <v>1928</v>
      </c>
      <c r="F236" t="s">
        <v>1929</v>
      </c>
      <c r="I236" t="s">
        <v>1930</v>
      </c>
      <c r="J236" t="s">
        <v>244</v>
      </c>
      <c r="AA236" t="s">
        <v>1460</v>
      </c>
      <c r="AB236" t="s">
        <v>1461</v>
      </c>
      <c r="AO236" t="s">
        <v>245</v>
      </c>
      <c r="AP236" t="s">
        <v>246</v>
      </c>
      <c r="AU236">
        <v>2022</v>
      </c>
      <c r="AV236">
        <v>12</v>
      </c>
      <c r="AW236">
        <v>1</v>
      </c>
      <c r="BB236">
        <v>40</v>
      </c>
      <c r="BC236">
        <v>49</v>
      </c>
      <c r="BE236" t="s">
        <v>1931</v>
      </c>
      <c r="BF236" t="str">
        <f>HYPERLINK("http://dx.doi.org/10.31166/VoprosyIstorii202212Statyi52","http://dx.doi.org/10.31166/VoprosyIstorii202212Statyi52")</f>
        <v>http://dx.doi.org/10.31166/VoprosyIstorii202212Statyi52</v>
      </c>
      <c r="BS236" t="s">
        <v>1932</v>
      </c>
      <c r="BT236" t="str">
        <f>HYPERLINK("https%3A%2F%2Fwww.webofscience.com%2Fwos%2Fwoscc%2Ffull-record%2FWOS:000904073900003","View Full Record in Web of Science")</f>
        <v>View Full Record in Web of Science</v>
      </c>
    </row>
    <row r="237" spans="1:72" ht="12.75" customHeight="1" x14ac:dyDescent="0.2">
      <c r="A237" t="s">
        <v>72</v>
      </c>
      <c r="B237" t="s">
        <v>1933</v>
      </c>
      <c r="F237" t="s">
        <v>1934</v>
      </c>
      <c r="I237" t="s">
        <v>1935</v>
      </c>
      <c r="J237" t="s">
        <v>95</v>
      </c>
      <c r="AA237" t="s">
        <v>1796</v>
      </c>
      <c r="AB237" t="s">
        <v>1936</v>
      </c>
      <c r="AO237" t="s">
        <v>98</v>
      </c>
      <c r="AP237" t="s">
        <v>99</v>
      </c>
      <c r="AU237">
        <v>2022</v>
      </c>
      <c r="AW237">
        <v>2</v>
      </c>
      <c r="BB237">
        <v>165</v>
      </c>
      <c r="BC237">
        <v>172</v>
      </c>
      <c r="BE237" t="s">
        <v>1937</v>
      </c>
      <c r="BF237" t="str">
        <f>HYPERLINK("http://dx.doi.org/10.25750/1995-4301-2022-2-165-172","http://dx.doi.org/10.25750/1995-4301-2022-2-165-172")</f>
        <v>http://dx.doi.org/10.25750/1995-4301-2022-2-165-172</v>
      </c>
      <c r="BS237" t="s">
        <v>1938</v>
      </c>
      <c r="BT237" t="str">
        <f>HYPERLINK("https%3A%2F%2Fwww.webofscience.com%2Fwos%2Fwoscc%2Ffull-record%2FWOS:000820802000021","View Full Record in Web of Science")</f>
        <v>View Full Record in Web of Science</v>
      </c>
    </row>
    <row r="238" spans="1:72" ht="12.75" customHeight="1" x14ac:dyDescent="0.2">
      <c r="A238" t="s">
        <v>72</v>
      </c>
      <c r="B238" t="s">
        <v>751</v>
      </c>
      <c r="F238" t="s">
        <v>1939</v>
      </c>
      <c r="I238" t="s">
        <v>1940</v>
      </c>
      <c r="J238" t="s">
        <v>668</v>
      </c>
      <c r="AO238" t="s">
        <v>669</v>
      </c>
      <c r="AP238" t="s">
        <v>670</v>
      </c>
      <c r="AU238">
        <v>2021</v>
      </c>
      <c r="AW238">
        <v>12</v>
      </c>
      <c r="BB238">
        <v>396</v>
      </c>
      <c r="BC238">
        <v>412</v>
      </c>
      <c r="BE238" t="s">
        <v>1941</v>
      </c>
      <c r="BF238" t="str">
        <f>HYPERLINK("http://dx.doi.org/10.24224/2227-1295-2021-12-396-412","http://dx.doi.org/10.24224/2227-1295-2021-12-396-412")</f>
        <v>http://dx.doi.org/10.24224/2227-1295-2021-12-396-412</v>
      </c>
      <c r="BS238" t="s">
        <v>1942</v>
      </c>
      <c r="BT238" t="str">
        <f>HYPERLINK("https%3A%2F%2Fwww.webofscience.com%2Fwos%2Fwoscc%2Ffull-record%2FWOS:000751642500022","View Full Record in Web of Science")</f>
        <v>View Full Record in Web of Science</v>
      </c>
    </row>
    <row r="239" spans="1:72" ht="12.75" customHeight="1" x14ac:dyDescent="0.2">
      <c r="A239" t="s">
        <v>72</v>
      </c>
      <c r="B239" t="s">
        <v>1475</v>
      </c>
      <c r="F239" t="s">
        <v>1476</v>
      </c>
      <c r="I239" t="s">
        <v>1943</v>
      </c>
      <c r="J239" t="s">
        <v>1944</v>
      </c>
      <c r="AA239" t="s">
        <v>1945</v>
      </c>
      <c r="AB239" t="s">
        <v>1946</v>
      </c>
      <c r="AO239" t="s">
        <v>1947</v>
      </c>
      <c r="AU239">
        <v>2021</v>
      </c>
      <c r="AV239">
        <v>66</v>
      </c>
      <c r="AW239">
        <v>1</v>
      </c>
      <c r="BB239">
        <v>226</v>
      </c>
      <c r="BC239">
        <v>244</v>
      </c>
      <c r="BE239" t="s">
        <v>1948</v>
      </c>
      <c r="BF239" t="str">
        <f>HYPERLINK("http://dx.doi.org/10.21638/11701/spbu02.2021.114","http://dx.doi.org/10.21638/11701/spbu02.2021.114")</f>
        <v>http://dx.doi.org/10.21638/11701/spbu02.2021.114</v>
      </c>
      <c r="BS239" t="s">
        <v>1949</v>
      </c>
      <c r="BT239" t="str">
        <f>HYPERLINK("https%3A%2F%2Fwww.webofscience.com%2Fwos%2Fwoscc%2Ffull-record%2FWOS:000637851800014","View Full Record in Web of Science")</f>
        <v>View Full Record in Web of Science</v>
      </c>
    </row>
    <row r="240" spans="1:72" ht="12.75" customHeight="1" x14ac:dyDescent="0.2">
      <c r="A240" t="s">
        <v>72</v>
      </c>
      <c r="B240" t="s">
        <v>639</v>
      </c>
      <c r="F240" t="s">
        <v>640</v>
      </c>
      <c r="I240" t="s">
        <v>1950</v>
      </c>
      <c r="J240" t="s">
        <v>642</v>
      </c>
      <c r="AA240" t="s">
        <v>608</v>
      </c>
      <c r="AB240" t="s">
        <v>609</v>
      </c>
      <c r="AO240" t="s">
        <v>643</v>
      </c>
      <c r="AP240" t="s">
        <v>644</v>
      </c>
      <c r="AU240">
        <v>2021</v>
      </c>
      <c r="AV240">
        <v>9</v>
      </c>
      <c r="AW240">
        <v>4</v>
      </c>
      <c r="BB240">
        <v>1490</v>
      </c>
      <c r="BC240">
        <v>1502</v>
      </c>
      <c r="BE240" t="s">
        <v>1951</v>
      </c>
      <c r="BF240" t="str">
        <f>HYPERLINK("http://dx.doi.org/10.15826/qr.2021.4.651","http://dx.doi.org/10.15826/qr.2021.4.651")</f>
        <v>http://dx.doi.org/10.15826/qr.2021.4.651</v>
      </c>
      <c r="BS240" t="s">
        <v>1952</v>
      </c>
      <c r="BT240" t="str">
        <f>HYPERLINK("https%3A%2F%2Fwww.webofscience.com%2Fwos%2Fwoscc%2Ffull-record%2FWOS:000757029100020","View Full Record in Web of Science")</f>
        <v>View Full Record in Web of Science</v>
      </c>
    </row>
    <row r="241" spans="1:72" ht="12.75" customHeight="1" x14ac:dyDescent="0.2">
      <c r="A241" t="s">
        <v>72</v>
      </c>
      <c r="B241" t="s">
        <v>1953</v>
      </c>
      <c r="F241" t="s">
        <v>1954</v>
      </c>
      <c r="I241" t="s">
        <v>1955</v>
      </c>
      <c r="J241" t="s">
        <v>676</v>
      </c>
      <c r="AA241" t="s">
        <v>608</v>
      </c>
      <c r="AB241" t="s">
        <v>609</v>
      </c>
      <c r="AO241" t="s">
        <v>679</v>
      </c>
      <c r="AU241">
        <v>2021</v>
      </c>
      <c r="AV241">
        <v>12</v>
      </c>
      <c r="AW241">
        <v>12</v>
      </c>
      <c r="AX241">
        <v>2</v>
      </c>
      <c r="BD241" t="s">
        <v>1956</v>
      </c>
      <c r="BE241" t="s">
        <v>1957</v>
      </c>
      <c r="BF241" t="str">
        <f>HYPERLINK("http://dx.doi.org/10.18254/S207987840017862-7","http://dx.doi.org/10.18254/S207987840017862-7")</f>
        <v>http://dx.doi.org/10.18254/S207987840017862-7</v>
      </c>
      <c r="BS241" t="s">
        <v>1958</v>
      </c>
      <c r="BT241" t="str">
        <f>HYPERLINK("https%3A%2F%2Fwww.webofscience.com%2Fwos%2Fwoscc%2Ffull-record%2FWOS:000773993800016","View Full Record in Web of Science")</f>
        <v>View Full Record in Web of Science</v>
      </c>
    </row>
    <row r="242" spans="1:72" ht="12.75" customHeight="1" x14ac:dyDescent="0.2">
      <c r="A242" t="s">
        <v>72</v>
      </c>
      <c r="B242" t="s">
        <v>1959</v>
      </c>
      <c r="F242" t="s">
        <v>1960</v>
      </c>
      <c r="I242" t="s">
        <v>1961</v>
      </c>
      <c r="J242" t="s">
        <v>668</v>
      </c>
      <c r="AA242" t="s">
        <v>1962</v>
      </c>
      <c r="AB242" t="s">
        <v>1963</v>
      </c>
      <c r="AO242" t="s">
        <v>669</v>
      </c>
      <c r="AP242" t="s">
        <v>670</v>
      </c>
      <c r="AU242">
        <v>2020</v>
      </c>
      <c r="AW242">
        <v>5</v>
      </c>
      <c r="BB242">
        <v>171</v>
      </c>
      <c r="BC242">
        <v>191</v>
      </c>
      <c r="BE242" t="s">
        <v>1964</v>
      </c>
      <c r="BF242" t="str">
        <f>HYPERLINK("http://dx.doi.org/10.24224/2227-1295-2020-5-171-191","http://dx.doi.org/10.24224/2227-1295-2020-5-171-191")</f>
        <v>http://dx.doi.org/10.24224/2227-1295-2020-5-171-191</v>
      </c>
      <c r="BS242" t="s">
        <v>1965</v>
      </c>
      <c r="BT242" t="str">
        <f>HYPERLINK("https%3A%2F%2Fwww.webofscience.com%2Fwos%2Fwoscc%2Ffull-record%2FWOS:000538093300011","View Full Record in Web of Science")</f>
        <v>View Full Record in Web of Science</v>
      </c>
    </row>
    <row r="243" spans="1:72" ht="12.75" customHeight="1" x14ac:dyDescent="0.2">
      <c r="A243" t="s">
        <v>72</v>
      </c>
      <c r="B243" t="s">
        <v>1966</v>
      </c>
      <c r="F243" t="s">
        <v>1967</v>
      </c>
      <c r="I243" t="s">
        <v>1968</v>
      </c>
      <c r="J243" t="s">
        <v>1862</v>
      </c>
      <c r="AA243" t="s">
        <v>608</v>
      </c>
      <c r="AB243" t="s">
        <v>609</v>
      </c>
      <c r="AO243" t="s">
        <v>1863</v>
      </c>
      <c r="AU243">
        <v>2020</v>
      </c>
      <c r="AV243">
        <v>50</v>
      </c>
      <c r="AW243">
        <v>3</v>
      </c>
      <c r="BB243">
        <v>118</v>
      </c>
      <c r="BC243">
        <v>127</v>
      </c>
      <c r="BE243" t="s">
        <v>1969</v>
      </c>
      <c r="BF243" t="str">
        <f>HYPERLINK("http://dx.doi.org/10.17072/2219-3111-2020-3-118-127","http://dx.doi.org/10.17072/2219-3111-2020-3-118-127")</f>
        <v>http://dx.doi.org/10.17072/2219-3111-2020-3-118-127</v>
      </c>
      <c r="BS243" t="s">
        <v>1970</v>
      </c>
      <c r="BT243" t="str">
        <f>HYPERLINK("https%3A%2F%2Fwww.webofscience.com%2Fwos%2Fwoscc%2Ffull-record%2FWOS:000591510800011","View Full Record in Web of Science")</f>
        <v>View Full Record in Web of Science</v>
      </c>
    </row>
    <row r="244" spans="1:72" ht="12.75" customHeight="1" x14ac:dyDescent="0.2">
      <c r="A244" t="s">
        <v>72</v>
      </c>
      <c r="B244" t="s">
        <v>1971</v>
      </c>
      <c r="F244" t="s">
        <v>1972</v>
      </c>
      <c r="I244" t="s">
        <v>1973</v>
      </c>
      <c r="J244" t="s">
        <v>1635</v>
      </c>
      <c r="AA244" t="s">
        <v>1974</v>
      </c>
      <c r="AB244" t="s">
        <v>1975</v>
      </c>
      <c r="AO244" t="s">
        <v>1636</v>
      </c>
      <c r="AP244" t="s">
        <v>1637</v>
      </c>
      <c r="AT244" t="s">
        <v>1638</v>
      </c>
      <c r="AU244">
        <v>2019</v>
      </c>
      <c r="AV244">
        <v>27</v>
      </c>
      <c r="AW244" t="s">
        <v>1639</v>
      </c>
      <c r="AZ244" t="s">
        <v>339</v>
      </c>
      <c r="BB244">
        <v>245</v>
      </c>
      <c r="BC244">
        <v>251</v>
      </c>
      <c r="BE244" t="s">
        <v>1976</v>
      </c>
      <c r="BF244" t="str">
        <f>HYPERLINK("http://dx.doi.org/10.1108/OTH-07-2019-0039","http://dx.doi.org/10.1108/OTH-07-2019-0039")</f>
        <v>http://dx.doi.org/10.1108/OTH-07-2019-0039</v>
      </c>
      <c r="BS244" t="s">
        <v>1977</v>
      </c>
      <c r="BT244" t="str">
        <f>HYPERLINK("https%3A%2F%2Fwww.webofscience.com%2Fwos%2Fwoscc%2Ffull-record%2FWOS:000491196500017","View Full Record in Web of Science")</f>
        <v>View Full Record in Web of Science</v>
      </c>
    </row>
    <row r="245" spans="1:72" ht="12.75" customHeight="1" x14ac:dyDescent="0.2">
      <c r="A245" t="s">
        <v>72</v>
      </c>
      <c r="B245" t="s">
        <v>698</v>
      </c>
      <c r="F245" t="s">
        <v>699</v>
      </c>
      <c r="I245" t="s">
        <v>1978</v>
      </c>
      <c r="J245" t="s">
        <v>1524</v>
      </c>
      <c r="AO245" t="s">
        <v>1525</v>
      </c>
      <c r="AT245" t="s">
        <v>541</v>
      </c>
      <c r="AU245">
        <v>2019</v>
      </c>
      <c r="AV245">
        <v>8</v>
      </c>
      <c r="AW245">
        <v>1</v>
      </c>
      <c r="BB245">
        <v>92</v>
      </c>
      <c r="BC245">
        <v>97</v>
      </c>
      <c r="BE245" t="s">
        <v>1979</v>
      </c>
      <c r="BF245" t="str">
        <f>HYPERLINK("http://dx.doi.org/10.30472/ijaep.v8i1.303","http://dx.doi.org/10.30472/ijaep.v8i1.303")</f>
        <v>http://dx.doi.org/10.30472/ijaep.v8i1.303</v>
      </c>
      <c r="BS245" t="s">
        <v>1980</v>
      </c>
      <c r="BT245" t="str">
        <f>HYPERLINK("https%3A%2F%2Fwww.webofscience.com%2Fwos%2Fwoscc%2Ffull-record%2FWOS:000457011900011","View Full Record in Web of Science")</f>
        <v>View Full Record in Web of Science</v>
      </c>
    </row>
    <row r="246" spans="1:72" ht="12.75" customHeight="1" x14ac:dyDescent="0.2">
      <c r="A246" t="s">
        <v>72</v>
      </c>
      <c r="B246" t="s">
        <v>102</v>
      </c>
      <c r="F246" t="s">
        <v>1786</v>
      </c>
      <c r="I246" t="s">
        <v>1981</v>
      </c>
      <c r="J246" t="s">
        <v>105</v>
      </c>
      <c r="AO246" t="s">
        <v>106</v>
      </c>
      <c r="AU246">
        <v>2019</v>
      </c>
      <c r="AW246">
        <v>2</v>
      </c>
      <c r="BB246">
        <v>458</v>
      </c>
      <c r="BC246">
        <v>466</v>
      </c>
      <c r="BE246" t="s">
        <v>1982</v>
      </c>
      <c r="BF246" t="str">
        <f>HYPERLINK("http://dx.doi.org/10.28995/2073-0101-2019-2-458-466","http://dx.doi.org/10.28995/2073-0101-2019-2-458-466")</f>
        <v>http://dx.doi.org/10.28995/2073-0101-2019-2-458-466</v>
      </c>
      <c r="BS246" t="s">
        <v>1983</v>
      </c>
      <c r="BT246" t="str">
        <f>HYPERLINK("https%3A%2F%2Fwww.webofscience.com%2Fwos%2Fwoscc%2Ffull-record%2FWOS:000473803800012","View Full Record in Web of Science")</f>
        <v>View Full Record in Web of Science</v>
      </c>
    </row>
    <row r="247" spans="1:72" ht="12.75" customHeight="1" x14ac:dyDescent="0.2">
      <c r="A247" t="s">
        <v>72</v>
      </c>
      <c r="B247" t="s">
        <v>1984</v>
      </c>
      <c r="F247" t="s">
        <v>1985</v>
      </c>
      <c r="I247" t="s">
        <v>1986</v>
      </c>
      <c r="J247" t="s">
        <v>1987</v>
      </c>
      <c r="AA247" t="s">
        <v>1988</v>
      </c>
      <c r="AB247" t="s">
        <v>1989</v>
      </c>
      <c r="AO247" t="s">
        <v>1990</v>
      </c>
      <c r="AP247" t="s">
        <v>1991</v>
      </c>
      <c r="AT247" t="s">
        <v>655</v>
      </c>
      <c r="AU247">
        <v>2018</v>
      </c>
      <c r="AV247">
        <v>51</v>
      </c>
      <c r="BB247">
        <v>162</v>
      </c>
      <c r="BC247">
        <v>176</v>
      </c>
      <c r="BE247" t="s">
        <v>1992</v>
      </c>
      <c r="BF247" t="str">
        <f>HYPERLINK("http://dx.doi.org/10.17223/19986645/51/13","http://dx.doi.org/10.17223/19986645/51/13")</f>
        <v>http://dx.doi.org/10.17223/19986645/51/13</v>
      </c>
      <c r="BS247" t="s">
        <v>1993</v>
      </c>
      <c r="BT247" t="str">
        <f>HYPERLINK("https%3A%2F%2Fwww.webofscience.com%2Fwos%2Fwoscc%2Ffull-record%2FWOS:000436334100013","View Full Record in Web of Science")</f>
        <v>View Full Record in Web of Science</v>
      </c>
    </row>
    <row r="248" spans="1:72" ht="12.75" customHeight="1" x14ac:dyDescent="0.2">
      <c r="A248" t="s">
        <v>72</v>
      </c>
      <c r="B248" t="s">
        <v>1994</v>
      </c>
      <c r="F248" t="s">
        <v>1995</v>
      </c>
      <c r="I248" t="s">
        <v>1996</v>
      </c>
      <c r="J248" t="s">
        <v>1997</v>
      </c>
      <c r="AA248" t="s">
        <v>507</v>
      </c>
      <c r="AB248" t="s">
        <v>508</v>
      </c>
      <c r="AO248" t="s">
        <v>1998</v>
      </c>
      <c r="AU248">
        <v>2018</v>
      </c>
      <c r="AW248">
        <v>4</v>
      </c>
      <c r="BB248">
        <v>196</v>
      </c>
      <c r="BC248">
        <v>215</v>
      </c>
      <c r="BE248" t="s">
        <v>1999</v>
      </c>
      <c r="BF248" t="str">
        <f>HYPERLINK("http://dx.doi.org/10.17323/2072-8166.2018.4.196.215","http://dx.doi.org/10.17323/2072-8166.2018.4.196.215")</f>
        <v>http://dx.doi.org/10.17323/2072-8166.2018.4.196.215</v>
      </c>
      <c r="BS248" t="s">
        <v>2000</v>
      </c>
      <c r="BT248" t="str">
        <f>HYPERLINK("https%3A%2F%2Fwww.webofscience.com%2Fwos%2Fwoscc%2Ffull-record%2FWOS:000455584700011","View Full Record in Web of Science")</f>
        <v>View Full Record in Web of Science</v>
      </c>
    </row>
    <row r="249" spans="1:72" ht="12.75" customHeight="1" x14ac:dyDescent="0.2">
      <c r="A249" t="s">
        <v>72</v>
      </c>
      <c r="B249" t="s">
        <v>2001</v>
      </c>
      <c r="F249" t="s">
        <v>2002</v>
      </c>
      <c r="I249" t="s">
        <v>2003</v>
      </c>
      <c r="J249" t="s">
        <v>2004</v>
      </c>
      <c r="AA249" t="s">
        <v>2005</v>
      </c>
      <c r="AB249" t="s">
        <v>2006</v>
      </c>
      <c r="AO249" t="s">
        <v>2007</v>
      </c>
      <c r="AP249" t="s">
        <v>2008</v>
      </c>
      <c r="AT249" t="s">
        <v>319</v>
      </c>
      <c r="AU249">
        <v>2017</v>
      </c>
      <c r="AV249">
        <v>57</v>
      </c>
      <c r="AW249">
        <v>11</v>
      </c>
      <c r="BB249">
        <v>947</v>
      </c>
      <c r="BC249">
        <v>953</v>
      </c>
      <c r="BE249" t="s">
        <v>2009</v>
      </c>
      <c r="BF249" t="str">
        <f>HYPERLINK("http://dx.doi.org/10.1134/S0965544117110068","http://dx.doi.org/10.1134/S0965544117110068")</f>
        <v>http://dx.doi.org/10.1134/S0965544117110068</v>
      </c>
      <c r="BS249" t="s">
        <v>2010</v>
      </c>
      <c r="BT249" t="str">
        <f>HYPERLINK("https%3A%2F%2Fwww.webofscience.com%2Fwos%2Fwoscc%2Ffull-record%2FWOS:000412901200004","View Full Record in Web of Science")</f>
        <v>View Full Record in Web of Science</v>
      </c>
    </row>
    <row r="250" spans="1:72" ht="12.75" customHeight="1" x14ac:dyDescent="0.2">
      <c r="A250" t="s">
        <v>147</v>
      </c>
      <c r="B250" t="s">
        <v>568</v>
      </c>
      <c r="D250" t="s">
        <v>2011</v>
      </c>
      <c r="F250" t="s">
        <v>2012</v>
      </c>
      <c r="I250" t="s">
        <v>2013</v>
      </c>
      <c r="J250" t="s">
        <v>2014</v>
      </c>
      <c r="K250" t="s">
        <v>390</v>
      </c>
      <c r="O250" t="s">
        <v>2015</v>
      </c>
      <c r="P250" t="s">
        <v>2016</v>
      </c>
      <c r="Q250" t="s">
        <v>1553</v>
      </c>
      <c r="AA250" t="s">
        <v>2017</v>
      </c>
      <c r="AB250" t="s">
        <v>2018</v>
      </c>
      <c r="AO250" t="s">
        <v>395</v>
      </c>
      <c r="AQ250" t="s">
        <v>2019</v>
      </c>
      <c r="AU250">
        <v>2017</v>
      </c>
      <c r="BB250">
        <v>445</v>
      </c>
      <c r="BC250">
        <v>448</v>
      </c>
      <c r="BS250" t="s">
        <v>2020</v>
      </c>
      <c r="BT250" t="str">
        <f>HYPERLINK("https%3A%2F%2Fwww.webofscience.com%2Fwos%2Fwoscc%2Ffull-record%2FWOS:000428759500110","View Full Record in Web of Science")</f>
        <v>View Full Record in Web of Science</v>
      </c>
    </row>
    <row r="251" spans="1:72" ht="12.75" customHeight="1" x14ac:dyDescent="0.2">
      <c r="A251" t="s">
        <v>147</v>
      </c>
      <c r="B251" t="s">
        <v>2021</v>
      </c>
      <c r="E251" t="s">
        <v>210</v>
      </c>
      <c r="F251" t="s">
        <v>2022</v>
      </c>
      <c r="I251" t="s">
        <v>2023</v>
      </c>
      <c r="J251" t="s">
        <v>1261</v>
      </c>
      <c r="O251" t="s">
        <v>214</v>
      </c>
      <c r="P251" t="s">
        <v>909</v>
      </c>
      <c r="Q251" t="s">
        <v>910</v>
      </c>
      <c r="R251" t="s">
        <v>1262</v>
      </c>
      <c r="AA251" t="s">
        <v>2024</v>
      </c>
      <c r="AB251" t="s">
        <v>2025</v>
      </c>
      <c r="AQ251" t="s">
        <v>1263</v>
      </c>
      <c r="AU251">
        <v>2017</v>
      </c>
      <c r="BS251" t="s">
        <v>2026</v>
      </c>
      <c r="BT251" t="str">
        <f>HYPERLINK("https%3A%2F%2Fwww.webofscience.com%2Fwos%2Fwoscc%2Ffull-record%2FWOS:000414282400348","View Full Record in Web of Science")</f>
        <v>View Full Record in Web of Science</v>
      </c>
    </row>
    <row r="252" spans="1:72" ht="12.75" customHeight="1" x14ac:dyDescent="0.2">
      <c r="A252" t="s">
        <v>147</v>
      </c>
      <c r="B252" t="s">
        <v>2027</v>
      </c>
      <c r="D252" t="s">
        <v>739</v>
      </c>
      <c r="F252" t="s">
        <v>2028</v>
      </c>
      <c r="I252" t="s">
        <v>2029</v>
      </c>
      <c r="J252" t="s">
        <v>742</v>
      </c>
      <c r="K252" t="s">
        <v>743</v>
      </c>
      <c r="O252" t="s">
        <v>744</v>
      </c>
      <c r="P252" t="s">
        <v>745</v>
      </c>
      <c r="Q252" t="s">
        <v>746</v>
      </c>
      <c r="R252" t="s">
        <v>747</v>
      </c>
      <c r="AO252" t="s">
        <v>748</v>
      </c>
      <c r="AQ252" t="s">
        <v>749</v>
      </c>
      <c r="AU252">
        <v>2016</v>
      </c>
      <c r="BS252" t="s">
        <v>2030</v>
      </c>
      <c r="BT252" t="str">
        <f>HYPERLINK("https%3A%2F%2Fwww.webofscience.com%2Fwos%2Fwoscc%2Ffull-record%2FWOS:000383090900124","View Full Record in Web of Science")</f>
        <v>View Full Record in Web of Science</v>
      </c>
    </row>
    <row r="253" spans="1:72" ht="12.75" customHeight="1" x14ac:dyDescent="0.2">
      <c r="A253" t="s">
        <v>147</v>
      </c>
      <c r="B253" t="s">
        <v>962</v>
      </c>
      <c r="E253" t="s">
        <v>280</v>
      </c>
      <c r="F253" t="s">
        <v>2031</v>
      </c>
      <c r="I253" t="s">
        <v>2032</v>
      </c>
      <c r="J253" t="s">
        <v>283</v>
      </c>
      <c r="K253" t="s">
        <v>284</v>
      </c>
      <c r="O253" t="s">
        <v>285</v>
      </c>
      <c r="P253" t="s">
        <v>286</v>
      </c>
      <c r="Q253" t="s">
        <v>287</v>
      </c>
      <c r="R253" t="s">
        <v>288</v>
      </c>
      <c r="AA253" t="s">
        <v>965</v>
      </c>
      <c r="AB253" t="s">
        <v>966</v>
      </c>
      <c r="AO253" t="s">
        <v>289</v>
      </c>
      <c r="AQ253" t="s">
        <v>290</v>
      </c>
      <c r="AU253">
        <v>2014</v>
      </c>
      <c r="BB253">
        <v>139</v>
      </c>
      <c r="BC253" t="s">
        <v>107</v>
      </c>
      <c r="BS253" t="s">
        <v>2033</v>
      </c>
      <c r="BT253" t="str">
        <f>HYPERLINK("https%3A%2F%2Fwww.webofscience.com%2Fwos%2Fwoscc%2Ffull-record%2FWOS:000358190200019","View Full Record in Web of Science")</f>
        <v>View Full Record in Web of Science</v>
      </c>
    </row>
    <row r="254" spans="1:72" ht="12.75" customHeight="1" x14ac:dyDescent="0.2">
      <c r="A254" t="s">
        <v>72</v>
      </c>
      <c r="B254" t="s">
        <v>2034</v>
      </c>
      <c r="F254" t="s">
        <v>2034</v>
      </c>
      <c r="I254" t="s">
        <v>2035</v>
      </c>
      <c r="J254" t="s">
        <v>311</v>
      </c>
      <c r="AO254" t="s">
        <v>312</v>
      </c>
      <c r="AT254" t="s">
        <v>78</v>
      </c>
      <c r="AU254">
        <v>2005</v>
      </c>
      <c r="AV254">
        <v>39</v>
      </c>
      <c r="AW254">
        <v>3</v>
      </c>
      <c r="BB254">
        <v>329</v>
      </c>
      <c r="BC254">
        <v>331</v>
      </c>
      <c r="BE254" t="s">
        <v>2036</v>
      </c>
      <c r="BF254" t="str">
        <f>HYPERLINK("http://dx.doi.org/10.1007/s11236-005-0083-7","http://dx.doi.org/10.1007/s11236-005-0083-7")</f>
        <v>http://dx.doi.org/10.1007/s11236-005-0083-7</v>
      </c>
      <c r="BS254" t="s">
        <v>2037</v>
      </c>
      <c r="BT254" t="str">
        <f>HYPERLINK("https%3A%2F%2Fwww.webofscience.com%2Fwos%2Fwoscc%2Ffull-record%2FWOS:000230025900016","View Full Record in Web of Science")</f>
        <v>View Full Record in Web of Science</v>
      </c>
    </row>
    <row r="255" spans="1:72" ht="12.75" customHeight="1" x14ac:dyDescent="0.2">
      <c r="A255" t="s">
        <v>72</v>
      </c>
      <c r="B255" t="s">
        <v>2038</v>
      </c>
      <c r="F255" t="s">
        <v>2038</v>
      </c>
      <c r="I255" t="s">
        <v>2039</v>
      </c>
      <c r="J255" t="s">
        <v>244</v>
      </c>
      <c r="AO255" t="s">
        <v>245</v>
      </c>
      <c r="AU255">
        <v>1999</v>
      </c>
      <c r="AW255" t="s">
        <v>1685</v>
      </c>
      <c r="BB255">
        <v>82</v>
      </c>
      <c r="BC255">
        <v>96</v>
      </c>
      <c r="BS255" t="s">
        <v>2040</v>
      </c>
      <c r="BT255" t="str">
        <f>HYPERLINK("https%3A%2F%2Fwww.webofscience.com%2Fwos%2Fwoscc%2Ffull-record%2FWOS:000083212500006","View Full Record in Web of Science")</f>
        <v>View Full Record in Web of Science</v>
      </c>
    </row>
    <row r="256" spans="1:72" ht="12.75" customHeight="1" x14ac:dyDescent="0.2">
      <c r="A256" t="s">
        <v>72</v>
      </c>
      <c r="B256" t="s">
        <v>581</v>
      </c>
      <c r="F256" t="s">
        <v>2041</v>
      </c>
      <c r="I256" t="s">
        <v>2042</v>
      </c>
      <c r="J256" t="s">
        <v>584</v>
      </c>
      <c r="AO256" t="s">
        <v>1449</v>
      </c>
      <c r="AP256" t="s">
        <v>588</v>
      </c>
      <c r="AU256">
        <v>2023</v>
      </c>
      <c r="AV256">
        <v>117</v>
      </c>
      <c r="AW256">
        <v>1</v>
      </c>
      <c r="BD256">
        <v>11713</v>
      </c>
      <c r="BE256" t="s">
        <v>2043</v>
      </c>
      <c r="BF256" t="str">
        <f>HYPERLINK("http://dx.doi.org/10.34910/MCE.117.13","http://dx.doi.org/10.34910/MCE.117.13")</f>
        <v>http://dx.doi.org/10.34910/MCE.117.13</v>
      </c>
      <c r="BS256" t="s">
        <v>2044</v>
      </c>
      <c r="BT256" t="str">
        <f>HYPERLINK("https%3A%2F%2Fwww.webofscience.com%2Fwos%2Fwoscc%2Ffull-record%2FWOS:000935004600004","View Full Record in Web of Science")</f>
        <v>View Full Record in Web of Science</v>
      </c>
    </row>
    <row r="257" spans="1:72" ht="12.75" customHeight="1" x14ac:dyDescent="0.2">
      <c r="A257" t="s">
        <v>72</v>
      </c>
      <c r="B257" t="s">
        <v>568</v>
      </c>
      <c r="F257" t="s">
        <v>2012</v>
      </c>
      <c r="I257" t="s">
        <v>2045</v>
      </c>
      <c r="J257" t="s">
        <v>2046</v>
      </c>
      <c r="AA257" t="s">
        <v>2047</v>
      </c>
      <c r="AB257" t="s">
        <v>2048</v>
      </c>
      <c r="AO257" t="s">
        <v>2049</v>
      </c>
      <c r="AP257" t="s">
        <v>2050</v>
      </c>
      <c r="AT257" t="s">
        <v>491</v>
      </c>
      <c r="AU257">
        <v>2022</v>
      </c>
      <c r="AV257">
        <v>91</v>
      </c>
      <c r="BD257">
        <v>104529</v>
      </c>
      <c r="BE257" t="s">
        <v>2051</v>
      </c>
      <c r="BF257" t="str">
        <f>HYPERLINK("http://dx.doi.org/10.1016/j.micpro.2022.104529","http://dx.doi.org/10.1016/j.micpro.2022.104529")</f>
        <v>http://dx.doi.org/10.1016/j.micpro.2022.104529</v>
      </c>
      <c r="BH257" t="s">
        <v>2052</v>
      </c>
      <c r="BS257" t="s">
        <v>2053</v>
      </c>
      <c r="BT257" t="str">
        <f>HYPERLINK("https%3A%2F%2Fwww.webofscience.com%2Fwos%2Fwoscc%2Ffull-record%2FWOS:000797303800001","View Full Record in Web of Science")</f>
        <v>View Full Record in Web of Science</v>
      </c>
    </row>
    <row r="258" spans="1:72" ht="12.75" customHeight="1" x14ac:dyDescent="0.2">
      <c r="A258" t="s">
        <v>72</v>
      </c>
      <c r="B258" t="s">
        <v>1756</v>
      </c>
      <c r="F258" t="s">
        <v>1757</v>
      </c>
      <c r="I258" t="s">
        <v>2054</v>
      </c>
      <c r="J258" t="s">
        <v>989</v>
      </c>
      <c r="AA258" t="s">
        <v>2055</v>
      </c>
      <c r="AB258" t="s">
        <v>2056</v>
      </c>
      <c r="AO258" t="s">
        <v>992</v>
      </c>
      <c r="AP258" t="s">
        <v>993</v>
      </c>
      <c r="AT258" t="s">
        <v>198</v>
      </c>
      <c r="AU258">
        <v>2022</v>
      </c>
      <c r="AV258">
        <v>111</v>
      </c>
      <c r="AW258" t="s">
        <v>1639</v>
      </c>
      <c r="BB258">
        <v>515</v>
      </c>
      <c r="BC258">
        <v>524</v>
      </c>
      <c r="BE258" t="s">
        <v>2057</v>
      </c>
      <c r="BF258" t="str">
        <f>HYPERLINK("http://dx.doi.org/10.1134/S0001434622030191","http://dx.doi.org/10.1134/S0001434622030191")</f>
        <v>http://dx.doi.org/10.1134/S0001434622030191</v>
      </c>
      <c r="BS258" t="s">
        <v>2058</v>
      </c>
      <c r="BT258" t="str">
        <f>HYPERLINK("https%3A%2F%2Fwww.webofscience.com%2Fwos%2Fwoscc%2Ffull-record%2FWOS:000787851100019","View Full Record in Web of Science")</f>
        <v>View Full Record in Web of Science</v>
      </c>
    </row>
    <row r="259" spans="1:72" ht="12.75" customHeight="1" x14ac:dyDescent="0.2">
      <c r="A259" t="s">
        <v>72</v>
      </c>
      <c r="B259" t="s">
        <v>2059</v>
      </c>
      <c r="F259" t="s">
        <v>2060</v>
      </c>
      <c r="I259" t="s">
        <v>2061</v>
      </c>
      <c r="J259" t="s">
        <v>1862</v>
      </c>
      <c r="AO259" t="s">
        <v>1863</v>
      </c>
      <c r="AU259">
        <v>2022</v>
      </c>
      <c r="AV259">
        <v>56</v>
      </c>
      <c r="AW259">
        <v>1</v>
      </c>
      <c r="BB259">
        <v>163</v>
      </c>
      <c r="BC259">
        <v>171</v>
      </c>
      <c r="BE259" t="s">
        <v>2062</v>
      </c>
      <c r="BF259" t="str">
        <f>HYPERLINK("http://dx.doi.org/10.17072/2219-3111-2022-1-163-171","http://dx.doi.org/10.17072/2219-3111-2022-1-163-171")</f>
        <v>http://dx.doi.org/10.17072/2219-3111-2022-1-163-171</v>
      </c>
      <c r="BS259" t="s">
        <v>2063</v>
      </c>
      <c r="BT259" t="str">
        <f>HYPERLINK("https%3A%2F%2Fwww.webofscience.com%2Fwos%2Fwoscc%2Ffull-record%2FWOS:000865406500015","View Full Record in Web of Science")</f>
        <v>View Full Record in Web of Science</v>
      </c>
    </row>
    <row r="260" spans="1:72" ht="12.75" customHeight="1" x14ac:dyDescent="0.2">
      <c r="A260" t="s">
        <v>72</v>
      </c>
      <c r="B260" t="s">
        <v>2064</v>
      </c>
      <c r="F260" t="s">
        <v>2065</v>
      </c>
      <c r="I260" t="s">
        <v>2066</v>
      </c>
      <c r="J260" t="s">
        <v>95</v>
      </c>
      <c r="AB260" t="s">
        <v>794</v>
      </c>
      <c r="AO260" t="s">
        <v>98</v>
      </c>
      <c r="AP260" t="s">
        <v>99</v>
      </c>
      <c r="AU260">
        <v>2021</v>
      </c>
      <c r="AW260">
        <v>2</v>
      </c>
      <c r="BB260">
        <v>229</v>
      </c>
      <c r="BC260">
        <v>234</v>
      </c>
      <c r="BE260" t="s">
        <v>2067</v>
      </c>
      <c r="BF260" t="str">
        <f>HYPERLINK("http://dx.doi.org/10.25750/1995-4301-2021-2-229-234","http://dx.doi.org/10.25750/1995-4301-2021-2-229-234")</f>
        <v>http://dx.doi.org/10.25750/1995-4301-2021-2-229-234</v>
      </c>
      <c r="BS260" t="s">
        <v>2068</v>
      </c>
      <c r="BT260" t="str">
        <f>HYPERLINK("https%3A%2F%2Fwww.webofscience.com%2Fwos%2Fwoscc%2Ffull-record%2FWOS:000667025400033","View Full Record in Web of Science")</f>
        <v>View Full Record in Web of Science</v>
      </c>
    </row>
    <row r="261" spans="1:72" ht="12.75" customHeight="1" x14ac:dyDescent="0.2">
      <c r="A261" t="s">
        <v>1342</v>
      </c>
      <c r="B261" t="s">
        <v>2069</v>
      </c>
      <c r="D261" t="s">
        <v>1344</v>
      </c>
      <c r="F261" t="s">
        <v>2070</v>
      </c>
      <c r="I261" t="s">
        <v>2071</v>
      </c>
      <c r="J261" t="s">
        <v>1347</v>
      </c>
      <c r="K261" t="s">
        <v>1348</v>
      </c>
      <c r="AO261" t="s">
        <v>1349</v>
      </c>
      <c r="AP261" t="s">
        <v>1350</v>
      </c>
      <c r="AQ261" t="s">
        <v>1351</v>
      </c>
      <c r="AU261">
        <v>2021</v>
      </c>
      <c r="BB261">
        <v>343</v>
      </c>
      <c r="BC261">
        <v>350</v>
      </c>
      <c r="BE261" t="s">
        <v>2072</v>
      </c>
      <c r="BF261" t="str">
        <f>HYPERLINK("http://dx.doi.org/10.1007/978-3-030-70194-9_34","http://dx.doi.org/10.1007/978-3-030-70194-9_34")</f>
        <v>http://dx.doi.org/10.1007/978-3-030-70194-9_34</v>
      </c>
      <c r="BG261" t="s">
        <v>1353</v>
      </c>
      <c r="BS261" t="s">
        <v>2073</v>
      </c>
      <c r="BT261" t="str">
        <f>HYPERLINK("https%3A%2F%2Fwww.webofscience.com%2Fwos%2Fwoscc%2Ffull-record%2FWOS:000849737100033","View Full Record in Web of Science")</f>
        <v>View Full Record in Web of Science</v>
      </c>
    </row>
    <row r="262" spans="1:72" ht="12.75" customHeight="1" x14ac:dyDescent="0.2">
      <c r="A262" t="s">
        <v>72</v>
      </c>
      <c r="B262" t="s">
        <v>2074</v>
      </c>
      <c r="F262" t="s">
        <v>2075</v>
      </c>
      <c r="I262" t="s">
        <v>2076</v>
      </c>
      <c r="J262" t="s">
        <v>166</v>
      </c>
      <c r="AA262" t="s">
        <v>2077</v>
      </c>
      <c r="AB262" t="s">
        <v>2078</v>
      </c>
      <c r="AO262" t="s">
        <v>169</v>
      </c>
      <c r="AP262" t="s">
        <v>170</v>
      </c>
      <c r="AT262" t="s">
        <v>830</v>
      </c>
      <c r="AU262">
        <v>2020</v>
      </c>
      <c r="AV262">
        <v>9</v>
      </c>
      <c r="AW262">
        <v>3</v>
      </c>
      <c r="BB262">
        <v>529</v>
      </c>
      <c r="BC262">
        <v>545</v>
      </c>
      <c r="BE262" t="s">
        <v>2079</v>
      </c>
      <c r="BF262" t="str">
        <f>HYPERLINK("http://dx.doi.org/10.13187/ejced.2020.3.529","http://dx.doi.org/10.13187/ejced.2020.3.529")</f>
        <v>http://dx.doi.org/10.13187/ejced.2020.3.529</v>
      </c>
      <c r="BS262" t="s">
        <v>2080</v>
      </c>
      <c r="BT262" t="str">
        <f>HYPERLINK("https%3A%2F%2Fwww.webofscience.com%2Fwos%2Fwoscc%2Ffull-record%2FWOS:000567722400005","View Full Record in Web of Science")</f>
        <v>View Full Record in Web of Science</v>
      </c>
    </row>
    <row r="263" spans="1:72" ht="12.75" customHeight="1" x14ac:dyDescent="0.2">
      <c r="A263" t="s">
        <v>147</v>
      </c>
      <c r="B263" t="s">
        <v>220</v>
      </c>
      <c r="E263" t="s">
        <v>210</v>
      </c>
      <c r="F263" t="s">
        <v>221</v>
      </c>
      <c r="I263" t="s">
        <v>2081</v>
      </c>
      <c r="J263" t="s">
        <v>2082</v>
      </c>
      <c r="K263" t="s">
        <v>2083</v>
      </c>
      <c r="O263" t="s">
        <v>2084</v>
      </c>
      <c r="P263" t="s">
        <v>2085</v>
      </c>
      <c r="Q263" t="s">
        <v>2086</v>
      </c>
      <c r="R263" t="s">
        <v>2087</v>
      </c>
      <c r="S263" t="s">
        <v>2088</v>
      </c>
      <c r="AO263" t="s">
        <v>2089</v>
      </c>
      <c r="AQ263" t="s">
        <v>2090</v>
      </c>
      <c r="AU263">
        <v>2020</v>
      </c>
      <c r="BS263" t="s">
        <v>2091</v>
      </c>
      <c r="BT263" t="str">
        <f>HYPERLINK("https%3A%2F%2Fwww.webofscience.com%2Fwos%2Fwoscc%2Ffull-record%2FWOS:000649745900025","View Full Record in Web of Science")</f>
        <v>View Full Record in Web of Science</v>
      </c>
    </row>
    <row r="264" spans="1:72" ht="12.75" customHeight="1" x14ac:dyDescent="0.2">
      <c r="A264" t="s">
        <v>72</v>
      </c>
      <c r="B264" t="s">
        <v>698</v>
      </c>
      <c r="F264" t="s">
        <v>699</v>
      </c>
      <c r="I264" t="s">
        <v>2092</v>
      </c>
      <c r="J264" t="s">
        <v>2093</v>
      </c>
      <c r="AA264" t="s">
        <v>2094</v>
      </c>
      <c r="AB264" t="s">
        <v>2095</v>
      </c>
      <c r="AO264" t="s">
        <v>2096</v>
      </c>
      <c r="AP264" t="s">
        <v>2097</v>
      </c>
      <c r="AT264" t="s">
        <v>703</v>
      </c>
      <c r="AU264">
        <v>2019</v>
      </c>
      <c r="AV264">
        <v>12</v>
      </c>
      <c r="AW264">
        <v>31</v>
      </c>
      <c r="BB264">
        <v>223</v>
      </c>
      <c r="BC264">
        <v>231</v>
      </c>
      <c r="BE264" t="s">
        <v>2098</v>
      </c>
      <c r="BF264" t="str">
        <f>HYPERLINK("http://dx.doi.org/10.20952/revtee.v12i31.11888","http://dx.doi.org/10.20952/revtee.v12i31.11888")</f>
        <v>http://dx.doi.org/10.20952/revtee.v12i31.11888</v>
      </c>
      <c r="BS264" t="s">
        <v>2099</v>
      </c>
      <c r="BT264" t="str">
        <f>HYPERLINK("https%3A%2F%2Fwww.webofscience.com%2Fwos%2Fwoscc%2Ffull-record%2FWOS:000496533000013","View Full Record in Web of Science")</f>
        <v>View Full Record in Web of Science</v>
      </c>
    </row>
    <row r="265" spans="1:72" ht="12.75" customHeight="1" x14ac:dyDescent="0.2">
      <c r="A265" t="s">
        <v>72</v>
      </c>
      <c r="B265" t="s">
        <v>378</v>
      </c>
      <c r="F265" t="s">
        <v>2100</v>
      </c>
      <c r="I265" t="s">
        <v>2101</v>
      </c>
      <c r="J265" t="s">
        <v>2102</v>
      </c>
      <c r="AA265" t="s">
        <v>553</v>
      </c>
      <c r="AB265" t="s">
        <v>554</v>
      </c>
      <c r="AO265" t="s">
        <v>2103</v>
      </c>
      <c r="AT265" t="s">
        <v>338</v>
      </c>
      <c r="AU265">
        <v>2019</v>
      </c>
      <c r="AV265">
        <v>26</v>
      </c>
      <c r="AW265" t="s">
        <v>2104</v>
      </c>
      <c r="BB265">
        <v>9</v>
      </c>
      <c r="BC265">
        <v>13</v>
      </c>
      <c r="BE265" t="s">
        <v>2105</v>
      </c>
      <c r="BF265" t="str">
        <f>HYPERLINK("http://dx.doi.org/10.31901/24566322.2019/26.1-3.1083","http://dx.doi.org/10.31901/24566322.2019/26.1-3.1083")</f>
        <v>http://dx.doi.org/10.31901/24566322.2019/26.1-3.1083</v>
      </c>
      <c r="BS265" t="s">
        <v>2106</v>
      </c>
      <c r="BT265" t="str">
        <f>HYPERLINK("https%3A%2F%2Fwww.webofscience.com%2Fwos%2Fwoscc%2Ffull-record%2FWOS:000491261400002","View Full Record in Web of Science")</f>
        <v>View Full Record in Web of Science</v>
      </c>
    </row>
    <row r="266" spans="1:72" ht="12.75" customHeight="1" x14ac:dyDescent="0.2">
      <c r="A266" t="s">
        <v>147</v>
      </c>
      <c r="B266" t="s">
        <v>1875</v>
      </c>
      <c r="C266" t="s">
        <v>1232</v>
      </c>
      <c r="F266" t="s">
        <v>1877</v>
      </c>
      <c r="G266" t="s">
        <v>1232</v>
      </c>
      <c r="I266" t="s">
        <v>2107</v>
      </c>
      <c r="J266" t="s">
        <v>1235</v>
      </c>
      <c r="K266" t="s">
        <v>1236</v>
      </c>
      <c r="O266" t="s">
        <v>1237</v>
      </c>
      <c r="P266" t="s">
        <v>1238</v>
      </c>
      <c r="Q266" t="s">
        <v>910</v>
      </c>
      <c r="R266" t="s">
        <v>1239</v>
      </c>
      <c r="AA266" t="s">
        <v>1885</v>
      </c>
      <c r="AB266" t="s">
        <v>1886</v>
      </c>
      <c r="AO266" t="s">
        <v>1240</v>
      </c>
      <c r="AU266">
        <v>2019</v>
      </c>
      <c r="AV266">
        <v>110</v>
      </c>
      <c r="BD266">
        <v>2021</v>
      </c>
      <c r="BE266" t="s">
        <v>2108</v>
      </c>
      <c r="BF266" t="str">
        <f>HYPERLINK("http://dx.doi.org/10.1051/e3sconf/201911002021","http://dx.doi.org/10.1051/e3sconf/201911002021")</f>
        <v>http://dx.doi.org/10.1051/e3sconf/201911002021</v>
      </c>
      <c r="BS266" t="s">
        <v>2109</v>
      </c>
      <c r="BT266" t="str">
        <f>HYPERLINK("https%3A%2F%2Fwww.webofscience.com%2Fwos%2Fwoscc%2Ffull-record%2FWOS:000569050000110","View Full Record in Web of Science")</f>
        <v>View Full Record in Web of Science</v>
      </c>
    </row>
    <row r="267" spans="1:72" ht="12.75" customHeight="1" x14ac:dyDescent="0.2">
      <c r="A267" t="s">
        <v>147</v>
      </c>
      <c r="B267" t="s">
        <v>2110</v>
      </c>
      <c r="E267" t="s">
        <v>210</v>
      </c>
      <c r="F267" t="s">
        <v>2111</v>
      </c>
      <c r="I267" t="s">
        <v>2112</v>
      </c>
      <c r="J267" t="s">
        <v>2113</v>
      </c>
      <c r="K267" t="s">
        <v>2114</v>
      </c>
      <c r="O267" t="s">
        <v>2115</v>
      </c>
      <c r="P267" t="s">
        <v>2116</v>
      </c>
      <c r="Q267" t="s">
        <v>2117</v>
      </c>
      <c r="R267" t="s">
        <v>2118</v>
      </c>
      <c r="S267" t="s">
        <v>2119</v>
      </c>
      <c r="AA267" t="s">
        <v>2120</v>
      </c>
      <c r="AB267" t="s">
        <v>2121</v>
      </c>
      <c r="AO267" t="s">
        <v>2122</v>
      </c>
      <c r="AQ267" t="s">
        <v>2123</v>
      </c>
      <c r="AU267">
        <v>2019</v>
      </c>
      <c r="BB267">
        <v>120</v>
      </c>
      <c r="BC267">
        <v>124</v>
      </c>
      <c r="BS267" t="s">
        <v>2124</v>
      </c>
      <c r="BT267" t="str">
        <f>HYPERLINK("https%3A%2F%2Fwww.webofscience.com%2Fwos%2Fwoscc%2Ffull-record%2FWOS:000469452600028","View Full Record in Web of Science")</f>
        <v>View Full Record in Web of Science</v>
      </c>
    </row>
    <row r="268" spans="1:72" ht="12.75" customHeight="1" x14ac:dyDescent="0.2">
      <c r="A268" t="s">
        <v>72</v>
      </c>
      <c r="B268" t="s">
        <v>581</v>
      </c>
      <c r="F268" t="s">
        <v>582</v>
      </c>
      <c r="I268" t="s">
        <v>2125</v>
      </c>
      <c r="J268" t="s">
        <v>584</v>
      </c>
      <c r="AA268" t="s">
        <v>2126</v>
      </c>
      <c r="AB268" t="s">
        <v>586</v>
      </c>
      <c r="AO268" t="s">
        <v>587</v>
      </c>
      <c r="AP268" t="s">
        <v>588</v>
      </c>
      <c r="AU268">
        <v>2019</v>
      </c>
      <c r="AV268">
        <v>85</v>
      </c>
      <c r="AW268">
        <v>1</v>
      </c>
      <c r="BB268">
        <v>107</v>
      </c>
      <c r="BC268">
        <v>122</v>
      </c>
      <c r="BE268" t="s">
        <v>2127</v>
      </c>
      <c r="BF268" t="str">
        <f>HYPERLINK("http://dx.doi.org/10.18720/MCE.85.9","http://dx.doi.org/10.18720/MCE.85.9")</f>
        <v>http://dx.doi.org/10.18720/MCE.85.9</v>
      </c>
      <c r="BS268" t="s">
        <v>2128</v>
      </c>
      <c r="BT268" t="str">
        <f>HYPERLINK("https%3A%2F%2Fwww.webofscience.com%2Fwos%2Fwoscc%2Ffull-record%2FWOS:000474459100009","View Full Record in Web of Science")</f>
        <v>View Full Record in Web of Science</v>
      </c>
    </row>
    <row r="269" spans="1:72" ht="12.75" customHeight="1" x14ac:dyDescent="0.2">
      <c r="A269" t="s">
        <v>72</v>
      </c>
      <c r="B269" t="s">
        <v>431</v>
      </c>
      <c r="F269" t="s">
        <v>2129</v>
      </c>
      <c r="I269" t="s">
        <v>2130</v>
      </c>
      <c r="J269" t="s">
        <v>642</v>
      </c>
      <c r="AA269" t="s">
        <v>1945</v>
      </c>
      <c r="AB269" t="s">
        <v>1946</v>
      </c>
      <c r="AO269" t="s">
        <v>643</v>
      </c>
      <c r="AP269" t="s">
        <v>644</v>
      </c>
      <c r="AU269">
        <v>2019</v>
      </c>
      <c r="AV269">
        <v>7</v>
      </c>
      <c r="AW269">
        <v>4</v>
      </c>
      <c r="BB269">
        <v>1324</v>
      </c>
      <c r="BC269">
        <v>1338</v>
      </c>
      <c r="BE269" t="s">
        <v>2131</v>
      </c>
      <c r="BF269" t="str">
        <f>HYPERLINK("http://dx.doi.org/10.15826/qr.2019.4.441","http://dx.doi.org/10.15826/qr.2019.4.441")</f>
        <v>http://dx.doi.org/10.15826/qr.2019.4.441</v>
      </c>
      <c r="BS269" t="s">
        <v>2132</v>
      </c>
      <c r="BT269" t="str">
        <f>HYPERLINK("https%3A%2F%2Fwww.webofscience.com%2Fwos%2Fwoscc%2Ffull-record%2FWOS:000510178900019","View Full Record in Web of Science")</f>
        <v>View Full Record in Web of Science</v>
      </c>
    </row>
    <row r="270" spans="1:72" ht="12.75" customHeight="1" x14ac:dyDescent="0.2">
      <c r="A270" t="s">
        <v>72</v>
      </c>
      <c r="B270" t="s">
        <v>2133</v>
      </c>
      <c r="F270" t="s">
        <v>2134</v>
      </c>
      <c r="I270" t="s">
        <v>2135</v>
      </c>
      <c r="J270" t="s">
        <v>194</v>
      </c>
      <c r="AA270" t="s">
        <v>1046</v>
      </c>
      <c r="AB270" t="s">
        <v>1047</v>
      </c>
      <c r="AO270" t="s">
        <v>196</v>
      </c>
      <c r="AP270" t="s">
        <v>197</v>
      </c>
      <c r="AT270" t="s">
        <v>198</v>
      </c>
      <c r="AU270">
        <v>2018</v>
      </c>
      <c r="AV270">
        <v>16</v>
      </c>
      <c r="BB270">
        <v>103</v>
      </c>
      <c r="BC270">
        <v>118</v>
      </c>
      <c r="BE270" t="s">
        <v>2136</v>
      </c>
      <c r="BF270" t="str">
        <f>HYPERLINK("http://dx.doi.org/10.17223/23062061/16/7","http://dx.doi.org/10.17223/23062061/16/7")</f>
        <v>http://dx.doi.org/10.17223/23062061/16/7</v>
      </c>
      <c r="BS270" t="s">
        <v>2137</v>
      </c>
      <c r="BT270" t="str">
        <f>HYPERLINK("https%3A%2F%2Fwww.webofscience.com%2Fwos%2Fwoscc%2Ffull-record%2FWOS:000451192400007","View Full Record in Web of Science")</f>
        <v>View Full Record in Web of Science</v>
      </c>
    </row>
    <row r="271" spans="1:72" ht="12.75" customHeight="1" x14ac:dyDescent="0.2">
      <c r="A271" t="s">
        <v>147</v>
      </c>
      <c r="B271" t="s">
        <v>2138</v>
      </c>
      <c r="E271" t="s">
        <v>210</v>
      </c>
      <c r="F271" t="s">
        <v>2139</v>
      </c>
      <c r="I271" t="s">
        <v>2140</v>
      </c>
      <c r="J271" t="s">
        <v>213</v>
      </c>
      <c r="O271" t="s">
        <v>214</v>
      </c>
      <c r="P271" t="s">
        <v>215</v>
      </c>
      <c r="Q271" t="s">
        <v>216</v>
      </c>
      <c r="S271" t="s">
        <v>217</v>
      </c>
      <c r="AQ271" t="s">
        <v>218</v>
      </c>
      <c r="AU271">
        <v>2018</v>
      </c>
      <c r="BS271" t="s">
        <v>2141</v>
      </c>
      <c r="BT271" t="str">
        <f>HYPERLINK("https%3A%2F%2Fwww.webofscience.com%2Fwos%2Fwoscc%2Ffull-record%2FWOS:000478963800197","View Full Record in Web of Science")</f>
        <v>View Full Record in Web of Science</v>
      </c>
    </row>
    <row r="272" spans="1:72" ht="12.75" customHeight="1" x14ac:dyDescent="0.2">
      <c r="A272" t="s">
        <v>147</v>
      </c>
      <c r="B272" t="s">
        <v>2142</v>
      </c>
      <c r="D272" t="s">
        <v>2143</v>
      </c>
      <c r="F272" t="s">
        <v>2144</v>
      </c>
      <c r="I272" t="s">
        <v>2145</v>
      </c>
      <c r="J272" t="s">
        <v>2146</v>
      </c>
      <c r="O272" t="s">
        <v>2147</v>
      </c>
      <c r="P272" t="s">
        <v>2148</v>
      </c>
      <c r="Q272" t="s">
        <v>2149</v>
      </c>
      <c r="AQ272" t="s">
        <v>2150</v>
      </c>
      <c r="AU272">
        <v>2018</v>
      </c>
      <c r="BB272">
        <v>469</v>
      </c>
      <c r="BC272">
        <v>474</v>
      </c>
      <c r="BS272" t="s">
        <v>2151</v>
      </c>
      <c r="BT272" t="str">
        <f>HYPERLINK("https%3A%2F%2Fwww.webofscience.com%2Fwos%2Fwoscc%2Ffull-record%2FWOS:000527800600059","View Full Record in Web of Science")</f>
        <v>View Full Record in Web of Science</v>
      </c>
    </row>
    <row r="273" spans="1:72" ht="12.75" customHeight="1" x14ac:dyDescent="0.2">
      <c r="A273" t="s">
        <v>147</v>
      </c>
      <c r="B273" t="s">
        <v>2152</v>
      </c>
      <c r="E273" t="s">
        <v>175</v>
      </c>
      <c r="F273" t="s">
        <v>2153</v>
      </c>
      <c r="I273" t="s">
        <v>2154</v>
      </c>
      <c r="J273" t="s">
        <v>2155</v>
      </c>
      <c r="K273" t="s">
        <v>179</v>
      </c>
      <c r="O273" t="s">
        <v>2156</v>
      </c>
      <c r="P273" t="s">
        <v>2157</v>
      </c>
      <c r="Q273" t="s">
        <v>2158</v>
      </c>
      <c r="R273" t="s">
        <v>2159</v>
      </c>
      <c r="S273" t="s">
        <v>2160</v>
      </c>
      <c r="AA273" t="s">
        <v>562</v>
      </c>
      <c r="AB273" t="s">
        <v>563</v>
      </c>
      <c r="AO273" t="s">
        <v>187</v>
      </c>
      <c r="AP273" t="s">
        <v>188</v>
      </c>
      <c r="AU273">
        <v>2017</v>
      </c>
      <c r="AV273">
        <v>891</v>
      </c>
      <c r="BD273">
        <v>12226</v>
      </c>
      <c r="BE273" t="s">
        <v>2161</v>
      </c>
      <c r="BF273" t="str">
        <f>HYPERLINK("http://dx.doi.org/10.1088/1742-6596/891/1/012226","http://dx.doi.org/10.1088/1742-6596/891/1/012226")</f>
        <v>http://dx.doi.org/10.1088/1742-6596/891/1/012226</v>
      </c>
      <c r="BS273" t="s">
        <v>2162</v>
      </c>
      <c r="BT273" t="str">
        <f>HYPERLINK("https%3A%2F%2Fwww.webofscience.com%2Fwos%2Fwoscc%2Ffull-record%2FWOS:000424078500226","View Full Record in Web of Science")</f>
        <v>View Full Record in Web of Science</v>
      </c>
    </row>
    <row r="274" spans="1:72" ht="12.75" customHeight="1" x14ac:dyDescent="0.2">
      <c r="A274" t="s">
        <v>147</v>
      </c>
      <c r="B274" t="s">
        <v>2163</v>
      </c>
      <c r="D274" t="s">
        <v>233</v>
      </c>
      <c r="F274" t="s">
        <v>2164</v>
      </c>
      <c r="I274" t="s">
        <v>2165</v>
      </c>
      <c r="J274" t="s">
        <v>444</v>
      </c>
      <c r="K274" t="s">
        <v>445</v>
      </c>
      <c r="O274" t="s">
        <v>446</v>
      </c>
      <c r="P274" t="s">
        <v>447</v>
      </c>
      <c r="Q274" t="s">
        <v>448</v>
      </c>
      <c r="AA274" t="s">
        <v>2166</v>
      </c>
      <c r="AB274" t="s">
        <v>2167</v>
      </c>
      <c r="AO274" t="s">
        <v>450</v>
      </c>
      <c r="AQ274" t="s">
        <v>451</v>
      </c>
      <c r="AU274">
        <v>2017</v>
      </c>
      <c r="BB274">
        <v>3</v>
      </c>
      <c r="BC274">
        <v>8</v>
      </c>
      <c r="BE274" t="s">
        <v>2168</v>
      </c>
      <c r="BF274" t="str">
        <f>HYPERLINK("http://dx.doi.org/10.1007/978-3-319-60696-5_1","http://dx.doi.org/10.1007/978-3-319-60696-5_1")</f>
        <v>http://dx.doi.org/10.1007/978-3-319-60696-5_1</v>
      </c>
      <c r="BS274" t="s">
        <v>2169</v>
      </c>
      <c r="BT274" t="str">
        <f>HYPERLINK("https%3A%2F%2Fwww.webofscience.com%2Fwos%2Fwoscc%2Ffull-record%2FWOS:000426114200001","View Full Record in Web of Science")</f>
        <v>View Full Record in Web of Science</v>
      </c>
    </row>
    <row r="275" spans="1:72" ht="12.75" customHeight="1" x14ac:dyDescent="0.2">
      <c r="A275" t="s">
        <v>147</v>
      </c>
      <c r="B275" t="s">
        <v>2170</v>
      </c>
      <c r="D275" t="s">
        <v>739</v>
      </c>
      <c r="F275" t="s">
        <v>2171</v>
      </c>
      <c r="I275" t="s">
        <v>2172</v>
      </c>
      <c r="J275" t="s">
        <v>742</v>
      </c>
      <c r="K275" t="s">
        <v>743</v>
      </c>
      <c r="O275" t="s">
        <v>744</v>
      </c>
      <c r="P275" t="s">
        <v>745</v>
      </c>
      <c r="Q275" t="s">
        <v>746</v>
      </c>
      <c r="R275" t="s">
        <v>747</v>
      </c>
      <c r="AA275" t="s">
        <v>2173</v>
      </c>
      <c r="AB275" t="s">
        <v>2174</v>
      </c>
      <c r="AO275" t="s">
        <v>748</v>
      </c>
      <c r="AQ275" t="s">
        <v>749</v>
      </c>
      <c r="AU275">
        <v>2016</v>
      </c>
      <c r="BS275" t="s">
        <v>2175</v>
      </c>
      <c r="BT275" t="str">
        <f>HYPERLINK("https%3A%2F%2Fwww.webofscience.com%2Fwos%2Fwoscc%2Ffull-record%2FWOS:000383090900086","View Full Record in Web of Science")</f>
        <v>View Full Record in Web of Science</v>
      </c>
    </row>
    <row r="276" spans="1:72" ht="12.75" customHeight="1" x14ac:dyDescent="0.2">
      <c r="A276" t="s">
        <v>72</v>
      </c>
      <c r="B276" t="s">
        <v>2176</v>
      </c>
      <c r="F276" t="s">
        <v>2177</v>
      </c>
      <c r="I276" t="s">
        <v>2178</v>
      </c>
      <c r="J276" t="s">
        <v>793</v>
      </c>
      <c r="AB276" t="s">
        <v>2179</v>
      </c>
      <c r="AO276" t="s">
        <v>795</v>
      </c>
      <c r="AP276" t="s">
        <v>796</v>
      </c>
      <c r="AT276" t="s">
        <v>830</v>
      </c>
      <c r="AU276">
        <v>2015</v>
      </c>
      <c r="AV276">
        <v>8</v>
      </c>
      <c r="AW276">
        <v>5</v>
      </c>
      <c r="BB276">
        <v>550</v>
      </c>
      <c r="BC276">
        <v>559</v>
      </c>
      <c r="BE276" t="s">
        <v>2180</v>
      </c>
      <c r="BF276" t="str">
        <f>HYPERLINK("http://dx.doi.org/10.1134/S199542551505011X","http://dx.doi.org/10.1134/S199542551505011X")</f>
        <v>http://dx.doi.org/10.1134/S199542551505011X</v>
      </c>
      <c r="BS276" t="s">
        <v>2181</v>
      </c>
      <c r="BT276" t="str">
        <f>HYPERLINK("https%3A%2F%2Fwww.webofscience.com%2Fwos%2Fwoscc%2Ffull-record%2FWOS:000363241200002","View Full Record in Web of Science")</f>
        <v>View Full Record in Web of Science</v>
      </c>
    </row>
    <row r="277" spans="1:72" ht="12.75" customHeight="1" x14ac:dyDescent="0.2">
      <c r="A277" t="s">
        <v>72</v>
      </c>
      <c r="B277" t="s">
        <v>1294</v>
      </c>
      <c r="F277" t="s">
        <v>1296</v>
      </c>
      <c r="I277" t="s">
        <v>2182</v>
      </c>
      <c r="J277" t="s">
        <v>2183</v>
      </c>
      <c r="AO277" t="s">
        <v>2184</v>
      </c>
      <c r="AT277" t="s">
        <v>198</v>
      </c>
      <c r="AU277">
        <v>2015</v>
      </c>
      <c r="AV277">
        <v>16</v>
      </c>
      <c r="BB277">
        <v>775</v>
      </c>
      <c r="BC277">
        <v>785</v>
      </c>
      <c r="BS277" t="s">
        <v>2185</v>
      </c>
      <c r="BT277" t="str">
        <f>HYPERLINK("https%3A%2F%2Fwww.webofscience.com%2Fwos%2Fwoscc%2Ffull-record%2FWOS:000369886300005","View Full Record in Web of Science")</f>
        <v>View Full Record in Web of Science</v>
      </c>
    </row>
    <row r="278" spans="1:72" ht="12.75" customHeight="1" x14ac:dyDescent="0.2">
      <c r="A278" t="s">
        <v>72</v>
      </c>
      <c r="B278" t="s">
        <v>751</v>
      </c>
      <c r="F278" t="s">
        <v>752</v>
      </c>
      <c r="I278" t="s">
        <v>2186</v>
      </c>
      <c r="J278" t="s">
        <v>244</v>
      </c>
      <c r="AA278" t="s">
        <v>754</v>
      </c>
      <c r="AO278" t="s">
        <v>245</v>
      </c>
      <c r="AU278">
        <v>2012</v>
      </c>
      <c r="AW278">
        <v>12</v>
      </c>
      <c r="BB278">
        <v>141</v>
      </c>
      <c r="BC278">
        <v>145</v>
      </c>
      <c r="BS278" t="s">
        <v>2187</v>
      </c>
      <c r="BT278" t="str">
        <f>HYPERLINK("https%3A%2F%2Fwww.webofscience.com%2Fwos%2Fwoscc%2Ffull-record%2FWOS:000313402500011","View Full Record in Web of Science")</f>
        <v>View Full Record in Web of Science</v>
      </c>
    </row>
    <row r="279" spans="1:72" ht="12.75" customHeight="1" x14ac:dyDescent="0.2">
      <c r="A279" t="s">
        <v>72</v>
      </c>
      <c r="B279" t="s">
        <v>2188</v>
      </c>
      <c r="F279" t="s">
        <v>2189</v>
      </c>
      <c r="I279" t="s">
        <v>2190</v>
      </c>
      <c r="J279" t="s">
        <v>244</v>
      </c>
      <c r="AO279" t="s">
        <v>245</v>
      </c>
      <c r="AU279">
        <v>2007</v>
      </c>
      <c r="AW279">
        <v>9</v>
      </c>
      <c r="BB279">
        <v>137</v>
      </c>
      <c r="BC279">
        <v>140</v>
      </c>
      <c r="BS279" t="s">
        <v>2191</v>
      </c>
      <c r="BT279" t="str">
        <f>HYPERLINK("https%3A%2F%2Fwww.webofscience.com%2Fwos%2Fwoscc%2Ffull-record%2FWOS:000251119000010","View Full Record in Web of Science")</f>
        <v>View Full Record in Web of Science</v>
      </c>
    </row>
    <row r="280" spans="1:72" ht="12.75" customHeight="1" x14ac:dyDescent="0.2">
      <c r="A280" t="s">
        <v>72</v>
      </c>
      <c r="B280" t="s">
        <v>2034</v>
      </c>
      <c r="F280" t="s">
        <v>2034</v>
      </c>
      <c r="I280" t="s">
        <v>2192</v>
      </c>
      <c r="J280" t="s">
        <v>311</v>
      </c>
      <c r="AO280" t="s">
        <v>312</v>
      </c>
      <c r="AT280" t="s">
        <v>1012</v>
      </c>
      <c r="AU280">
        <v>2005</v>
      </c>
      <c r="AV280">
        <v>39</v>
      </c>
      <c r="AW280">
        <v>5</v>
      </c>
      <c r="BB280">
        <v>529</v>
      </c>
      <c r="BC280">
        <v>536</v>
      </c>
      <c r="BE280" t="s">
        <v>2193</v>
      </c>
      <c r="BF280" t="str">
        <f>HYPERLINK("http://dx.doi.org/10.1007/s11236-005-0112-6","http://dx.doi.org/10.1007/s11236-005-0112-6")</f>
        <v>http://dx.doi.org/10.1007/s11236-005-0112-6</v>
      </c>
      <c r="BS280" t="s">
        <v>2194</v>
      </c>
      <c r="BT280" t="str">
        <f>HYPERLINK("https%3A%2F%2Fwww.webofscience.com%2Fwos%2Fwoscc%2Ffull-record%2FWOS:000232940300011","View Full Record in Web of Science")</f>
        <v>View Full Record in Web of Science</v>
      </c>
    </row>
    <row r="281" spans="1:72" ht="12.75" customHeight="1" x14ac:dyDescent="0.2">
      <c r="A281" t="s">
        <v>72</v>
      </c>
      <c r="B281" t="s">
        <v>2195</v>
      </c>
      <c r="F281" t="s">
        <v>2195</v>
      </c>
      <c r="I281" t="s">
        <v>2196</v>
      </c>
      <c r="J281" t="s">
        <v>2197</v>
      </c>
      <c r="AA281" t="s">
        <v>2198</v>
      </c>
      <c r="AB281" t="s">
        <v>2199</v>
      </c>
      <c r="AO281" t="s">
        <v>2200</v>
      </c>
      <c r="AT281" t="s">
        <v>541</v>
      </c>
      <c r="AU281">
        <v>2003</v>
      </c>
      <c r="AV281">
        <v>45</v>
      </c>
      <c r="AW281">
        <v>1</v>
      </c>
      <c r="BB281">
        <v>64</v>
      </c>
      <c r="BC281">
        <v>70</v>
      </c>
      <c r="BS281" t="s">
        <v>2201</v>
      </c>
      <c r="BT281" t="str">
        <f>HYPERLINK("https%3A%2F%2Fwww.webofscience.com%2Fwos%2Fwoscc%2Ffull-record%2FWOS:000180718300010","View Full Record in Web of Science")</f>
        <v>View Full Record in Web of Science</v>
      </c>
    </row>
    <row r="282" spans="1:72" ht="12.75" customHeight="1" x14ac:dyDescent="0.2">
      <c r="A282" t="s">
        <v>72</v>
      </c>
      <c r="B282" t="s">
        <v>2202</v>
      </c>
      <c r="F282" t="s">
        <v>2202</v>
      </c>
      <c r="I282" t="s">
        <v>2203</v>
      </c>
      <c r="J282" t="s">
        <v>244</v>
      </c>
      <c r="AO282" t="s">
        <v>245</v>
      </c>
      <c r="AU282">
        <v>2002</v>
      </c>
      <c r="AW282">
        <v>1</v>
      </c>
      <c r="BB282">
        <v>107</v>
      </c>
      <c r="BC282">
        <v>115</v>
      </c>
      <c r="BS282" t="s">
        <v>2204</v>
      </c>
      <c r="BT282" t="str">
        <f>HYPERLINK("https%3A%2F%2Fwww.webofscience.com%2Fwos%2Fwoscc%2Ffull-record%2FWOS:000173770700008","View Full Record in Web of Science")</f>
        <v>View Full Record in Web of Science</v>
      </c>
    </row>
    <row r="283" spans="1:72" ht="12.75" customHeight="1" x14ac:dyDescent="0.2">
      <c r="A283" t="s">
        <v>72</v>
      </c>
      <c r="B283" t="s">
        <v>2205</v>
      </c>
      <c r="F283" t="s">
        <v>2205</v>
      </c>
      <c r="I283" t="s">
        <v>2206</v>
      </c>
      <c r="J283" t="s">
        <v>304</v>
      </c>
      <c r="AO283" t="s">
        <v>77</v>
      </c>
      <c r="AU283">
        <v>1995</v>
      </c>
      <c r="AW283">
        <v>3</v>
      </c>
      <c r="BB283">
        <v>44</v>
      </c>
      <c r="BC283">
        <v>59</v>
      </c>
      <c r="BS283" t="s">
        <v>2207</v>
      </c>
      <c r="BT283" t="str">
        <f>HYPERLINK("https%3A%2F%2Fwww.webofscience.com%2Fwos%2Fwoscc%2Ffull-record%2FWOS:A1995RD36300005","View Full Record in Web of Science")</f>
        <v>View Full Record in Web of Science</v>
      </c>
    </row>
    <row r="284" spans="1:72" ht="12.75" customHeight="1" x14ac:dyDescent="0.2">
      <c r="A284" t="s">
        <v>72</v>
      </c>
      <c r="B284" t="s">
        <v>2208</v>
      </c>
      <c r="F284" t="s">
        <v>2209</v>
      </c>
      <c r="I284" t="s">
        <v>2210</v>
      </c>
      <c r="J284" t="s">
        <v>2211</v>
      </c>
      <c r="AA284" t="s">
        <v>2212</v>
      </c>
      <c r="AB284" t="s">
        <v>2213</v>
      </c>
      <c r="AO284" t="s">
        <v>2214</v>
      </c>
      <c r="AP284" t="s">
        <v>2215</v>
      </c>
      <c r="AT284" t="s">
        <v>541</v>
      </c>
      <c r="AU284">
        <v>2023</v>
      </c>
      <c r="AV284">
        <v>70</v>
      </c>
      <c r="AW284">
        <v>1</v>
      </c>
      <c r="BB284">
        <v>55</v>
      </c>
      <c r="BC284">
        <v>62</v>
      </c>
      <c r="BE284" t="s">
        <v>2216</v>
      </c>
      <c r="BF284" t="str">
        <f>HYPERLINK("http://dx.doi.org/10.1134/S0040601523010044","http://dx.doi.org/10.1134/S0040601523010044")</f>
        <v>http://dx.doi.org/10.1134/S0040601523010044</v>
      </c>
      <c r="BS284" t="s">
        <v>2217</v>
      </c>
      <c r="BT284" t="str">
        <f>HYPERLINK("https%3A%2F%2Fwww.webofscience.com%2Fwos%2Fwoscc%2Ffull-record%2FWOS:000949710000007","View Full Record in Web of Science")</f>
        <v>View Full Record in Web of Science</v>
      </c>
    </row>
    <row r="285" spans="1:72" ht="12.75" customHeight="1" x14ac:dyDescent="0.2">
      <c r="A285" t="s">
        <v>72</v>
      </c>
      <c r="B285" t="s">
        <v>2218</v>
      </c>
      <c r="F285" t="s">
        <v>2219</v>
      </c>
      <c r="I285" t="s">
        <v>2220</v>
      </c>
      <c r="J285" t="s">
        <v>2221</v>
      </c>
      <c r="AO285" t="s">
        <v>2222</v>
      </c>
      <c r="AU285">
        <v>2023</v>
      </c>
      <c r="AW285">
        <v>75</v>
      </c>
      <c r="BB285">
        <v>50</v>
      </c>
      <c r="BC285">
        <v>74</v>
      </c>
      <c r="BE285" t="s">
        <v>2223</v>
      </c>
      <c r="BF285" t="str">
        <f>HYPERLINK("http://dx.doi.org/10.54770/20729286_2023_1_50","http://dx.doi.org/10.54770/20729286_2023_1_50")</f>
        <v>http://dx.doi.org/10.54770/20729286_2023_1_50</v>
      </c>
      <c r="BS285" t="s">
        <v>2224</v>
      </c>
      <c r="BT285" t="str">
        <f>HYPERLINK("https%3A%2F%2Fwww.webofscience.com%2Fwos%2Fwoscc%2Ffull-record%2FWOS:000971558700003","View Full Record in Web of Science")</f>
        <v>View Full Record in Web of Science</v>
      </c>
    </row>
    <row r="286" spans="1:72" ht="12.75" customHeight="1" x14ac:dyDescent="0.2">
      <c r="A286" t="s">
        <v>72</v>
      </c>
      <c r="B286" t="s">
        <v>2225</v>
      </c>
      <c r="F286" t="s">
        <v>2226</v>
      </c>
      <c r="I286" t="s">
        <v>2227</v>
      </c>
      <c r="J286" t="s">
        <v>95</v>
      </c>
      <c r="AB286" t="s">
        <v>2228</v>
      </c>
      <c r="AO286" t="s">
        <v>98</v>
      </c>
      <c r="AP286" t="s">
        <v>99</v>
      </c>
      <c r="AU286">
        <v>2022</v>
      </c>
      <c r="AW286">
        <v>3</v>
      </c>
      <c r="BB286">
        <v>34</v>
      </c>
      <c r="BC286">
        <v>40</v>
      </c>
      <c r="BE286" t="s">
        <v>2229</v>
      </c>
      <c r="BF286" t="str">
        <f>HYPERLINK("http://dx.doi.org/10.25750/1995-4301-2022-3-034-040","http://dx.doi.org/10.25750/1995-4301-2022-3-034-040")</f>
        <v>http://dx.doi.org/10.25750/1995-4301-2022-3-034-040</v>
      </c>
      <c r="BS286" t="s">
        <v>2230</v>
      </c>
      <c r="BT286" t="str">
        <f>HYPERLINK("https%3A%2F%2Fwww.webofscience.com%2Fwos%2Fwoscc%2Ffull-record%2FWOS:000885393200004","View Full Record in Web of Science")</f>
        <v>View Full Record in Web of Science</v>
      </c>
    </row>
    <row r="287" spans="1:72" ht="12.75" customHeight="1" x14ac:dyDescent="0.2">
      <c r="A287" t="s">
        <v>72</v>
      </c>
      <c r="B287" t="s">
        <v>503</v>
      </c>
      <c r="F287" t="s">
        <v>2231</v>
      </c>
      <c r="I287" t="s">
        <v>2232</v>
      </c>
      <c r="J287" t="s">
        <v>2233</v>
      </c>
      <c r="AA287" t="s">
        <v>507</v>
      </c>
      <c r="AB287" t="s">
        <v>508</v>
      </c>
      <c r="AO287" t="s">
        <v>2234</v>
      </c>
      <c r="AP287" t="s">
        <v>2235</v>
      </c>
      <c r="AU287">
        <v>2022</v>
      </c>
      <c r="AV287">
        <v>16</v>
      </c>
      <c r="AW287">
        <v>2</v>
      </c>
      <c r="BB287">
        <v>257</v>
      </c>
      <c r="BC287">
        <v>267</v>
      </c>
      <c r="BE287" t="s">
        <v>2236</v>
      </c>
      <c r="BF287" t="str">
        <f>HYPERLINK("http://dx.doi.org/10.17150/2500-4255.2022.16(2).257-267","http://dx.doi.org/10.17150/2500-4255.2022.16(2).257-267")</f>
        <v>http://dx.doi.org/10.17150/2500-4255.2022.16(2).257-267</v>
      </c>
      <c r="BS287" t="s">
        <v>2237</v>
      </c>
      <c r="BT287" t="str">
        <f>HYPERLINK("https%3A%2F%2Fwww.webofscience.com%2Fwos%2Fwoscc%2Ffull-record%2FWOS:000805759500011","View Full Record in Web of Science")</f>
        <v>View Full Record in Web of Science</v>
      </c>
    </row>
    <row r="288" spans="1:72" ht="12.75" customHeight="1" x14ac:dyDescent="0.2">
      <c r="A288" t="s">
        <v>72</v>
      </c>
      <c r="B288" t="s">
        <v>102</v>
      </c>
      <c r="F288" t="s">
        <v>2238</v>
      </c>
      <c r="I288" t="s">
        <v>2239</v>
      </c>
      <c r="J288" t="s">
        <v>2240</v>
      </c>
      <c r="AO288" t="s">
        <v>2241</v>
      </c>
      <c r="AP288" t="s">
        <v>2242</v>
      </c>
      <c r="AU288">
        <v>2022</v>
      </c>
      <c r="AV288">
        <v>12</v>
      </c>
      <c r="AW288">
        <v>1</v>
      </c>
      <c r="BB288">
        <v>109</v>
      </c>
      <c r="BC288">
        <v>126</v>
      </c>
      <c r="BE288" t="s">
        <v>2243</v>
      </c>
      <c r="BF288" t="str">
        <f>HYPERLINK("http://dx.doi.org/10.21638/11701/spbu24.2022.106","http://dx.doi.org/10.21638/11701/spbu24.2022.106")</f>
        <v>http://dx.doi.org/10.21638/11701/spbu24.2022.106</v>
      </c>
      <c r="BS288" t="s">
        <v>2244</v>
      </c>
      <c r="BT288" t="str">
        <f>HYPERLINK("https%3A%2F%2Fwww.webofscience.com%2Fwos%2Fwoscc%2Ffull-record%2FWOS:000905283300006","View Full Record in Web of Science")</f>
        <v>View Full Record in Web of Science</v>
      </c>
    </row>
    <row r="289" spans="1:72" ht="12.75" customHeight="1" x14ac:dyDescent="0.2">
      <c r="A289" t="s">
        <v>72</v>
      </c>
      <c r="B289" t="s">
        <v>2245</v>
      </c>
      <c r="F289" t="s">
        <v>2246</v>
      </c>
      <c r="I289" t="s">
        <v>2247</v>
      </c>
      <c r="J289" t="s">
        <v>244</v>
      </c>
      <c r="AA289" t="s">
        <v>344</v>
      </c>
      <c r="AB289" t="s">
        <v>345</v>
      </c>
      <c r="AO289" t="s">
        <v>245</v>
      </c>
      <c r="AP289" t="s">
        <v>246</v>
      </c>
      <c r="AU289">
        <v>2020</v>
      </c>
      <c r="AW289">
        <v>5</v>
      </c>
      <c r="BB289">
        <v>68</v>
      </c>
      <c r="BC289">
        <v>74</v>
      </c>
      <c r="BE289" t="s">
        <v>2248</v>
      </c>
      <c r="BF289" t="str">
        <f>HYPERLINK("http://dx.doi.org/10.31166/VoprosyIstorii202005Statyi06","http://dx.doi.org/10.31166/VoprosyIstorii202005Statyi06")</f>
        <v>http://dx.doi.org/10.31166/VoprosyIstorii202005Statyi06</v>
      </c>
      <c r="BS289" t="s">
        <v>2249</v>
      </c>
      <c r="BT289" t="str">
        <f>HYPERLINK("https%3A%2F%2Fwww.webofscience.com%2Fwos%2Fwoscc%2Ffull-record%2FWOS:000657720900006","View Full Record in Web of Science")</f>
        <v>View Full Record in Web of Science</v>
      </c>
    </row>
    <row r="290" spans="1:72" ht="12.75" customHeight="1" x14ac:dyDescent="0.2">
      <c r="A290" t="s">
        <v>72</v>
      </c>
      <c r="B290" t="s">
        <v>2250</v>
      </c>
      <c r="F290" t="s">
        <v>2251</v>
      </c>
      <c r="I290" t="s">
        <v>2252</v>
      </c>
      <c r="J290" t="s">
        <v>325</v>
      </c>
      <c r="AO290" t="s">
        <v>328</v>
      </c>
      <c r="AP290" t="s">
        <v>329</v>
      </c>
      <c r="AU290">
        <v>2020</v>
      </c>
      <c r="AV290">
        <v>14</v>
      </c>
      <c r="AW290">
        <v>2</v>
      </c>
      <c r="BB290">
        <v>543</v>
      </c>
      <c r="BC290">
        <v>558</v>
      </c>
      <c r="BE290" t="s">
        <v>2253</v>
      </c>
      <c r="BF290" t="str">
        <f>HYPERLINK("http://dx.doi.org/10.24874/IJQR14.02-13","http://dx.doi.org/10.24874/IJQR14.02-13")</f>
        <v>http://dx.doi.org/10.24874/IJQR14.02-13</v>
      </c>
      <c r="BS290" t="s">
        <v>2254</v>
      </c>
      <c r="BT290" t="str">
        <f>HYPERLINK("https%3A%2F%2Fwww.webofscience.com%2Fwos%2Fwoscc%2Ffull-record%2FWOS:000531047700013","View Full Record in Web of Science")</f>
        <v>View Full Record in Web of Science</v>
      </c>
    </row>
    <row r="291" spans="1:72" ht="12.75" customHeight="1" x14ac:dyDescent="0.2">
      <c r="A291" t="s">
        <v>72</v>
      </c>
      <c r="B291" t="s">
        <v>1984</v>
      </c>
      <c r="F291" t="s">
        <v>1985</v>
      </c>
      <c r="I291" t="s">
        <v>2255</v>
      </c>
      <c r="J291" t="s">
        <v>716</v>
      </c>
      <c r="AA291" t="s">
        <v>1988</v>
      </c>
      <c r="AB291" t="s">
        <v>1989</v>
      </c>
      <c r="AO291" t="s">
        <v>719</v>
      </c>
      <c r="AP291" t="s">
        <v>720</v>
      </c>
      <c r="AT291" t="s">
        <v>541</v>
      </c>
      <c r="AU291">
        <v>2020</v>
      </c>
      <c r="AW291">
        <v>450</v>
      </c>
      <c r="BB291">
        <v>14</v>
      </c>
      <c r="BC291">
        <v>21</v>
      </c>
      <c r="BE291" t="s">
        <v>2256</v>
      </c>
      <c r="BF291" t="str">
        <f>HYPERLINK("http://dx.doi.org/10.17223/15617793/450/2","http://dx.doi.org/10.17223/15617793/450/2")</f>
        <v>http://dx.doi.org/10.17223/15617793/450/2</v>
      </c>
      <c r="BS291" t="s">
        <v>2257</v>
      </c>
      <c r="BT291" t="str">
        <f>HYPERLINK("https%3A%2F%2Fwww.webofscience.com%2Fwos%2Fwoscc%2Ffull-record%2FWOS:000513895200002","View Full Record in Web of Science")</f>
        <v>View Full Record in Web of Science</v>
      </c>
    </row>
    <row r="292" spans="1:72" ht="12.75" customHeight="1" x14ac:dyDescent="0.2">
      <c r="A292" t="s">
        <v>72</v>
      </c>
      <c r="B292" t="s">
        <v>110</v>
      </c>
      <c r="F292" t="s">
        <v>2258</v>
      </c>
      <c r="I292" t="s">
        <v>2259</v>
      </c>
      <c r="J292" t="s">
        <v>434</v>
      </c>
      <c r="AA292" t="s">
        <v>677</v>
      </c>
      <c r="AB292" t="s">
        <v>678</v>
      </c>
      <c r="AO292" t="s">
        <v>437</v>
      </c>
      <c r="AP292" t="s">
        <v>438</v>
      </c>
      <c r="AU292">
        <v>2020</v>
      </c>
      <c r="AV292">
        <v>13</v>
      </c>
      <c r="AW292">
        <v>1</v>
      </c>
      <c r="BB292">
        <v>56</v>
      </c>
      <c r="BC292">
        <v>81</v>
      </c>
      <c r="BE292" t="s">
        <v>2260</v>
      </c>
      <c r="BF292" t="str">
        <f>HYPERLINK("http://dx.doi.org/10.24833/2071-8160-2020-1-70-56-81","http://dx.doi.org/10.24833/2071-8160-2020-1-70-56-81")</f>
        <v>http://dx.doi.org/10.24833/2071-8160-2020-1-70-56-81</v>
      </c>
      <c r="BS292" t="s">
        <v>2261</v>
      </c>
      <c r="BT292" t="str">
        <f>HYPERLINK("https%3A%2F%2Fwww.webofscience.com%2Fwos%2Fwoscc%2Ffull-record%2FWOS:000518853200004","View Full Record in Web of Science")</f>
        <v>View Full Record in Web of Science</v>
      </c>
    </row>
    <row r="293" spans="1:72" ht="12.75" customHeight="1" x14ac:dyDescent="0.2">
      <c r="A293" t="s">
        <v>72</v>
      </c>
      <c r="B293" t="s">
        <v>2262</v>
      </c>
      <c r="F293" t="s">
        <v>2263</v>
      </c>
      <c r="I293" t="s">
        <v>2264</v>
      </c>
      <c r="J293" t="s">
        <v>1608</v>
      </c>
      <c r="AA293" t="s">
        <v>2265</v>
      </c>
      <c r="AO293" t="s">
        <v>1611</v>
      </c>
      <c r="AP293" t="s">
        <v>1612</v>
      </c>
      <c r="AU293">
        <v>2019</v>
      </c>
      <c r="AV293">
        <v>29</v>
      </c>
      <c r="AW293">
        <v>3</v>
      </c>
      <c r="BB293">
        <v>383</v>
      </c>
      <c r="BC293">
        <v>395</v>
      </c>
      <c r="BE293" t="s">
        <v>2266</v>
      </c>
      <c r="BF293" t="str">
        <f>HYPERLINK("http://dx.doi.org/10.15507/2658-4123.029.201903.383-395","http://dx.doi.org/10.15507/2658-4123.029.201903.383-395")</f>
        <v>http://dx.doi.org/10.15507/2658-4123.029.201903.383-395</v>
      </c>
      <c r="BS293" t="s">
        <v>2267</v>
      </c>
      <c r="BT293" t="str">
        <f>HYPERLINK("https%3A%2F%2Fwww.webofscience.com%2Fwos%2Fwoscc%2Ffull-record%2FWOS:000487855400004","View Full Record in Web of Science")</f>
        <v>View Full Record in Web of Science</v>
      </c>
    </row>
    <row r="294" spans="1:72" ht="12.75" customHeight="1" x14ac:dyDescent="0.2">
      <c r="A294" t="s">
        <v>72</v>
      </c>
      <c r="B294" t="s">
        <v>2268</v>
      </c>
      <c r="F294" t="s">
        <v>2269</v>
      </c>
      <c r="I294" t="s">
        <v>2270</v>
      </c>
      <c r="J294" t="s">
        <v>141</v>
      </c>
      <c r="AA294" t="s">
        <v>2271</v>
      </c>
      <c r="AB294" t="s">
        <v>2272</v>
      </c>
      <c r="AO294" t="s">
        <v>144</v>
      </c>
      <c r="AU294">
        <v>2018</v>
      </c>
      <c r="AW294">
        <v>2</v>
      </c>
      <c r="BB294">
        <v>85</v>
      </c>
      <c r="BC294">
        <v>99</v>
      </c>
      <c r="BE294" t="s">
        <v>2273</v>
      </c>
      <c r="BF294" t="str">
        <f>HYPERLINK("http://dx.doi.org/10.5281/zenodo.1343404","http://dx.doi.org/10.5281/zenodo.1343404")</f>
        <v>http://dx.doi.org/10.5281/zenodo.1343404</v>
      </c>
      <c r="BS294" t="s">
        <v>2274</v>
      </c>
      <c r="BT294" t="str">
        <f>HYPERLINK("https%3A%2F%2Fwww.webofscience.com%2Fwos%2Fwoscc%2Ffull-record%2FWOS:000441795300009","View Full Record in Web of Science")</f>
        <v>View Full Record in Web of Science</v>
      </c>
    </row>
    <row r="295" spans="1:72" ht="12.75" customHeight="1" x14ac:dyDescent="0.2">
      <c r="A295" t="s">
        <v>147</v>
      </c>
      <c r="B295" t="s">
        <v>2275</v>
      </c>
      <c r="E295" t="s">
        <v>175</v>
      </c>
      <c r="F295" t="s">
        <v>2276</v>
      </c>
      <c r="I295" t="s">
        <v>2277</v>
      </c>
      <c r="J295" t="s">
        <v>2278</v>
      </c>
      <c r="K295" t="s">
        <v>179</v>
      </c>
      <c r="O295" t="s">
        <v>2279</v>
      </c>
      <c r="P295" t="s">
        <v>2280</v>
      </c>
      <c r="Q295" t="s">
        <v>2281</v>
      </c>
      <c r="R295" t="s">
        <v>257</v>
      </c>
      <c r="S295" t="s">
        <v>2282</v>
      </c>
      <c r="AA295" t="s">
        <v>2283</v>
      </c>
      <c r="AB295" t="s">
        <v>2284</v>
      </c>
      <c r="AO295" t="s">
        <v>187</v>
      </c>
      <c r="AP295" t="s">
        <v>188</v>
      </c>
      <c r="AU295">
        <v>2018</v>
      </c>
      <c r="AV295">
        <v>1058</v>
      </c>
      <c r="BD295">
        <v>12017</v>
      </c>
      <c r="BE295" t="s">
        <v>2285</v>
      </c>
      <c r="BF295" t="str">
        <f>HYPERLINK("http://dx.doi.org/10.1088/1742-6596/1058/1/012017","http://dx.doi.org/10.1088/1742-6596/1058/1/012017")</f>
        <v>http://dx.doi.org/10.1088/1742-6596/1058/1/012017</v>
      </c>
      <c r="BS295" t="s">
        <v>2286</v>
      </c>
      <c r="BT295" t="str">
        <f>HYPERLINK("https%3A%2F%2Fwww.webofscience.com%2Fwos%2Fwoscc%2Ffull-record%2FWOS:000518798300017","View Full Record in Web of Science")</f>
        <v>View Full Record in Web of Science</v>
      </c>
    </row>
    <row r="296" spans="1:72" ht="12.75" customHeight="1" x14ac:dyDescent="0.2">
      <c r="A296" t="s">
        <v>72</v>
      </c>
      <c r="B296" t="s">
        <v>2287</v>
      </c>
      <c r="F296" t="s">
        <v>2288</v>
      </c>
      <c r="I296" t="s">
        <v>2289</v>
      </c>
      <c r="J296" t="s">
        <v>2290</v>
      </c>
      <c r="AA296" t="s">
        <v>2291</v>
      </c>
      <c r="AB296" t="s">
        <v>2292</v>
      </c>
      <c r="AO296" t="s">
        <v>2293</v>
      </c>
      <c r="AP296" t="s">
        <v>2294</v>
      </c>
      <c r="AU296">
        <v>2017</v>
      </c>
      <c r="AV296">
        <v>69</v>
      </c>
      <c r="AW296">
        <v>7</v>
      </c>
      <c r="BB296">
        <v>1132</v>
      </c>
      <c r="BC296">
        <v>1133</v>
      </c>
      <c r="BE296" t="s">
        <v>2295</v>
      </c>
      <c r="BF296" t="str">
        <f>HYPERLINK("http://dx.doi.org/10.1080/09668136.2017.1371496","http://dx.doi.org/10.1080/09668136.2017.1371496")</f>
        <v>http://dx.doi.org/10.1080/09668136.2017.1371496</v>
      </c>
      <c r="BS296" t="s">
        <v>2296</v>
      </c>
      <c r="BT296" t="str">
        <f>HYPERLINK("https%3A%2F%2Fwww.webofscience.com%2Fwos%2Fwoscc%2Ffull-record%2FWOS:000413946100011","View Full Record in Web of Science")</f>
        <v>View Full Record in Web of Science</v>
      </c>
    </row>
    <row r="297" spans="1:72" ht="12.75" customHeight="1" x14ac:dyDescent="0.2">
      <c r="A297" t="s">
        <v>147</v>
      </c>
      <c r="B297" t="s">
        <v>2297</v>
      </c>
      <c r="D297" t="s">
        <v>739</v>
      </c>
      <c r="F297" t="s">
        <v>2298</v>
      </c>
      <c r="I297" t="s">
        <v>2299</v>
      </c>
      <c r="J297" t="s">
        <v>742</v>
      </c>
      <c r="K297" t="s">
        <v>743</v>
      </c>
      <c r="O297" t="s">
        <v>744</v>
      </c>
      <c r="P297" t="s">
        <v>745</v>
      </c>
      <c r="Q297" t="s">
        <v>746</v>
      </c>
      <c r="R297" t="s">
        <v>747</v>
      </c>
      <c r="AO297" t="s">
        <v>748</v>
      </c>
      <c r="AQ297" t="s">
        <v>749</v>
      </c>
      <c r="AU297">
        <v>2016</v>
      </c>
      <c r="BS297" t="s">
        <v>2300</v>
      </c>
      <c r="BT297" t="str">
        <f>HYPERLINK("https%3A%2F%2Fwww.webofscience.com%2Fwos%2Fwoscc%2Ffull-record%2FWOS:000383090900118","View Full Record in Web of Science")</f>
        <v>View Full Record in Web of Science</v>
      </c>
    </row>
    <row r="298" spans="1:72" ht="12.75" customHeight="1" x14ac:dyDescent="0.2">
      <c r="A298" t="s">
        <v>72</v>
      </c>
      <c r="B298" t="s">
        <v>2301</v>
      </c>
      <c r="F298" t="s">
        <v>2302</v>
      </c>
      <c r="I298" t="s">
        <v>2303</v>
      </c>
      <c r="J298" t="s">
        <v>614</v>
      </c>
      <c r="AA298" t="s">
        <v>1718</v>
      </c>
      <c r="AB298" t="s">
        <v>1719</v>
      </c>
      <c r="AO298" t="s">
        <v>617</v>
      </c>
      <c r="AP298" t="s">
        <v>1720</v>
      </c>
      <c r="AT298" t="s">
        <v>491</v>
      </c>
      <c r="AU298">
        <v>2015</v>
      </c>
      <c r="AV298">
        <v>51</v>
      </c>
      <c r="AW298">
        <v>6</v>
      </c>
      <c r="BB298">
        <v>546</v>
      </c>
      <c r="BC298">
        <v>550</v>
      </c>
      <c r="BE298" t="s">
        <v>2304</v>
      </c>
      <c r="BF298" t="str">
        <f>HYPERLINK("http://dx.doi.org/10.1134/S1023193515060129","http://dx.doi.org/10.1134/S1023193515060129")</f>
        <v>http://dx.doi.org/10.1134/S1023193515060129</v>
      </c>
      <c r="BS298" t="s">
        <v>2305</v>
      </c>
      <c r="BT298" t="str">
        <f>HYPERLINK("https%3A%2F%2Fwww.webofscience.com%2Fwos%2Fwoscc%2Ffull-record%2FWOS:000356494600008","View Full Record in Web of Science")</f>
        <v>View Full Record in Web of Science</v>
      </c>
    </row>
    <row r="299" spans="1:72" ht="12.75" customHeight="1" x14ac:dyDescent="0.2">
      <c r="A299" t="s">
        <v>72</v>
      </c>
      <c r="B299" t="s">
        <v>2306</v>
      </c>
      <c r="F299" t="s">
        <v>2307</v>
      </c>
      <c r="I299" t="s">
        <v>2308</v>
      </c>
      <c r="J299" t="s">
        <v>614</v>
      </c>
      <c r="AA299" t="s">
        <v>1718</v>
      </c>
      <c r="AB299" t="s">
        <v>1719</v>
      </c>
      <c r="AO299" t="s">
        <v>617</v>
      </c>
      <c r="AP299" t="s">
        <v>1720</v>
      </c>
      <c r="AT299" t="s">
        <v>88</v>
      </c>
      <c r="AU299">
        <v>2011</v>
      </c>
      <c r="AV299">
        <v>47</v>
      </c>
      <c r="AW299">
        <v>5</v>
      </c>
      <c r="BB299">
        <v>547</v>
      </c>
      <c r="BC299">
        <v>555</v>
      </c>
      <c r="BE299" t="s">
        <v>2309</v>
      </c>
      <c r="BF299" t="str">
        <f>HYPERLINK("http://dx.doi.org/10.1134/S1023193511050053","http://dx.doi.org/10.1134/S1023193511050053")</f>
        <v>http://dx.doi.org/10.1134/S1023193511050053</v>
      </c>
      <c r="BS299" t="s">
        <v>2310</v>
      </c>
      <c r="BT299" t="str">
        <f>HYPERLINK("https%3A%2F%2Fwww.webofscience.com%2Fwos%2Fwoscc%2Ffull-record%2FWOS:000292270900006","View Full Record in Web of Science")</f>
        <v>View Full Record in Web of Science</v>
      </c>
    </row>
    <row r="300" spans="1:72" ht="12.75" customHeight="1" x14ac:dyDescent="0.2">
      <c r="A300" t="s">
        <v>72</v>
      </c>
      <c r="B300" t="s">
        <v>2311</v>
      </c>
      <c r="F300" t="s">
        <v>2312</v>
      </c>
      <c r="I300" t="s">
        <v>2313</v>
      </c>
      <c r="J300" t="s">
        <v>1905</v>
      </c>
      <c r="AA300" t="s">
        <v>1718</v>
      </c>
      <c r="AB300" t="s">
        <v>1719</v>
      </c>
      <c r="AO300" t="s">
        <v>1906</v>
      </c>
      <c r="AP300" t="s">
        <v>1912</v>
      </c>
      <c r="AT300" t="s">
        <v>491</v>
      </c>
      <c r="AU300">
        <v>2009</v>
      </c>
      <c r="AV300">
        <v>35</v>
      </c>
      <c r="AW300">
        <v>3</v>
      </c>
      <c r="BB300">
        <v>332</v>
      </c>
      <c r="BC300">
        <v>345</v>
      </c>
      <c r="BE300" t="s">
        <v>2314</v>
      </c>
      <c r="BF300" t="str">
        <f>HYPERLINK("http://dx.doi.org/10.1134/S1087659609030158","http://dx.doi.org/10.1134/S1087659609030158")</f>
        <v>http://dx.doi.org/10.1134/S1087659609030158</v>
      </c>
      <c r="BS300" t="s">
        <v>2315</v>
      </c>
      <c r="BT300" t="str">
        <f>HYPERLINK("https%3A%2F%2Fwww.webofscience.com%2Fwos%2Fwoscc%2Ffull-record%2FWOS:000267486100015","View Full Record in Web of Science")</f>
        <v>View Full Record in Web of Science</v>
      </c>
    </row>
    <row r="301" spans="1:72" ht="12.75" customHeight="1" x14ac:dyDescent="0.2">
      <c r="A301" t="s">
        <v>72</v>
      </c>
      <c r="B301" t="s">
        <v>2218</v>
      </c>
      <c r="F301" t="s">
        <v>2219</v>
      </c>
      <c r="I301" t="s">
        <v>2316</v>
      </c>
      <c r="J301" t="s">
        <v>244</v>
      </c>
      <c r="AA301" t="s">
        <v>2317</v>
      </c>
      <c r="AO301" t="s">
        <v>245</v>
      </c>
      <c r="AU301">
        <v>2007</v>
      </c>
      <c r="AW301">
        <v>11</v>
      </c>
      <c r="BB301">
        <v>146</v>
      </c>
      <c r="BC301">
        <v>150</v>
      </c>
      <c r="BS301" t="s">
        <v>2318</v>
      </c>
      <c r="BT301" t="str">
        <f>HYPERLINK("https%3A%2F%2Fwww.webofscience.com%2Fwos%2Fwoscc%2Ffull-record%2FWOS:000252876100012","View Full Record in Web of Science")</f>
        <v>View Full Record in Web of Science</v>
      </c>
    </row>
    <row r="302" spans="1:72" ht="12.75" customHeight="1" x14ac:dyDescent="0.2">
      <c r="A302" t="s">
        <v>72</v>
      </c>
      <c r="B302" t="s">
        <v>2319</v>
      </c>
      <c r="F302" t="s">
        <v>2319</v>
      </c>
      <c r="I302" t="s">
        <v>2320</v>
      </c>
      <c r="J302" t="s">
        <v>2321</v>
      </c>
      <c r="AO302" t="s">
        <v>2322</v>
      </c>
      <c r="AU302">
        <v>1996</v>
      </c>
      <c r="AW302">
        <v>4</v>
      </c>
      <c r="BB302">
        <v>145</v>
      </c>
      <c r="BC302">
        <v>153</v>
      </c>
      <c r="BS302" t="s">
        <v>2323</v>
      </c>
      <c r="BT302" t="str">
        <f>HYPERLINK("https%3A%2F%2Fwww.webofscience.com%2Fwos%2Fwoscc%2Ffull-record%2FWOS:A1996WR53300012","View Full Record in Web of Science")</f>
        <v>View Full Record in Web of Science</v>
      </c>
    </row>
    <row r="303" spans="1:72" ht="12.75" customHeight="1" x14ac:dyDescent="0.2">
      <c r="A303" t="s">
        <v>72</v>
      </c>
      <c r="B303" t="s">
        <v>2324</v>
      </c>
      <c r="F303" t="s">
        <v>2325</v>
      </c>
      <c r="I303" t="s">
        <v>2326</v>
      </c>
      <c r="J303" t="s">
        <v>204</v>
      </c>
      <c r="AO303" t="s">
        <v>205</v>
      </c>
      <c r="AP303" t="s">
        <v>206</v>
      </c>
      <c r="AT303" t="s">
        <v>88</v>
      </c>
      <c r="AU303">
        <v>2023</v>
      </c>
      <c r="AV303">
        <v>25</v>
      </c>
      <c r="AW303">
        <v>5</v>
      </c>
      <c r="BB303">
        <v>49</v>
      </c>
      <c r="BC303">
        <v>76</v>
      </c>
      <c r="BE303" t="s">
        <v>2327</v>
      </c>
      <c r="BF303" t="str">
        <f>HYPERLINK("http://dx.doi.org/10.17853/1994-5639-2023-5-49-76","http://dx.doi.org/10.17853/1994-5639-2023-5-49-76")</f>
        <v>http://dx.doi.org/10.17853/1994-5639-2023-5-49-76</v>
      </c>
      <c r="BS303" t="s">
        <v>2328</v>
      </c>
      <c r="BT303" t="str">
        <f>HYPERLINK("https%3A%2F%2Fwww.webofscience.com%2Fwos%2Fwoscc%2Ffull-record%2FWOS:000996323100002","View Full Record in Web of Science")</f>
        <v>View Full Record in Web of Science</v>
      </c>
    </row>
    <row r="304" spans="1:72" ht="12.75" customHeight="1" x14ac:dyDescent="0.2">
      <c r="A304" t="s">
        <v>72</v>
      </c>
      <c r="B304" t="s">
        <v>503</v>
      </c>
      <c r="F304" t="s">
        <v>2231</v>
      </c>
      <c r="I304" t="s">
        <v>2329</v>
      </c>
      <c r="J304" t="s">
        <v>2233</v>
      </c>
      <c r="AA304" t="s">
        <v>507</v>
      </c>
      <c r="AB304" t="s">
        <v>508</v>
      </c>
      <c r="AO304" t="s">
        <v>2234</v>
      </c>
      <c r="AP304" t="s">
        <v>2235</v>
      </c>
      <c r="AU304">
        <v>2023</v>
      </c>
      <c r="AV304">
        <v>17</v>
      </c>
      <c r="AW304">
        <v>1</v>
      </c>
      <c r="BB304">
        <v>22</v>
      </c>
      <c r="BC304">
        <v>34</v>
      </c>
      <c r="BE304" t="s">
        <v>2330</v>
      </c>
      <c r="BF304" t="str">
        <f>HYPERLINK("http://dx.doi.org/10.17150/2500-1442.2023.17(1).22-34","http://dx.doi.org/10.17150/2500-1442.2023.17(1).22-34")</f>
        <v>http://dx.doi.org/10.17150/2500-1442.2023.17(1).22-34</v>
      </c>
      <c r="BS304" t="s">
        <v>2331</v>
      </c>
      <c r="BT304" t="str">
        <f>HYPERLINK("https%3A%2F%2Fwww.webofscience.com%2Fwos%2Fwoscc%2Ffull-record%2FWOS:000953399900003","View Full Record in Web of Science")</f>
        <v>View Full Record in Web of Science</v>
      </c>
    </row>
    <row r="305" spans="1:72" ht="12.75" customHeight="1" x14ac:dyDescent="0.2">
      <c r="A305" t="s">
        <v>147</v>
      </c>
      <c r="B305" t="s">
        <v>2332</v>
      </c>
      <c r="D305" t="s">
        <v>2333</v>
      </c>
      <c r="F305" t="s">
        <v>2334</v>
      </c>
      <c r="I305" t="s">
        <v>2335</v>
      </c>
      <c r="J305" t="s">
        <v>2336</v>
      </c>
      <c r="K305" t="s">
        <v>253</v>
      </c>
      <c r="O305" t="s">
        <v>2337</v>
      </c>
      <c r="P305" t="s">
        <v>2338</v>
      </c>
      <c r="Q305" t="s">
        <v>2339</v>
      </c>
      <c r="R305" t="s">
        <v>2340</v>
      </c>
      <c r="S305" t="s">
        <v>2341</v>
      </c>
      <c r="AP305" t="s">
        <v>259</v>
      </c>
      <c r="AQ305" t="s">
        <v>2342</v>
      </c>
      <c r="AU305">
        <v>2021</v>
      </c>
      <c r="AV305">
        <v>105</v>
      </c>
      <c r="BB305">
        <v>860</v>
      </c>
      <c r="BC305">
        <v>868</v>
      </c>
      <c r="BE305" t="s">
        <v>2343</v>
      </c>
      <c r="BF305" t="str">
        <f>HYPERLINK("http://dx.doi.org/10.15405/epsbs.2021.04.91","http://dx.doi.org/10.15405/epsbs.2021.04.91")</f>
        <v>http://dx.doi.org/10.15405/epsbs.2021.04.91</v>
      </c>
      <c r="BS305" t="s">
        <v>2344</v>
      </c>
      <c r="BT305" t="str">
        <f>HYPERLINK("https%3A%2F%2Fwww.webofscience.com%2Fwos%2Fwoscc%2Ffull-record%2FWOS:000773381800091","View Full Record in Web of Science")</f>
        <v>View Full Record in Web of Science</v>
      </c>
    </row>
    <row r="306" spans="1:72" ht="12.75" customHeight="1" x14ac:dyDescent="0.2">
      <c r="A306" t="s">
        <v>72</v>
      </c>
      <c r="B306" t="s">
        <v>2345</v>
      </c>
      <c r="F306" t="s">
        <v>2346</v>
      </c>
      <c r="I306" t="s">
        <v>2347</v>
      </c>
      <c r="J306" t="s">
        <v>676</v>
      </c>
      <c r="AA306" t="s">
        <v>2348</v>
      </c>
      <c r="AB306" t="s">
        <v>2349</v>
      </c>
      <c r="AO306" t="s">
        <v>679</v>
      </c>
      <c r="AU306">
        <v>2021</v>
      </c>
      <c r="AV306">
        <v>12</v>
      </c>
      <c r="AW306">
        <v>6</v>
      </c>
      <c r="BE306" t="s">
        <v>2350</v>
      </c>
      <c r="BF306" t="str">
        <f>HYPERLINK("http://dx.doi.org/10.18254/S207987840016048-1","http://dx.doi.org/10.18254/S207987840016048-1")</f>
        <v>http://dx.doi.org/10.18254/S207987840016048-1</v>
      </c>
      <c r="BS306" t="s">
        <v>2351</v>
      </c>
      <c r="BT306" t="str">
        <f>HYPERLINK("https%3A%2F%2Fwww.webofscience.com%2Fwos%2Fwoscc%2Ffull-record%2FWOS:000685513200017","View Full Record in Web of Science")</f>
        <v>View Full Record in Web of Science</v>
      </c>
    </row>
    <row r="307" spans="1:72" ht="12.75" customHeight="1" x14ac:dyDescent="0.2">
      <c r="A307" t="s">
        <v>72</v>
      </c>
      <c r="B307" t="s">
        <v>698</v>
      </c>
      <c r="F307" t="s">
        <v>699</v>
      </c>
      <c r="I307" t="s">
        <v>2352</v>
      </c>
      <c r="J307" t="s">
        <v>2353</v>
      </c>
      <c r="AA307" t="s">
        <v>553</v>
      </c>
      <c r="AB307" t="s">
        <v>554</v>
      </c>
      <c r="AO307" t="s">
        <v>2354</v>
      </c>
      <c r="AU307">
        <v>2020</v>
      </c>
      <c r="AV307">
        <v>8</v>
      </c>
      <c r="AW307">
        <v>1</v>
      </c>
      <c r="BB307">
        <v>46</v>
      </c>
      <c r="BC307">
        <v>50</v>
      </c>
      <c r="BE307" t="s">
        <v>2355</v>
      </c>
      <c r="BF307" t="str">
        <f>HYPERLINK("http://dx.doi.org/10.16926/par.2020.08.06","http://dx.doi.org/10.16926/par.2020.08.06")</f>
        <v>http://dx.doi.org/10.16926/par.2020.08.06</v>
      </c>
      <c r="BS307" t="s">
        <v>2356</v>
      </c>
      <c r="BT307" t="str">
        <f>HYPERLINK("https%3A%2F%2Fwww.webofscience.com%2Fwos%2Fwoscc%2Ffull-record%2FWOS:000519128200006","View Full Record in Web of Science")</f>
        <v>View Full Record in Web of Science</v>
      </c>
    </row>
    <row r="308" spans="1:72" ht="12.75" customHeight="1" x14ac:dyDescent="0.2">
      <c r="A308" t="s">
        <v>72</v>
      </c>
      <c r="B308" t="s">
        <v>2357</v>
      </c>
      <c r="F308" t="s">
        <v>2358</v>
      </c>
      <c r="I308" t="s">
        <v>2359</v>
      </c>
      <c r="J308" t="s">
        <v>2360</v>
      </c>
      <c r="AA308" t="s">
        <v>2361</v>
      </c>
      <c r="AB308" t="s">
        <v>2362</v>
      </c>
      <c r="AO308" t="s">
        <v>2363</v>
      </c>
      <c r="AP308" t="s">
        <v>2364</v>
      </c>
      <c r="AU308">
        <v>2020</v>
      </c>
      <c r="AW308">
        <v>3</v>
      </c>
      <c r="BB308">
        <v>549</v>
      </c>
      <c r="BC308">
        <v>559</v>
      </c>
      <c r="BE308" t="s">
        <v>2365</v>
      </c>
      <c r="BF308" t="str">
        <f>HYPERLINK("http://dx.doi.org/10.13187/me.2020.3.549","http://dx.doi.org/10.13187/me.2020.3.549")</f>
        <v>http://dx.doi.org/10.13187/me.2020.3.549</v>
      </c>
      <c r="BS308" t="s">
        <v>2366</v>
      </c>
      <c r="BT308" t="str">
        <f>HYPERLINK("https%3A%2F%2Fwww.webofscience.com%2Fwos%2Fwoscc%2Ffull-record%2FWOS:000574588500017","View Full Record in Web of Science")</f>
        <v>View Full Record in Web of Science</v>
      </c>
    </row>
    <row r="309" spans="1:72" ht="12.75" customHeight="1" x14ac:dyDescent="0.2">
      <c r="A309" t="s">
        <v>72</v>
      </c>
      <c r="B309" t="s">
        <v>378</v>
      </c>
      <c r="F309" t="s">
        <v>1226</v>
      </c>
      <c r="I309" t="s">
        <v>2367</v>
      </c>
      <c r="J309" t="s">
        <v>1652</v>
      </c>
      <c r="AA309" t="s">
        <v>553</v>
      </c>
      <c r="AB309" t="s">
        <v>554</v>
      </c>
      <c r="AO309" t="s">
        <v>1653</v>
      </c>
      <c r="AT309" t="s">
        <v>2368</v>
      </c>
      <c r="AU309">
        <v>2019</v>
      </c>
      <c r="AV309">
        <v>13</v>
      </c>
      <c r="AW309">
        <v>2</v>
      </c>
      <c r="BB309">
        <v>525</v>
      </c>
      <c r="BC309">
        <v>527</v>
      </c>
      <c r="BS309" t="s">
        <v>2369</v>
      </c>
      <c r="BT309" t="str">
        <f>HYPERLINK("https%3A%2F%2Fwww.webofscience.com%2Fwos%2Fwoscc%2Ffull-record%2FWOS:000483412400101","View Full Record in Web of Science")</f>
        <v>View Full Record in Web of Science</v>
      </c>
    </row>
    <row r="310" spans="1:72" ht="12.75" customHeight="1" x14ac:dyDescent="0.2">
      <c r="A310" t="s">
        <v>72</v>
      </c>
      <c r="B310" t="s">
        <v>698</v>
      </c>
      <c r="F310" t="s">
        <v>2370</v>
      </c>
      <c r="I310" t="s">
        <v>2371</v>
      </c>
      <c r="J310" t="s">
        <v>2372</v>
      </c>
      <c r="AA310" t="s">
        <v>553</v>
      </c>
      <c r="AB310" t="s">
        <v>554</v>
      </c>
      <c r="AP310" t="s">
        <v>2373</v>
      </c>
      <c r="AT310" t="s">
        <v>655</v>
      </c>
      <c r="AU310">
        <v>2019</v>
      </c>
      <c r="AV310">
        <v>65</v>
      </c>
      <c r="AW310">
        <v>2</v>
      </c>
      <c r="BB310">
        <v>211</v>
      </c>
      <c r="BC310">
        <v>215</v>
      </c>
      <c r="BE310" t="s">
        <v>2374</v>
      </c>
      <c r="BF310" t="str">
        <f>HYPERLINK("http://dx.doi.org/10.1590/1806-9282.65.2.211","http://dx.doi.org/10.1590/1806-9282.65.2.211")</f>
        <v>http://dx.doi.org/10.1590/1806-9282.65.2.211</v>
      </c>
      <c r="BN310">
        <v>30892446</v>
      </c>
      <c r="BS310" t="s">
        <v>2375</v>
      </c>
      <c r="BT310" t="str">
        <f>HYPERLINK("https%3A%2F%2Fwww.webofscience.com%2Fwos%2Fwoscc%2Ffull-record%2FWOS:000461474100020","View Full Record in Web of Science")</f>
        <v>View Full Record in Web of Science</v>
      </c>
    </row>
    <row r="311" spans="1:72" ht="12.75" customHeight="1" x14ac:dyDescent="0.2">
      <c r="A311" t="s">
        <v>72</v>
      </c>
      <c r="B311" t="s">
        <v>2376</v>
      </c>
      <c r="F311" t="s">
        <v>2377</v>
      </c>
      <c r="I311" t="s">
        <v>2378</v>
      </c>
      <c r="J311" t="s">
        <v>244</v>
      </c>
      <c r="AA311" t="s">
        <v>2379</v>
      </c>
      <c r="AO311" t="s">
        <v>245</v>
      </c>
      <c r="AP311" t="s">
        <v>246</v>
      </c>
      <c r="AU311">
        <v>2019</v>
      </c>
      <c r="AW311">
        <v>4</v>
      </c>
      <c r="BB311">
        <v>172</v>
      </c>
      <c r="BC311">
        <v>175</v>
      </c>
      <c r="BS311" t="s">
        <v>2380</v>
      </c>
      <c r="BT311" t="str">
        <f>HYPERLINK("https%3A%2F%2Fwww.webofscience.com%2Fwos%2Fwoscc%2Ffull-record%2FWOS:000467893700017","View Full Record in Web of Science")</f>
        <v>View Full Record in Web of Science</v>
      </c>
    </row>
    <row r="312" spans="1:72" ht="12.75" customHeight="1" x14ac:dyDescent="0.2">
      <c r="A312" t="s">
        <v>72</v>
      </c>
      <c r="B312" t="s">
        <v>102</v>
      </c>
      <c r="F312" t="s">
        <v>242</v>
      </c>
      <c r="I312" t="s">
        <v>2381</v>
      </c>
      <c r="J312" t="s">
        <v>244</v>
      </c>
      <c r="AO312" t="s">
        <v>245</v>
      </c>
      <c r="AP312" t="s">
        <v>246</v>
      </c>
      <c r="AU312">
        <v>2019</v>
      </c>
      <c r="AW312">
        <v>5</v>
      </c>
      <c r="BB312">
        <v>93</v>
      </c>
      <c r="BC312">
        <v>105</v>
      </c>
      <c r="BS312" t="s">
        <v>2382</v>
      </c>
      <c r="BT312" t="str">
        <f>HYPERLINK("https%3A%2F%2Fwww.webofscience.com%2Fwos%2Fwoscc%2Ffull-record%2FWOS:000473107100007","View Full Record in Web of Science")</f>
        <v>View Full Record in Web of Science</v>
      </c>
    </row>
    <row r="313" spans="1:72" ht="12.75" customHeight="1" x14ac:dyDescent="0.2">
      <c r="A313" t="s">
        <v>147</v>
      </c>
      <c r="B313" t="s">
        <v>2383</v>
      </c>
      <c r="D313" t="s">
        <v>386</v>
      </c>
      <c r="F313" t="s">
        <v>2384</v>
      </c>
      <c r="I313" t="s">
        <v>2385</v>
      </c>
      <c r="J313" t="s">
        <v>389</v>
      </c>
      <c r="K313" t="s">
        <v>390</v>
      </c>
      <c r="O313" t="s">
        <v>391</v>
      </c>
      <c r="P313" t="s">
        <v>392</v>
      </c>
      <c r="Q313" t="s">
        <v>393</v>
      </c>
      <c r="R313" t="s">
        <v>394</v>
      </c>
      <c r="AA313" t="s">
        <v>2386</v>
      </c>
      <c r="AB313" t="s">
        <v>2387</v>
      </c>
      <c r="AO313" t="s">
        <v>395</v>
      </c>
      <c r="AQ313" t="s">
        <v>396</v>
      </c>
      <c r="AU313">
        <v>2019</v>
      </c>
      <c r="BB313">
        <v>599</v>
      </c>
      <c r="BC313">
        <v>602</v>
      </c>
      <c r="BS313" t="s">
        <v>2388</v>
      </c>
      <c r="BT313" t="str">
        <f>HYPERLINK("https%3A%2F%2Fwww.webofscience.com%2Fwos%2Fwoscc%2Ffull-record%2FWOS:000492146100144","View Full Record in Web of Science")</f>
        <v>View Full Record in Web of Science</v>
      </c>
    </row>
    <row r="314" spans="1:72" ht="12.75" customHeight="1" x14ac:dyDescent="0.2">
      <c r="A314" t="s">
        <v>72</v>
      </c>
      <c r="B314" t="s">
        <v>2389</v>
      </c>
      <c r="F314" t="s">
        <v>2390</v>
      </c>
      <c r="I314" t="s">
        <v>2391</v>
      </c>
      <c r="J314" t="s">
        <v>650</v>
      </c>
      <c r="AA314" t="s">
        <v>2392</v>
      </c>
      <c r="AB314" t="s">
        <v>2393</v>
      </c>
      <c r="AO314" t="s">
        <v>653</v>
      </c>
      <c r="AP314" t="s">
        <v>654</v>
      </c>
      <c r="AT314" t="s">
        <v>655</v>
      </c>
      <c r="AU314">
        <v>2018</v>
      </c>
      <c r="AW314">
        <v>2</v>
      </c>
      <c r="BB314">
        <v>174</v>
      </c>
      <c r="BC314">
        <v>177</v>
      </c>
      <c r="BE314" t="s">
        <v>2394</v>
      </c>
      <c r="BF314" t="str">
        <f>HYPERLINK("http://dx.doi.org/10.1134/S0036029518020076","http://dx.doi.org/10.1134/S0036029518020076")</f>
        <v>http://dx.doi.org/10.1134/S0036029518020076</v>
      </c>
      <c r="BS314" t="s">
        <v>2395</v>
      </c>
      <c r="BT314" t="str">
        <f>HYPERLINK("https%3A%2F%2Fwww.webofscience.com%2Fwos%2Fwoscc%2Ffull-record%2FWOS:000435618500013","View Full Record in Web of Science")</f>
        <v>View Full Record in Web of Science</v>
      </c>
    </row>
    <row r="315" spans="1:72" ht="12.75" customHeight="1" x14ac:dyDescent="0.2">
      <c r="A315" t="s">
        <v>72</v>
      </c>
      <c r="B315" t="s">
        <v>2396</v>
      </c>
      <c r="F315" t="s">
        <v>2397</v>
      </c>
      <c r="I315" t="s">
        <v>2398</v>
      </c>
      <c r="J315" t="s">
        <v>614</v>
      </c>
      <c r="AB315" t="s">
        <v>2399</v>
      </c>
      <c r="AO315" t="s">
        <v>617</v>
      </c>
      <c r="AP315" t="s">
        <v>1720</v>
      </c>
      <c r="AT315" t="s">
        <v>125</v>
      </c>
      <c r="AU315">
        <v>2017</v>
      </c>
      <c r="AV315">
        <v>53</v>
      </c>
      <c r="AW315">
        <v>7</v>
      </c>
      <c r="BB315">
        <v>790</v>
      </c>
      <c r="BC315">
        <v>798</v>
      </c>
      <c r="BE315" t="s">
        <v>2400</v>
      </c>
      <c r="BF315" t="str">
        <f>HYPERLINK("http://dx.doi.org/10.1134/S1023193517070059","http://dx.doi.org/10.1134/S1023193517070059")</f>
        <v>http://dx.doi.org/10.1134/S1023193517070059</v>
      </c>
      <c r="BS315" t="s">
        <v>2401</v>
      </c>
      <c r="BT315" t="str">
        <f>HYPERLINK("https%3A%2F%2Fwww.webofscience.com%2Fwos%2Fwoscc%2Ffull-record%2FWOS:000407274400015","View Full Record in Web of Science")</f>
        <v>View Full Record in Web of Science</v>
      </c>
    </row>
    <row r="316" spans="1:72" ht="12.75" customHeight="1" x14ac:dyDescent="0.2">
      <c r="A316" t="s">
        <v>147</v>
      </c>
      <c r="B316" t="s">
        <v>2402</v>
      </c>
      <c r="E316" t="s">
        <v>175</v>
      </c>
      <c r="F316" t="s">
        <v>2403</v>
      </c>
      <c r="I316" t="s">
        <v>2404</v>
      </c>
      <c r="J316" t="s">
        <v>2405</v>
      </c>
      <c r="K316" t="s">
        <v>1469</v>
      </c>
      <c r="O316" t="s">
        <v>1619</v>
      </c>
      <c r="P316" t="s">
        <v>2406</v>
      </c>
      <c r="Q316" t="s">
        <v>1542</v>
      </c>
      <c r="R316" t="s">
        <v>2407</v>
      </c>
      <c r="AA316" t="s">
        <v>2408</v>
      </c>
      <c r="AB316" t="s">
        <v>2409</v>
      </c>
      <c r="AO316" t="s">
        <v>1472</v>
      </c>
      <c r="AU316">
        <v>2017</v>
      </c>
      <c r="AV316">
        <v>262</v>
      </c>
      <c r="BD316">
        <v>12010</v>
      </c>
      <c r="BE316" t="s">
        <v>2410</v>
      </c>
      <c r="BF316" t="str">
        <f>HYPERLINK("http://dx.doi.org/10.1088/1757-899X/262/1/012010","http://dx.doi.org/10.1088/1757-899X/262/1/012010")</f>
        <v>http://dx.doi.org/10.1088/1757-899X/262/1/012010</v>
      </c>
      <c r="BS316" t="s">
        <v>2411</v>
      </c>
      <c r="BT316" t="str">
        <f>HYPERLINK("https%3A%2F%2Fwww.webofscience.com%2Fwos%2Fwoscc%2Ffull-record%2FWOS:000423728200010","View Full Record in Web of Science")</f>
        <v>View Full Record in Web of Science</v>
      </c>
    </row>
    <row r="317" spans="1:72" ht="12.75" customHeight="1" x14ac:dyDescent="0.2">
      <c r="A317" t="s">
        <v>72</v>
      </c>
      <c r="B317" t="s">
        <v>1597</v>
      </c>
      <c r="F317" t="s">
        <v>2412</v>
      </c>
      <c r="I317" t="s">
        <v>2413</v>
      </c>
      <c r="J317" t="s">
        <v>244</v>
      </c>
      <c r="AO317" t="s">
        <v>245</v>
      </c>
      <c r="AP317" t="s">
        <v>246</v>
      </c>
      <c r="AU317">
        <v>2016</v>
      </c>
      <c r="AW317">
        <v>4</v>
      </c>
      <c r="BB317">
        <v>143</v>
      </c>
      <c r="BC317">
        <v>159</v>
      </c>
      <c r="BS317" t="s">
        <v>2414</v>
      </c>
      <c r="BT317" t="str">
        <f>HYPERLINK("https%3A%2F%2Fwww.webofscience.com%2Fwos%2Fwoscc%2Ffull-record%2FWOS:000375522500012","View Full Record in Web of Science")</f>
        <v>View Full Record in Web of Science</v>
      </c>
    </row>
    <row r="318" spans="1:72" ht="12.75" customHeight="1" x14ac:dyDescent="0.2">
      <c r="A318" t="s">
        <v>72</v>
      </c>
      <c r="B318" t="s">
        <v>1294</v>
      </c>
      <c r="F318" t="s">
        <v>1296</v>
      </c>
      <c r="I318" t="s">
        <v>2415</v>
      </c>
      <c r="J318" t="s">
        <v>2416</v>
      </c>
      <c r="AO318" t="s">
        <v>2417</v>
      </c>
      <c r="AP318" t="s">
        <v>2418</v>
      </c>
      <c r="AU318">
        <v>2014</v>
      </c>
      <c r="AV318">
        <v>9</v>
      </c>
      <c r="AW318">
        <v>3</v>
      </c>
      <c r="BB318">
        <v>221</v>
      </c>
      <c r="BC318">
        <v>234</v>
      </c>
      <c r="BE318" t="s">
        <v>2419</v>
      </c>
      <c r="BF318" t="str">
        <f>HYPERLINK("http://dx.doi.org/10.1504/IJDMB.2014.060049","http://dx.doi.org/10.1504/IJDMB.2014.060049")</f>
        <v>http://dx.doi.org/10.1504/IJDMB.2014.060049</v>
      </c>
      <c r="BN318">
        <v>25163166</v>
      </c>
      <c r="BS318" t="s">
        <v>2420</v>
      </c>
      <c r="BT318" t="str">
        <f>HYPERLINK("https%3A%2F%2Fwww.webofscience.com%2Fwos%2Fwoscc%2Ffull-record%2FWOS:000333745900001","View Full Record in Web of Science")</f>
        <v>View Full Record in Web of Science</v>
      </c>
    </row>
    <row r="319" spans="1:72" ht="12.75" customHeight="1" x14ac:dyDescent="0.2">
      <c r="A319" t="s">
        <v>72</v>
      </c>
      <c r="B319" t="s">
        <v>2421</v>
      </c>
      <c r="F319" t="s">
        <v>2422</v>
      </c>
      <c r="I319" t="s">
        <v>2423</v>
      </c>
      <c r="J319" t="s">
        <v>614</v>
      </c>
      <c r="AA319" t="s">
        <v>1718</v>
      </c>
      <c r="AB319" t="s">
        <v>1719</v>
      </c>
      <c r="AO319" t="s">
        <v>617</v>
      </c>
      <c r="AT319" t="s">
        <v>1173</v>
      </c>
      <c r="AU319">
        <v>2013</v>
      </c>
      <c r="AV319">
        <v>49</v>
      </c>
      <c r="AW319">
        <v>8</v>
      </c>
      <c r="BB319">
        <v>763</v>
      </c>
      <c r="BC319">
        <v>768</v>
      </c>
      <c r="BE319" t="s">
        <v>2424</v>
      </c>
      <c r="BF319" t="str">
        <f>HYPERLINK("http://dx.doi.org/10.1134/S102319351308003X","http://dx.doi.org/10.1134/S102319351308003X")</f>
        <v>http://dx.doi.org/10.1134/S102319351308003X</v>
      </c>
      <c r="BS319" t="s">
        <v>2425</v>
      </c>
      <c r="BT319" t="str">
        <f>HYPERLINK("https%3A%2F%2Fwww.webofscience.com%2Fwos%2Fwoscc%2Ffull-record%2FWOS:000323258500006","View Full Record in Web of Science")</f>
        <v>View Full Record in Web of Science</v>
      </c>
    </row>
    <row r="320" spans="1:72" ht="12.75" customHeight="1" x14ac:dyDescent="0.2">
      <c r="A320" t="s">
        <v>72</v>
      </c>
      <c r="B320" t="s">
        <v>2426</v>
      </c>
      <c r="F320" t="s">
        <v>2427</v>
      </c>
      <c r="I320" t="s">
        <v>2428</v>
      </c>
      <c r="J320" t="s">
        <v>409</v>
      </c>
      <c r="AA320" t="s">
        <v>2429</v>
      </c>
      <c r="AB320" t="s">
        <v>2430</v>
      </c>
      <c r="AO320" t="s">
        <v>412</v>
      </c>
      <c r="AT320" t="s">
        <v>830</v>
      </c>
      <c r="AU320">
        <v>2011</v>
      </c>
      <c r="AV320">
        <v>84</v>
      </c>
      <c r="AW320">
        <v>9</v>
      </c>
      <c r="BB320">
        <v>1616</v>
      </c>
      <c r="BC320">
        <v>1622</v>
      </c>
      <c r="BE320" t="s">
        <v>2431</v>
      </c>
      <c r="BF320" t="str">
        <f>HYPERLINK("http://dx.doi.org/10.1134/S1070427211090278","http://dx.doi.org/10.1134/S1070427211090278")</f>
        <v>http://dx.doi.org/10.1134/S1070427211090278</v>
      </c>
      <c r="BS320" t="s">
        <v>2432</v>
      </c>
      <c r="BT320" t="str">
        <f>HYPERLINK("https%3A%2F%2Fwww.webofscience.com%2Fwos%2Fwoscc%2Ffull-record%2FWOS:000297357300027","View Full Record in Web of Science")</f>
        <v>View Full Record in Web of Science</v>
      </c>
    </row>
    <row r="321" spans="1:72" ht="12.75" customHeight="1" x14ac:dyDescent="0.2">
      <c r="A321" t="s">
        <v>72</v>
      </c>
      <c r="B321" t="s">
        <v>2433</v>
      </c>
      <c r="F321" t="s">
        <v>2433</v>
      </c>
      <c r="I321" t="s">
        <v>2434</v>
      </c>
      <c r="J321" t="s">
        <v>409</v>
      </c>
      <c r="AA321" t="s">
        <v>480</v>
      </c>
      <c r="AB321" t="s">
        <v>481</v>
      </c>
      <c r="AO321" t="s">
        <v>412</v>
      </c>
      <c r="AT321" t="s">
        <v>541</v>
      </c>
      <c r="AU321">
        <v>2002</v>
      </c>
      <c r="AV321">
        <v>75</v>
      </c>
      <c r="AW321">
        <v>1</v>
      </c>
      <c r="BB321">
        <v>63</v>
      </c>
      <c r="BC321">
        <v>67</v>
      </c>
      <c r="BE321" t="s">
        <v>2435</v>
      </c>
      <c r="BF321" t="str">
        <f>HYPERLINK("http://dx.doi.org/10.1023/A:1015564806467","http://dx.doi.org/10.1023/A:1015564806467")</f>
        <v>http://dx.doi.org/10.1023/A:1015564806467</v>
      </c>
      <c r="BS321" t="s">
        <v>2436</v>
      </c>
      <c r="BT321" t="str">
        <f>HYPERLINK("https%3A%2F%2Fwww.webofscience.com%2Fwos%2Fwoscc%2Ffull-record%2FWOS:000175980800015","View Full Record in Web of Science")</f>
        <v>View Full Record in Web of Science</v>
      </c>
    </row>
    <row r="322" spans="1:72" ht="12.75" customHeight="1" x14ac:dyDescent="0.2">
      <c r="A322" t="s">
        <v>72</v>
      </c>
      <c r="B322" t="s">
        <v>2437</v>
      </c>
      <c r="F322" t="s">
        <v>2437</v>
      </c>
      <c r="I322" t="s">
        <v>2438</v>
      </c>
      <c r="J322" t="s">
        <v>940</v>
      </c>
      <c r="AO322" t="s">
        <v>943</v>
      </c>
      <c r="AT322" t="s">
        <v>1012</v>
      </c>
      <c r="AU322">
        <v>1996</v>
      </c>
      <c r="AV322">
        <v>38</v>
      </c>
      <c r="AW322" t="s">
        <v>1594</v>
      </c>
      <c r="BB322">
        <v>395</v>
      </c>
      <c r="BC322">
        <v>398</v>
      </c>
      <c r="BE322" t="s">
        <v>2439</v>
      </c>
      <c r="BF322" t="str">
        <f>HYPERLINK("http://dx.doi.org/10.1007/BF01395646","http://dx.doi.org/10.1007/BF01395646")</f>
        <v>http://dx.doi.org/10.1007/BF01395646</v>
      </c>
      <c r="BS322" t="s">
        <v>2440</v>
      </c>
      <c r="BT322" t="str">
        <f>HYPERLINK("https%3A%2F%2Fwww.webofscience.com%2Fwos%2Fwoscc%2Ffull-record%2FWOS:A1996XD81500008","View Full Record in Web of Science")</f>
        <v>View Full Record in Web of Science</v>
      </c>
    </row>
    <row r="323" spans="1:72" ht="12.75" customHeight="1" x14ac:dyDescent="0.2">
      <c r="A323" t="s">
        <v>72</v>
      </c>
      <c r="B323" t="s">
        <v>2441</v>
      </c>
      <c r="F323" t="s">
        <v>2442</v>
      </c>
      <c r="I323" t="s">
        <v>2443</v>
      </c>
      <c r="J323" t="s">
        <v>105</v>
      </c>
      <c r="AO323" t="s">
        <v>106</v>
      </c>
      <c r="AU323">
        <v>2022</v>
      </c>
      <c r="AW323">
        <v>4</v>
      </c>
      <c r="BB323">
        <v>1271</v>
      </c>
      <c r="BC323" t="s">
        <v>107</v>
      </c>
      <c r="BE323" t="s">
        <v>2444</v>
      </c>
      <c r="BF323" t="str">
        <f>HYPERLINK("http://dx.doi.org/10.28995/2073-0101-2022-4-1271-1279","http://dx.doi.org/10.28995/2073-0101-2022-4-1271-1279")</f>
        <v>http://dx.doi.org/10.28995/2073-0101-2022-4-1271-1279</v>
      </c>
      <c r="BS323" t="s">
        <v>2445</v>
      </c>
      <c r="BT323" t="str">
        <f>HYPERLINK("https%3A%2F%2Fwww.webofscience.com%2Fwos%2Fwoscc%2Ffull-record%2FWOS:000906584000023","View Full Record in Web of Science")</f>
        <v>View Full Record in Web of Science</v>
      </c>
    </row>
    <row r="324" spans="1:72" ht="12.75" customHeight="1" x14ac:dyDescent="0.2">
      <c r="A324" t="s">
        <v>72</v>
      </c>
      <c r="B324" t="s">
        <v>2446</v>
      </c>
      <c r="F324" t="s">
        <v>2447</v>
      </c>
      <c r="I324" t="s">
        <v>2448</v>
      </c>
      <c r="J324" t="s">
        <v>940</v>
      </c>
      <c r="AA324" t="s">
        <v>2449</v>
      </c>
      <c r="AB324" t="s">
        <v>2450</v>
      </c>
      <c r="AO324" t="s">
        <v>943</v>
      </c>
      <c r="AP324" t="s">
        <v>944</v>
      </c>
      <c r="AT324" t="s">
        <v>88</v>
      </c>
      <c r="AU324">
        <v>2021</v>
      </c>
      <c r="AV324">
        <v>63</v>
      </c>
      <c r="AW324" t="s">
        <v>2451</v>
      </c>
      <c r="BB324">
        <v>53</v>
      </c>
      <c r="BC324">
        <v>59</v>
      </c>
      <c r="BE324" t="s">
        <v>2452</v>
      </c>
      <c r="BF324" t="str">
        <f>HYPERLINK("http://dx.doi.org/10.1007/s11041-021-00646-0","http://dx.doi.org/10.1007/s11041-021-00646-0")</f>
        <v>http://dx.doi.org/10.1007/s11041-021-00646-0</v>
      </c>
      <c r="BH324" t="s">
        <v>2453</v>
      </c>
      <c r="BS324" t="s">
        <v>2454</v>
      </c>
      <c r="BT324" t="str">
        <f>HYPERLINK("https%3A%2F%2Fwww.webofscience.com%2Fwos%2Fwoscc%2Ffull-record%2FWOS:000659035900005","View Full Record in Web of Science")</f>
        <v>View Full Record in Web of Science</v>
      </c>
    </row>
    <row r="325" spans="1:72" ht="12.75" customHeight="1" x14ac:dyDescent="0.2">
      <c r="A325" t="s">
        <v>72</v>
      </c>
      <c r="B325" t="s">
        <v>2455</v>
      </c>
      <c r="F325" t="s">
        <v>2456</v>
      </c>
      <c r="I325" t="s">
        <v>2457</v>
      </c>
      <c r="J325" t="s">
        <v>325</v>
      </c>
      <c r="AA325" t="s">
        <v>2458</v>
      </c>
      <c r="AO325" t="s">
        <v>328</v>
      </c>
      <c r="AP325" t="s">
        <v>329</v>
      </c>
      <c r="AU325">
        <v>2020</v>
      </c>
      <c r="AV325">
        <v>14</v>
      </c>
      <c r="AW325">
        <v>2</v>
      </c>
      <c r="BB325">
        <v>369</v>
      </c>
      <c r="BC325">
        <v>386</v>
      </c>
      <c r="BE325" t="s">
        <v>2459</v>
      </c>
      <c r="BF325" t="str">
        <f>HYPERLINK("http://dx.doi.org/10.24874/IJQR14.02-03","http://dx.doi.org/10.24874/IJQR14.02-03")</f>
        <v>http://dx.doi.org/10.24874/IJQR14.02-03</v>
      </c>
      <c r="BS325" t="s">
        <v>2460</v>
      </c>
      <c r="BT325" t="str">
        <f>HYPERLINK("https%3A%2F%2Fwww.webofscience.com%2Fwos%2Fwoscc%2Ffull-record%2FWOS:000531047700003","View Full Record in Web of Science")</f>
        <v>View Full Record in Web of Science</v>
      </c>
    </row>
    <row r="326" spans="1:72" ht="12.75" customHeight="1" x14ac:dyDescent="0.2">
      <c r="A326" t="s">
        <v>147</v>
      </c>
      <c r="B326" t="s">
        <v>2461</v>
      </c>
      <c r="E326" t="s">
        <v>1465</v>
      </c>
      <c r="F326" t="s">
        <v>2462</v>
      </c>
      <c r="I326" t="s">
        <v>2463</v>
      </c>
      <c r="J326" t="s">
        <v>1468</v>
      </c>
      <c r="K326" t="s">
        <v>1469</v>
      </c>
      <c r="O326" t="s">
        <v>1277</v>
      </c>
      <c r="P326" t="s">
        <v>771</v>
      </c>
      <c r="Q326" t="s">
        <v>1470</v>
      </c>
      <c r="R326" t="s">
        <v>1471</v>
      </c>
      <c r="AO326" t="s">
        <v>1472</v>
      </c>
      <c r="AU326">
        <v>2020</v>
      </c>
      <c r="AV326">
        <v>971</v>
      </c>
      <c r="BD326">
        <v>32028</v>
      </c>
      <c r="BE326" t="s">
        <v>2464</v>
      </c>
      <c r="BF326" t="str">
        <f>HYPERLINK("http://dx.doi.org/10.1088/1757-899X/971/3/032028","http://dx.doi.org/10.1088/1757-899X/971/3/032028")</f>
        <v>http://dx.doi.org/10.1088/1757-899X/971/3/032028</v>
      </c>
      <c r="BS326" t="s">
        <v>2465</v>
      </c>
      <c r="BT326" t="str">
        <f>HYPERLINK("https%3A%2F%2Fwww.webofscience.com%2Fwos%2Fwoscc%2Ffull-record%2FWOS:000646359100129","View Full Record in Web of Science")</f>
        <v>View Full Record in Web of Science</v>
      </c>
    </row>
    <row r="327" spans="1:72" ht="12.75" customHeight="1" x14ac:dyDescent="0.2">
      <c r="A327" t="s">
        <v>72</v>
      </c>
      <c r="B327" t="s">
        <v>296</v>
      </c>
      <c r="F327" t="s">
        <v>297</v>
      </c>
      <c r="I327" t="s">
        <v>2466</v>
      </c>
      <c r="J327" t="s">
        <v>434</v>
      </c>
      <c r="AA327" t="s">
        <v>299</v>
      </c>
      <c r="AB327" t="s">
        <v>300</v>
      </c>
      <c r="AO327" t="s">
        <v>437</v>
      </c>
      <c r="AP327" t="s">
        <v>438</v>
      </c>
      <c r="AU327">
        <v>2020</v>
      </c>
      <c r="AV327">
        <v>13</v>
      </c>
      <c r="AW327">
        <v>6</v>
      </c>
      <c r="BB327">
        <v>53</v>
      </c>
      <c r="BC327">
        <v>76</v>
      </c>
      <c r="BE327" t="s">
        <v>2467</v>
      </c>
      <c r="BF327" t="str">
        <f>HYPERLINK("http://dx.doi.org/10.24833/2071-8160-2020-6-75-53-76","http://dx.doi.org/10.24833/2071-8160-2020-6-75-53-76")</f>
        <v>http://dx.doi.org/10.24833/2071-8160-2020-6-75-53-76</v>
      </c>
      <c r="BS327" t="s">
        <v>2468</v>
      </c>
      <c r="BT327" t="str">
        <f>HYPERLINK("https%3A%2F%2Fwww.webofscience.com%2Fwos%2Fwoscc%2Ffull-record%2FWOS:000605204300002","View Full Record in Web of Science")</f>
        <v>View Full Record in Web of Science</v>
      </c>
    </row>
    <row r="328" spans="1:72" ht="12.75" customHeight="1" x14ac:dyDescent="0.2">
      <c r="A328" t="s">
        <v>72</v>
      </c>
      <c r="B328" t="s">
        <v>1119</v>
      </c>
      <c r="F328" t="s">
        <v>2469</v>
      </c>
      <c r="I328" t="s">
        <v>2470</v>
      </c>
      <c r="J328" t="s">
        <v>668</v>
      </c>
      <c r="AA328" t="s">
        <v>754</v>
      </c>
      <c r="AO328" t="s">
        <v>669</v>
      </c>
      <c r="AP328" t="s">
        <v>670</v>
      </c>
      <c r="AU328">
        <v>2020</v>
      </c>
      <c r="AW328">
        <v>4</v>
      </c>
      <c r="BB328">
        <v>401</v>
      </c>
      <c r="BC328">
        <v>419</v>
      </c>
      <c r="BE328" t="s">
        <v>2471</v>
      </c>
      <c r="BF328" t="str">
        <f>HYPERLINK("http://dx.doi.org/10.24224/2227-1295-2020-4-401-419","http://dx.doi.org/10.24224/2227-1295-2020-4-401-419")</f>
        <v>http://dx.doi.org/10.24224/2227-1295-2020-4-401-419</v>
      </c>
      <c r="BS328" t="s">
        <v>2472</v>
      </c>
      <c r="BT328" t="str">
        <f>HYPERLINK("https%3A%2F%2Fwww.webofscience.com%2Fwos%2Fwoscc%2Ffull-record%2FWOS:000530639000025","View Full Record in Web of Science")</f>
        <v>View Full Record in Web of Science</v>
      </c>
    </row>
    <row r="329" spans="1:72" ht="12.75" customHeight="1" x14ac:dyDescent="0.2">
      <c r="A329" t="s">
        <v>72</v>
      </c>
      <c r="B329" t="s">
        <v>632</v>
      </c>
      <c r="F329" t="s">
        <v>633</v>
      </c>
      <c r="I329" t="s">
        <v>2473</v>
      </c>
      <c r="J329" t="s">
        <v>1122</v>
      </c>
      <c r="AA329" t="s">
        <v>635</v>
      </c>
      <c r="AB329" t="s">
        <v>636</v>
      </c>
      <c r="AO329" t="s">
        <v>1124</v>
      </c>
      <c r="AP329" t="s">
        <v>1125</v>
      </c>
      <c r="AU329">
        <v>2020</v>
      </c>
      <c r="AW329">
        <v>63</v>
      </c>
      <c r="BB329">
        <v>96</v>
      </c>
      <c r="BC329">
        <v>103</v>
      </c>
      <c r="BE329" t="s">
        <v>2474</v>
      </c>
      <c r="BF329" t="str">
        <f>HYPERLINK("http://dx.doi.org/10.17223/19988613/63/13","http://dx.doi.org/10.17223/19988613/63/13")</f>
        <v>http://dx.doi.org/10.17223/19988613/63/13</v>
      </c>
      <c r="BS329" t="s">
        <v>2475</v>
      </c>
      <c r="BT329" t="str">
        <f>HYPERLINK("https%3A%2F%2Fwww.webofscience.com%2Fwos%2Fwoscc%2Ffull-record%2FWOS:000517821700013","View Full Record in Web of Science")</f>
        <v>View Full Record in Web of Science</v>
      </c>
    </row>
    <row r="330" spans="1:72" ht="12.75" customHeight="1" x14ac:dyDescent="0.2">
      <c r="A330" t="s">
        <v>72</v>
      </c>
      <c r="B330" t="s">
        <v>1074</v>
      </c>
      <c r="F330" t="s">
        <v>2476</v>
      </c>
      <c r="I330" t="s">
        <v>2477</v>
      </c>
      <c r="J330" t="s">
        <v>2478</v>
      </c>
      <c r="AA330" t="s">
        <v>1078</v>
      </c>
      <c r="AB330" t="s">
        <v>1079</v>
      </c>
      <c r="AO330" t="s">
        <v>2479</v>
      </c>
      <c r="AU330">
        <v>2020</v>
      </c>
      <c r="AV330">
        <v>17</v>
      </c>
      <c r="BB330">
        <v>318</v>
      </c>
      <c r="BC330">
        <v>337</v>
      </c>
      <c r="BE330" t="s">
        <v>2480</v>
      </c>
      <c r="BF330" t="str">
        <f>HYPERLINK("http://dx.doi.org/10.33048/semi.2020.17.021","http://dx.doi.org/10.33048/semi.2020.17.021")</f>
        <v>http://dx.doi.org/10.33048/semi.2020.17.021</v>
      </c>
      <c r="BS330" t="s">
        <v>2481</v>
      </c>
      <c r="BT330" t="str">
        <f>HYPERLINK("https%3A%2F%2Fwww.webofscience.com%2Fwos%2Fwoscc%2Ffull-record%2FWOS:000518782500001","View Full Record in Web of Science")</f>
        <v>View Full Record in Web of Science</v>
      </c>
    </row>
    <row r="331" spans="1:72" ht="12.75" customHeight="1" x14ac:dyDescent="0.2">
      <c r="A331" t="s">
        <v>72</v>
      </c>
      <c r="B331" t="s">
        <v>2482</v>
      </c>
      <c r="F331" t="s">
        <v>2483</v>
      </c>
      <c r="I331" t="s">
        <v>2484</v>
      </c>
      <c r="J331" t="s">
        <v>2485</v>
      </c>
      <c r="AA331" t="s">
        <v>2486</v>
      </c>
      <c r="AB331" t="s">
        <v>2487</v>
      </c>
      <c r="AO331" t="s">
        <v>2488</v>
      </c>
      <c r="AP331" t="s">
        <v>2489</v>
      </c>
      <c r="AT331" t="s">
        <v>2368</v>
      </c>
      <c r="AU331">
        <v>2019</v>
      </c>
      <c r="AV331">
        <v>13</v>
      </c>
      <c r="AW331">
        <v>2</v>
      </c>
      <c r="BB331">
        <v>48</v>
      </c>
      <c r="BC331">
        <v>62</v>
      </c>
      <c r="BE331" t="s">
        <v>2490</v>
      </c>
      <c r="BF331" t="str">
        <f>HYPERLINK("http://dx.doi.org/10.4018/IJCINI.2019040104","http://dx.doi.org/10.4018/IJCINI.2019040104")</f>
        <v>http://dx.doi.org/10.4018/IJCINI.2019040104</v>
      </c>
      <c r="BS331" t="s">
        <v>2491</v>
      </c>
      <c r="BT331" t="str">
        <f>HYPERLINK("https%3A%2F%2Fwww.webofscience.com%2Fwos%2Fwoscc%2Ffull-record%2FWOS:000501202200004","View Full Record in Web of Science")</f>
        <v>View Full Record in Web of Science</v>
      </c>
    </row>
    <row r="332" spans="1:72" ht="12.75" customHeight="1" x14ac:dyDescent="0.2">
      <c r="A332" t="s">
        <v>72</v>
      </c>
      <c r="B332" t="s">
        <v>2492</v>
      </c>
      <c r="F332" t="s">
        <v>2493</v>
      </c>
      <c r="I332" t="s">
        <v>2494</v>
      </c>
      <c r="J332" t="s">
        <v>166</v>
      </c>
      <c r="AA332" t="s">
        <v>2495</v>
      </c>
      <c r="AB332" t="s">
        <v>2496</v>
      </c>
      <c r="AO332" t="s">
        <v>169</v>
      </c>
      <c r="AP332" t="s">
        <v>170</v>
      </c>
      <c r="AT332" t="s">
        <v>830</v>
      </c>
      <c r="AU332">
        <v>2018</v>
      </c>
      <c r="AV332">
        <v>7</v>
      </c>
      <c r="AW332">
        <v>3</v>
      </c>
      <c r="BB332">
        <v>541</v>
      </c>
      <c r="BC332">
        <v>553</v>
      </c>
      <c r="BE332" t="s">
        <v>2497</v>
      </c>
      <c r="BF332" t="str">
        <f>HYPERLINK("http://dx.doi.org/10.13187/ejced.2018.3.541","http://dx.doi.org/10.13187/ejced.2018.3.541")</f>
        <v>http://dx.doi.org/10.13187/ejced.2018.3.541</v>
      </c>
      <c r="BS332" t="s">
        <v>2498</v>
      </c>
      <c r="BT332" t="str">
        <f>HYPERLINK("https%3A%2F%2Fwww.webofscience.com%2Fwos%2Fwoscc%2Ffull-record%2FWOS:000445146400009","View Full Record in Web of Science")</f>
        <v>View Full Record in Web of Science</v>
      </c>
    </row>
    <row r="333" spans="1:72" ht="12.75" customHeight="1" x14ac:dyDescent="0.2">
      <c r="A333" t="s">
        <v>147</v>
      </c>
      <c r="B333" t="s">
        <v>2499</v>
      </c>
      <c r="D333" t="s">
        <v>2500</v>
      </c>
      <c r="F333" t="s">
        <v>2501</v>
      </c>
      <c r="I333" t="s">
        <v>2502</v>
      </c>
      <c r="J333" t="s">
        <v>2503</v>
      </c>
      <c r="K333" t="s">
        <v>2504</v>
      </c>
      <c r="O333" t="s">
        <v>2505</v>
      </c>
      <c r="P333" t="s">
        <v>2506</v>
      </c>
      <c r="Q333" t="s">
        <v>2507</v>
      </c>
      <c r="R333" t="s">
        <v>2508</v>
      </c>
      <c r="AO333" t="s">
        <v>2509</v>
      </c>
      <c r="AQ333" t="s">
        <v>2510</v>
      </c>
      <c r="AU333">
        <v>2018</v>
      </c>
      <c r="AV333">
        <v>47</v>
      </c>
      <c r="BB333">
        <v>717</v>
      </c>
      <c r="BC333">
        <v>719</v>
      </c>
      <c r="BS333" t="s">
        <v>2511</v>
      </c>
      <c r="BT333" t="str">
        <f>HYPERLINK("https%3A%2F%2Fwww.webofscience.com%2Fwos%2Fwoscc%2Ffull-record%2FWOS:000679066800160","View Full Record in Web of Science")</f>
        <v>View Full Record in Web of Science</v>
      </c>
    </row>
    <row r="334" spans="1:72" ht="12.75" customHeight="1" x14ac:dyDescent="0.2">
      <c r="A334" t="s">
        <v>147</v>
      </c>
      <c r="B334" t="s">
        <v>568</v>
      </c>
      <c r="E334" t="s">
        <v>210</v>
      </c>
      <c r="F334" t="s">
        <v>569</v>
      </c>
      <c r="I334" t="s">
        <v>2512</v>
      </c>
      <c r="J334" t="s">
        <v>1139</v>
      </c>
      <c r="K334" t="s">
        <v>390</v>
      </c>
      <c r="O334" t="s">
        <v>1140</v>
      </c>
      <c r="P334" t="s">
        <v>1141</v>
      </c>
      <c r="Q334" t="s">
        <v>393</v>
      </c>
      <c r="R334" t="s">
        <v>1142</v>
      </c>
      <c r="AA334" t="s">
        <v>2513</v>
      </c>
      <c r="AB334" t="s">
        <v>2514</v>
      </c>
      <c r="AO334" t="s">
        <v>395</v>
      </c>
      <c r="AQ334" t="s">
        <v>1145</v>
      </c>
      <c r="AU334">
        <v>2018</v>
      </c>
      <c r="BB334">
        <v>443</v>
      </c>
      <c r="BC334">
        <v>446</v>
      </c>
      <c r="BS334" t="s">
        <v>2515</v>
      </c>
      <c r="BT334" t="str">
        <f>HYPERLINK("https%3A%2F%2Fwww.webofscience.com%2Fwos%2Fwoscc%2Ffull-record%2FWOS:000644432200112","View Full Record in Web of Science")</f>
        <v>View Full Record in Web of Science</v>
      </c>
    </row>
    <row r="335" spans="1:72" ht="12.75" customHeight="1" x14ac:dyDescent="0.2">
      <c r="A335" t="s">
        <v>147</v>
      </c>
      <c r="B335" t="s">
        <v>2516</v>
      </c>
      <c r="D335" t="s">
        <v>2517</v>
      </c>
      <c r="F335" t="s">
        <v>2518</v>
      </c>
      <c r="I335" t="s">
        <v>2519</v>
      </c>
      <c r="J335" t="s">
        <v>2520</v>
      </c>
      <c r="K335" t="s">
        <v>2521</v>
      </c>
      <c r="O335" t="s">
        <v>2522</v>
      </c>
      <c r="P335" t="s">
        <v>2523</v>
      </c>
      <c r="Q335" t="s">
        <v>2524</v>
      </c>
      <c r="R335" t="s">
        <v>2525</v>
      </c>
      <c r="AB335" t="s">
        <v>2526</v>
      </c>
      <c r="AO335" t="s">
        <v>2527</v>
      </c>
      <c r="AP335" t="s">
        <v>2528</v>
      </c>
      <c r="AU335">
        <v>2018</v>
      </c>
      <c r="BB335">
        <v>1140</v>
      </c>
      <c r="BC335">
        <v>1146</v>
      </c>
      <c r="BE335" t="s">
        <v>2529</v>
      </c>
      <c r="BF335" t="str">
        <f>HYPERLINK("http://dx.doi.org/10.22616/ERDev2018.17.N241","http://dx.doi.org/10.22616/ERDev2018.17.N241")</f>
        <v>http://dx.doi.org/10.22616/ERDev2018.17.N241</v>
      </c>
      <c r="BS335" t="s">
        <v>2530</v>
      </c>
      <c r="BT335" t="str">
        <f>HYPERLINK("https%3A%2F%2Fwww.webofscience.com%2Fwos%2Fwoscc%2Ffull-record%2FWOS:000805412200175","View Full Record in Web of Science")</f>
        <v>View Full Record in Web of Science</v>
      </c>
    </row>
    <row r="336" spans="1:72" ht="12.75" customHeight="1" x14ac:dyDescent="0.2">
      <c r="A336" t="s">
        <v>147</v>
      </c>
      <c r="B336" t="s">
        <v>2531</v>
      </c>
      <c r="E336" t="s">
        <v>210</v>
      </c>
      <c r="F336" t="s">
        <v>2532</v>
      </c>
      <c r="I336" t="s">
        <v>2533</v>
      </c>
      <c r="J336" t="s">
        <v>1139</v>
      </c>
      <c r="K336" t="s">
        <v>390</v>
      </c>
      <c r="O336" t="s">
        <v>1140</v>
      </c>
      <c r="P336" t="s">
        <v>1141</v>
      </c>
      <c r="Q336" t="s">
        <v>393</v>
      </c>
      <c r="R336" t="s">
        <v>1142</v>
      </c>
      <c r="AA336" t="s">
        <v>1143</v>
      </c>
      <c r="AB336" t="s">
        <v>1144</v>
      </c>
      <c r="AO336" t="s">
        <v>395</v>
      </c>
      <c r="AQ336" t="s">
        <v>1145</v>
      </c>
      <c r="AU336">
        <v>2018</v>
      </c>
      <c r="BB336">
        <v>103</v>
      </c>
      <c r="BC336">
        <v>106</v>
      </c>
      <c r="BS336" t="s">
        <v>2534</v>
      </c>
      <c r="BT336" t="str">
        <f>HYPERLINK("https%3A%2F%2Fwww.webofscience.com%2Fwos%2Fwoscc%2Ffull-record%2FWOS:000644432200031","View Full Record in Web of Science")</f>
        <v>View Full Record in Web of Science</v>
      </c>
    </row>
    <row r="337" spans="1:72" ht="12.75" customHeight="1" x14ac:dyDescent="0.2">
      <c r="A337" t="s">
        <v>147</v>
      </c>
      <c r="B337" t="s">
        <v>2535</v>
      </c>
      <c r="E337" t="s">
        <v>175</v>
      </c>
      <c r="F337" t="s">
        <v>2536</v>
      </c>
      <c r="I337" t="s">
        <v>2537</v>
      </c>
      <c r="J337" t="s">
        <v>2538</v>
      </c>
      <c r="K337" t="s">
        <v>1576</v>
      </c>
      <c r="O337" t="s">
        <v>2539</v>
      </c>
      <c r="P337" t="s">
        <v>2540</v>
      </c>
      <c r="Q337" t="s">
        <v>746</v>
      </c>
      <c r="AA337" t="s">
        <v>1586</v>
      </c>
      <c r="AB337" t="s">
        <v>2541</v>
      </c>
      <c r="AO337" t="s">
        <v>1581</v>
      </c>
      <c r="AU337">
        <v>2018</v>
      </c>
      <c r="AV337">
        <v>177</v>
      </c>
      <c r="BD337">
        <v>12007</v>
      </c>
      <c r="BE337" t="s">
        <v>2542</v>
      </c>
      <c r="BF337" t="str">
        <f>HYPERLINK("http://dx.doi.org/10.1088/1755-1315/177/1/012007","http://dx.doi.org/10.1088/1755-1315/177/1/012007")</f>
        <v>http://dx.doi.org/10.1088/1755-1315/177/1/012007</v>
      </c>
      <c r="BS337" t="s">
        <v>2543</v>
      </c>
      <c r="BT337" t="str">
        <f>HYPERLINK("https%3A%2F%2Fwww.webofscience.com%2Fwos%2Fwoscc%2Ffull-record%2FWOS:000451502800007","View Full Record in Web of Science")</f>
        <v>View Full Record in Web of Science</v>
      </c>
    </row>
    <row r="338" spans="1:72" ht="12.75" customHeight="1" x14ac:dyDescent="0.2">
      <c r="A338" t="s">
        <v>72</v>
      </c>
      <c r="B338" t="s">
        <v>581</v>
      </c>
      <c r="F338" t="s">
        <v>2041</v>
      </c>
      <c r="I338" t="s">
        <v>2544</v>
      </c>
      <c r="J338" t="s">
        <v>584</v>
      </c>
      <c r="AA338" t="s">
        <v>585</v>
      </c>
      <c r="AB338" t="s">
        <v>586</v>
      </c>
      <c r="AO338" t="s">
        <v>587</v>
      </c>
      <c r="AP338" t="s">
        <v>588</v>
      </c>
      <c r="AU338">
        <v>2018</v>
      </c>
      <c r="AV338">
        <v>77</v>
      </c>
      <c r="AW338">
        <v>1</v>
      </c>
      <c r="BB338">
        <v>23</v>
      </c>
      <c r="BC338">
        <v>37</v>
      </c>
      <c r="BE338" t="s">
        <v>2545</v>
      </c>
      <c r="BF338" t="str">
        <f>HYPERLINK("http://dx.doi.org/10.18720/MCE.77.3","http://dx.doi.org/10.18720/MCE.77.3")</f>
        <v>http://dx.doi.org/10.18720/MCE.77.3</v>
      </c>
      <c r="BS338" t="s">
        <v>2546</v>
      </c>
      <c r="BT338" t="str">
        <f>HYPERLINK("https%3A%2F%2Fwww.webofscience.com%2Fwos%2Fwoscc%2Ffull-record%2FWOS:000431443100003","View Full Record in Web of Science")</f>
        <v>View Full Record in Web of Science</v>
      </c>
    </row>
    <row r="339" spans="1:72" ht="12.75" customHeight="1" x14ac:dyDescent="0.2">
      <c r="A339" t="s">
        <v>72</v>
      </c>
      <c r="B339" t="s">
        <v>2547</v>
      </c>
      <c r="F339" t="s">
        <v>2548</v>
      </c>
      <c r="I339" t="s">
        <v>2549</v>
      </c>
      <c r="J339" t="s">
        <v>642</v>
      </c>
      <c r="AA339" t="s">
        <v>608</v>
      </c>
      <c r="AB339" t="s">
        <v>609</v>
      </c>
      <c r="AO339" t="s">
        <v>643</v>
      </c>
      <c r="AP339" t="s">
        <v>644</v>
      </c>
      <c r="AU339">
        <v>2018</v>
      </c>
      <c r="AV339">
        <v>6</v>
      </c>
      <c r="AW339">
        <v>1</v>
      </c>
      <c r="BB339">
        <v>251</v>
      </c>
      <c r="BC339">
        <v>266</v>
      </c>
      <c r="BE339" t="s">
        <v>2550</v>
      </c>
      <c r="BF339" t="str">
        <f>HYPERLINK("http://dx.doi.org/10.15826/qr.2018.1.294","http://dx.doi.org/10.15826/qr.2018.1.294")</f>
        <v>http://dx.doi.org/10.15826/qr.2018.1.294</v>
      </c>
      <c r="BS339" t="s">
        <v>2551</v>
      </c>
      <c r="BT339" t="str">
        <f>HYPERLINK("https%3A%2F%2Fwww.webofscience.com%2Fwos%2Fwoscc%2Ffull-record%2FWOS:000447487200018","View Full Record in Web of Science")</f>
        <v>View Full Record in Web of Science</v>
      </c>
    </row>
    <row r="340" spans="1:72" ht="12.75" customHeight="1" x14ac:dyDescent="0.2">
      <c r="A340" t="s">
        <v>147</v>
      </c>
      <c r="B340" t="s">
        <v>2552</v>
      </c>
      <c r="E340" t="s">
        <v>175</v>
      </c>
      <c r="F340" t="s">
        <v>2553</v>
      </c>
      <c r="I340" t="s">
        <v>2554</v>
      </c>
      <c r="J340" t="s">
        <v>2278</v>
      </c>
      <c r="K340" t="s">
        <v>179</v>
      </c>
      <c r="O340" t="s">
        <v>2279</v>
      </c>
      <c r="P340" t="s">
        <v>2280</v>
      </c>
      <c r="Q340" t="s">
        <v>2281</v>
      </c>
      <c r="R340" t="s">
        <v>257</v>
      </c>
      <c r="S340" t="s">
        <v>2282</v>
      </c>
      <c r="AA340" t="s">
        <v>2283</v>
      </c>
      <c r="AB340" t="s">
        <v>2284</v>
      </c>
      <c r="AO340" t="s">
        <v>187</v>
      </c>
      <c r="AP340" t="s">
        <v>188</v>
      </c>
      <c r="AU340">
        <v>2018</v>
      </c>
      <c r="AV340">
        <v>1058</v>
      </c>
      <c r="BD340">
        <v>12028</v>
      </c>
      <c r="BE340" t="s">
        <v>2555</v>
      </c>
      <c r="BF340" t="str">
        <f>HYPERLINK("http://dx.doi.org/10.1088/1742-6596/1058/1/012028","http://dx.doi.org/10.1088/1742-6596/1058/1/012028")</f>
        <v>http://dx.doi.org/10.1088/1742-6596/1058/1/012028</v>
      </c>
      <c r="BS340" t="s">
        <v>2556</v>
      </c>
      <c r="BT340" t="str">
        <f>HYPERLINK("https%3A%2F%2Fwww.webofscience.com%2Fwos%2Fwoscc%2Ffull-record%2FWOS:000518798300028","View Full Record in Web of Science")</f>
        <v>View Full Record in Web of Science</v>
      </c>
    </row>
    <row r="341" spans="1:72" ht="12.75" customHeight="1" x14ac:dyDescent="0.2">
      <c r="A341" t="s">
        <v>147</v>
      </c>
      <c r="B341" t="s">
        <v>2557</v>
      </c>
      <c r="E341" t="s">
        <v>210</v>
      </c>
      <c r="F341" t="s">
        <v>2558</v>
      </c>
      <c r="I341" t="s">
        <v>2559</v>
      </c>
      <c r="J341" t="s">
        <v>2560</v>
      </c>
      <c r="O341" t="s">
        <v>2561</v>
      </c>
      <c r="P341" t="s">
        <v>2562</v>
      </c>
      <c r="Q341" t="s">
        <v>2563</v>
      </c>
      <c r="AA341" t="s">
        <v>2564</v>
      </c>
      <c r="AB341" t="s">
        <v>2565</v>
      </c>
      <c r="AQ341" t="s">
        <v>2566</v>
      </c>
      <c r="AU341">
        <v>2017</v>
      </c>
      <c r="BB341">
        <v>671</v>
      </c>
      <c r="BC341">
        <v>675</v>
      </c>
      <c r="BS341" t="s">
        <v>2567</v>
      </c>
      <c r="BT341" t="str">
        <f>HYPERLINK("https%3A%2F%2Fwww.webofscience.com%2Fwos%2Fwoscc%2Ffull-record%2FWOS:000425868400157","View Full Record in Web of Science")</f>
        <v>View Full Record in Web of Science</v>
      </c>
    </row>
    <row r="342" spans="1:72" ht="12.75" customHeight="1" x14ac:dyDescent="0.2">
      <c r="A342" t="s">
        <v>72</v>
      </c>
      <c r="B342" t="s">
        <v>102</v>
      </c>
      <c r="F342" t="s">
        <v>2238</v>
      </c>
      <c r="I342" t="s">
        <v>2568</v>
      </c>
      <c r="J342" t="s">
        <v>244</v>
      </c>
      <c r="AA342" t="s">
        <v>2569</v>
      </c>
      <c r="AO342" t="s">
        <v>245</v>
      </c>
      <c r="AP342" t="s">
        <v>246</v>
      </c>
      <c r="AU342">
        <v>2017</v>
      </c>
      <c r="AW342">
        <v>8</v>
      </c>
      <c r="BB342">
        <v>44</v>
      </c>
      <c r="BC342">
        <v>56</v>
      </c>
      <c r="BS342" t="s">
        <v>2570</v>
      </c>
      <c r="BT342" t="str">
        <f>HYPERLINK("https%3A%2F%2Fwww.webofscience.com%2Fwos%2Fwoscc%2Ffull-record%2FWOS:000410460100004","View Full Record in Web of Science")</f>
        <v>View Full Record in Web of Science</v>
      </c>
    </row>
    <row r="343" spans="1:72" ht="12.75" customHeight="1" x14ac:dyDescent="0.2">
      <c r="A343" t="s">
        <v>147</v>
      </c>
      <c r="B343" t="s">
        <v>2571</v>
      </c>
      <c r="E343" t="s">
        <v>280</v>
      </c>
      <c r="F343" t="s">
        <v>2572</v>
      </c>
      <c r="I343" t="s">
        <v>2573</v>
      </c>
      <c r="J343" t="s">
        <v>2574</v>
      </c>
      <c r="K343" t="s">
        <v>284</v>
      </c>
      <c r="O343" t="s">
        <v>2575</v>
      </c>
      <c r="P343" t="s">
        <v>2576</v>
      </c>
      <c r="Q343" t="s">
        <v>287</v>
      </c>
      <c r="R343" t="s">
        <v>2577</v>
      </c>
      <c r="AA343" t="s">
        <v>2578</v>
      </c>
      <c r="AB343" t="s">
        <v>2579</v>
      </c>
      <c r="AO343" t="s">
        <v>289</v>
      </c>
      <c r="AQ343" t="s">
        <v>2580</v>
      </c>
      <c r="AU343">
        <v>2016</v>
      </c>
      <c r="BB343">
        <v>411</v>
      </c>
      <c r="BC343">
        <v>417</v>
      </c>
      <c r="BS343" t="s">
        <v>2581</v>
      </c>
      <c r="BT343" t="str">
        <f>HYPERLINK("https%3A%2F%2Fwww.webofscience.com%2Fwos%2Fwoscc%2Ffull-record%2FWOS:000395727700049","View Full Record in Web of Science")</f>
        <v>View Full Record in Web of Science</v>
      </c>
    </row>
    <row r="344" spans="1:72" ht="12.75" customHeight="1" x14ac:dyDescent="0.2">
      <c r="A344" t="s">
        <v>147</v>
      </c>
      <c r="B344" t="s">
        <v>568</v>
      </c>
      <c r="E344" t="s">
        <v>210</v>
      </c>
      <c r="F344" t="s">
        <v>569</v>
      </c>
      <c r="I344" t="s">
        <v>2582</v>
      </c>
      <c r="J344" t="s">
        <v>1724</v>
      </c>
      <c r="O344" t="s">
        <v>421</v>
      </c>
      <c r="P344" t="s">
        <v>1725</v>
      </c>
      <c r="Q344" t="s">
        <v>1726</v>
      </c>
      <c r="R344" t="s">
        <v>2583</v>
      </c>
      <c r="AA344" t="s">
        <v>2584</v>
      </c>
      <c r="AB344" t="s">
        <v>2585</v>
      </c>
      <c r="AQ344" t="s">
        <v>1728</v>
      </c>
      <c r="AU344">
        <v>2015</v>
      </c>
      <c r="BS344" t="s">
        <v>2586</v>
      </c>
      <c r="BT344" t="str">
        <f>HYPERLINK("https%3A%2F%2Fwww.webofscience.com%2Fwos%2Fwoscc%2Ffull-record%2FWOS:000382527700045","View Full Record in Web of Science")</f>
        <v>View Full Record in Web of Science</v>
      </c>
    </row>
    <row r="345" spans="1:72" ht="12.75" customHeight="1" x14ac:dyDescent="0.2">
      <c r="A345" t="s">
        <v>147</v>
      </c>
      <c r="B345" t="s">
        <v>1294</v>
      </c>
      <c r="E345" t="s">
        <v>210</v>
      </c>
      <c r="F345" t="s">
        <v>1296</v>
      </c>
      <c r="I345" t="s">
        <v>2587</v>
      </c>
      <c r="J345" t="s">
        <v>2588</v>
      </c>
      <c r="K345" t="s">
        <v>2589</v>
      </c>
      <c r="O345" t="s">
        <v>2590</v>
      </c>
      <c r="P345" t="s">
        <v>2591</v>
      </c>
      <c r="Q345" t="s">
        <v>2592</v>
      </c>
      <c r="AO345" t="s">
        <v>2593</v>
      </c>
      <c r="AQ345" t="s">
        <v>2594</v>
      </c>
      <c r="AU345">
        <v>2015</v>
      </c>
      <c r="BS345" t="s">
        <v>2595</v>
      </c>
      <c r="BT345" t="str">
        <f>HYPERLINK("https%3A%2F%2Fwww.webofscience.com%2Fwos%2Fwoscc%2Ffull-record%2FWOS:000370730601064","View Full Record in Web of Science")</f>
        <v>View Full Record in Web of Science</v>
      </c>
    </row>
    <row r="346" spans="1:72" ht="12.75" customHeight="1" x14ac:dyDescent="0.2">
      <c r="A346" t="s">
        <v>72</v>
      </c>
      <c r="B346" t="s">
        <v>977</v>
      </c>
      <c r="F346" t="s">
        <v>978</v>
      </c>
      <c r="I346" t="s">
        <v>2596</v>
      </c>
      <c r="J346" t="s">
        <v>244</v>
      </c>
      <c r="AA346" t="s">
        <v>782</v>
      </c>
      <c r="AB346" t="s">
        <v>783</v>
      </c>
      <c r="AO346" t="s">
        <v>245</v>
      </c>
      <c r="AP346" t="s">
        <v>246</v>
      </c>
      <c r="AU346">
        <v>2011</v>
      </c>
      <c r="AW346">
        <v>3</v>
      </c>
      <c r="BB346">
        <v>91</v>
      </c>
      <c r="BC346">
        <v>99</v>
      </c>
      <c r="BS346" t="s">
        <v>2597</v>
      </c>
      <c r="BT346" t="str">
        <f>HYPERLINK("https%3A%2F%2Fwww.webofscience.com%2Fwos%2Fwoscc%2Ffull-record%2FWOS:000289763200005","View Full Record in Web of Science")</f>
        <v>View Full Record in Web of Science</v>
      </c>
    </row>
    <row r="347" spans="1:72" ht="12.75" customHeight="1" x14ac:dyDescent="0.2">
      <c r="A347" t="s">
        <v>72</v>
      </c>
      <c r="B347" t="s">
        <v>1170</v>
      </c>
      <c r="F347" t="s">
        <v>1171</v>
      </c>
      <c r="I347" t="s">
        <v>2598</v>
      </c>
      <c r="J347" t="s">
        <v>311</v>
      </c>
      <c r="AO347" t="s">
        <v>312</v>
      </c>
      <c r="AT347" t="s">
        <v>1173</v>
      </c>
      <c r="AU347">
        <v>2010</v>
      </c>
      <c r="AV347">
        <v>44</v>
      </c>
      <c r="AW347">
        <v>4</v>
      </c>
      <c r="BB347">
        <v>389</v>
      </c>
      <c r="BC347">
        <v>398</v>
      </c>
      <c r="BE347" t="s">
        <v>2599</v>
      </c>
      <c r="BF347" t="str">
        <f>HYPERLINK("http://dx.doi.org/10.1134/S0040579510040056","http://dx.doi.org/10.1134/S0040579510040056")</f>
        <v>http://dx.doi.org/10.1134/S0040579510040056</v>
      </c>
      <c r="BS347" t="s">
        <v>2600</v>
      </c>
      <c r="BT347" t="str">
        <f>HYPERLINK("https%3A%2F%2Fwww.webofscience.com%2Fwos%2Fwoscc%2Ffull-record%2FWOS:000280701900005","View Full Record in Web of Science")</f>
        <v>View Full Record in Web of Science</v>
      </c>
    </row>
    <row r="348" spans="1:72" ht="12.75" customHeight="1" x14ac:dyDescent="0.2">
      <c r="A348" t="s">
        <v>72</v>
      </c>
      <c r="B348" t="s">
        <v>2601</v>
      </c>
      <c r="F348" t="s">
        <v>2602</v>
      </c>
      <c r="I348" t="s">
        <v>2603</v>
      </c>
      <c r="J348" t="s">
        <v>244</v>
      </c>
      <c r="AO348" t="s">
        <v>245</v>
      </c>
      <c r="AU348">
        <v>2010</v>
      </c>
      <c r="AW348">
        <v>3</v>
      </c>
      <c r="BB348">
        <v>86</v>
      </c>
      <c r="BC348">
        <v>91</v>
      </c>
      <c r="BS348" t="s">
        <v>2604</v>
      </c>
      <c r="BT348" t="str">
        <f>HYPERLINK("https%3A%2F%2Fwww.webofscience.com%2Fwos%2Fwoscc%2Ffull-record%2FWOS:000279999300006","View Full Record in Web of Science")</f>
        <v>View Full Record in Web of Science</v>
      </c>
    </row>
    <row r="349" spans="1:72" ht="12.75" customHeight="1" x14ac:dyDescent="0.2">
      <c r="A349" t="s">
        <v>147</v>
      </c>
      <c r="B349" t="s">
        <v>2605</v>
      </c>
      <c r="E349" t="s">
        <v>210</v>
      </c>
      <c r="F349" t="s">
        <v>2606</v>
      </c>
      <c r="I349" t="s">
        <v>2607</v>
      </c>
      <c r="J349" t="s">
        <v>2608</v>
      </c>
      <c r="K349" t="s">
        <v>362</v>
      </c>
      <c r="O349" t="s">
        <v>2609</v>
      </c>
      <c r="P349" t="s">
        <v>2610</v>
      </c>
      <c r="Q349" t="s">
        <v>1628</v>
      </c>
      <c r="R349" t="s">
        <v>2611</v>
      </c>
      <c r="AA349" t="s">
        <v>367</v>
      </c>
      <c r="AB349" t="s">
        <v>368</v>
      </c>
      <c r="AO349" t="s">
        <v>369</v>
      </c>
      <c r="AP349" t="s">
        <v>370</v>
      </c>
      <c r="AQ349" t="s">
        <v>2612</v>
      </c>
      <c r="AU349">
        <v>2021</v>
      </c>
      <c r="BB349">
        <v>15</v>
      </c>
      <c r="BC349">
        <v>21</v>
      </c>
      <c r="BS349" t="s">
        <v>2613</v>
      </c>
      <c r="BT349" t="str">
        <f>HYPERLINK("https%3A%2F%2Fwww.webofscience.com%2Fwos%2Fwoscc%2Ffull-record%2FWOS:000672554500002","View Full Record in Web of Science")</f>
        <v>View Full Record in Web of Science</v>
      </c>
    </row>
    <row r="350" spans="1:72" ht="12.75" customHeight="1" x14ac:dyDescent="0.2">
      <c r="A350" t="s">
        <v>147</v>
      </c>
      <c r="B350" t="s">
        <v>2138</v>
      </c>
      <c r="E350" t="s">
        <v>210</v>
      </c>
      <c r="F350" t="s">
        <v>2614</v>
      </c>
      <c r="I350" t="s">
        <v>2615</v>
      </c>
      <c r="J350" t="s">
        <v>2616</v>
      </c>
      <c r="O350" t="s">
        <v>214</v>
      </c>
      <c r="P350" t="s">
        <v>2617</v>
      </c>
      <c r="Q350" t="s">
        <v>1628</v>
      </c>
      <c r="R350" t="s">
        <v>2618</v>
      </c>
      <c r="AQ350" t="s">
        <v>2619</v>
      </c>
      <c r="AU350">
        <v>2020</v>
      </c>
      <c r="BS350" t="s">
        <v>2620</v>
      </c>
      <c r="BT350" t="str">
        <f>HYPERLINK("https%3A%2F%2Fwww.webofscience.com%2Fwos%2Fwoscc%2Ffull-record%2FWOS:000607234900037","View Full Record in Web of Science")</f>
        <v>View Full Record in Web of Science</v>
      </c>
    </row>
    <row r="351" spans="1:72" ht="12.75" customHeight="1" x14ac:dyDescent="0.2">
      <c r="A351" t="s">
        <v>72</v>
      </c>
      <c r="B351" t="s">
        <v>2621</v>
      </c>
      <c r="F351" t="s">
        <v>2622</v>
      </c>
      <c r="I351" t="s">
        <v>2623</v>
      </c>
      <c r="J351" t="s">
        <v>1122</v>
      </c>
      <c r="AO351" t="s">
        <v>1124</v>
      </c>
      <c r="AP351" t="s">
        <v>1125</v>
      </c>
      <c r="AU351">
        <v>2020</v>
      </c>
      <c r="AW351">
        <v>63</v>
      </c>
      <c r="BB351">
        <v>87</v>
      </c>
      <c r="BC351">
        <v>95</v>
      </c>
      <c r="BE351" t="s">
        <v>2624</v>
      </c>
      <c r="BF351" t="str">
        <f>HYPERLINK("http://dx.doi.org/10.17223/19988613/63/12","http://dx.doi.org/10.17223/19988613/63/12")</f>
        <v>http://dx.doi.org/10.17223/19988613/63/12</v>
      </c>
      <c r="BS351" t="s">
        <v>2625</v>
      </c>
      <c r="BT351" t="str">
        <f>HYPERLINK("https%3A%2F%2Fwww.webofscience.com%2Fwos%2Fwoscc%2Ffull-record%2FWOS:000517821700012","View Full Record in Web of Science")</f>
        <v>View Full Record in Web of Science</v>
      </c>
    </row>
    <row r="352" spans="1:72" ht="12.75" customHeight="1" x14ac:dyDescent="0.2">
      <c r="A352" t="s">
        <v>147</v>
      </c>
      <c r="B352" t="s">
        <v>2626</v>
      </c>
      <c r="D352" t="s">
        <v>846</v>
      </c>
      <c r="F352" t="s">
        <v>2627</v>
      </c>
      <c r="I352" t="s">
        <v>2628</v>
      </c>
      <c r="J352" t="s">
        <v>849</v>
      </c>
      <c r="K352" t="s">
        <v>850</v>
      </c>
      <c r="O352" t="s">
        <v>851</v>
      </c>
      <c r="P352" t="s">
        <v>852</v>
      </c>
      <c r="Q352" t="s">
        <v>853</v>
      </c>
      <c r="S352" t="s">
        <v>854</v>
      </c>
      <c r="AA352" t="s">
        <v>2629</v>
      </c>
      <c r="AB352" t="s">
        <v>2630</v>
      </c>
      <c r="AO352" t="s">
        <v>855</v>
      </c>
      <c r="AQ352" t="s">
        <v>856</v>
      </c>
      <c r="AU352">
        <v>2019</v>
      </c>
      <c r="AV352">
        <v>17</v>
      </c>
      <c r="BB352">
        <v>96</v>
      </c>
      <c r="BC352">
        <v>98</v>
      </c>
      <c r="BS352" t="s">
        <v>2631</v>
      </c>
      <c r="BT352" t="str">
        <f>HYPERLINK("https%3A%2F%2Fwww.webofscience.com%2Fwos%2Fwoscc%2Ffull-record%2FWOS:000625435700025","View Full Record in Web of Science")</f>
        <v>View Full Record in Web of Science</v>
      </c>
    </row>
    <row r="353" spans="1:72" ht="12.75" customHeight="1" x14ac:dyDescent="0.2">
      <c r="A353" t="s">
        <v>72</v>
      </c>
      <c r="B353" t="s">
        <v>378</v>
      </c>
      <c r="F353" t="s">
        <v>2100</v>
      </c>
      <c r="I353" t="s">
        <v>2632</v>
      </c>
      <c r="J353" t="s">
        <v>2633</v>
      </c>
      <c r="AO353" t="s">
        <v>2634</v>
      </c>
      <c r="AU353">
        <v>2019</v>
      </c>
      <c r="AV353">
        <v>23</v>
      </c>
      <c r="AW353">
        <v>1</v>
      </c>
      <c r="BB353">
        <v>43</v>
      </c>
      <c r="BC353">
        <v>46</v>
      </c>
      <c r="BE353" t="s">
        <v>2635</v>
      </c>
      <c r="BF353" t="str">
        <f>HYPERLINK("http://dx.doi.org/10.15561/18189172.2019.0107","http://dx.doi.org/10.15561/18189172.2019.0107")</f>
        <v>http://dx.doi.org/10.15561/18189172.2019.0107</v>
      </c>
      <c r="BS353" t="s">
        <v>2636</v>
      </c>
      <c r="BT353" t="str">
        <f>HYPERLINK("https%3A%2F%2Fwww.webofscience.com%2Fwos%2Fwoscc%2Ffull-record%2FWOS:000459821500007","View Full Record in Web of Science")</f>
        <v>View Full Record in Web of Science</v>
      </c>
    </row>
    <row r="354" spans="1:72" ht="12.75" customHeight="1" x14ac:dyDescent="0.2">
      <c r="A354" t="s">
        <v>72</v>
      </c>
      <c r="B354" t="s">
        <v>2637</v>
      </c>
      <c r="F354" t="s">
        <v>2638</v>
      </c>
      <c r="I354" t="s">
        <v>2639</v>
      </c>
      <c r="J354" t="s">
        <v>2640</v>
      </c>
      <c r="AA354" t="s">
        <v>2641</v>
      </c>
      <c r="AB354" t="s">
        <v>2642</v>
      </c>
      <c r="AO354" t="s">
        <v>2643</v>
      </c>
      <c r="AU354">
        <v>2019</v>
      </c>
      <c r="AV354">
        <v>56</v>
      </c>
      <c r="AW354">
        <v>2</v>
      </c>
      <c r="BB354">
        <v>186</v>
      </c>
      <c r="BC354">
        <v>192</v>
      </c>
      <c r="BE354" t="s">
        <v>2644</v>
      </c>
      <c r="BF354" t="str">
        <f>HYPERLINK("http://dx.doi.org/10.26170/FK19-02-25","http://dx.doi.org/10.26170/FK19-02-25")</f>
        <v>http://dx.doi.org/10.26170/FK19-02-25</v>
      </c>
      <c r="BS354" t="s">
        <v>2645</v>
      </c>
      <c r="BT354" t="str">
        <f>HYPERLINK("https%3A%2F%2Fwww.webofscience.com%2Fwos%2Fwoscc%2Ffull-record%2FWOS:000489097600025","View Full Record in Web of Science")</f>
        <v>View Full Record in Web of Science</v>
      </c>
    </row>
    <row r="355" spans="1:72" ht="12.75" customHeight="1" x14ac:dyDescent="0.2">
      <c r="A355" t="s">
        <v>72</v>
      </c>
      <c r="B355" t="s">
        <v>2646</v>
      </c>
      <c r="F355" t="s">
        <v>2647</v>
      </c>
      <c r="I355" t="s">
        <v>2648</v>
      </c>
      <c r="J355" t="s">
        <v>594</v>
      </c>
      <c r="AA355" t="s">
        <v>595</v>
      </c>
      <c r="AB355" t="s">
        <v>596</v>
      </c>
      <c r="AP355" t="s">
        <v>597</v>
      </c>
      <c r="AT355" t="s">
        <v>491</v>
      </c>
      <c r="AU355">
        <v>2018</v>
      </c>
      <c r="AV355">
        <v>8</v>
      </c>
      <c r="AW355">
        <v>6</v>
      </c>
      <c r="BB355">
        <v>283</v>
      </c>
      <c r="BC355">
        <v>293</v>
      </c>
      <c r="BS355" t="s">
        <v>2649</v>
      </c>
      <c r="BT355" t="str">
        <f>HYPERLINK("https%3A%2F%2Fwww.webofscience.com%2Fwos%2Fwoscc%2Ffull-record%2FWOS:000443674500030","View Full Record in Web of Science")</f>
        <v>View Full Record in Web of Science</v>
      </c>
    </row>
    <row r="356" spans="1:72" ht="12.75" customHeight="1" x14ac:dyDescent="0.2">
      <c r="A356" t="s">
        <v>72</v>
      </c>
      <c r="B356" t="s">
        <v>296</v>
      </c>
      <c r="F356" t="s">
        <v>297</v>
      </c>
      <c r="I356" t="s">
        <v>2650</v>
      </c>
      <c r="J356" t="s">
        <v>244</v>
      </c>
      <c r="AA356" t="s">
        <v>299</v>
      </c>
      <c r="AB356" t="s">
        <v>300</v>
      </c>
      <c r="AO356" t="s">
        <v>245</v>
      </c>
      <c r="AP356" t="s">
        <v>246</v>
      </c>
      <c r="AU356">
        <v>2018</v>
      </c>
      <c r="AW356">
        <v>2</v>
      </c>
      <c r="BB356">
        <v>72</v>
      </c>
      <c r="BC356">
        <v>82</v>
      </c>
      <c r="BS356" t="s">
        <v>2651</v>
      </c>
      <c r="BT356" t="str">
        <f>HYPERLINK("https%3A%2F%2Fwww.webofscience.com%2Fwos%2Fwoscc%2Ffull-record%2FWOS:000427548200006","View Full Record in Web of Science")</f>
        <v>View Full Record in Web of Science</v>
      </c>
    </row>
    <row r="357" spans="1:72" ht="12.75" customHeight="1" x14ac:dyDescent="0.2">
      <c r="A357" t="s">
        <v>72</v>
      </c>
      <c r="B357" t="s">
        <v>2621</v>
      </c>
      <c r="F357" t="s">
        <v>2622</v>
      </c>
      <c r="I357" t="s">
        <v>2652</v>
      </c>
      <c r="J357" t="s">
        <v>2653</v>
      </c>
      <c r="AA357" t="s">
        <v>2654</v>
      </c>
      <c r="AB357" t="s">
        <v>2655</v>
      </c>
      <c r="AO357" t="s">
        <v>2656</v>
      </c>
      <c r="AP357" t="s">
        <v>2657</v>
      </c>
      <c r="AU357">
        <v>2018</v>
      </c>
      <c r="AV357">
        <v>20</v>
      </c>
      <c r="AW357">
        <v>2</v>
      </c>
      <c r="BB357">
        <v>23</v>
      </c>
      <c r="BC357">
        <v>37</v>
      </c>
      <c r="BE357" t="s">
        <v>2658</v>
      </c>
      <c r="BF357" t="str">
        <f>HYPERLINK("http://dx.doi.org/10.15826/izv2.2018.20.2.022","http://dx.doi.org/10.15826/izv2.2018.20.2.022")</f>
        <v>http://dx.doi.org/10.15826/izv2.2018.20.2.022</v>
      </c>
      <c r="BS357" t="s">
        <v>2659</v>
      </c>
      <c r="BT357" t="str">
        <f>HYPERLINK("https%3A%2F%2Fwww.webofscience.com%2Fwos%2Fwoscc%2Ffull-record%2FWOS:000468389000002","View Full Record in Web of Science")</f>
        <v>View Full Record in Web of Science</v>
      </c>
    </row>
    <row r="358" spans="1:72" ht="12.75" customHeight="1" x14ac:dyDescent="0.2">
      <c r="A358" t="s">
        <v>72</v>
      </c>
      <c r="B358" t="s">
        <v>2660</v>
      </c>
      <c r="F358" t="s">
        <v>2661</v>
      </c>
      <c r="I358" t="s">
        <v>2662</v>
      </c>
      <c r="J358" t="s">
        <v>2633</v>
      </c>
      <c r="AA358" t="s">
        <v>2663</v>
      </c>
      <c r="AB358" t="s">
        <v>2664</v>
      </c>
      <c r="AO358" t="s">
        <v>2665</v>
      </c>
      <c r="AP358" t="s">
        <v>2634</v>
      </c>
      <c r="AU358">
        <v>2018</v>
      </c>
      <c r="AV358">
        <v>22</v>
      </c>
      <c r="AW358">
        <v>1</v>
      </c>
      <c r="BB358">
        <v>56</v>
      </c>
      <c r="BC358">
        <v>61</v>
      </c>
      <c r="BE358" t="s">
        <v>2666</v>
      </c>
      <c r="BF358" t="str">
        <f>HYPERLINK("http://dx.doi.org/10.15561/18189172.2018.0108","http://dx.doi.org/10.15561/18189172.2018.0108")</f>
        <v>http://dx.doi.org/10.15561/18189172.2018.0108</v>
      </c>
      <c r="BS358" t="s">
        <v>2667</v>
      </c>
      <c r="BT358" t="str">
        <f>HYPERLINK("https%3A%2F%2Fwww.webofscience.com%2Fwos%2Fwoscc%2Ffull-record%2FWOS:000431046900008","View Full Record in Web of Science")</f>
        <v>View Full Record in Web of Science</v>
      </c>
    </row>
    <row r="359" spans="1:72" ht="12.75" customHeight="1" x14ac:dyDescent="0.2">
      <c r="A359" t="s">
        <v>147</v>
      </c>
      <c r="B359" t="s">
        <v>2668</v>
      </c>
      <c r="E359" t="s">
        <v>175</v>
      </c>
      <c r="F359" t="s">
        <v>2669</v>
      </c>
      <c r="I359" t="s">
        <v>2670</v>
      </c>
      <c r="J359" t="s">
        <v>2671</v>
      </c>
      <c r="K359" t="s">
        <v>1576</v>
      </c>
      <c r="O359" t="s">
        <v>2672</v>
      </c>
      <c r="P359" t="s">
        <v>2673</v>
      </c>
      <c r="Q359" t="s">
        <v>2674</v>
      </c>
      <c r="S359" t="s">
        <v>2675</v>
      </c>
      <c r="AA359" t="s">
        <v>1885</v>
      </c>
      <c r="AB359" t="s">
        <v>1886</v>
      </c>
      <c r="AO359" t="s">
        <v>1581</v>
      </c>
      <c r="AU359">
        <v>2017</v>
      </c>
      <c r="AV359">
        <v>90</v>
      </c>
      <c r="BD359">
        <v>12087</v>
      </c>
      <c r="BE359" t="s">
        <v>2676</v>
      </c>
      <c r="BF359" t="str">
        <f>HYPERLINK("http://dx.doi.org/10.1088/1755-1315/90/1/012087","http://dx.doi.org/10.1088/1755-1315/90/1/012087")</f>
        <v>http://dx.doi.org/10.1088/1755-1315/90/1/012087</v>
      </c>
      <c r="BS359" t="s">
        <v>2677</v>
      </c>
      <c r="BT359" t="str">
        <f>HYPERLINK("https%3A%2F%2Fwww.webofscience.com%2Fwos%2Fwoscc%2Ffull-record%2FWOS:000419816700087","View Full Record in Web of Science")</f>
        <v>View Full Record in Web of Science</v>
      </c>
    </row>
    <row r="360" spans="1:72" ht="12.75" customHeight="1" x14ac:dyDescent="0.2">
      <c r="A360" t="s">
        <v>147</v>
      </c>
      <c r="B360" t="s">
        <v>2678</v>
      </c>
      <c r="D360" t="s">
        <v>2011</v>
      </c>
      <c r="F360" t="s">
        <v>2679</v>
      </c>
      <c r="I360" t="s">
        <v>2680</v>
      </c>
      <c r="J360" t="s">
        <v>2014</v>
      </c>
      <c r="K360" t="s">
        <v>390</v>
      </c>
      <c r="O360" t="s">
        <v>2015</v>
      </c>
      <c r="P360" t="s">
        <v>2016</v>
      </c>
      <c r="Q360" t="s">
        <v>1553</v>
      </c>
      <c r="AA360" t="s">
        <v>1694</v>
      </c>
      <c r="AB360" t="s">
        <v>1695</v>
      </c>
      <c r="AO360" t="s">
        <v>395</v>
      </c>
      <c r="AQ360" t="s">
        <v>2019</v>
      </c>
      <c r="AU360">
        <v>2017</v>
      </c>
      <c r="BB360">
        <v>197</v>
      </c>
      <c r="BC360">
        <v>200</v>
      </c>
      <c r="BS360" t="s">
        <v>2681</v>
      </c>
      <c r="BT360" t="str">
        <f>HYPERLINK("https%3A%2F%2Fwww.webofscience.com%2Fwos%2Fwoscc%2Ffull-record%2FWOS:000428759500052","View Full Record in Web of Science")</f>
        <v>View Full Record in Web of Science</v>
      </c>
    </row>
    <row r="361" spans="1:72" ht="12.75" customHeight="1" x14ac:dyDescent="0.2">
      <c r="A361" t="s">
        <v>147</v>
      </c>
      <c r="B361" t="s">
        <v>2682</v>
      </c>
      <c r="E361" t="s">
        <v>210</v>
      </c>
      <c r="F361" t="s">
        <v>2683</v>
      </c>
      <c r="I361" t="s">
        <v>2684</v>
      </c>
      <c r="J361" t="s">
        <v>2685</v>
      </c>
      <c r="K361" t="s">
        <v>2083</v>
      </c>
      <c r="O361" t="s">
        <v>2686</v>
      </c>
      <c r="P361" t="s">
        <v>887</v>
      </c>
      <c r="Q361" t="s">
        <v>888</v>
      </c>
      <c r="R361" t="s">
        <v>2687</v>
      </c>
      <c r="AB361" t="s">
        <v>2688</v>
      </c>
      <c r="AO361" t="s">
        <v>2089</v>
      </c>
      <c r="AU361">
        <v>2017</v>
      </c>
      <c r="BS361" t="s">
        <v>2689</v>
      </c>
      <c r="BT361" t="str">
        <f>HYPERLINK("https%3A%2F%2Fwww.webofscience.com%2Fwos%2Fwoscc%2Ffull-record%2FWOS:000427690500083","View Full Record in Web of Science")</f>
        <v>View Full Record in Web of Science</v>
      </c>
    </row>
    <row r="362" spans="1:72" ht="12.75" customHeight="1" x14ac:dyDescent="0.2">
      <c r="A362" t="s">
        <v>147</v>
      </c>
      <c r="B362" t="s">
        <v>2690</v>
      </c>
      <c r="E362" t="s">
        <v>210</v>
      </c>
      <c r="F362" t="s">
        <v>2691</v>
      </c>
      <c r="I362" t="s">
        <v>2692</v>
      </c>
      <c r="J362" t="s">
        <v>1539</v>
      </c>
      <c r="O362" t="s">
        <v>1540</v>
      </c>
      <c r="P362" t="s">
        <v>1541</v>
      </c>
      <c r="Q362" t="s">
        <v>1542</v>
      </c>
      <c r="R362" t="s">
        <v>1543</v>
      </c>
      <c r="AA362" t="s">
        <v>2024</v>
      </c>
      <c r="AB362" t="s">
        <v>2693</v>
      </c>
      <c r="AQ362" t="s">
        <v>1544</v>
      </c>
      <c r="AU362">
        <v>2016</v>
      </c>
      <c r="BS362" t="s">
        <v>2694</v>
      </c>
      <c r="BT362" t="str">
        <f>HYPERLINK("https%3A%2F%2Fwww.webofscience.com%2Fwos%2Fwoscc%2Ffull-record%2FWOS:000403604400114","View Full Record in Web of Science")</f>
        <v>View Full Record in Web of Science</v>
      </c>
    </row>
    <row r="363" spans="1:72" ht="12.75" customHeight="1" x14ac:dyDescent="0.2">
      <c r="A363" t="s">
        <v>72</v>
      </c>
      <c r="B363" t="s">
        <v>1203</v>
      </c>
      <c r="F363" t="s">
        <v>1204</v>
      </c>
      <c r="I363" t="s">
        <v>2695</v>
      </c>
      <c r="J363" t="s">
        <v>623</v>
      </c>
      <c r="AO363" t="s">
        <v>624</v>
      </c>
      <c r="AP363" t="s">
        <v>1334</v>
      </c>
      <c r="AT363" t="s">
        <v>541</v>
      </c>
      <c r="AU363">
        <v>2011</v>
      </c>
      <c r="AV363">
        <v>85</v>
      </c>
      <c r="AW363">
        <v>1</v>
      </c>
      <c r="BB363">
        <v>136</v>
      </c>
      <c r="BC363">
        <v>140</v>
      </c>
      <c r="BE363" t="s">
        <v>2696</v>
      </c>
      <c r="BF363" t="str">
        <f>HYPERLINK("http://dx.doi.org/10.1134/S0036024411010134","http://dx.doi.org/10.1134/S0036024411010134")</f>
        <v>http://dx.doi.org/10.1134/S0036024411010134</v>
      </c>
      <c r="BS363" t="s">
        <v>2697</v>
      </c>
      <c r="BT363" t="str">
        <f>HYPERLINK("https%3A%2F%2Fwww.webofscience.com%2Fwos%2Fwoscc%2Ffull-record%2FWOS:000288387800025","View Full Record in Web of Science")</f>
        <v>View Full Record in Web of Science</v>
      </c>
    </row>
    <row r="364" spans="1:72" ht="12.75" customHeight="1" x14ac:dyDescent="0.2">
      <c r="A364" t="s">
        <v>72</v>
      </c>
      <c r="B364" t="s">
        <v>2218</v>
      </c>
      <c r="F364" t="s">
        <v>2219</v>
      </c>
      <c r="I364" t="s">
        <v>2698</v>
      </c>
      <c r="J364" t="s">
        <v>244</v>
      </c>
      <c r="AA364" t="s">
        <v>2317</v>
      </c>
      <c r="AO364" t="s">
        <v>245</v>
      </c>
      <c r="AU364">
        <v>2008</v>
      </c>
      <c r="AW364">
        <v>3</v>
      </c>
      <c r="BB364">
        <v>143</v>
      </c>
      <c r="BC364">
        <v>147</v>
      </c>
      <c r="BS364" t="s">
        <v>2699</v>
      </c>
      <c r="BT364" t="str">
        <f>HYPERLINK("https%3A%2F%2Fwww.webofscience.com%2Fwos%2Fwoscc%2Ffull-record%2FWOS:000255228700011","View Full Record in Web of Science")</f>
        <v>View Full Record in Web of Science</v>
      </c>
    </row>
    <row r="365" spans="1:72" ht="12.75" customHeight="1" x14ac:dyDescent="0.2">
      <c r="A365" t="s">
        <v>72</v>
      </c>
      <c r="B365" t="s">
        <v>2700</v>
      </c>
      <c r="F365" t="s">
        <v>2701</v>
      </c>
      <c r="I365" t="s">
        <v>2702</v>
      </c>
      <c r="J365" t="s">
        <v>1905</v>
      </c>
      <c r="O365" t="s">
        <v>2703</v>
      </c>
      <c r="P365" t="s">
        <v>2704</v>
      </c>
      <c r="Q365" t="s">
        <v>2563</v>
      </c>
      <c r="R365" t="s">
        <v>2705</v>
      </c>
      <c r="AA365" t="s">
        <v>1718</v>
      </c>
      <c r="AB365" t="s">
        <v>1719</v>
      </c>
      <c r="AO365" t="s">
        <v>1906</v>
      </c>
      <c r="AP365" t="s">
        <v>1912</v>
      </c>
      <c r="AT365" t="s">
        <v>1173</v>
      </c>
      <c r="AU365">
        <v>2007</v>
      </c>
      <c r="AV365">
        <v>33</v>
      </c>
      <c r="AW365">
        <v>4</v>
      </c>
      <c r="BB365">
        <v>362</v>
      </c>
      <c r="BC365">
        <v>368</v>
      </c>
      <c r="BE365" t="s">
        <v>2706</v>
      </c>
      <c r="BF365" t="str">
        <f>HYPERLINK("http://dx.doi.org/10.1134/S1087659607040104","http://dx.doi.org/10.1134/S1087659607040104")</f>
        <v>http://dx.doi.org/10.1134/S1087659607040104</v>
      </c>
      <c r="BS365" t="s">
        <v>2707</v>
      </c>
      <c r="BT365" t="str">
        <f>HYPERLINK("https%3A%2F%2Fwww.webofscience.com%2Fwos%2Fwoscc%2Ffull-record%2FWOS:000249259800010","View Full Record in Web of Science")</f>
        <v>View Full Record in Web of Science</v>
      </c>
    </row>
    <row r="366" spans="1:72" ht="12.75" customHeight="1" x14ac:dyDescent="0.2">
      <c r="A366" t="s">
        <v>72</v>
      </c>
      <c r="B366" t="s">
        <v>2708</v>
      </c>
      <c r="F366" t="s">
        <v>2709</v>
      </c>
      <c r="I366" t="s">
        <v>2710</v>
      </c>
      <c r="J366" t="s">
        <v>614</v>
      </c>
      <c r="AA366" t="s">
        <v>1718</v>
      </c>
      <c r="AB366" t="s">
        <v>1719</v>
      </c>
      <c r="AO366" t="s">
        <v>617</v>
      </c>
      <c r="AT366" t="s">
        <v>491</v>
      </c>
      <c r="AU366">
        <v>2007</v>
      </c>
      <c r="AV366">
        <v>43</v>
      </c>
      <c r="AW366">
        <v>6</v>
      </c>
      <c r="BB366">
        <v>638</v>
      </c>
      <c r="BC366">
        <v>643</v>
      </c>
      <c r="BE366" t="s">
        <v>2711</v>
      </c>
      <c r="BF366" t="str">
        <f>HYPERLINK("http://dx.doi.org/10.1134/S1023193507060043","http://dx.doi.org/10.1134/S1023193507060043")</f>
        <v>http://dx.doi.org/10.1134/S1023193507060043</v>
      </c>
      <c r="BS366" t="s">
        <v>2712</v>
      </c>
      <c r="BT366" t="str">
        <f>HYPERLINK("https%3A%2F%2Fwww.webofscience.com%2Fwos%2Fwoscc%2Ffull-record%2FWOS:000247977600004","View Full Record in Web of Science")</f>
        <v>View Full Record in Web of Science</v>
      </c>
    </row>
    <row r="367" spans="1:72" ht="12.75" customHeight="1" x14ac:dyDescent="0.2">
      <c r="A367" t="s">
        <v>72</v>
      </c>
      <c r="B367" t="s">
        <v>2713</v>
      </c>
      <c r="F367" t="s">
        <v>2714</v>
      </c>
      <c r="I367" t="s">
        <v>2715</v>
      </c>
      <c r="J367" t="s">
        <v>244</v>
      </c>
      <c r="AO367" t="s">
        <v>245</v>
      </c>
      <c r="AU367">
        <v>2006</v>
      </c>
      <c r="AW367">
        <v>10</v>
      </c>
      <c r="BB367">
        <v>140</v>
      </c>
      <c r="BC367">
        <v>144</v>
      </c>
      <c r="BS367" t="s">
        <v>2716</v>
      </c>
      <c r="BT367" t="str">
        <f>HYPERLINK("https%3A%2F%2Fwww.webofscience.com%2Fwos%2Fwoscc%2Ffull-record%2FWOS:000241852800011","View Full Record in Web of Science")</f>
        <v>View Full Record in Web of Science</v>
      </c>
    </row>
    <row r="368" spans="1:72" ht="12.75" customHeight="1" x14ac:dyDescent="0.2">
      <c r="A368" t="s">
        <v>1342</v>
      </c>
      <c r="B368" t="s">
        <v>2717</v>
      </c>
      <c r="D368" t="s">
        <v>1344</v>
      </c>
      <c r="F368" t="s">
        <v>2718</v>
      </c>
      <c r="I368" t="s">
        <v>2719</v>
      </c>
      <c r="J368" t="s">
        <v>1347</v>
      </c>
      <c r="K368" t="s">
        <v>1348</v>
      </c>
      <c r="AO368" t="s">
        <v>1349</v>
      </c>
      <c r="AP368" t="s">
        <v>1350</v>
      </c>
      <c r="AQ368" t="s">
        <v>1351</v>
      </c>
      <c r="AU368">
        <v>2021</v>
      </c>
      <c r="BB368">
        <v>359</v>
      </c>
      <c r="BC368">
        <v>368</v>
      </c>
      <c r="BE368" t="s">
        <v>2720</v>
      </c>
      <c r="BF368" t="str">
        <f>HYPERLINK("http://dx.doi.org/10.1007/978-3-030-70194-9_36","http://dx.doi.org/10.1007/978-3-030-70194-9_36")</f>
        <v>http://dx.doi.org/10.1007/978-3-030-70194-9_36</v>
      </c>
      <c r="BG368" t="s">
        <v>1353</v>
      </c>
      <c r="BS368" t="s">
        <v>2721</v>
      </c>
      <c r="BT368" t="str">
        <f>HYPERLINK("https%3A%2F%2Fwww.webofscience.com%2Fwos%2Fwoscc%2Ffull-record%2FWOS:000849737100035","View Full Record in Web of Science")</f>
        <v>View Full Record in Web of Science</v>
      </c>
    </row>
    <row r="369" spans="1:72" ht="12.75" customHeight="1" x14ac:dyDescent="0.2">
      <c r="A369" t="s">
        <v>147</v>
      </c>
      <c r="B369" t="s">
        <v>568</v>
      </c>
      <c r="E369" t="s">
        <v>210</v>
      </c>
      <c r="F369" t="s">
        <v>569</v>
      </c>
      <c r="I369" t="s">
        <v>2722</v>
      </c>
      <c r="J369" t="s">
        <v>1053</v>
      </c>
      <c r="K369" t="s">
        <v>743</v>
      </c>
      <c r="O369" t="s">
        <v>744</v>
      </c>
      <c r="P369" t="s">
        <v>1054</v>
      </c>
      <c r="Q369" t="s">
        <v>256</v>
      </c>
      <c r="R369" t="s">
        <v>1055</v>
      </c>
      <c r="S369" t="s">
        <v>257</v>
      </c>
      <c r="AA369" t="s">
        <v>2723</v>
      </c>
      <c r="AB369" t="s">
        <v>2724</v>
      </c>
      <c r="AO369" t="s">
        <v>748</v>
      </c>
      <c r="AQ369" t="s">
        <v>1058</v>
      </c>
      <c r="AU369">
        <v>2021</v>
      </c>
      <c r="BE369" t="s">
        <v>2725</v>
      </c>
      <c r="BF369" t="str">
        <f>HYPERLINK("http://dx.doi.org/10.1109/SIBCON50419.2021.9438931","http://dx.doi.org/10.1109/SIBCON50419.2021.9438931")</f>
        <v>http://dx.doi.org/10.1109/SIBCON50419.2021.9438931</v>
      </c>
      <c r="BS369" t="s">
        <v>2726</v>
      </c>
      <c r="BT369" t="str">
        <f>HYPERLINK("https%3A%2F%2Fwww.webofscience.com%2Fwos%2Fwoscc%2Ffull-record%2FWOS:000680842100079","View Full Record in Web of Science")</f>
        <v>View Full Record in Web of Science</v>
      </c>
    </row>
    <row r="370" spans="1:72" ht="12.75" customHeight="1" x14ac:dyDescent="0.2">
      <c r="A370" t="s">
        <v>72</v>
      </c>
      <c r="B370" t="s">
        <v>2727</v>
      </c>
      <c r="F370" t="s">
        <v>2728</v>
      </c>
      <c r="I370" t="s">
        <v>2729</v>
      </c>
      <c r="J370" t="s">
        <v>131</v>
      </c>
      <c r="AA370" t="s">
        <v>2730</v>
      </c>
      <c r="AB370" t="s">
        <v>2731</v>
      </c>
      <c r="AO370" t="s">
        <v>134</v>
      </c>
      <c r="AP370" t="s">
        <v>135</v>
      </c>
      <c r="AU370">
        <v>2020</v>
      </c>
      <c r="AV370">
        <v>20</v>
      </c>
      <c r="AW370">
        <v>1</v>
      </c>
      <c r="BB370">
        <v>82</v>
      </c>
      <c r="BC370">
        <v>88</v>
      </c>
      <c r="BE370" t="s">
        <v>2732</v>
      </c>
      <c r="BF370" t="str">
        <f>HYPERLINK("http://dx.doi.org/10.14529/hsm200110","http://dx.doi.org/10.14529/hsm200110")</f>
        <v>http://dx.doi.org/10.14529/hsm200110</v>
      </c>
      <c r="BS370" t="s">
        <v>2733</v>
      </c>
      <c r="BT370" t="str">
        <f>HYPERLINK("https%3A%2F%2Fwww.webofscience.com%2Fwos%2Fwoscc%2Ffull-record%2FWOS:000539044700010","View Full Record in Web of Science")</f>
        <v>View Full Record in Web of Science</v>
      </c>
    </row>
    <row r="371" spans="1:72" ht="12.75" customHeight="1" x14ac:dyDescent="0.2">
      <c r="A371" t="s">
        <v>72</v>
      </c>
      <c r="B371" t="s">
        <v>2734</v>
      </c>
      <c r="F371" t="s">
        <v>2735</v>
      </c>
      <c r="I371" t="s">
        <v>2736</v>
      </c>
      <c r="J371" t="s">
        <v>244</v>
      </c>
      <c r="AB371" t="s">
        <v>2737</v>
      </c>
      <c r="AO371" t="s">
        <v>245</v>
      </c>
      <c r="AP371" t="s">
        <v>246</v>
      </c>
      <c r="AU371">
        <v>2020</v>
      </c>
      <c r="AW371">
        <v>12</v>
      </c>
      <c r="AX371">
        <v>1</v>
      </c>
      <c r="BB371">
        <v>237</v>
      </c>
      <c r="BC371">
        <v>245</v>
      </c>
      <c r="BE371" t="s">
        <v>2738</v>
      </c>
      <c r="BF371" t="str">
        <f>HYPERLINK("http://dx.doi.org/10.31166/VoprosyIstorii202012Statyi19","http://dx.doi.org/10.31166/VoprosyIstorii202012Statyi19")</f>
        <v>http://dx.doi.org/10.31166/VoprosyIstorii202012Statyi19</v>
      </c>
      <c r="BS371" t="s">
        <v>2739</v>
      </c>
      <c r="BT371" t="str">
        <f>HYPERLINK("https%3A%2F%2Fwww.webofscience.com%2Fwos%2Fwoscc%2Ffull-record%2FWOS:000618381400019","View Full Record in Web of Science")</f>
        <v>View Full Record in Web of Science</v>
      </c>
    </row>
    <row r="372" spans="1:72" ht="12.75" customHeight="1" x14ac:dyDescent="0.2">
      <c r="A372" t="s">
        <v>147</v>
      </c>
      <c r="B372" t="s">
        <v>581</v>
      </c>
      <c r="E372" t="s">
        <v>1465</v>
      </c>
      <c r="F372" t="s">
        <v>582</v>
      </c>
      <c r="I372" t="s">
        <v>2740</v>
      </c>
      <c r="J372" t="s">
        <v>1618</v>
      </c>
      <c r="K372" t="s">
        <v>1469</v>
      </c>
      <c r="O372" t="s">
        <v>1619</v>
      </c>
      <c r="P372" t="s">
        <v>1620</v>
      </c>
      <c r="Q372" t="s">
        <v>156</v>
      </c>
      <c r="R372" t="s">
        <v>1621</v>
      </c>
      <c r="AA372" t="s">
        <v>2741</v>
      </c>
      <c r="AB372" t="s">
        <v>1843</v>
      </c>
      <c r="AO372" t="s">
        <v>1472</v>
      </c>
      <c r="AU372">
        <v>2020</v>
      </c>
      <c r="AV372">
        <v>962</v>
      </c>
      <c r="BD372">
        <v>22041</v>
      </c>
      <c r="BE372" t="s">
        <v>2742</v>
      </c>
      <c r="BF372" t="str">
        <f>HYPERLINK("http://dx.doi.org/10.1088/1757-899X/962/2/022041","http://dx.doi.org/10.1088/1757-899X/962/2/022041")</f>
        <v>http://dx.doi.org/10.1088/1757-899X/962/2/022041</v>
      </c>
      <c r="BS372" t="s">
        <v>2743</v>
      </c>
      <c r="BT372" t="str">
        <f>HYPERLINK("https%3A%2F%2Fwww.webofscience.com%2Fwos%2Fwoscc%2Ffull-record%2FWOS:000648432000041","View Full Record in Web of Science")</f>
        <v>View Full Record in Web of Science</v>
      </c>
    </row>
    <row r="373" spans="1:72" ht="12.75" customHeight="1" x14ac:dyDescent="0.2">
      <c r="A373" t="s">
        <v>72</v>
      </c>
      <c r="B373" t="s">
        <v>2744</v>
      </c>
      <c r="F373" t="s">
        <v>2745</v>
      </c>
      <c r="I373" t="s">
        <v>2746</v>
      </c>
      <c r="J373" t="s">
        <v>95</v>
      </c>
      <c r="AO373" t="s">
        <v>98</v>
      </c>
      <c r="AP373" t="s">
        <v>99</v>
      </c>
      <c r="AU373">
        <v>2020</v>
      </c>
      <c r="AW373">
        <v>4</v>
      </c>
      <c r="BB373">
        <v>149</v>
      </c>
      <c r="BC373">
        <v>154</v>
      </c>
      <c r="BE373" t="s">
        <v>2747</v>
      </c>
      <c r="BF373" t="str">
        <f>HYPERLINK("http://dx.doi.org/10.25750/1995-4301-2020-4-149-154","http://dx.doi.org/10.25750/1995-4301-2020-4-149-154")</f>
        <v>http://dx.doi.org/10.25750/1995-4301-2020-4-149-154</v>
      </c>
      <c r="BS373" t="s">
        <v>2748</v>
      </c>
      <c r="BT373" t="str">
        <f>HYPERLINK("https%3A%2F%2Fwww.webofscience.com%2Fwos%2Fwoscc%2Ffull-record%2FWOS:000597810500023","View Full Record in Web of Science")</f>
        <v>View Full Record in Web of Science</v>
      </c>
    </row>
    <row r="374" spans="1:72" ht="12.75" customHeight="1" x14ac:dyDescent="0.2">
      <c r="A374" t="s">
        <v>72</v>
      </c>
      <c r="B374" t="s">
        <v>2749</v>
      </c>
      <c r="F374" t="s">
        <v>2750</v>
      </c>
      <c r="I374" t="s">
        <v>2751</v>
      </c>
      <c r="J374" t="s">
        <v>1635</v>
      </c>
      <c r="AA374" t="s">
        <v>2752</v>
      </c>
      <c r="AB374" t="s">
        <v>2753</v>
      </c>
      <c r="AO374" t="s">
        <v>1636</v>
      </c>
      <c r="AP374" t="s">
        <v>1637</v>
      </c>
      <c r="AT374" t="s">
        <v>1638</v>
      </c>
      <c r="AU374">
        <v>2019</v>
      </c>
      <c r="AV374">
        <v>27</v>
      </c>
      <c r="AW374" t="s">
        <v>1639</v>
      </c>
      <c r="AZ374" t="s">
        <v>339</v>
      </c>
      <c r="BB374">
        <v>173</v>
      </c>
      <c r="BC374">
        <v>179</v>
      </c>
      <c r="BE374" t="s">
        <v>2754</v>
      </c>
      <c r="BF374" t="str">
        <f>HYPERLINK("http://dx.doi.org/10.1108/OTH-07-2019-0034","http://dx.doi.org/10.1108/OTH-07-2019-0034")</f>
        <v>http://dx.doi.org/10.1108/OTH-07-2019-0034</v>
      </c>
      <c r="BS374" t="s">
        <v>2755</v>
      </c>
      <c r="BT374" t="str">
        <f>HYPERLINK("https%3A%2F%2Fwww.webofscience.com%2Fwos%2Fwoscc%2Ffull-record%2FWOS:000491196500007","View Full Record in Web of Science")</f>
        <v>View Full Record in Web of Science</v>
      </c>
    </row>
    <row r="375" spans="1:72" ht="12.75" customHeight="1" x14ac:dyDescent="0.2">
      <c r="A375" t="s">
        <v>72</v>
      </c>
      <c r="B375" t="s">
        <v>2756</v>
      </c>
      <c r="F375" t="s">
        <v>2757</v>
      </c>
      <c r="I375" t="s">
        <v>2758</v>
      </c>
      <c r="J375" t="s">
        <v>2759</v>
      </c>
      <c r="AA375" t="s">
        <v>1402</v>
      </c>
      <c r="AB375" t="s">
        <v>2760</v>
      </c>
      <c r="AO375" t="s">
        <v>2761</v>
      </c>
      <c r="AP375" t="s">
        <v>2762</v>
      </c>
      <c r="AT375" t="s">
        <v>830</v>
      </c>
      <c r="AU375">
        <v>2019</v>
      </c>
      <c r="AV375">
        <v>45</v>
      </c>
      <c r="AW375">
        <v>5</v>
      </c>
      <c r="BB375">
        <v>228</v>
      </c>
      <c r="BC375">
        <v>240</v>
      </c>
      <c r="BE375" t="s">
        <v>2763</v>
      </c>
      <c r="BF375" t="str">
        <f>HYPERLINK("http://dx.doi.org/10.1134/S0361768819050074","http://dx.doi.org/10.1134/S0361768819050074")</f>
        <v>http://dx.doi.org/10.1134/S0361768819050074</v>
      </c>
      <c r="BS375" t="s">
        <v>2764</v>
      </c>
      <c r="BT375" t="str">
        <f>HYPERLINK("https%3A%2F%2Fwww.webofscience.com%2Fwos%2Fwoscc%2Ffull-record%2FWOS:000510646100002","View Full Record in Web of Science")</f>
        <v>View Full Record in Web of Science</v>
      </c>
    </row>
    <row r="376" spans="1:72" ht="12.75" customHeight="1" x14ac:dyDescent="0.2">
      <c r="A376" t="s">
        <v>147</v>
      </c>
      <c r="B376" t="s">
        <v>2765</v>
      </c>
      <c r="C376" t="s">
        <v>1232</v>
      </c>
      <c r="F376" t="s">
        <v>2766</v>
      </c>
      <c r="G376" t="s">
        <v>1232</v>
      </c>
      <c r="I376" t="s">
        <v>2767</v>
      </c>
      <c r="J376" t="s">
        <v>1235</v>
      </c>
      <c r="K376" t="s">
        <v>1236</v>
      </c>
      <c r="O376" t="s">
        <v>1237</v>
      </c>
      <c r="P376" t="s">
        <v>1238</v>
      </c>
      <c r="Q376" t="s">
        <v>910</v>
      </c>
      <c r="R376" t="s">
        <v>1239</v>
      </c>
      <c r="AA376" t="s">
        <v>2768</v>
      </c>
      <c r="AB376" t="s">
        <v>2769</v>
      </c>
      <c r="AO376" t="s">
        <v>1240</v>
      </c>
      <c r="AU376">
        <v>2019</v>
      </c>
      <c r="AV376">
        <v>110</v>
      </c>
      <c r="BD376">
        <v>2005</v>
      </c>
      <c r="BE376" t="s">
        <v>2770</v>
      </c>
      <c r="BF376" t="str">
        <f>HYPERLINK("http://dx.doi.org/10.1051/e3sconf/201911002005","http://dx.doi.org/10.1051/e3sconf/201911002005")</f>
        <v>http://dx.doi.org/10.1051/e3sconf/201911002005</v>
      </c>
      <c r="BS376" t="s">
        <v>2771</v>
      </c>
      <c r="BT376" t="str">
        <f>HYPERLINK("https%3A%2F%2Fwww.webofscience.com%2Fwos%2Fwoscc%2Ffull-record%2FWOS:000569050000094","View Full Record in Web of Science")</f>
        <v>View Full Record in Web of Science</v>
      </c>
    </row>
    <row r="377" spans="1:72" ht="12.75" customHeight="1" x14ac:dyDescent="0.2">
      <c r="A377" t="s">
        <v>72</v>
      </c>
      <c r="B377" t="s">
        <v>698</v>
      </c>
      <c r="F377" t="s">
        <v>699</v>
      </c>
      <c r="I377" t="s">
        <v>2772</v>
      </c>
      <c r="J377" t="s">
        <v>1228</v>
      </c>
      <c r="AO377" t="s">
        <v>1229</v>
      </c>
      <c r="AU377">
        <v>2019</v>
      </c>
      <c r="AV377">
        <v>8</v>
      </c>
      <c r="AW377">
        <v>3</v>
      </c>
      <c r="BB377">
        <v>116</v>
      </c>
      <c r="BC377">
        <v>120</v>
      </c>
      <c r="BS377" t="s">
        <v>2773</v>
      </c>
      <c r="BT377" t="str">
        <f>HYPERLINK("https%3A%2F%2Fwww.webofscience.com%2Fwos%2Fwoscc%2Ffull-record%2FWOS:000464215200015","View Full Record in Web of Science")</f>
        <v>View Full Record in Web of Science</v>
      </c>
    </row>
    <row r="378" spans="1:72" ht="12.75" customHeight="1" x14ac:dyDescent="0.2">
      <c r="A378" t="s">
        <v>72</v>
      </c>
      <c r="B378" t="s">
        <v>2774</v>
      </c>
      <c r="F378" t="s">
        <v>2775</v>
      </c>
      <c r="I378" t="s">
        <v>2776</v>
      </c>
      <c r="J378" t="s">
        <v>650</v>
      </c>
      <c r="AA378" t="s">
        <v>1519</v>
      </c>
      <c r="AB378" t="s">
        <v>1520</v>
      </c>
      <c r="AO378" t="s">
        <v>653</v>
      </c>
      <c r="AP378" t="s">
        <v>654</v>
      </c>
      <c r="AT378" t="s">
        <v>1173</v>
      </c>
      <c r="AU378">
        <v>2018</v>
      </c>
      <c r="AW378">
        <v>8</v>
      </c>
      <c r="BB378">
        <v>777</v>
      </c>
      <c r="BC378">
        <v>782</v>
      </c>
      <c r="BE378" t="s">
        <v>2777</v>
      </c>
      <c r="BF378" t="str">
        <f>HYPERLINK("http://dx.doi.org/10.1134/S0036029518080177","http://dx.doi.org/10.1134/S0036029518080177")</f>
        <v>http://dx.doi.org/10.1134/S0036029518080177</v>
      </c>
      <c r="BS378" t="s">
        <v>2778</v>
      </c>
      <c r="BT378" t="str">
        <f>HYPERLINK("https%3A%2F%2Fwww.webofscience.com%2Fwos%2Fwoscc%2Ffull-record%2FWOS:000454273600016","View Full Record in Web of Science")</f>
        <v>View Full Record in Web of Science</v>
      </c>
    </row>
    <row r="379" spans="1:72" ht="12.75" customHeight="1" x14ac:dyDescent="0.2">
      <c r="A379" t="s">
        <v>72</v>
      </c>
      <c r="B379" t="s">
        <v>2779</v>
      </c>
      <c r="F379" t="s">
        <v>2780</v>
      </c>
      <c r="I379" t="s">
        <v>2781</v>
      </c>
      <c r="J379" t="s">
        <v>1030</v>
      </c>
      <c r="AA379" t="s">
        <v>1402</v>
      </c>
      <c r="AB379" t="s">
        <v>1403</v>
      </c>
      <c r="AO379" t="s">
        <v>1033</v>
      </c>
      <c r="AP379" t="s">
        <v>1034</v>
      </c>
      <c r="AT379" t="s">
        <v>541</v>
      </c>
      <c r="AU379">
        <v>2018</v>
      </c>
      <c r="AV379">
        <v>52</v>
      </c>
      <c r="AW379">
        <v>1</v>
      </c>
      <c r="BB379">
        <v>24</v>
      </c>
      <c r="BC379">
        <v>34</v>
      </c>
      <c r="BE379" t="s">
        <v>2782</v>
      </c>
      <c r="BF379" t="str">
        <f>HYPERLINK("http://dx.doi.org/10.3103/S0005105518010089","http://dx.doi.org/10.3103/S0005105518010089")</f>
        <v>http://dx.doi.org/10.3103/S0005105518010089</v>
      </c>
      <c r="BS379" t="s">
        <v>2783</v>
      </c>
      <c r="BT379" t="str">
        <f>HYPERLINK("https%3A%2F%2Fwww.webofscience.com%2Fwos%2Fwoscc%2Ffull-record%2FWOS:000435445400003","View Full Record in Web of Science")</f>
        <v>View Full Record in Web of Science</v>
      </c>
    </row>
    <row r="380" spans="1:72" ht="12.75" customHeight="1" x14ac:dyDescent="0.2">
      <c r="A380" t="s">
        <v>147</v>
      </c>
      <c r="B380" t="s">
        <v>220</v>
      </c>
      <c r="E380" t="s">
        <v>175</v>
      </c>
      <c r="F380" t="s">
        <v>221</v>
      </c>
      <c r="I380" t="s">
        <v>2784</v>
      </c>
      <c r="J380" t="s">
        <v>885</v>
      </c>
      <c r="K380" t="s">
        <v>179</v>
      </c>
      <c r="O380" t="s">
        <v>886</v>
      </c>
      <c r="P380" t="s">
        <v>887</v>
      </c>
      <c r="Q380" t="s">
        <v>888</v>
      </c>
      <c r="AO380" t="s">
        <v>187</v>
      </c>
      <c r="AP380" t="s">
        <v>188</v>
      </c>
      <c r="AU380">
        <v>2018</v>
      </c>
      <c r="AV380">
        <v>944</v>
      </c>
      <c r="BD380">
        <v>12088</v>
      </c>
      <c r="BE380" t="s">
        <v>2785</v>
      </c>
      <c r="BF380" t="str">
        <f>HYPERLINK("http://dx.doi.org/10.1088/1742-6596/944/1/012088","http://dx.doi.org/10.1088/1742-6596/944/1/012088")</f>
        <v>http://dx.doi.org/10.1088/1742-6596/944/1/012088</v>
      </c>
      <c r="BS380" t="s">
        <v>2786</v>
      </c>
      <c r="BT380" t="str">
        <f>HYPERLINK("https%3A%2F%2Fwww.webofscience.com%2Fwos%2Fwoscc%2Ffull-record%2FWOS:000431622000088","View Full Record in Web of Science")</f>
        <v>View Full Record in Web of Science</v>
      </c>
    </row>
    <row r="381" spans="1:72" ht="12.75" customHeight="1" x14ac:dyDescent="0.2">
      <c r="A381" t="s">
        <v>72</v>
      </c>
      <c r="B381" t="s">
        <v>2787</v>
      </c>
      <c r="F381" t="s">
        <v>2788</v>
      </c>
      <c r="I381" t="s">
        <v>2789</v>
      </c>
      <c r="J381" t="s">
        <v>141</v>
      </c>
      <c r="AA381" t="s">
        <v>2790</v>
      </c>
      <c r="AB381" t="s">
        <v>2791</v>
      </c>
      <c r="AO381" t="s">
        <v>144</v>
      </c>
      <c r="AU381">
        <v>2018</v>
      </c>
      <c r="AW381">
        <v>3</v>
      </c>
      <c r="BB381">
        <v>36</v>
      </c>
      <c r="BC381">
        <v>51</v>
      </c>
      <c r="BE381" t="s">
        <v>2792</v>
      </c>
      <c r="BF381" t="str">
        <f>HYPERLINK("http://dx.doi.org/10.5281/zenodo.2222335","http://dx.doi.org/10.5281/zenodo.2222335")</f>
        <v>http://dx.doi.org/10.5281/zenodo.2222335</v>
      </c>
      <c r="BS381" t="s">
        <v>2793</v>
      </c>
      <c r="BT381" t="str">
        <f>HYPERLINK("https%3A%2F%2Fwww.webofscience.com%2Fwos%2Fwoscc%2Ffull-record%2FWOS:000453865300004","View Full Record in Web of Science")</f>
        <v>View Full Record in Web of Science</v>
      </c>
    </row>
    <row r="382" spans="1:72" ht="12.75" customHeight="1" x14ac:dyDescent="0.2">
      <c r="A382" t="s">
        <v>147</v>
      </c>
      <c r="B382" t="s">
        <v>568</v>
      </c>
      <c r="E382" t="s">
        <v>210</v>
      </c>
      <c r="F382" t="s">
        <v>2012</v>
      </c>
      <c r="I382" t="s">
        <v>2794</v>
      </c>
      <c r="J382" t="s">
        <v>916</v>
      </c>
      <c r="K382" t="s">
        <v>420</v>
      </c>
      <c r="O382" t="s">
        <v>917</v>
      </c>
      <c r="P382" t="s">
        <v>918</v>
      </c>
      <c r="Q382" t="s">
        <v>919</v>
      </c>
      <c r="R382" t="s">
        <v>920</v>
      </c>
      <c r="AA382" t="s">
        <v>2723</v>
      </c>
      <c r="AB382" t="s">
        <v>2724</v>
      </c>
      <c r="AO382" t="s">
        <v>427</v>
      </c>
      <c r="AP382" t="s">
        <v>428</v>
      </c>
      <c r="AQ382" t="s">
        <v>923</v>
      </c>
      <c r="AU382">
        <v>2017</v>
      </c>
      <c r="BS382" t="s">
        <v>2795</v>
      </c>
      <c r="BT382" t="str">
        <f>HYPERLINK("https%3A%2F%2Fwww.webofscience.com%2Fwos%2Fwoscc%2Ffull-record%2FWOS:000426878200134","View Full Record in Web of Science")</f>
        <v>View Full Record in Web of Science</v>
      </c>
    </row>
    <row r="383" spans="1:72" ht="12.75" customHeight="1" x14ac:dyDescent="0.2">
      <c r="A383" t="s">
        <v>147</v>
      </c>
      <c r="B383" t="s">
        <v>416</v>
      </c>
      <c r="E383" t="s">
        <v>210</v>
      </c>
      <c r="F383" t="s">
        <v>417</v>
      </c>
      <c r="I383" t="s">
        <v>2796</v>
      </c>
      <c r="J383" t="s">
        <v>916</v>
      </c>
      <c r="K383" t="s">
        <v>420</v>
      </c>
      <c r="O383" t="s">
        <v>917</v>
      </c>
      <c r="P383" t="s">
        <v>918</v>
      </c>
      <c r="Q383" t="s">
        <v>919</v>
      </c>
      <c r="R383" t="s">
        <v>920</v>
      </c>
      <c r="AA383" t="s">
        <v>425</v>
      </c>
      <c r="AB383" t="s">
        <v>426</v>
      </c>
      <c r="AO383" t="s">
        <v>427</v>
      </c>
      <c r="AP383" t="s">
        <v>428</v>
      </c>
      <c r="AQ383" t="s">
        <v>923</v>
      </c>
      <c r="AU383">
        <v>2017</v>
      </c>
      <c r="BS383" t="s">
        <v>2797</v>
      </c>
      <c r="BT383" t="str">
        <f>HYPERLINK("https%3A%2F%2Fwww.webofscience.com%2Fwos%2Fwoscc%2Ffull-record%2FWOS:000426878200109","View Full Record in Web of Science")</f>
        <v>View Full Record in Web of Science</v>
      </c>
    </row>
    <row r="384" spans="1:72" ht="12.75" customHeight="1" x14ac:dyDescent="0.2">
      <c r="A384" t="s">
        <v>72</v>
      </c>
      <c r="B384" t="s">
        <v>2798</v>
      </c>
      <c r="F384" t="s">
        <v>2799</v>
      </c>
      <c r="I384" t="s">
        <v>2800</v>
      </c>
      <c r="J384" t="s">
        <v>76</v>
      </c>
      <c r="AA384" t="s">
        <v>2801</v>
      </c>
      <c r="AB384" t="s">
        <v>2802</v>
      </c>
      <c r="AO384" t="s">
        <v>77</v>
      </c>
      <c r="AT384" t="s">
        <v>2803</v>
      </c>
      <c r="AU384">
        <v>2016</v>
      </c>
      <c r="AW384">
        <v>2</v>
      </c>
      <c r="BB384">
        <v>61</v>
      </c>
      <c r="BC384">
        <v>75</v>
      </c>
      <c r="BS384" t="s">
        <v>2804</v>
      </c>
      <c r="BT384" t="str">
        <f>HYPERLINK("https%3A%2F%2Fwww.webofscience.com%2Fwos%2Fwoscc%2Ffull-record%2FWOS:000374618600005","View Full Record in Web of Science")</f>
        <v>View Full Record in Web of Science</v>
      </c>
    </row>
    <row r="385" spans="1:72" ht="12.75" customHeight="1" x14ac:dyDescent="0.2">
      <c r="A385" t="s">
        <v>147</v>
      </c>
      <c r="B385" t="s">
        <v>2805</v>
      </c>
      <c r="D385" t="s">
        <v>1547</v>
      </c>
      <c r="F385" t="s">
        <v>2806</v>
      </c>
      <c r="I385" t="s">
        <v>2807</v>
      </c>
      <c r="J385" t="s">
        <v>1550</v>
      </c>
      <c r="K385" t="s">
        <v>390</v>
      </c>
      <c r="O385" t="s">
        <v>1551</v>
      </c>
      <c r="P385" t="s">
        <v>1552</v>
      </c>
      <c r="Q385" t="s">
        <v>1553</v>
      </c>
      <c r="R385" t="s">
        <v>1554</v>
      </c>
      <c r="AA385" t="s">
        <v>921</v>
      </c>
      <c r="AB385" t="s">
        <v>922</v>
      </c>
      <c r="AO385" t="s">
        <v>395</v>
      </c>
      <c r="AQ385" t="s">
        <v>1557</v>
      </c>
      <c r="AU385">
        <v>2016</v>
      </c>
      <c r="BB385">
        <v>226</v>
      </c>
      <c r="BC385">
        <v>229</v>
      </c>
      <c r="BS385" t="s">
        <v>2808</v>
      </c>
      <c r="BT385" t="str">
        <f>HYPERLINK("https%3A%2F%2Fwww.webofscience.com%2Fwos%2Fwoscc%2Ffull-record%2FWOS:000387159800059","View Full Record in Web of Science")</f>
        <v>View Full Record in Web of Science</v>
      </c>
    </row>
    <row r="386" spans="1:72" ht="12.75" customHeight="1" x14ac:dyDescent="0.2">
      <c r="A386" t="s">
        <v>147</v>
      </c>
      <c r="B386" t="s">
        <v>1875</v>
      </c>
      <c r="D386" t="s">
        <v>2809</v>
      </c>
      <c r="F386" t="s">
        <v>2810</v>
      </c>
      <c r="I386" t="s">
        <v>2811</v>
      </c>
      <c r="J386" t="s">
        <v>2812</v>
      </c>
      <c r="K386" t="s">
        <v>907</v>
      </c>
      <c r="O386" t="s">
        <v>2813</v>
      </c>
      <c r="P386" t="s">
        <v>2814</v>
      </c>
      <c r="Q386" t="s">
        <v>2563</v>
      </c>
      <c r="AA386" t="s">
        <v>1885</v>
      </c>
      <c r="AB386" t="s">
        <v>1886</v>
      </c>
      <c r="AO386" t="s">
        <v>912</v>
      </c>
      <c r="AU386">
        <v>2016</v>
      </c>
      <c r="AV386">
        <v>165</v>
      </c>
      <c r="BB386">
        <v>972</v>
      </c>
      <c r="BC386">
        <v>979</v>
      </c>
      <c r="BE386" t="s">
        <v>2815</v>
      </c>
      <c r="BF386" t="str">
        <f>HYPERLINK("http://dx.doi.org/10.1016/j.proeng.2016.11.808","http://dx.doi.org/10.1016/j.proeng.2016.11.808")</f>
        <v>http://dx.doi.org/10.1016/j.proeng.2016.11.808</v>
      </c>
      <c r="BS386" t="s">
        <v>2816</v>
      </c>
      <c r="BT386" t="str">
        <f>HYPERLINK("https%3A%2F%2Fwww.webofscience.com%2Fwos%2Fwoscc%2Ffull-record%2FWOS:000391640800110","View Full Record in Web of Science")</f>
        <v>View Full Record in Web of Science</v>
      </c>
    </row>
    <row r="387" spans="1:72" ht="12.75" customHeight="1" x14ac:dyDescent="0.2">
      <c r="A387" t="s">
        <v>72</v>
      </c>
      <c r="B387" t="s">
        <v>2817</v>
      </c>
      <c r="F387" t="s">
        <v>2818</v>
      </c>
      <c r="I387" t="s">
        <v>2819</v>
      </c>
      <c r="J387" t="s">
        <v>2820</v>
      </c>
      <c r="O387" t="s">
        <v>2821</v>
      </c>
      <c r="P387" t="s">
        <v>2822</v>
      </c>
      <c r="Q387" t="s">
        <v>2823</v>
      </c>
      <c r="S387" t="s">
        <v>2824</v>
      </c>
      <c r="AO387" t="s">
        <v>2825</v>
      </c>
      <c r="AP387" t="s">
        <v>2826</v>
      </c>
      <c r="AT387" t="s">
        <v>403</v>
      </c>
      <c r="AU387">
        <v>2015</v>
      </c>
      <c r="AV387">
        <v>49</v>
      </c>
      <c r="AW387">
        <v>14</v>
      </c>
      <c r="BB387">
        <v>1657</v>
      </c>
      <c r="BC387">
        <v>1666</v>
      </c>
      <c r="BE387" t="s">
        <v>2827</v>
      </c>
      <c r="BF387" t="str">
        <f>HYPERLINK("http://dx.doi.org/10.1134/S0031030115140166","http://dx.doi.org/10.1134/S0031030115140166")</f>
        <v>http://dx.doi.org/10.1134/S0031030115140166</v>
      </c>
      <c r="BS387" t="s">
        <v>2828</v>
      </c>
      <c r="BT387" t="str">
        <f>HYPERLINK("https%3A%2F%2Fwww.webofscience.com%2Fwos%2Fwoscc%2Ffull-record%2FWOS:000367543100016","View Full Record in Web of Science")</f>
        <v>View Full Record in Web of Science</v>
      </c>
    </row>
    <row r="388" spans="1:72" ht="12.75" customHeight="1" x14ac:dyDescent="0.2">
      <c r="A388" t="s">
        <v>147</v>
      </c>
      <c r="B388" t="s">
        <v>2829</v>
      </c>
      <c r="E388" t="s">
        <v>210</v>
      </c>
      <c r="F388" t="s">
        <v>2830</v>
      </c>
      <c r="I388" t="s">
        <v>2831</v>
      </c>
      <c r="J388" t="s">
        <v>2832</v>
      </c>
      <c r="O388" t="s">
        <v>744</v>
      </c>
      <c r="P388" t="s">
        <v>2833</v>
      </c>
      <c r="Q388" t="s">
        <v>888</v>
      </c>
      <c r="R388" t="s">
        <v>2834</v>
      </c>
      <c r="AQ388" t="s">
        <v>2835</v>
      </c>
      <c r="AU388">
        <v>2015</v>
      </c>
      <c r="BS388" t="s">
        <v>2836</v>
      </c>
      <c r="BT388" t="str">
        <f>HYPERLINK("https%3A%2F%2Fwww.webofscience.com%2Fwos%2Fwoscc%2Ffull-record%2FWOS:000380571600167","View Full Record in Web of Science")</f>
        <v>View Full Record in Web of Science</v>
      </c>
    </row>
    <row r="389" spans="1:72" ht="12.75" customHeight="1" x14ac:dyDescent="0.2">
      <c r="A389" t="s">
        <v>72</v>
      </c>
      <c r="B389" t="s">
        <v>2837</v>
      </c>
      <c r="F389" t="s">
        <v>2838</v>
      </c>
      <c r="I389" t="s">
        <v>2839</v>
      </c>
      <c r="J389" t="s">
        <v>244</v>
      </c>
      <c r="AO389" t="s">
        <v>245</v>
      </c>
      <c r="AP389" t="s">
        <v>246</v>
      </c>
      <c r="AU389">
        <v>2015</v>
      </c>
      <c r="AW389">
        <v>12</v>
      </c>
      <c r="BB389">
        <v>3</v>
      </c>
      <c r="BC389">
        <v>18</v>
      </c>
      <c r="BS389" t="s">
        <v>2840</v>
      </c>
      <c r="BT389" t="str">
        <f>HYPERLINK("https%3A%2F%2Fwww.webofscience.com%2Fwos%2Fwoscc%2Ffull-record%2FWOS:000367967600001","View Full Record in Web of Science")</f>
        <v>View Full Record in Web of Science</v>
      </c>
    </row>
    <row r="390" spans="1:72" ht="12.75" customHeight="1" x14ac:dyDescent="0.2">
      <c r="A390" t="s">
        <v>147</v>
      </c>
      <c r="B390" t="s">
        <v>2841</v>
      </c>
      <c r="E390" t="s">
        <v>210</v>
      </c>
      <c r="F390" t="s">
        <v>2842</v>
      </c>
      <c r="I390" t="s">
        <v>2843</v>
      </c>
      <c r="J390" t="s">
        <v>2844</v>
      </c>
      <c r="O390" t="s">
        <v>421</v>
      </c>
      <c r="P390" t="s">
        <v>2845</v>
      </c>
      <c r="Q390" t="s">
        <v>2846</v>
      </c>
      <c r="R390" t="s">
        <v>2847</v>
      </c>
      <c r="AA390" t="s">
        <v>2848</v>
      </c>
      <c r="AB390" t="s">
        <v>2849</v>
      </c>
      <c r="AQ390" t="s">
        <v>2850</v>
      </c>
      <c r="AU390">
        <v>2013</v>
      </c>
      <c r="BS390" t="s">
        <v>2851</v>
      </c>
      <c r="BT390" t="str">
        <f>HYPERLINK("https%3A%2F%2Fwww.webofscience.com%2Fwos%2Fwoscc%2Ffull-record%2FWOS:000332042400059","View Full Record in Web of Science")</f>
        <v>View Full Record in Web of Science</v>
      </c>
    </row>
    <row r="391" spans="1:72" ht="12.75" customHeight="1" x14ac:dyDescent="0.2">
      <c r="A391" t="s">
        <v>72</v>
      </c>
      <c r="B391" t="s">
        <v>986</v>
      </c>
      <c r="F391" t="s">
        <v>987</v>
      </c>
      <c r="I391" t="s">
        <v>2852</v>
      </c>
      <c r="J391" t="s">
        <v>989</v>
      </c>
      <c r="AA391" t="s">
        <v>2853</v>
      </c>
      <c r="AB391" t="s">
        <v>1760</v>
      </c>
      <c r="AO391" t="s">
        <v>992</v>
      </c>
      <c r="AP391" t="s">
        <v>993</v>
      </c>
      <c r="AT391" t="s">
        <v>313</v>
      </c>
      <c r="AU391">
        <v>2009</v>
      </c>
      <c r="AV391">
        <v>86</v>
      </c>
      <c r="AW391" t="s">
        <v>2451</v>
      </c>
      <c r="BB391">
        <v>149</v>
      </c>
      <c r="BC391">
        <v>149</v>
      </c>
      <c r="BE391" t="s">
        <v>2854</v>
      </c>
      <c r="BF391" t="str">
        <f>HYPERLINK("http://dx.doi.org/10.1134/S0001434609070165","http://dx.doi.org/10.1134/S0001434609070165")</f>
        <v>http://dx.doi.org/10.1134/S0001434609070165</v>
      </c>
      <c r="BS391" t="s">
        <v>2855</v>
      </c>
      <c r="BT391" t="str">
        <f>HYPERLINK("https%3A%2F%2Fwww.webofscience.com%2Fwos%2Fwoscc%2Ffull-record%2FWOS:000269660400016","View Full Record in Web of Science")</f>
        <v>View Full Record in Web of Science</v>
      </c>
    </row>
    <row r="392" spans="1:72" ht="12.75" customHeight="1" x14ac:dyDescent="0.2">
      <c r="A392" t="s">
        <v>72</v>
      </c>
      <c r="B392" t="s">
        <v>2856</v>
      </c>
      <c r="F392" t="s">
        <v>2857</v>
      </c>
      <c r="I392" t="s">
        <v>2858</v>
      </c>
      <c r="J392" t="s">
        <v>614</v>
      </c>
      <c r="O392" t="s">
        <v>2859</v>
      </c>
      <c r="P392" t="s">
        <v>2860</v>
      </c>
      <c r="Q392" t="s">
        <v>2861</v>
      </c>
      <c r="S392" t="s">
        <v>2862</v>
      </c>
      <c r="AA392" t="s">
        <v>1718</v>
      </c>
      <c r="AB392" t="s">
        <v>1719</v>
      </c>
      <c r="AO392" t="s">
        <v>617</v>
      </c>
      <c r="AT392" t="s">
        <v>88</v>
      </c>
      <c r="AU392">
        <v>2007</v>
      </c>
      <c r="AV392">
        <v>43</v>
      </c>
      <c r="AW392">
        <v>5</v>
      </c>
      <c r="BB392">
        <v>545</v>
      </c>
      <c r="BC392">
        <v>551</v>
      </c>
      <c r="BE392" t="s">
        <v>2863</v>
      </c>
      <c r="BF392" t="str">
        <f>HYPERLINK("http://dx.doi.org/10.1134/S1023193507050072","http://dx.doi.org/10.1134/S1023193507050072")</f>
        <v>http://dx.doi.org/10.1134/S1023193507050072</v>
      </c>
      <c r="BS392" t="s">
        <v>2864</v>
      </c>
      <c r="BT392" t="str">
        <f>HYPERLINK("https%3A%2F%2Fwww.webofscience.com%2Fwos%2Fwoscc%2Ffull-record%2FWOS:000247212300007","View Full Record in Web of Science")</f>
        <v>View Full Record in Web of Science</v>
      </c>
    </row>
    <row r="393" spans="1:72" ht="12.75" customHeight="1" x14ac:dyDescent="0.2">
      <c r="A393" t="s">
        <v>72</v>
      </c>
      <c r="B393" t="s">
        <v>2865</v>
      </c>
      <c r="F393" t="s">
        <v>2866</v>
      </c>
      <c r="I393" t="s">
        <v>2867</v>
      </c>
      <c r="J393" t="s">
        <v>304</v>
      </c>
      <c r="AO393" t="s">
        <v>77</v>
      </c>
      <c r="AT393" t="s">
        <v>1012</v>
      </c>
      <c r="AU393">
        <v>2006</v>
      </c>
      <c r="AW393">
        <v>5</v>
      </c>
      <c r="BB393">
        <v>86</v>
      </c>
      <c r="BC393">
        <v>91</v>
      </c>
      <c r="BS393" t="s">
        <v>2868</v>
      </c>
      <c r="BT393" t="str">
        <f>HYPERLINK("https%3A%2F%2Fwww.webofscience.com%2Fwos%2Fwoscc%2Ffull-record%2FWOS:000241086700008","View Full Record in Web of Science")</f>
        <v>View Full Record in Web of Science</v>
      </c>
    </row>
    <row r="394" spans="1:72" ht="12.75" customHeight="1" x14ac:dyDescent="0.2">
      <c r="A394" t="s">
        <v>72</v>
      </c>
      <c r="B394" t="s">
        <v>2869</v>
      </c>
      <c r="F394" t="s">
        <v>2869</v>
      </c>
      <c r="I394" t="s">
        <v>2870</v>
      </c>
      <c r="J394" t="s">
        <v>409</v>
      </c>
      <c r="AA394" t="s">
        <v>480</v>
      </c>
      <c r="AB394" t="s">
        <v>481</v>
      </c>
      <c r="AO394" t="s">
        <v>412</v>
      </c>
      <c r="AT394" t="s">
        <v>830</v>
      </c>
      <c r="AU394">
        <v>2004</v>
      </c>
      <c r="AV394">
        <v>77</v>
      </c>
      <c r="AW394">
        <v>9</v>
      </c>
      <c r="BB394">
        <v>1481</v>
      </c>
      <c r="BC394">
        <v>1486</v>
      </c>
      <c r="BE394" t="s">
        <v>2871</v>
      </c>
      <c r="BF394" t="str">
        <f>HYPERLINK("http://dx.doi.org/10.1007/s11167-005-0056-y","http://dx.doi.org/10.1007/s11167-005-0056-y")</f>
        <v>http://dx.doi.org/10.1007/s11167-005-0056-y</v>
      </c>
      <c r="BS394" t="s">
        <v>2872</v>
      </c>
      <c r="BT394" t="str">
        <f>HYPERLINK("https%3A%2F%2Fwww.webofscience.com%2Fwos%2Fwoscc%2Ffull-record%2FWOS:000225845100017","View Full Record in Web of Science")</f>
        <v>View Full Record in Web of Science</v>
      </c>
    </row>
    <row r="395" spans="1:72" ht="12.75" customHeight="1" x14ac:dyDescent="0.2">
      <c r="A395" t="s">
        <v>72</v>
      </c>
      <c r="B395" t="s">
        <v>2287</v>
      </c>
      <c r="F395" t="s">
        <v>2288</v>
      </c>
      <c r="I395" t="s">
        <v>2873</v>
      </c>
      <c r="J395" t="s">
        <v>2290</v>
      </c>
      <c r="AA395" t="s">
        <v>2291</v>
      </c>
      <c r="AB395" t="s">
        <v>2292</v>
      </c>
      <c r="AO395" t="s">
        <v>2293</v>
      </c>
      <c r="AP395" t="s">
        <v>2294</v>
      </c>
      <c r="AT395" t="s">
        <v>2874</v>
      </c>
      <c r="AU395">
        <v>2023</v>
      </c>
      <c r="AV395">
        <v>75</v>
      </c>
      <c r="AW395">
        <v>3</v>
      </c>
      <c r="BB395">
        <v>525</v>
      </c>
      <c r="BC395">
        <v>526</v>
      </c>
      <c r="BD395">
        <v>2181591</v>
      </c>
      <c r="BE395" t="s">
        <v>2875</v>
      </c>
      <c r="BF395" t="str">
        <f>HYPERLINK("http://dx.doi.org/10.1080/09668136.2023.2181591","http://dx.doi.org/10.1080/09668136.2023.2181591")</f>
        <v>http://dx.doi.org/10.1080/09668136.2023.2181591</v>
      </c>
      <c r="BS395" t="s">
        <v>2876</v>
      </c>
      <c r="BT395" t="str">
        <f>HYPERLINK("https%3A%2F%2Fwww.webofscience.com%2Fwos%2Fwoscc%2Ffull-record%2FWOS:000974908800008","View Full Record in Web of Science")</f>
        <v>View Full Record in Web of Science</v>
      </c>
    </row>
    <row r="396" spans="1:72" ht="12.75" customHeight="1" x14ac:dyDescent="0.2">
      <c r="A396" t="s">
        <v>72</v>
      </c>
      <c r="B396" t="s">
        <v>2877</v>
      </c>
      <c r="F396" t="s">
        <v>2878</v>
      </c>
      <c r="I396" t="s">
        <v>2879</v>
      </c>
      <c r="J396" t="s">
        <v>2880</v>
      </c>
      <c r="AO396" t="s">
        <v>2881</v>
      </c>
      <c r="AP396" t="s">
        <v>2882</v>
      </c>
      <c r="AT396" t="s">
        <v>125</v>
      </c>
      <c r="AU396">
        <v>2022</v>
      </c>
      <c r="AV396">
        <v>56</v>
      </c>
      <c r="AW396">
        <v>2</v>
      </c>
      <c r="BB396">
        <v>88</v>
      </c>
      <c r="BC396">
        <v>91</v>
      </c>
      <c r="BE396" t="s">
        <v>2883</v>
      </c>
      <c r="BF396" t="str">
        <f>HYPERLINK("http://dx.doi.org/10.1007/s10527-022-10173-8","http://dx.doi.org/10.1007/s10527-022-10173-8")</f>
        <v>http://dx.doi.org/10.1007/s10527-022-10173-8</v>
      </c>
      <c r="BS396" t="s">
        <v>2884</v>
      </c>
      <c r="BT396" t="str">
        <f>HYPERLINK("https%3A%2F%2Fwww.webofscience.com%2Fwos%2Fwoscc%2Ffull-record%2FWOS:000917953100003","View Full Record in Web of Science")</f>
        <v>View Full Record in Web of Science</v>
      </c>
    </row>
    <row r="397" spans="1:72" ht="12.75" customHeight="1" x14ac:dyDescent="0.2">
      <c r="A397" t="s">
        <v>72</v>
      </c>
      <c r="B397" t="s">
        <v>2885</v>
      </c>
      <c r="F397" t="s">
        <v>2886</v>
      </c>
      <c r="I397" t="s">
        <v>2887</v>
      </c>
      <c r="J397" t="s">
        <v>95</v>
      </c>
      <c r="AO397" t="s">
        <v>98</v>
      </c>
      <c r="AP397" t="s">
        <v>99</v>
      </c>
      <c r="AU397">
        <v>2022</v>
      </c>
      <c r="AW397">
        <v>4</v>
      </c>
      <c r="BB397">
        <v>224</v>
      </c>
      <c r="BC397">
        <v>231</v>
      </c>
      <c r="BE397" t="s">
        <v>2888</v>
      </c>
      <c r="BF397" t="str">
        <f>HYPERLINK("http://dx.doi.org/10.25750/1995-4301-2022-4-224-231","http://dx.doi.org/10.25750/1995-4301-2022-4-224-231")</f>
        <v>http://dx.doi.org/10.25750/1995-4301-2022-4-224-231</v>
      </c>
      <c r="BS397" t="s">
        <v>2889</v>
      </c>
      <c r="BT397" t="str">
        <f>HYPERLINK("https%3A%2F%2Fwww.webofscience.com%2Fwos%2Fwoscc%2Ffull-record%2FWOS:000929704700030","View Full Record in Web of Science")</f>
        <v>View Full Record in Web of Science</v>
      </c>
    </row>
    <row r="398" spans="1:72" ht="12.75" customHeight="1" x14ac:dyDescent="0.2">
      <c r="A398" t="s">
        <v>72</v>
      </c>
      <c r="B398" t="s">
        <v>2287</v>
      </c>
      <c r="F398" t="s">
        <v>2288</v>
      </c>
      <c r="I398" t="s">
        <v>2890</v>
      </c>
      <c r="J398" t="s">
        <v>2290</v>
      </c>
      <c r="AA398" t="s">
        <v>2291</v>
      </c>
      <c r="AB398" t="s">
        <v>2292</v>
      </c>
      <c r="AO398" t="s">
        <v>2293</v>
      </c>
      <c r="AP398" t="s">
        <v>2294</v>
      </c>
      <c r="AT398" t="s">
        <v>2891</v>
      </c>
      <c r="AU398">
        <v>2022</v>
      </c>
      <c r="AV398">
        <v>74</v>
      </c>
      <c r="AW398">
        <v>10</v>
      </c>
      <c r="BB398">
        <v>1769</v>
      </c>
      <c r="BC398">
        <v>1792</v>
      </c>
      <c r="BE398" t="s">
        <v>2892</v>
      </c>
      <c r="BF398" t="str">
        <f>HYPERLINK("http://dx.doi.org/10.1080/09668136.2021.1948972","http://dx.doi.org/10.1080/09668136.2021.1948972")</f>
        <v>http://dx.doi.org/10.1080/09668136.2021.1948972</v>
      </c>
      <c r="BH398" t="s">
        <v>2893</v>
      </c>
      <c r="BS398" t="s">
        <v>2894</v>
      </c>
      <c r="BT398" t="str">
        <f>HYPERLINK("https%3A%2F%2Fwww.webofscience.com%2Fwos%2Fwoscc%2Ffull-record%2FWOS:000674798100001","View Full Record in Web of Science")</f>
        <v>View Full Record in Web of Science</v>
      </c>
    </row>
    <row r="399" spans="1:72" ht="12.75" customHeight="1" x14ac:dyDescent="0.2">
      <c r="A399" t="s">
        <v>72</v>
      </c>
      <c r="B399" t="s">
        <v>296</v>
      </c>
      <c r="F399" t="s">
        <v>297</v>
      </c>
      <c r="I399" t="s">
        <v>2895</v>
      </c>
      <c r="J399" t="s">
        <v>1862</v>
      </c>
      <c r="AA399" t="s">
        <v>299</v>
      </c>
      <c r="AB399" t="s">
        <v>300</v>
      </c>
      <c r="AO399" t="s">
        <v>1863</v>
      </c>
      <c r="AU399">
        <v>2020</v>
      </c>
      <c r="AV399">
        <v>48</v>
      </c>
      <c r="AW399">
        <v>1</v>
      </c>
      <c r="BB399">
        <v>167</v>
      </c>
      <c r="BC399">
        <v>178</v>
      </c>
      <c r="BE399" t="s">
        <v>2896</v>
      </c>
      <c r="BF399" t="str">
        <f>HYPERLINK("http://dx.doi.org/10.17072/2219-3111-2020-1-167-178","http://dx.doi.org/10.17072/2219-3111-2020-1-167-178")</f>
        <v>http://dx.doi.org/10.17072/2219-3111-2020-1-167-178</v>
      </c>
      <c r="BS399" t="s">
        <v>2897</v>
      </c>
      <c r="BT399" t="str">
        <f>HYPERLINK("https%3A%2F%2Fwww.webofscience.com%2Fwos%2Fwoscc%2Ffull-record%2FWOS:000589794700015","View Full Record in Web of Science")</f>
        <v>View Full Record in Web of Science</v>
      </c>
    </row>
    <row r="400" spans="1:72" ht="12.75" customHeight="1" x14ac:dyDescent="0.2">
      <c r="A400" t="s">
        <v>72</v>
      </c>
      <c r="B400" t="s">
        <v>723</v>
      </c>
      <c r="F400" t="s">
        <v>2898</v>
      </c>
      <c r="I400" t="s">
        <v>2899</v>
      </c>
      <c r="J400" t="s">
        <v>244</v>
      </c>
      <c r="AO400" t="s">
        <v>245</v>
      </c>
      <c r="AP400" t="s">
        <v>246</v>
      </c>
      <c r="AU400">
        <v>2020</v>
      </c>
      <c r="AW400">
        <v>10</v>
      </c>
      <c r="AX400">
        <v>4</v>
      </c>
      <c r="BB400">
        <v>184</v>
      </c>
      <c r="BC400">
        <v>195</v>
      </c>
      <c r="BE400" t="s">
        <v>2900</v>
      </c>
      <c r="BF400" t="str">
        <f>HYPERLINK("http://dx.doi.org/10.31166/VoprosyIstorii202010Statyi82","http://dx.doi.org/10.31166/VoprosyIstorii202010Statyi82")</f>
        <v>http://dx.doi.org/10.31166/VoprosyIstorii202010Statyi82</v>
      </c>
      <c r="BS400" t="s">
        <v>2901</v>
      </c>
      <c r="BT400" t="str">
        <f>HYPERLINK("https%3A%2F%2Fwww.webofscience.com%2Fwos%2Fwoscc%2Ffull-record%2FWOS:000605445400019","View Full Record in Web of Science")</f>
        <v>View Full Record in Web of Science</v>
      </c>
    </row>
    <row r="401" spans="1:72" ht="12.75" customHeight="1" x14ac:dyDescent="0.2">
      <c r="A401" t="s">
        <v>147</v>
      </c>
      <c r="B401" t="s">
        <v>1368</v>
      </c>
      <c r="D401" t="s">
        <v>1801</v>
      </c>
      <c r="F401" t="s">
        <v>1369</v>
      </c>
      <c r="I401" t="s">
        <v>2902</v>
      </c>
      <c r="J401" t="s">
        <v>1804</v>
      </c>
      <c r="K401" t="s">
        <v>1805</v>
      </c>
      <c r="O401" t="s">
        <v>1806</v>
      </c>
      <c r="P401" t="s">
        <v>1807</v>
      </c>
      <c r="Q401" t="s">
        <v>1808</v>
      </c>
      <c r="S401" t="s">
        <v>257</v>
      </c>
      <c r="AO401" t="s">
        <v>1809</v>
      </c>
      <c r="AQ401" t="s">
        <v>1810</v>
      </c>
      <c r="AU401">
        <v>2020</v>
      </c>
      <c r="BB401">
        <v>2633</v>
      </c>
      <c r="BC401">
        <v>2646</v>
      </c>
      <c r="BE401" t="s">
        <v>2903</v>
      </c>
      <c r="BF401" t="str">
        <f>HYPERLINK("http://dx.doi.org/10.3897/ap.2.e2633","http://dx.doi.org/10.3897/ap.2.e2633")</f>
        <v>http://dx.doi.org/10.3897/ap.2.e2633</v>
      </c>
      <c r="BS401" t="s">
        <v>2904</v>
      </c>
      <c r="BT401" t="str">
        <f>HYPERLINK("https%3A%2F%2Fwww.webofscience.com%2Fwos%2Fwoscc%2Ffull-record%2FWOS:000671896200205","View Full Record in Web of Science")</f>
        <v>View Full Record in Web of Science</v>
      </c>
    </row>
    <row r="402" spans="1:72" ht="12.75" customHeight="1" x14ac:dyDescent="0.2">
      <c r="A402" t="s">
        <v>72</v>
      </c>
      <c r="B402" t="s">
        <v>378</v>
      </c>
      <c r="F402" t="s">
        <v>1226</v>
      </c>
      <c r="I402" t="s">
        <v>2905</v>
      </c>
      <c r="J402" t="s">
        <v>1652</v>
      </c>
      <c r="AA402" t="s">
        <v>553</v>
      </c>
      <c r="AB402" t="s">
        <v>554</v>
      </c>
      <c r="AO402" t="s">
        <v>1653</v>
      </c>
      <c r="AT402" t="s">
        <v>338</v>
      </c>
      <c r="AU402">
        <v>2019</v>
      </c>
      <c r="AV402">
        <v>13</v>
      </c>
      <c r="AW402">
        <v>3</v>
      </c>
      <c r="BB402">
        <v>971</v>
      </c>
      <c r="BC402">
        <v>973</v>
      </c>
      <c r="BS402" t="s">
        <v>2906</v>
      </c>
      <c r="BT402" t="str">
        <f>HYPERLINK("https%3A%2F%2Fwww.webofscience.com%2Fwos%2Fwoscc%2Ffull-record%2FWOS:000496818300132","View Full Record in Web of Science")</f>
        <v>View Full Record in Web of Science</v>
      </c>
    </row>
    <row r="403" spans="1:72" ht="12.75" customHeight="1" x14ac:dyDescent="0.2">
      <c r="A403" t="s">
        <v>147</v>
      </c>
      <c r="B403" t="s">
        <v>2907</v>
      </c>
      <c r="D403" t="s">
        <v>2908</v>
      </c>
      <c r="F403" t="s">
        <v>2909</v>
      </c>
      <c r="I403" t="s">
        <v>2910</v>
      </c>
      <c r="J403" t="s">
        <v>2911</v>
      </c>
      <c r="K403" t="s">
        <v>2912</v>
      </c>
      <c r="O403" t="s">
        <v>2913</v>
      </c>
      <c r="P403" t="s">
        <v>2914</v>
      </c>
      <c r="Q403" t="s">
        <v>2915</v>
      </c>
      <c r="AO403" t="s">
        <v>2916</v>
      </c>
      <c r="AQ403" t="s">
        <v>2917</v>
      </c>
      <c r="AU403">
        <v>2019</v>
      </c>
      <c r="BB403">
        <v>9564</v>
      </c>
      <c r="BC403">
        <v>9569</v>
      </c>
      <c r="BS403" t="s">
        <v>2918</v>
      </c>
      <c r="BT403" t="str">
        <f>HYPERLINK("https%3A%2F%2Fwww.webofscience.com%2Fwos%2Fwoscc%2Ffull-record%2FWOS:000553304904024","View Full Record in Web of Science")</f>
        <v>View Full Record in Web of Science</v>
      </c>
    </row>
    <row r="404" spans="1:72" ht="12.75" customHeight="1" x14ac:dyDescent="0.2">
      <c r="A404" t="s">
        <v>147</v>
      </c>
      <c r="B404" t="s">
        <v>2919</v>
      </c>
      <c r="D404" t="s">
        <v>249</v>
      </c>
      <c r="F404" t="s">
        <v>2920</v>
      </c>
      <c r="I404" t="s">
        <v>2921</v>
      </c>
      <c r="J404" t="s">
        <v>1371</v>
      </c>
      <c r="O404" t="s">
        <v>1372</v>
      </c>
      <c r="P404" t="s">
        <v>1373</v>
      </c>
      <c r="Q404" t="s">
        <v>256</v>
      </c>
      <c r="S404" t="s">
        <v>257</v>
      </c>
      <c r="AA404" t="s">
        <v>2922</v>
      </c>
      <c r="AB404" t="s">
        <v>2923</v>
      </c>
      <c r="AQ404" t="s">
        <v>1374</v>
      </c>
      <c r="AU404">
        <v>2019</v>
      </c>
      <c r="BB404">
        <v>575</v>
      </c>
      <c r="BC404">
        <v>587</v>
      </c>
      <c r="BE404" t="s">
        <v>2924</v>
      </c>
      <c r="BF404" t="str">
        <f>HYPERLINK("http://dx.doi.org/10.3897/ap.1.e0545","http://dx.doi.org/10.3897/ap.1.e0545")</f>
        <v>http://dx.doi.org/10.3897/ap.1.e0545</v>
      </c>
      <c r="BS404" t="s">
        <v>2925</v>
      </c>
      <c r="BT404" t="str">
        <f>HYPERLINK("https%3A%2F%2Fwww.webofscience.com%2Fwos%2Fwoscc%2Ffull-record%2FWOS:000520005200058","View Full Record in Web of Science")</f>
        <v>View Full Record in Web of Science</v>
      </c>
    </row>
    <row r="405" spans="1:72" ht="12.75" customHeight="1" x14ac:dyDescent="0.2">
      <c r="A405" t="s">
        <v>147</v>
      </c>
      <c r="B405" t="s">
        <v>2926</v>
      </c>
      <c r="D405" t="s">
        <v>2927</v>
      </c>
      <c r="F405" t="s">
        <v>2928</v>
      </c>
      <c r="I405" t="s">
        <v>2929</v>
      </c>
      <c r="J405" t="s">
        <v>2930</v>
      </c>
      <c r="K405" t="s">
        <v>253</v>
      </c>
      <c r="O405" t="s">
        <v>2931</v>
      </c>
      <c r="P405" t="s">
        <v>2932</v>
      </c>
      <c r="Q405" t="s">
        <v>2933</v>
      </c>
      <c r="AA405" t="s">
        <v>2934</v>
      </c>
      <c r="AP405" t="s">
        <v>259</v>
      </c>
      <c r="AU405">
        <v>2019</v>
      </c>
      <c r="AV405">
        <v>67</v>
      </c>
      <c r="BB405">
        <v>567</v>
      </c>
      <c r="BC405">
        <v>573</v>
      </c>
      <c r="BE405" t="s">
        <v>2935</v>
      </c>
      <c r="BF405" t="str">
        <f>HYPERLINK("http://dx.doi.org/10.15405/epsbs.2019.08.03.67","http://dx.doi.org/10.15405/epsbs.2019.08.03.67")</f>
        <v>http://dx.doi.org/10.15405/epsbs.2019.08.03.67</v>
      </c>
      <c r="BS405" t="s">
        <v>2936</v>
      </c>
      <c r="BT405" t="str">
        <f>HYPERLINK("https%3A%2F%2Fwww.webofscience.com%2Fwos%2Fwoscc%2Ffull-record%2FWOS:000582461100067","View Full Record in Web of Science")</f>
        <v>View Full Record in Web of Science</v>
      </c>
    </row>
    <row r="406" spans="1:72" ht="12.75" customHeight="1" x14ac:dyDescent="0.2">
      <c r="A406" t="s">
        <v>72</v>
      </c>
      <c r="B406" t="s">
        <v>2937</v>
      </c>
      <c r="F406" t="s">
        <v>2938</v>
      </c>
      <c r="I406" t="s">
        <v>2939</v>
      </c>
      <c r="J406" t="s">
        <v>141</v>
      </c>
      <c r="AO406" t="s">
        <v>144</v>
      </c>
      <c r="AU406">
        <v>2019</v>
      </c>
      <c r="AW406">
        <v>3</v>
      </c>
      <c r="BB406">
        <v>79</v>
      </c>
      <c r="BC406">
        <v>90</v>
      </c>
      <c r="BE406" t="s">
        <v>2940</v>
      </c>
      <c r="BF406" t="str">
        <f>HYPERLINK("http://dx.doi.org/10.5281/zenodo.3562205","http://dx.doi.org/10.5281/zenodo.3562205")</f>
        <v>http://dx.doi.org/10.5281/zenodo.3562205</v>
      </c>
      <c r="BS406" t="s">
        <v>2941</v>
      </c>
      <c r="BT406" t="str">
        <f>HYPERLINK("https%3A%2F%2Fwww.webofscience.com%2Fwos%2Fwoscc%2Ffull-record%2FWOS:000504406100007","View Full Record in Web of Science")</f>
        <v>View Full Record in Web of Science</v>
      </c>
    </row>
    <row r="407" spans="1:72" ht="12.75" customHeight="1" x14ac:dyDescent="0.2">
      <c r="A407" t="s">
        <v>147</v>
      </c>
      <c r="B407" t="s">
        <v>2942</v>
      </c>
      <c r="D407" t="s">
        <v>2943</v>
      </c>
      <c r="F407" t="s">
        <v>2944</v>
      </c>
      <c r="I407" t="s">
        <v>2945</v>
      </c>
      <c r="J407" t="s">
        <v>2946</v>
      </c>
      <c r="K407" t="s">
        <v>1313</v>
      </c>
      <c r="O407" t="s">
        <v>2672</v>
      </c>
      <c r="P407" t="s">
        <v>2673</v>
      </c>
      <c r="Q407" t="s">
        <v>2674</v>
      </c>
      <c r="S407" t="s">
        <v>2675</v>
      </c>
      <c r="AA407" t="s">
        <v>1885</v>
      </c>
      <c r="AB407" t="s">
        <v>2947</v>
      </c>
      <c r="AO407" t="s">
        <v>1319</v>
      </c>
      <c r="AP407" t="s">
        <v>2948</v>
      </c>
      <c r="AQ407" t="s">
        <v>2949</v>
      </c>
      <c r="AU407">
        <v>2018</v>
      </c>
      <c r="AV407">
        <v>692</v>
      </c>
      <c r="BB407">
        <v>318</v>
      </c>
      <c r="BC407">
        <v>325</v>
      </c>
      <c r="BE407" t="s">
        <v>2950</v>
      </c>
      <c r="BF407" t="str">
        <f>HYPERLINK("http://dx.doi.org/10.1007/978-3-319-70987-1_34","http://dx.doi.org/10.1007/978-3-319-70987-1_34")</f>
        <v>http://dx.doi.org/10.1007/978-3-319-70987-1_34</v>
      </c>
      <c r="BS407" t="s">
        <v>2951</v>
      </c>
      <c r="BT407" t="str">
        <f>HYPERLINK("https%3A%2F%2Fwww.webofscience.com%2Fwos%2Fwoscc%2Ffull-record%2FWOS:000436502300034","View Full Record in Web of Science")</f>
        <v>View Full Record in Web of Science</v>
      </c>
    </row>
    <row r="408" spans="1:72" ht="12.75" customHeight="1" x14ac:dyDescent="0.2">
      <c r="A408" t="s">
        <v>72</v>
      </c>
      <c r="B408" t="s">
        <v>378</v>
      </c>
      <c r="F408" t="s">
        <v>1226</v>
      </c>
      <c r="I408" t="s">
        <v>2952</v>
      </c>
      <c r="J408" t="s">
        <v>1228</v>
      </c>
      <c r="AO408" t="s">
        <v>1229</v>
      </c>
      <c r="AU408">
        <v>2018</v>
      </c>
      <c r="AV408">
        <v>7</v>
      </c>
      <c r="AW408">
        <v>11</v>
      </c>
      <c r="BB408">
        <v>166</v>
      </c>
      <c r="BC408">
        <v>170</v>
      </c>
      <c r="BS408" t="s">
        <v>2953</v>
      </c>
      <c r="BT408" t="str">
        <f>HYPERLINK("https%3A%2F%2Fwww.webofscience.com%2Fwos%2Fwoscc%2Ffull-record%2FWOS:000451688700021","View Full Record in Web of Science")</f>
        <v>View Full Record in Web of Science</v>
      </c>
    </row>
    <row r="409" spans="1:72" ht="12.75" customHeight="1" x14ac:dyDescent="0.2">
      <c r="A409" t="s">
        <v>72</v>
      </c>
      <c r="B409" t="s">
        <v>2621</v>
      </c>
      <c r="F409" t="s">
        <v>2954</v>
      </c>
      <c r="I409" t="s">
        <v>2955</v>
      </c>
      <c r="J409" t="s">
        <v>1862</v>
      </c>
      <c r="AA409" t="s">
        <v>2654</v>
      </c>
      <c r="AB409" t="s">
        <v>2655</v>
      </c>
      <c r="AO409" t="s">
        <v>1863</v>
      </c>
      <c r="AU409">
        <v>2018</v>
      </c>
      <c r="AV409">
        <v>43</v>
      </c>
      <c r="AW409">
        <v>4</v>
      </c>
      <c r="BB409">
        <v>40</v>
      </c>
      <c r="BC409">
        <v>49</v>
      </c>
      <c r="BE409" t="s">
        <v>2956</v>
      </c>
      <c r="BF409" t="str">
        <f>HYPERLINK("http://dx.doi.org/10.17072/2219-3111-2018-4-40-49","http://dx.doi.org/10.17072/2219-3111-2018-4-40-49")</f>
        <v>http://dx.doi.org/10.17072/2219-3111-2018-4-40-49</v>
      </c>
      <c r="BS409" t="s">
        <v>2957</v>
      </c>
      <c r="BT409" t="str">
        <f>HYPERLINK("https%3A%2F%2Fwww.webofscience.com%2Fwos%2Fwoscc%2Ffull-record%2FWOS:000456115100005","View Full Record in Web of Science")</f>
        <v>View Full Record in Web of Science</v>
      </c>
    </row>
    <row r="410" spans="1:72" ht="12.75" customHeight="1" x14ac:dyDescent="0.2">
      <c r="A410" t="s">
        <v>147</v>
      </c>
      <c r="B410" t="s">
        <v>2690</v>
      </c>
      <c r="E410" t="s">
        <v>210</v>
      </c>
      <c r="F410" t="s">
        <v>2691</v>
      </c>
      <c r="I410" t="s">
        <v>2958</v>
      </c>
      <c r="J410" t="s">
        <v>213</v>
      </c>
      <c r="O410" t="s">
        <v>214</v>
      </c>
      <c r="P410" t="s">
        <v>215</v>
      </c>
      <c r="Q410" t="s">
        <v>216</v>
      </c>
      <c r="S410" t="s">
        <v>217</v>
      </c>
      <c r="AA410" t="s">
        <v>2024</v>
      </c>
      <c r="AB410" t="s">
        <v>2693</v>
      </c>
      <c r="AQ410" t="s">
        <v>218</v>
      </c>
      <c r="AU410">
        <v>2018</v>
      </c>
      <c r="BS410" t="s">
        <v>2959</v>
      </c>
      <c r="BT410" t="str">
        <f>HYPERLINK("https%3A%2F%2Fwww.webofscience.com%2Fwos%2Fwoscc%2Ffull-record%2FWOS:000478963800147","View Full Record in Web of Science")</f>
        <v>View Full Record in Web of Science</v>
      </c>
    </row>
    <row r="411" spans="1:72" ht="12.75" customHeight="1" x14ac:dyDescent="0.2">
      <c r="A411" t="s">
        <v>147</v>
      </c>
      <c r="B411" t="s">
        <v>2383</v>
      </c>
      <c r="E411" t="s">
        <v>210</v>
      </c>
      <c r="F411" t="s">
        <v>2384</v>
      </c>
      <c r="I411" t="s">
        <v>2960</v>
      </c>
      <c r="J411" t="s">
        <v>419</v>
      </c>
      <c r="K411" t="s">
        <v>420</v>
      </c>
      <c r="O411" t="s">
        <v>421</v>
      </c>
      <c r="P411" t="s">
        <v>422</v>
      </c>
      <c r="Q411" t="s">
        <v>423</v>
      </c>
      <c r="R411" t="s">
        <v>424</v>
      </c>
      <c r="AA411" t="s">
        <v>2386</v>
      </c>
      <c r="AB411" t="s">
        <v>2387</v>
      </c>
      <c r="AO411" t="s">
        <v>427</v>
      </c>
      <c r="AP411" t="s">
        <v>428</v>
      </c>
      <c r="AQ411" t="s">
        <v>429</v>
      </c>
      <c r="AU411">
        <v>2018</v>
      </c>
      <c r="BS411" t="s">
        <v>2961</v>
      </c>
      <c r="BT411" t="str">
        <f>HYPERLINK("https%3A%2F%2Fwww.webofscience.com%2Fwos%2Fwoscc%2Ffull-record%2FWOS:000517795800124","View Full Record in Web of Science")</f>
        <v>View Full Record in Web of Science</v>
      </c>
    </row>
    <row r="412" spans="1:72" ht="12.75" customHeight="1" x14ac:dyDescent="0.2">
      <c r="A412" t="s">
        <v>72</v>
      </c>
      <c r="B412" t="s">
        <v>2962</v>
      </c>
      <c r="F412" t="s">
        <v>2963</v>
      </c>
      <c r="I412" t="s">
        <v>2964</v>
      </c>
      <c r="J412" t="s">
        <v>244</v>
      </c>
      <c r="AA412" t="s">
        <v>2965</v>
      </c>
      <c r="AB412" t="s">
        <v>2966</v>
      </c>
      <c r="AO412" t="s">
        <v>245</v>
      </c>
      <c r="AP412" t="s">
        <v>246</v>
      </c>
      <c r="AU412">
        <v>2017</v>
      </c>
      <c r="AW412">
        <v>8</v>
      </c>
      <c r="BB412">
        <v>141</v>
      </c>
      <c r="BC412">
        <v>148</v>
      </c>
      <c r="BS412" t="s">
        <v>2967</v>
      </c>
      <c r="BT412" t="str">
        <f>HYPERLINK("https%3A%2F%2Fwww.webofscience.com%2Fwos%2Fwoscc%2Ffull-record%2FWOS:000410460100012","View Full Record in Web of Science")</f>
        <v>View Full Record in Web of Science</v>
      </c>
    </row>
    <row r="413" spans="1:72" ht="12.75" customHeight="1" x14ac:dyDescent="0.2">
      <c r="A413" t="s">
        <v>147</v>
      </c>
      <c r="B413" t="s">
        <v>2968</v>
      </c>
      <c r="E413" t="s">
        <v>210</v>
      </c>
      <c r="F413" t="s">
        <v>2969</v>
      </c>
      <c r="I413" t="s">
        <v>2970</v>
      </c>
      <c r="J413" t="s">
        <v>1539</v>
      </c>
      <c r="O413" t="s">
        <v>1540</v>
      </c>
      <c r="P413" t="s">
        <v>1541</v>
      </c>
      <c r="Q413" t="s">
        <v>1542</v>
      </c>
      <c r="R413" t="s">
        <v>1543</v>
      </c>
      <c r="AA413" t="s">
        <v>142</v>
      </c>
      <c r="AB413" t="s">
        <v>526</v>
      </c>
      <c r="AQ413" t="s">
        <v>1544</v>
      </c>
      <c r="AU413">
        <v>2016</v>
      </c>
      <c r="BS413" t="s">
        <v>2971</v>
      </c>
      <c r="BT413" t="str">
        <f>HYPERLINK("https%3A%2F%2Fwww.webofscience.com%2Fwos%2Fwoscc%2Ffull-record%2FWOS:000403604400157","View Full Record in Web of Science")</f>
        <v>View Full Record in Web of Science</v>
      </c>
    </row>
    <row r="414" spans="1:72" ht="12.75" customHeight="1" x14ac:dyDescent="0.2">
      <c r="A414" t="s">
        <v>147</v>
      </c>
      <c r="B414" t="s">
        <v>2972</v>
      </c>
      <c r="E414" t="s">
        <v>210</v>
      </c>
      <c r="F414" t="s">
        <v>2973</v>
      </c>
      <c r="I414" t="s">
        <v>2974</v>
      </c>
      <c r="J414" t="s">
        <v>2832</v>
      </c>
      <c r="O414" t="s">
        <v>744</v>
      </c>
      <c r="P414" t="s">
        <v>2833</v>
      </c>
      <c r="Q414" t="s">
        <v>888</v>
      </c>
      <c r="R414" t="s">
        <v>2834</v>
      </c>
      <c r="AQ414" t="s">
        <v>2835</v>
      </c>
      <c r="AU414">
        <v>2015</v>
      </c>
      <c r="BS414" t="s">
        <v>2975</v>
      </c>
      <c r="BT414" t="str">
        <f>HYPERLINK("https%3A%2F%2Fwww.webofscience.com%2Fwos%2Fwoscc%2Ffull-record%2FWOS:000380571600294","View Full Record in Web of Science")</f>
        <v>View Full Record in Web of Science</v>
      </c>
    </row>
    <row r="415" spans="1:72" ht="12.75" customHeight="1" x14ac:dyDescent="0.2">
      <c r="A415" t="s">
        <v>147</v>
      </c>
      <c r="B415" t="s">
        <v>568</v>
      </c>
      <c r="E415" t="s">
        <v>210</v>
      </c>
      <c r="F415" t="s">
        <v>569</v>
      </c>
      <c r="I415" t="s">
        <v>2976</v>
      </c>
      <c r="J415" t="s">
        <v>1724</v>
      </c>
      <c r="O415" t="s">
        <v>421</v>
      </c>
      <c r="P415" t="s">
        <v>1725</v>
      </c>
      <c r="Q415" t="s">
        <v>1726</v>
      </c>
      <c r="R415" t="s">
        <v>1727</v>
      </c>
      <c r="AA415" t="s">
        <v>2977</v>
      </c>
      <c r="AB415" t="s">
        <v>2978</v>
      </c>
      <c r="AQ415" t="s">
        <v>1728</v>
      </c>
      <c r="AU415">
        <v>2015</v>
      </c>
      <c r="BS415" t="s">
        <v>2979</v>
      </c>
      <c r="BT415" t="str">
        <f>HYPERLINK("https%3A%2F%2Fwww.webofscience.com%2Fwos%2Fwoscc%2Ffull-record%2FWOS:000382527700060","View Full Record in Web of Science")</f>
        <v>View Full Record in Web of Science</v>
      </c>
    </row>
    <row r="416" spans="1:72" ht="12.75" customHeight="1" x14ac:dyDescent="0.2">
      <c r="A416" t="s">
        <v>147</v>
      </c>
      <c r="B416" t="s">
        <v>1294</v>
      </c>
      <c r="D416" t="s">
        <v>1295</v>
      </c>
      <c r="F416" t="s">
        <v>1296</v>
      </c>
      <c r="I416" t="s">
        <v>2980</v>
      </c>
      <c r="J416" t="s">
        <v>2981</v>
      </c>
      <c r="K416" t="s">
        <v>1299</v>
      </c>
      <c r="O416" t="s">
        <v>2982</v>
      </c>
      <c r="P416" t="s">
        <v>2983</v>
      </c>
      <c r="Q416" t="s">
        <v>2563</v>
      </c>
      <c r="AO416" t="s">
        <v>1500</v>
      </c>
      <c r="AP416" t="s">
        <v>1304</v>
      </c>
      <c r="AQ416" t="s">
        <v>2984</v>
      </c>
      <c r="AU416">
        <v>2014</v>
      </c>
      <c r="AV416">
        <v>8557</v>
      </c>
      <c r="BB416">
        <v>85</v>
      </c>
      <c r="BC416">
        <v>99</v>
      </c>
      <c r="BS416" t="s">
        <v>2985</v>
      </c>
      <c r="BT416" t="str">
        <f>HYPERLINK("https%3A%2F%2Fwww.webofscience.com%2Fwos%2Fwoscc%2Ffull-record%2FWOS:000353450900007","View Full Record in Web of Science")</f>
        <v>View Full Record in Web of Science</v>
      </c>
    </row>
    <row r="417" spans="1:72" ht="12.75" customHeight="1" x14ac:dyDescent="0.2">
      <c r="A417" t="s">
        <v>72</v>
      </c>
      <c r="B417" t="s">
        <v>2986</v>
      </c>
      <c r="F417" t="s">
        <v>2987</v>
      </c>
      <c r="I417" t="s">
        <v>2988</v>
      </c>
      <c r="J417" t="s">
        <v>614</v>
      </c>
      <c r="AA417" t="s">
        <v>615</v>
      </c>
      <c r="AB417" t="s">
        <v>616</v>
      </c>
      <c r="AO417" t="s">
        <v>617</v>
      </c>
      <c r="AT417" t="s">
        <v>125</v>
      </c>
      <c r="AU417">
        <v>2011</v>
      </c>
      <c r="AV417">
        <v>47</v>
      </c>
      <c r="AW417">
        <v>7</v>
      </c>
      <c r="BB417">
        <v>865</v>
      </c>
      <c r="BC417">
        <v>868</v>
      </c>
      <c r="BE417" t="s">
        <v>2989</v>
      </c>
      <c r="BF417" t="str">
        <f>HYPERLINK("http://dx.doi.org/10.1134/S1023193511070068","http://dx.doi.org/10.1134/S1023193511070068")</f>
        <v>http://dx.doi.org/10.1134/S1023193511070068</v>
      </c>
      <c r="BS417" t="s">
        <v>2990</v>
      </c>
      <c r="BT417" t="str">
        <f>HYPERLINK("https%3A%2F%2Fwww.webofscience.com%2Fwos%2Fwoscc%2Ffull-record%2FWOS:000295530300015","View Full Record in Web of Science")</f>
        <v>View Full Record in Web of Science</v>
      </c>
    </row>
    <row r="418" spans="1:72" ht="12.75" customHeight="1" x14ac:dyDescent="0.2">
      <c r="A418" t="s">
        <v>72</v>
      </c>
      <c r="B418" t="s">
        <v>2991</v>
      </c>
      <c r="F418" t="s">
        <v>2991</v>
      </c>
      <c r="I418" t="s">
        <v>2992</v>
      </c>
      <c r="J418" t="s">
        <v>614</v>
      </c>
      <c r="O418" t="s">
        <v>1747</v>
      </c>
      <c r="P418" t="s">
        <v>1748</v>
      </c>
      <c r="Q418" t="s">
        <v>1749</v>
      </c>
      <c r="S418" t="s">
        <v>1750</v>
      </c>
      <c r="AO418" t="s">
        <v>617</v>
      </c>
      <c r="AT418" t="s">
        <v>88</v>
      </c>
      <c r="AU418">
        <v>2003</v>
      </c>
      <c r="AV418">
        <v>39</v>
      </c>
      <c r="AW418">
        <v>5</v>
      </c>
      <c r="BB418">
        <v>487</v>
      </c>
      <c r="BC418">
        <v>494</v>
      </c>
      <c r="BE418" t="s">
        <v>2993</v>
      </c>
      <c r="BF418" t="str">
        <f>HYPERLINK("http://dx.doi.org/10.1023/A:1023816608198","http://dx.doi.org/10.1023/A:1023816608198")</f>
        <v>http://dx.doi.org/10.1023/A:1023816608198</v>
      </c>
      <c r="BS418" t="s">
        <v>2994</v>
      </c>
      <c r="BT418" t="str">
        <f>HYPERLINK("https%3A%2F%2Fwww.webofscience.com%2Fwos%2Fwoscc%2Ffull-record%2FWOS:000183347900008","View Full Record in Web of Science")</f>
        <v>View Full Record in Web of Science</v>
      </c>
    </row>
    <row r="419" spans="1:72" ht="12.75" customHeight="1" x14ac:dyDescent="0.2">
      <c r="A419" t="s">
        <v>72</v>
      </c>
      <c r="B419" t="s">
        <v>2995</v>
      </c>
      <c r="F419" t="s">
        <v>2995</v>
      </c>
      <c r="I419" t="s">
        <v>2996</v>
      </c>
      <c r="J419" t="s">
        <v>311</v>
      </c>
      <c r="AO419" t="s">
        <v>312</v>
      </c>
      <c r="AT419" t="s">
        <v>2803</v>
      </c>
      <c r="AU419">
        <v>1996</v>
      </c>
      <c r="AV419">
        <v>30</v>
      </c>
      <c r="AW419">
        <v>2</v>
      </c>
      <c r="BB419">
        <v>192</v>
      </c>
      <c r="BC419">
        <v>195</v>
      </c>
      <c r="BS419" t="s">
        <v>2997</v>
      </c>
      <c r="BT419" t="str">
        <f>HYPERLINK("https%3A%2F%2Fwww.webofscience.com%2Fwos%2Fwoscc%2Ffull-record%2FWOS:A1996UZ60600014","View Full Record in Web of Science")</f>
        <v>View Full Record in Web of Science</v>
      </c>
    </row>
    <row r="420" spans="1:72" ht="12.75" customHeight="1" x14ac:dyDescent="0.2">
      <c r="A420" t="s">
        <v>72</v>
      </c>
      <c r="B420" t="s">
        <v>2998</v>
      </c>
      <c r="F420" t="s">
        <v>2999</v>
      </c>
      <c r="I420" t="s">
        <v>3000</v>
      </c>
      <c r="J420" t="s">
        <v>1780</v>
      </c>
      <c r="AO420" t="s">
        <v>1783</v>
      </c>
      <c r="AT420" t="s">
        <v>313</v>
      </c>
      <c r="AU420">
        <v>2022</v>
      </c>
      <c r="AW420">
        <v>4</v>
      </c>
      <c r="BB420">
        <v>108</v>
      </c>
      <c r="BC420">
        <v>121</v>
      </c>
      <c r="BE420" t="s">
        <v>3001</v>
      </c>
      <c r="BF420" t="str">
        <f>HYPERLINK("http://dx.doi.org/10.31857/S0201708322040088","http://dx.doi.org/10.31857/S0201708322040088")</f>
        <v>http://dx.doi.org/10.31857/S0201708322040088</v>
      </c>
      <c r="BS420" t="s">
        <v>3002</v>
      </c>
      <c r="BT420" t="str">
        <f>HYPERLINK("https%3A%2F%2Fwww.webofscience.com%2Fwos%2Fwoscc%2Ffull-record%2FWOS:000894195500008","View Full Record in Web of Science")</f>
        <v>View Full Record in Web of Science</v>
      </c>
    </row>
    <row r="421" spans="1:72" ht="12.75" customHeight="1" x14ac:dyDescent="0.2">
      <c r="A421" t="s">
        <v>72</v>
      </c>
      <c r="B421" t="s">
        <v>3003</v>
      </c>
      <c r="F421" t="s">
        <v>3004</v>
      </c>
      <c r="I421" t="s">
        <v>3005</v>
      </c>
      <c r="J421" t="s">
        <v>650</v>
      </c>
      <c r="AA421" t="s">
        <v>3006</v>
      </c>
      <c r="AB421" t="s">
        <v>3007</v>
      </c>
      <c r="AO421" t="s">
        <v>653</v>
      </c>
      <c r="AP421" t="s">
        <v>654</v>
      </c>
      <c r="AT421" t="s">
        <v>655</v>
      </c>
      <c r="AU421">
        <v>2022</v>
      </c>
      <c r="AV421">
        <v>2022</v>
      </c>
      <c r="AW421">
        <v>2</v>
      </c>
      <c r="BB421">
        <v>161</v>
      </c>
      <c r="BC421">
        <v>166</v>
      </c>
      <c r="BE421" t="s">
        <v>3008</v>
      </c>
      <c r="BF421" t="str">
        <f>HYPERLINK("http://dx.doi.org/10.1134/S0036029522020033","http://dx.doi.org/10.1134/S0036029522020033")</f>
        <v>http://dx.doi.org/10.1134/S0036029522020033</v>
      </c>
      <c r="BS421" t="s">
        <v>3009</v>
      </c>
      <c r="BT421" t="str">
        <f>HYPERLINK("https%3A%2F%2Fwww.webofscience.com%2Fwos%2Fwoscc%2Ffull-record%2FWOS:000787803600016","View Full Record in Web of Science")</f>
        <v>View Full Record in Web of Science</v>
      </c>
    </row>
    <row r="422" spans="1:72" ht="12.75" customHeight="1" x14ac:dyDescent="0.2">
      <c r="A422" t="s">
        <v>72</v>
      </c>
      <c r="B422" t="s">
        <v>3010</v>
      </c>
      <c r="F422" t="s">
        <v>3011</v>
      </c>
      <c r="I422" t="s">
        <v>3012</v>
      </c>
      <c r="J422" t="s">
        <v>95</v>
      </c>
      <c r="AO422" t="s">
        <v>98</v>
      </c>
      <c r="AP422" t="s">
        <v>99</v>
      </c>
      <c r="AU422">
        <v>2022</v>
      </c>
      <c r="AW422">
        <v>3</v>
      </c>
      <c r="BB422">
        <v>41</v>
      </c>
      <c r="BC422">
        <v>48</v>
      </c>
      <c r="BE422" t="s">
        <v>3013</v>
      </c>
      <c r="BF422" t="str">
        <f>HYPERLINK("http://dx.doi.org/10.25750/1995-4301-2022-3-041-048","http://dx.doi.org/10.25750/1995-4301-2022-3-041-048")</f>
        <v>http://dx.doi.org/10.25750/1995-4301-2022-3-041-048</v>
      </c>
      <c r="BS422" t="s">
        <v>3014</v>
      </c>
      <c r="BT422" t="str">
        <f>HYPERLINK("https%3A%2F%2Fwww.webofscience.com%2Fwos%2Fwoscc%2Ffull-record%2FWOS:000885393200005","View Full Record in Web of Science")</f>
        <v>View Full Record in Web of Science</v>
      </c>
    </row>
    <row r="423" spans="1:72" ht="12.75" customHeight="1" x14ac:dyDescent="0.2">
      <c r="A423" t="s">
        <v>72</v>
      </c>
      <c r="B423" t="s">
        <v>3015</v>
      </c>
      <c r="F423" t="s">
        <v>3016</v>
      </c>
      <c r="I423" t="s">
        <v>3017</v>
      </c>
      <c r="J423" t="s">
        <v>95</v>
      </c>
      <c r="AA423" t="s">
        <v>3018</v>
      </c>
      <c r="AB423" t="s">
        <v>3019</v>
      </c>
      <c r="AO423" t="s">
        <v>98</v>
      </c>
      <c r="AP423" t="s">
        <v>99</v>
      </c>
      <c r="AU423">
        <v>2022</v>
      </c>
      <c r="AW423">
        <v>3</v>
      </c>
      <c r="BB423">
        <v>103</v>
      </c>
      <c r="BC423">
        <v>109</v>
      </c>
      <c r="BE423" t="s">
        <v>3020</v>
      </c>
      <c r="BF423" t="str">
        <f>HYPERLINK("http://dx.doi.org/10.25750/1995-4301-2022-3-103-109","http://dx.doi.org/10.25750/1995-4301-2022-3-103-109")</f>
        <v>http://dx.doi.org/10.25750/1995-4301-2022-3-103-109</v>
      </c>
      <c r="BS423" t="s">
        <v>3021</v>
      </c>
      <c r="BT423" t="str">
        <f>HYPERLINK("https%3A%2F%2Fwww.webofscience.com%2Fwos%2Fwoscc%2Ffull-record%2FWOS:000885393200013","View Full Record in Web of Science")</f>
        <v>View Full Record in Web of Science</v>
      </c>
    </row>
    <row r="424" spans="1:72" ht="12.75" customHeight="1" x14ac:dyDescent="0.2">
      <c r="A424" t="s">
        <v>72</v>
      </c>
      <c r="B424" t="s">
        <v>3022</v>
      </c>
      <c r="F424" t="s">
        <v>3023</v>
      </c>
      <c r="I424" t="s">
        <v>3024</v>
      </c>
      <c r="J424" t="s">
        <v>668</v>
      </c>
      <c r="AA424" t="s">
        <v>3025</v>
      </c>
      <c r="AB424" t="s">
        <v>3026</v>
      </c>
      <c r="AO424" t="s">
        <v>669</v>
      </c>
      <c r="AP424" t="s">
        <v>670</v>
      </c>
      <c r="AU424">
        <v>2021</v>
      </c>
      <c r="AW424">
        <v>11</v>
      </c>
      <c r="BB424">
        <v>216</v>
      </c>
      <c r="BC424">
        <v>234</v>
      </c>
      <c r="BE424" t="s">
        <v>3027</v>
      </c>
      <c r="BF424" t="str">
        <f>HYPERLINK("http://dx.doi.org/10.24224/2227-1295-2021-11-216-234","http://dx.doi.org/10.24224/2227-1295-2021-11-216-234")</f>
        <v>http://dx.doi.org/10.24224/2227-1295-2021-11-216-234</v>
      </c>
      <c r="BS424" t="s">
        <v>3028</v>
      </c>
      <c r="BT424" t="str">
        <f>HYPERLINK("https%3A%2F%2Fwww.webofscience.com%2Fwos%2Fwoscc%2Ffull-record%2FWOS:000726493300012","View Full Record in Web of Science")</f>
        <v>View Full Record in Web of Science</v>
      </c>
    </row>
    <row r="425" spans="1:72" ht="12.75" customHeight="1" x14ac:dyDescent="0.2">
      <c r="A425" t="s">
        <v>72</v>
      </c>
      <c r="B425" t="s">
        <v>503</v>
      </c>
      <c r="F425" t="s">
        <v>2231</v>
      </c>
      <c r="I425" t="s">
        <v>3029</v>
      </c>
      <c r="J425" t="s">
        <v>661</v>
      </c>
      <c r="AA425" t="s">
        <v>507</v>
      </c>
      <c r="AB425" t="s">
        <v>508</v>
      </c>
      <c r="AO425" t="s">
        <v>662</v>
      </c>
      <c r="AU425">
        <v>2021</v>
      </c>
      <c r="AV425">
        <v>11</v>
      </c>
      <c r="AW425">
        <v>4</v>
      </c>
      <c r="BB425">
        <v>64</v>
      </c>
      <c r="BC425">
        <v>76</v>
      </c>
      <c r="BE425" t="s">
        <v>3030</v>
      </c>
      <c r="BF425" t="str">
        <f>HYPERLINK("http://dx.doi.org/10.17759/psylaw.2021110405","http://dx.doi.org/10.17759/psylaw.2021110405")</f>
        <v>http://dx.doi.org/10.17759/psylaw.2021110405</v>
      </c>
      <c r="BS425" t="s">
        <v>3031</v>
      </c>
      <c r="BT425" t="str">
        <f>HYPERLINK("https%3A%2F%2Fwww.webofscience.com%2Fwos%2Fwoscc%2Ffull-record%2FWOS:000739852400005","View Full Record in Web of Science")</f>
        <v>View Full Record in Web of Science</v>
      </c>
    </row>
    <row r="426" spans="1:72" ht="12.75" customHeight="1" x14ac:dyDescent="0.2">
      <c r="A426" t="s">
        <v>1342</v>
      </c>
      <c r="B426" t="s">
        <v>3032</v>
      </c>
      <c r="D426" t="s">
        <v>1344</v>
      </c>
      <c r="F426" t="s">
        <v>3033</v>
      </c>
      <c r="I426" t="s">
        <v>3034</v>
      </c>
      <c r="J426" t="s">
        <v>1347</v>
      </c>
      <c r="K426" t="s">
        <v>1348</v>
      </c>
      <c r="AO426" t="s">
        <v>1349</v>
      </c>
      <c r="AP426" t="s">
        <v>1350</v>
      </c>
      <c r="AQ426" t="s">
        <v>1351</v>
      </c>
      <c r="AU426">
        <v>2021</v>
      </c>
      <c r="BB426">
        <v>351</v>
      </c>
      <c r="BC426">
        <v>358</v>
      </c>
      <c r="BE426" t="s">
        <v>3035</v>
      </c>
      <c r="BF426" t="str">
        <f>HYPERLINK("http://dx.doi.org/10.1007/978-3-030-70194-9_35","http://dx.doi.org/10.1007/978-3-030-70194-9_35")</f>
        <v>http://dx.doi.org/10.1007/978-3-030-70194-9_35</v>
      </c>
      <c r="BG426" t="s">
        <v>1353</v>
      </c>
      <c r="BS426" t="s">
        <v>3036</v>
      </c>
      <c r="BT426" t="str">
        <f>HYPERLINK("https%3A%2F%2Fwww.webofscience.com%2Fwos%2Fwoscc%2Ffull-record%2FWOS:000849737100034","View Full Record in Web of Science")</f>
        <v>View Full Record in Web of Science</v>
      </c>
    </row>
    <row r="427" spans="1:72" ht="12.75" customHeight="1" x14ac:dyDescent="0.2">
      <c r="A427" t="s">
        <v>72</v>
      </c>
      <c r="B427" t="s">
        <v>3037</v>
      </c>
      <c r="F427" t="s">
        <v>3038</v>
      </c>
      <c r="I427" t="s">
        <v>3039</v>
      </c>
      <c r="J427" t="s">
        <v>95</v>
      </c>
      <c r="AO427" t="s">
        <v>98</v>
      </c>
      <c r="AP427" t="s">
        <v>99</v>
      </c>
      <c r="AU427">
        <v>2021</v>
      </c>
      <c r="AW427">
        <v>4</v>
      </c>
      <c r="BB427">
        <v>58</v>
      </c>
      <c r="BC427">
        <v>63</v>
      </c>
      <c r="BE427" t="s">
        <v>3040</v>
      </c>
      <c r="BF427" t="str">
        <f>HYPERLINK("http://dx.doi.org/10.25750/995-4301-2021-4-058-063","http://dx.doi.org/10.25750/995-4301-2021-4-058-063")</f>
        <v>http://dx.doi.org/10.25750/995-4301-2021-4-058-063</v>
      </c>
      <c r="BS427" t="s">
        <v>3041</v>
      </c>
      <c r="BT427" t="str">
        <f>HYPERLINK("https%3A%2F%2Fwww.webofscience.com%2Fwos%2Fwoscc%2Ffull-record%2FWOS:000755154100008","View Full Record in Web of Science")</f>
        <v>View Full Record in Web of Science</v>
      </c>
    </row>
    <row r="428" spans="1:72" ht="12.75" customHeight="1" x14ac:dyDescent="0.2">
      <c r="A428" t="s">
        <v>72</v>
      </c>
      <c r="B428" t="s">
        <v>3042</v>
      </c>
      <c r="F428" t="s">
        <v>3043</v>
      </c>
      <c r="I428" t="s">
        <v>3044</v>
      </c>
      <c r="J428" t="s">
        <v>716</v>
      </c>
      <c r="AO428" t="s">
        <v>719</v>
      </c>
      <c r="AP428" t="s">
        <v>720</v>
      </c>
      <c r="AT428" t="s">
        <v>655</v>
      </c>
      <c r="AU428">
        <v>2020</v>
      </c>
      <c r="AW428">
        <v>451</v>
      </c>
      <c r="BB428">
        <v>56</v>
      </c>
      <c r="BC428">
        <v>68</v>
      </c>
      <c r="BE428" t="s">
        <v>3045</v>
      </c>
      <c r="BF428" t="str">
        <f>HYPERLINK("http://dx.doi.org/10.17223/15617793/451/8","http://dx.doi.org/10.17223/15617793/451/8")</f>
        <v>http://dx.doi.org/10.17223/15617793/451/8</v>
      </c>
      <c r="BS428" t="s">
        <v>3046</v>
      </c>
      <c r="BT428" t="str">
        <f>HYPERLINK("https%3A%2F%2Fwww.webofscience.com%2Fwos%2Fwoscc%2Ffull-record%2FWOS:000530049500008","View Full Record in Web of Science")</f>
        <v>View Full Record in Web of Science</v>
      </c>
    </row>
    <row r="429" spans="1:72" ht="12.75" customHeight="1" x14ac:dyDescent="0.2">
      <c r="A429" t="s">
        <v>72</v>
      </c>
      <c r="B429" t="s">
        <v>3047</v>
      </c>
      <c r="F429" t="s">
        <v>3048</v>
      </c>
      <c r="I429" t="s">
        <v>3049</v>
      </c>
      <c r="J429" t="s">
        <v>3050</v>
      </c>
      <c r="AO429" t="s">
        <v>3051</v>
      </c>
      <c r="AU429">
        <v>2020</v>
      </c>
      <c r="AV429">
        <v>17</v>
      </c>
      <c r="AW429">
        <v>4</v>
      </c>
      <c r="BB429">
        <v>696</v>
      </c>
      <c r="BC429">
        <v>718</v>
      </c>
      <c r="BE429" t="s">
        <v>3052</v>
      </c>
      <c r="BF429" t="str">
        <f>HYPERLINK("http://dx.doi.org/10.17323/1813-8918-2020-4-696-718","http://dx.doi.org/10.17323/1813-8918-2020-4-696-718")</f>
        <v>http://dx.doi.org/10.17323/1813-8918-2020-4-696-718</v>
      </c>
      <c r="BS429" t="s">
        <v>3053</v>
      </c>
      <c r="BT429" t="str">
        <f>HYPERLINK("https%3A%2F%2Fwww.webofscience.com%2Fwos%2Fwoscc%2Ffull-record%2FWOS:000607584700007","View Full Record in Web of Science")</f>
        <v>View Full Record in Web of Science</v>
      </c>
    </row>
    <row r="430" spans="1:72" ht="12.75" customHeight="1" x14ac:dyDescent="0.2">
      <c r="A430" t="s">
        <v>72</v>
      </c>
      <c r="B430" t="s">
        <v>3054</v>
      </c>
      <c r="F430" t="s">
        <v>3055</v>
      </c>
      <c r="I430" t="s">
        <v>3056</v>
      </c>
      <c r="J430" t="s">
        <v>141</v>
      </c>
      <c r="AA430" t="s">
        <v>3057</v>
      </c>
      <c r="AO430" t="s">
        <v>144</v>
      </c>
      <c r="AU430">
        <v>2020</v>
      </c>
      <c r="AW430">
        <v>4</v>
      </c>
      <c r="BB430">
        <v>69</v>
      </c>
      <c r="BC430">
        <v>77</v>
      </c>
      <c r="BE430" t="s">
        <v>3058</v>
      </c>
      <c r="BF430" t="str">
        <f>HYPERLINK("http://dx.doi.org/10.5281/zenodo.4317048","http://dx.doi.org/10.5281/zenodo.4317048")</f>
        <v>http://dx.doi.org/10.5281/zenodo.4317048</v>
      </c>
      <c r="BS430" t="s">
        <v>3059</v>
      </c>
      <c r="BT430" t="str">
        <f>HYPERLINK("https%3A%2F%2Fwww.webofscience.com%2Fwos%2Fwoscc%2Ffull-record%2FWOS:000599902400007","View Full Record in Web of Science")</f>
        <v>View Full Record in Web of Science</v>
      </c>
    </row>
    <row r="431" spans="1:72" ht="12.75" customHeight="1" x14ac:dyDescent="0.2">
      <c r="A431" t="s">
        <v>72</v>
      </c>
      <c r="B431" t="s">
        <v>3060</v>
      </c>
      <c r="F431" t="s">
        <v>3061</v>
      </c>
      <c r="I431" t="s">
        <v>3062</v>
      </c>
      <c r="J431" t="s">
        <v>861</v>
      </c>
      <c r="AA431" t="s">
        <v>1739</v>
      </c>
      <c r="AO431" t="s">
        <v>864</v>
      </c>
      <c r="AP431" t="s">
        <v>865</v>
      </c>
      <c r="AU431">
        <v>2020</v>
      </c>
      <c r="AV431">
        <v>63</v>
      </c>
      <c r="AW431">
        <v>2</v>
      </c>
      <c r="BB431">
        <v>99</v>
      </c>
      <c r="BC431">
        <v>104</v>
      </c>
      <c r="BE431" t="s">
        <v>3063</v>
      </c>
      <c r="BF431" t="str">
        <f>HYPERLINK("http://dx.doi.org/10.6060/ivkkt.20206302.6055","http://dx.doi.org/10.6060/ivkkt.20206302.6055")</f>
        <v>http://dx.doi.org/10.6060/ivkkt.20206302.6055</v>
      </c>
      <c r="BS431" t="s">
        <v>3064</v>
      </c>
      <c r="BT431" t="str">
        <f>HYPERLINK("https%3A%2F%2Fwww.webofscience.com%2Fwos%2Fwoscc%2Ffull-record%2FWOS:000518856900015","View Full Record in Web of Science")</f>
        <v>View Full Record in Web of Science</v>
      </c>
    </row>
    <row r="432" spans="1:72" ht="12.75" customHeight="1" x14ac:dyDescent="0.2">
      <c r="A432" t="s">
        <v>72</v>
      </c>
      <c r="B432" t="s">
        <v>3065</v>
      </c>
      <c r="F432" t="s">
        <v>3066</v>
      </c>
      <c r="I432" t="s">
        <v>3067</v>
      </c>
      <c r="J432" t="s">
        <v>95</v>
      </c>
      <c r="AA432" t="s">
        <v>3068</v>
      </c>
      <c r="AB432" t="s">
        <v>3069</v>
      </c>
      <c r="AO432" t="s">
        <v>98</v>
      </c>
      <c r="AP432" t="s">
        <v>99</v>
      </c>
      <c r="AU432">
        <v>2019</v>
      </c>
      <c r="AW432">
        <v>2</v>
      </c>
      <c r="BB432">
        <v>143</v>
      </c>
      <c r="BC432">
        <v>148</v>
      </c>
      <c r="BE432" t="s">
        <v>3070</v>
      </c>
      <c r="BF432" t="str">
        <f>HYPERLINK("http://dx.doi.org/10.25750/1995-4301-2019-2-143-148","http://dx.doi.org/10.25750/1995-4301-2019-2-143-148")</f>
        <v>http://dx.doi.org/10.25750/1995-4301-2019-2-143-148</v>
      </c>
      <c r="BS432" t="s">
        <v>3071</v>
      </c>
      <c r="BT432" t="str">
        <f>HYPERLINK("https%3A%2F%2Fwww.webofscience.com%2Fwos%2Fwoscc%2Ffull-record%2FWOS:000477826000018","View Full Record in Web of Science")</f>
        <v>View Full Record in Web of Science</v>
      </c>
    </row>
    <row r="433" spans="1:72" ht="12.75" customHeight="1" x14ac:dyDescent="0.2">
      <c r="A433" t="s">
        <v>147</v>
      </c>
      <c r="B433" t="s">
        <v>3072</v>
      </c>
      <c r="D433" t="s">
        <v>846</v>
      </c>
      <c r="F433" t="s">
        <v>3073</v>
      </c>
      <c r="I433" t="s">
        <v>3074</v>
      </c>
      <c r="J433" t="s">
        <v>849</v>
      </c>
      <c r="K433" t="s">
        <v>850</v>
      </c>
      <c r="O433" t="s">
        <v>851</v>
      </c>
      <c r="P433" t="s">
        <v>852</v>
      </c>
      <c r="Q433" t="s">
        <v>853</v>
      </c>
      <c r="S433" t="s">
        <v>854</v>
      </c>
      <c r="AA433" t="s">
        <v>3075</v>
      </c>
      <c r="AB433" t="s">
        <v>3076</v>
      </c>
      <c r="AO433" t="s">
        <v>855</v>
      </c>
      <c r="AQ433" t="s">
        <v>856</v>
      </c>
      <c r="AU433">
        <v>2019</v>
      </c>
      <c r="AV433">
        <v>17</v>
      </c>
      <c r="BB433">
        <v>147</v>
      </c>
      <c r="BC433">
        <v>149</v>
      </c>
      <c r="BS433" t="s">
        <v>3077</v>
      </c>
      <c r="BT433" t="str">
        <f>HYPERLINK("https%3A%2F%2Fwww.webofscience.com%2Fwos%2Fwoscc%2Ffull-record%2FWOS:000625435700039","View Full Record in Web of Science")</f>
        <v>View Full Record in Web of Science</v>
      </c>
    </row>
    <row r="434" spans="1:72" ht="12.75" customHeight="1" x14ac:dyDescent="0.2">
      <c r="A434" t="s">
        <v>72</v>
      </c>
      <c r="B434" t="s">
        <v>3078</v>
      </c>
      <c r="F434" t="s">
        <v>3079</v>
      </c>
      <c r="I434" t="s">
        <v>3080</v>
      </c>
      <c r="J434" t="s">
        <v>869</v>
      </c>
      <c r="AA434" t="s">
        <v>238</v>
      </c>
      <c r="AB434" t="s">
        <v>239</v>
      </c>
      <c r="AO434" t="s">
        <v>870</v>
      </c>
      <c r="AT434" t="s">
        <v>125</v>
      </c>
      <c r="AU434">
        <v>2018</v>
      </c>
      <c r="AV434">
        <v>19</v>
      </c>
      <c r="AY434">
        <v>2</v>
      </c>
      <c r="BB434">
        <v>3</v>
      </c>
      <c r="BC434">
        <v>7</v>
      </c>
      <c r="BS434" t="s">
        <v>3081</v>
      </c>
      <c r="BT434" t="str">
        <f>HYPERLINK("https%3A%2F%2Fwww.webofscience.com%2Fwos%2Fwoscc%2Ffull-record%2FWOS:000450658500001","View Full Record in Web of Science")</f>
        <v>View Full Record in Web of Science</v>
      </c>
    </row>
    <row r="435" spans="1:72" ht="12.75" customHeight="1" x14ac:dyDescent="0.2">
      <c r="A435" t="s">
        <v>72</v>
      </c>
      <c r="B435" t="s">
        <v>2133</v>
      </c>
      <c r="F435" t="s">
        <v>3082</v>
      </c>
      <c r="I435" t="s">
        <v>3083</v>
      </c>
      <c r="J435" t="s">
        <v>1045</v>
      </c>
      <c r="AA435" t="s">
        <v>1046</v>
      </c>
      <c r="AB435" t="s">
        <v>1047</v>
      </c>
      <c r="AO435" t="s">
        <v>1048</v>
      </c>
      <c r="AP435" t="s">
        <v>1049</v>
      </c>
      <c r="AT435" t="s">
        <v>125</v>
      </c>
      <c r="AU435">
        <v>2018</v>
      </c>
      <c r="AV435">
        <v>45</v>
      </c>
      <c r="AW435">
        <v>3</v>
      </c>
      <c r="BB435">
        <v>128</v>
      </c>
      <c r="BC435">
        <v>134</v>
      </c>
      <c r="BE435" t="s">
        <v>3084</v>
      </c>
      <c r="BF435" t="str">
        <f>HYPERLINK("http://dx.doi.org/10.3103/S0147688218030036","http://dx.doi.org/10.3103/S0147688218030036")</f>
        <v>http://dx.doi.org/10.3103/S0147688218030036</v>
      </c>
      <c r="BS435" t="s">
        <v>3085</v>
      </c>
      <c r="BT435" t="str">
        <f>HYPERLINK("https%3A%2F%2Fwww.webofscience.com%2Fwos%2Fwoscc%2Ffull-record%2FWOS:000449782000002","View Full Record in Web of Science")</f>
        <v>View Full Record in Web of Science</v>
      </c>
    </row>
    <row r="436" spans="1:72" ht="12.75" customHeight="1" x14ac:dyDescent="0.2">
      <c r="A436" t="s">
        <v>72</v>
      </c>
      <c r="B436" t="s">
        <v>3086</v>
      </c>
      <c r="F436" t="s">
        <v>3087</v>
      </c>
      <c r="I436" t="s">
        <v>3088</v>
      </c>
      <c r="J436" t="s">
        <v>2478</v>
      </c>
      <c r="AA436" t="s">
        <v>3089</v>
      </c>
      <c r="AB436" t="s">
        <v>3090</v>
      </c>
      <c r="AO436" t="s">
        <v>2479</v>
      </c>
      <c r="AU436">
        <v>2018</v>
      </c>
      <c r="AV436">
        <v>15</v>
      </c>
      <c r="BB436">
        <v>677</v>
      </c>
      <c r="BC436">
        <v>684</v>
      </c>
      <c r="BE436" t="s">
        <v>3091</v>
      </c>
      <c r="BF436" t="str">
        <f>HYPERLINK("http://dx.doi.org/10.17377/semi.2018.15.053","http://dx.doi.org/10.17377/semi.2018.15.053")</f>
        <v>http://dx.doi.org/10.17377/semi.2018.15.053</v>
      </c>
      <c r="BS436" t="s">
        <v>3092</v>
      </c>
      <c r="BT436" t="str">
        <f>HYPERLINK("https%3A%2F%2Fwww.webofscience.com%2Fwos%2Fwoscc%2Ffull-record%2FWOS:000438412200053","View Full Record in Web of Science")</f>
        <v>View Full Record in Web of Science</v>
      </c>
    </row>
    <row r="437" spans="1:72" ht="12.75" customHeight="1" x14ac:dyDescent="0.2">
      <c r="A437" t="s">
        <v>72</v>
      </c>
      <c r="B437" t="s">
        <v>3093</v>
      </c>
      <c r="F437" t="s">
        <v>3094</v>
      </c>
      <c r="I437" t="s">
        <v>3095</v>
      </c>
      <c r="J437" t="s">
        <v>1131</v>
      </c>
      <c r="AA437" t="s">
        <v>3096</v>
      </c>
      <c r="AB437" t="s">
        <v>3097</v>
      </c>
      <c r="AO437" t="s">
        <v>1132</v>
      </c>
      <c r="AP437" t="s">
        <v>1133</v>
      </c>
      <c r="AU437">
        <v>2018</v>
      </c>
      <c r="AW437">
        <v>1</v>
      </c>
      <c r="BB437">
        <v>30</v>
      </c>
      <c r="BC437">
        <v>32</v>
      </c>
      <c r="BS437" t="s">
        <v>3098</v>
      </c>
      <c r="BT437" t="str">
        <f>HYPERLINK("https%3A%2F%2Fwww.webofscience.com%2Fwos%2Fwoscc%2Ffull-record%2FWOS:000432656200010","View Full Record in Web of Science")</f>
        <v>View Full Record in Web of Science</v>
      </c>
    </row>
    <row r="438" spans="1:72" ht="12.75" customHeight="1" x14ac:dyDescent="0.2">
      <c r="A438" t="s">
        <v>147</v>
      </c>
      <c r="B438" t="s">
        <v>3099</v>
      </c>
      <c r="D438" t="s">
        <v>3100</v>
      </c>
      <c r="F438" t="s">
        <v>3101</v>
      </c>
      <c r="I438" t="s">
        <v>3102</v>
      </c>
      <c r="J438" t="s">
        <v>3103</v>
      </c>
      <c r="K438" t="s">
        <v>1669</v>
      </c>
      <c r="O438" t="s">
        <v>3104</v>
      </c>
      <c r="P438" t="s">
        <v>3105</v>
      </c>
      <c r="Q438" t="s">
        <v>910</v>
      </c>
      <c r="R438" t="s">
        <v>3106</v>
      </c>
      <c r="AA438" t="s">
        <v>3107</v>
      </c>
      <c r="AB438" t="s">
        <v>3108</v>
      </c>
      <c r="AO438" t="s">
        <v>1675</v>
      </c>
      <c r="AP438" t="s">
        <v>1676</v>
      </c>
      <c r="AQ438" t="s">
        <v>3109</v>
      </c>
      <c r="AU438">
        <v>2018</v>
      </c>
      <c r="AV438">
        <v>789</v>
      </c>
      <c r="BB438">
        <v>131</v>
      </c>
      <c r="BC438">
        <v>142</v>
      </c>
      <c r="BE438" t="s">
        <v>3110</v>
      </c>
      <c r="BF438" t="str">
        <f>HYPERLINK("http://dx.doi.org/10.1007/978-3-319-71746-3_12","http://dx.doi.org/10.1007/978-3-319-71746-3_12")</f>
        <v>http://dx.doi.org/10.1007/978-3-319-71746-3_12</v>
      </c>
      <c r="BS438" t="s">
        <v>3111</v>
      </c>
      <c r="BT438" t="str">
        <f>HYPERLINK("https%3A%2F%2Fwww.webofscience.com%2Fwos%2Fwoscc%2Ffull-record%2FWOS:000437301200012","View Full Record in Web of Science")</f>
        <v>View Full Record in Web of Science</v>
      </c>
    </row>
    <row r="439" spans="1:72" ht="12.75" customHeight="1" x14ac:dyDescent="0.2">
      <c r="A439" t="s">
        <v>72</v>
      </c>
      <c r="B439" t="s">
        <v>2287</v>
      </c>
      <c r="F439" t="s">
        <v>2288</v>
      </c>
      <c r="I439" t="s">
        <v>3112</v>
      </c>
      <c r="J439" t="s">
        <v>2290</v>
      </c>
      <c r="AA439" t="s">
        <v>2291</v>
      </c>
      <c r="AB439" t="s">
        <v>2292</v>
      </c>
      <c r="AO439" t="s">
        <v>2293</v>
      </c>
      <c r="AP439" t="s">
        <v>2294</v>
      </c>
      <c r="AU439">
        <v>2018</v>
      </c>
      <c r="AV439">
        <v>70</v>
      </c>
      <c r="AW439">
        <v>7</v>
      </c>
      <c r="BB439">
        <v>1174</v>
      </c>
      <c r="BC439">
        <v>1175</v>
      </c>
      <c r="BE439" t="s">
        <v>3113</v>
      </c>
      <c r="BF439" t="str">
        <f>HYPERLINK("http://dx.doi.org/10.1080/09668136.2018.1503891","http://dx.doi.org/10.1080/09668136.2018.1503891")</f>
        <v>http://dx.doi.org/10.1080/09668136.2018.1503891</v>
      </c>
      <c r="BS439" t="s">
        <v>3114</v>
      </c>
      <c r="BT439" t="str">
        <f>HYPERLINK("https%3A%2F%2Fwww.webofscience.com%2Fwos%2Fwoscc%2Ffull-record%2FWOS:000446581900017","View Full Record in Web of Science")</f>
        <v>View Full Record in Web of Science</v>
      </c>
    </row>
    <row r="440" spans="1:72" ht="12.75" customHeight="1" x14ac:dyDescent="0.2">
      <c r="A440" t="s">
        <v>72</v>
      </c>
      <c r="B440" t="s">
        <v>110</v>
      </c>
      <c r="F440" t="s">
        <v>111</v>
      </c>
      <c r="I440" t="s">
        <v>3115</v>
      </c>
      <c r="J440" t="s">
        <v>113</v>
      </c>
      <c r="AA440" t="s">
        <v>677</v>
      </c>
      <c r="AB440" t="s">
        <v>678</v>
      </c>
      <c r="AO440" t="s">
        <v>116</v>
      </c>
      <c r="AP440" t="s">
        <v>117</v>
      </c>
      <c r="AU440">
        <v>2018</v>
      </c>
      <c r="AV440">
        <v>23</v>
      </c>
      <c r="AW440">
        <v>4</v>
      </c>
      <c r="BB440">
        <v>109</v>
      </c>
      <c r="BC440">
        <v>123</v>
      </c>
      <c r="BE440" t="s">
        <v>3116</v>
      </c>
      <c r="BF440" t="str">
        <f>HYPERLINK("http://dx.doi.org/10.15688/jvolsu4.2018.4.10","http://dx.doi.org/10.15688/jvolsu4.2018.4.10")</f>
        <v>http://dx.doi.org/10.15688/jvolsu4.2018.4.10</v>
      </c>
      <c r="BS440" t="s">
        <v>3117</v>
      </c>
      <c r="BT440" t="str">
        <f>HYPERLINK("https%3A%2F%2Fwww.webofscience.com%2Fwos%2Fwoscc%2Ffull-record%2FWOS:000442951100010","View Full Record in Web of Science")</f>
        <v>View Full Record in Web of Science</v>
      </c>
    </row>
    <row r="441" spans="1:72" ht="12.75" customHeight="1" x14ac:dyDescent="0.2">
      <c r="A441" t="s">
        <v>72</v>
      </c>
      <c r="B441" t="s">
        <v>673</v>
      </c>
      <c r="F441" t="s">
        <v>786</v>
      </c>
      <c r="I441" t="s">
        <v>3118</v>
      </c>
      <c r="J441" t="s">
        <v>76</v>
      </c>
      <c r="AA441" t="s">
        <v>677</v>
      </c>
      <c r="AB441" t="s">
        <v>678</v>
      </c>
      <c r="AO441" t="s">
        <v>77</v>
      </c>
      <c r="AT441" t="s">
        <v>313</v>
      </c>
      <c r="AU441">
        <v>2017</v>
      </c>
      <c r="AW441">
        <v>4</v>
      </c>
      <c r="BB441">
        <v>151</v>
      </c>
      <c r="BC441">
        <v>163</v>
      </c>
      <c r="BS441" t="s">
        <v>3119</v>
      </c>
      <c r="BT441" t="str">
        <f>HYPERLINK("https%3A%2F%2Fwww.webofscience.com%2Fwos%2Fwoscc%2Ffull-record%2FWOS:000408075600011","View Full Record in Web of Science")</f>
        <v>View Full Record in Web of Science</v>
      </c>
    </row>
    <row r="442" spans="1:72" ht="12.75" customHeight="1" x14ac:dyDescent="0.2">
      <c r="A442" t="s">
        <v>147</v>
      </c>
      <c r="B442" t="s">
        <v>3120</v>
      </c>
      <c r="D442" t="s">
        <v>3121</v>
      </c>
      <c r="F442" t="s">
        <v>3122</v>
      </c>
      <c r="I442" t="s">
        <v>3123</v>
      </c>
      <c r="J442" t="s">
        <v>3124</v>
      </c>
      <c r="O442" t="s">
        <v>3125</v>
      </c>
      <c r="P442" t="s">
        <v>3126</v>
      </c>
      <c r="Q442" t="s">
        <v>746</v>
      </c>
      <c r="R442" t="s">
        <v>3127</v>
      </c>
      <c r="AA442" t="s">
        <v>934</v>
      </c>
      <c r="AB442" t="s">
        <v>935</v>
      </c>
      <c r="AQ442" t="s">
        <v>3128</v>
      </c>
      <c r="AU442">
        <v>2017</v>
      </c>
      <c r="BB442">
        <v>135</v>
      </c>
      <c r="BC442">
        <v>139</v>
      </c>
      <c r="BE442" t="s">
        <v>3129</v>
      </c>
      <c r="BF442" t="str">
        <f>HYPERLINK("http://dx.doi.org/10.1109/ICEnT.2017.36","http://dx.doi.org/10.1109/ICEnT.2017.36")</f>
        <v>http://dx.doi.org/10.1109/ICEnT.2017.36</v>
      </c>
      <c r="BS442" t="s">
        <v>3130</v>
      </c>
      <c r="BT442" t="str">
        <f>HYPERLINK("https%3A%2F%2Fwww.webofscience.com%2Fwos%2Fwoscc%2Ffull-record%2FWOS:000427144900030","View Full Record in Web of Science")</f>
        <v>View Full Record in Web of Science</v>
      </c>
    </row>
    <row r="443" spans="1:72" ht="12.75" customHeight="1" x14ac:dyDescent="0.2">
      <c r="A443" t="s">
        <v>147</v>
      </c>
      <c r="B443" t="s">
        <v>2208</v>
      </c>
      <c r="E443" t="s">
        <v>210</v>
      </c>
      <c r="F443" t="s">
        <v>2209</v>
      </c>
      <c r="I443" t="s">
        <v>3131</v>
      </c>
      <c r="J443" t="s">
        <v>1261</v>
      </c>
      <c r="O443" t="s">
        <v>214</v>
      </c>
      <c r="P443" t="s">
        <v>909</v>
      </c>
      <c r="Q443" t="s">
        <v>910</v>
      </c>
      <c r="R443" t="s">
        <v>1262</v>
      </c>
      <c r="AA443" t="s">
        <v>3132</v>
      </c>
      <c r="AB443" t="s">
        <v>3133</v>
      </c>
      <c r="AQ443" t="s">
        <v>1263</v>
      </c>
      <c r="AU443">
        <v>2017</v>
      </c>
      <c r="BS443" t="s">
        <v>3134</v>
      </c>
      <c r="BT443" t="str">
        <f>HYPERLINK("https%3A%2F%2Fwww.webofscience.com%2Fwos%2Fwoscc%2Ffull-record%2FWOS:000414282400354","View Full Record in Web of Science")</f>
        <v>View Full Record in Web of Science</v>
      </c>
    </row>
    <row r="444" spans="1:72" ht="12.75" customHeight="1" x14ac:dyDescent="0.2">
      <c r="A444" t="s">
        <v>147</v>
      </c>
      <c r="B444" t="s">
        <v>3135</v>
      </c>
      <c r="D444" t="s">
        <v>233</v>
      </c>
      <c r="F444" t="s">
        <v>3136</v>
      </c>
      <c r="I444" t="s">
        <v>3137</v>
      </c>
      <c r="J444" t="s">
        <v>444</v>
      </c>
      <c r="K444" t="s">
        <v>445</v>
      </c>
      <c r="O444" t="s">
        <v>446</v>
      </c>
      <c r="P444" t="s">
        <v>447</v>
      </c>
      <c r="Q444" t="s">
        <v>448</v>
      </c>
      <c r="AB444" t="s">
        <v>2526</v>
      </c>
      <c r="AO444" t="s">
        <v>450</v>
      </c>
      <c r="AQ444" t="s">
        <v>451</v>
      </c>
      <c r="AU444">
        <v>2017</v>
      </c>
      <c r="BB444">
        <v>21</v>
      </c>
      <c r="BC444">
        <v>30</v>
      </c>
      <c r="BE444" t="s">
        <v>3138</v>
      </c>
      <c r="BF444" t="str">
        <f>HYPERLINK("http://dx.doi.org/10.1007/978-3-319-60696-5_4","http://dx.doi.org/10.1007/978-3-319-60696-5_4")</f>
        <v>http://dx.doi.org/10.1007/978-3-319-60696-5_4</v>
      </c>
      <c r="BS444" t="s">
        <v>3139</v>
      </c>
      <c r="BT444" t="str">
        <f>HYPERLINK("https%3A%2F%2Fwww.webofscience.com%2Fwos%2Fwoscc%2Ffull-record%2FWOS:000426114200004","View Full Record in Web of Science")</f>
        <v>View Full Record in Web of Science</v>
      </c>
    </row>
    <row r="445" spans="1:72" ht="12.75" customHeight="1" x14ac:dyDescent="0.2">
      <c r="A445" t="s">
        <v>147</v>
      </c>
      <c r="B445" t="s">
        <v>3140</v>
      </c>
      <c r="D445" t="s">
        <v>233</v>
      </c>
      <c r="F445" t="s">
        <v>3141</v>
      </c>
      <c r="I445" t="s">
        <v>3142</v>
      </c>
      <c r="J445" t="s">
        <v>444</v>
      </c>
      <c r="K445" t="s">
        <v>445</v>
      </c>
      <c r="O445" t="s">
        <v>446</v>
      </c>
      <c r="P445" t="s">
        <v>447</v>
      </c>
      <c r="Q445" t="s">
        <v>448</v>
      </c>
      <c r="AA445" t="s">
        <v>3143</v>
      </c>
      <c r="AB445" t="s">
        <v>3144</v>
      </c>
      <c r="AO445" t="s">
        <v>450</v>
      </c>
      <c r="AQ445" t="s">
        <v>451</v>
      </c>
      <c r="AU445">
        <v>2017</v>
      </c>
      <c r="BB445">
        <v>403</v>
      </c>
      <c r="BC445">
        <v>415</v>
      </c>
      <c r="BE445" t="s">
        <v>3145</v>
      </c>
      <c r="BF445" t="str">
        <f>HYPERLINK("http://dx.doi.org/10.1007/978-3-319-60696-5_51","http://dx.doi.org/10.1007/978-3-319-60696-5_51")</f>
        <v>http://dx.doi.org/10.1007/978-3-319-60696-5_51</v>
      </c>
      <c r="BS445" t="s">
        <v>3146</v>
      </c>
      <c r="BT445" t="str">
        <f>HYPERLINK("https%3A%2F%2Fwww.webofscience.com%2Fwos%2Fwoscc%2Ffull-record%2FWOS:000426114200051","View Full Record in Web of Science")</f>
        <v>View Full Record in Web of Science</v>
      </c>
    </row>
    <row r="446" spans="1:72" ht="12.75" customHeight="1" x14ac:dyDescent="0.2">
      <c r="A446" t="s">
        <v>72</v>
      </c>
      <c r="B446" t="s">
        <v>3147</v>
      </c>
      <c r="F446" t="s">
        <v>3148</v>
      </c>
      <c r="I446" t="s">
        <v>3149</v>
      </c>
      <c r="J446" t="s">
        <v>3150</v>
      </c>
      <c r="AO446" t="s">
        <v>3151</v>
      </c>
      <c r="AP446" t="s">
        <v>3152</v>
      </c>
      <c r="AT446" t="s">
        <v>171</v>
      </c>
      <c r="AU446">
        <v>2014</v>
      </c>
      <c r="AV446">
        <v>55</v>
      </c>
      <c r="AW446">
        <v>2</v>
      </c>
      <c r="BB446">
        <v>125</v>
      </c>
      <c r="BC446">
        <v>129</v>
      </c>
      <c r="BE446" t="s">
        <v>3153</v>
      </c>
      <c r="BF446" t="str">
        <f>HYPERLINK("http://dx.doi.org/10.3103/S1067821214020096","http://dx.doi.org/10.3103/S1067821214020096")</f>
        <v>http://dx.doi.org/10.3103/S1067821214020096</v>
      </c>
      <c r="BS446" t="s">
        <v>3154</v>
      </c>
      <c r="BT446" t="str">
        <f>HYPERLINK("https%3A%2F%2Fwww.webofscience.com%2Fwos%2Fwoscc%2Ffull-record%2FWOS:000335735500004","View Full Record in Web of Science")</f>
        <v>View Full Record in Web of Science</v>
      </c>
    </row>
    <row r="447" spans="1:72" ht="12.75" customHeight="1" x14ac:dyDescent="0.2">
      <c r="A447" t="s">
        <v>72</v>
      </c>
      <c r="B447" t="s">
        <v>3155</v>
      </c>
      <c r="F447" t="s">
        <v>3156</v>
      </c>
      <c r="I447" t="s">
        <v>3157</v>
      </c>
      <c r="J447" t="s">
        <v>614</v>
      </c>
      <c r="O447" t="s">
        <v>3158</v>
      </c>
      <c r="P447">
        <v>2010</v>
      </c>
      <c r="Q447" t="s">
        <v>3159</v>
      </c>
      <c r="AB447" t="s">
        <v>2399</v>
      </c>
      <c r="AO447" t="s">
        <v>617</v>
      </c>
      <c r="AP447" t="s">
        <v>1720</v>
      </c>
      <c r="AT447" t="s">
        <v>88</v>
      </c>
      <c r="AU447">
        <v>2011</v>
      </c>
      <c r="AV447">
        <v>47</v>
      </c>
      <c r="AW447">
        <v>5</v>
      </c>
      <c r="BB447">
        <v>556</v>
      </c>
      <c r="BC447">
        <v>562</v>
      </c>
      <c r="BE447" t="s">
        <v>3160</v>
      </c>
      <c r="BF447" t="str">
        <f>HYPERLINK("http://dx.doi.org/10.1134/S1023193511050089","http://dx.doi.org/10.1134/S1023193511050089")</f>
        <v>http://dx.doi.org/10.1134/S1023193511050089</v>
      </c>
      <c r="BS447" t="s">
        <v>3161</v>
      </c>
      <c r="BT447" t="str">
        <f>HYPERLINK("https%3A%2F%2Fwww.webofscience.com%2Fwos%2Fwoscc%2Ffull-record%2FWOS:000292270900007","View Full Record in Web of Science")</f>
        <v>View Full Record in Web of Science</v>
      </c>
    </row>
    <row r="448" spans="1:72" ht="12.75" customHeight="1" x14ac:dyDescent="0.2">
      <c r="A448" t="s">
        <v>72</v>
      </c>
      <c r="B448" t="s">
        <v>3162</v>
      </c>
      <c r="F448" t="s">
        <v>3163</v>
      </c>
      <c r="I448" t="s">
        <v>3164</v>
      </c>
      <c r="J448" t="s">
        <v>1206</v>
      </c>
      <c r="O448" t="s">
        <v>3165</v>
      </c>
      <c r="P448" t="s">
        <v>3166</v>
      </c>
      <c r="Q448" t="s">
        <v>746</v>
      </c>
      <c r="R448" t="s">
        <v>3167</v>
      </c>
      <c r="AB448" t="s">
        <v>2399</v>
      </c>
      <c r="AO448" t="s">
        <v>624</v>
      </c>
      <c r="AT448" t="s">
        <v>319</v>
      </c>
      <c r="AU448">
        <v>2006</v>
      </c>
      <c r="AV448">
        <v>80</v>
      </c>
      <c r="AW448">
        <v>11</v>
      </c>
      <c r="BB448">
        <v>1731</v>
      </c>
      <c r="BC448">
        <v>1736</v>
      </c>
      <c r="BE448" t="s">
        <v>3168</v>
      </c>
      <c r="BF448" t="str">
        <f>HYPERLINK("http://dx.doi.org/10.1134/S0036024406110069","http://dx.doi.org/10.1134/S0036024406110069")</f>
        <v>http://dx.doi.org/10.1134/S0036024406110069</v>
      </c>
      <c r="BS448" t="s">
        <v>3169</v>
      </c>
      <c r="BT448" t="str">
        <f>HYPERLINK("https%3A%2F%2Fwww.webofscience.com%2Fwos%2Fwoscc%2Ffull-record%2FWOS:000245667100006","View Full Record in Web of Science")</f>
        <v>View Full Record in Web of Science</v>
      </c>
    </row>
    <row r="449" spans="1:72" ht="12.75" customHeight="1" x14ac:dyDescent="0.2">
      <c r="A449" t="s">
        <v>147</v>
      </c>
      <c r="B449" t="s">
        <v>3170</v>
      </c>
      <c r="D449" t="s">
        <v>233</v>
      </c>
      <c r="F449" t="s">
        <v>3171</v>
      </c>
      <c r="I449" t="s">
        <v>3172</v>
      </c>
      <c r="J449" t="s">
        <v>1766</v>
      </c>
      <c r="K449" t="s">
        <v>1767</v>
      </c>
      <c r="O449" t="s">
        <v>1768</v>
      </c>
      <c r="P449" t="s">
        <v>1769</v>
      </c>
      <c r="Q449" t="s">
        <v>1770</v>
      </c>
      <c r="S449" t="s">
        <v>1771</v>
      </c>
      <c r="AB449" t="s">
        <v>3173</v>
      </c>
      <c r="AO449" t="s">
        <v>1772</v>
      </c>
      <c r="AP449" t="s">
        <v>1773</v>
      </c>
      <c r="AQ449" t="s">
        <v>1774</v>
      </c>
      <c r="AU449">
        <v>2022</v>
      </c>
      <c r="AV449">
        <v>368</v>
      </c>
      <c r="BB449">
        <v>772</v>
      </c>
      <c r="BC449">
        <v>783</v>
      </c>
      <c r="BE449" t="s">
        <v>3174</v>
      </c>
      <c r="BF449" t="str">
        <f>HYPERLINK("http://dx.doi.org/10.1007/978-3-030-93244-2_83","http://dx.doi.org/10.1007/978-3-030-93244-2_83")</f>
        <v>http://dx.doi.org/10.1007/978-3-030-93244-2_83</v>
      </c>
      <c r="BS449" t="s">
        <v>3175</v>
      </c>
      <c r="BT449" t="str">
        <f>HYPERLINK("https%3A%2F%2Fwww.webofscience.com%2Fwos%2Fwoscc%2Ffull-record%2FWOS:000759460600083","View Full Record in Web of Science")</f>
        <v>View Full Record in Web of Science</v>
      </c>
    </row>
    <row r="450" spans="1:72" ht="12.75" customHeight="1" x14ac:dyDescent="0.2">
      <c r="A450" t="s">
        <v>72</v>
      </c>
      <c r="B450" t="s">
        <v>3176</v>
      </c>
      <c r="F450" t="s">
        <v>3177</v>
      </c>
      <c r="I450" t="s">
        <v>3178</v>
      </c>
      <c r="J450" t="s">
        <v>1608</v>
      </c>
      <c r="AO450" t="s">
        <v>1611</v>
      </c>
      <c r="AP450" t="s">
        <v>1612</v>
      </c>
      <c r="AU450">
        <v>2022</v>
      </c>
      <c r="AV450">
        <v>32</v>
      </c>
      <c r="AW450">
        <v>2</v>
      </c>
      <c r="BB450">
        <v>279</v>
      </c>
      <c r="BC450">
        <v>294</v>
      </c>
      <c r="BE450" t="s">
        <v>3179</v>
      </c>
      <c r="BF450" t="str">
        <f>HYPERLINK("http://dx.doi.org/10.15507/2658-4123.032.202202.279-294","http://dx.doi.org/10.15507/2658-4123.032.202202.279-294")</f>
        <v>http://dx.doi.org/10.15507/2658-4123.032.202202.279-294</v>
      </c>
      <c r="BS450" t="s">
        <v>3180</v>
      </c>
      <c r="BT450" t="str">
        <f>HYPERLINK("https%3A%2F%2Fwww.webofscience.com%2Fwos%2Fwoscc%2Ffull-record%2FWOS:000822052400007","View Full Record in Web of Science")</f>
        <v>View Full Record in Web of Science</v>
      </c>
    </row>
    <row r="451" spans="1:72" ht="12.75" customHeight="1" x14ac:dyDescent="0.2">
      <c r="A451" t="s">
        <v>72</v>
      </c>
      <c r="B451" t="s">
        <v>713</v>
      </c>
      <c r="F451" t="s">
        <v>714</v>
      </c>
      <c r="I451" t="s">
        <v>3181</v>
      </c>
      <c r="J451" t="s">
        <v>716</v>
      </c>
      <c r="AO451" t="s">
        <v>719</v>
      </c>
      <c r="AP451" t="s">
        <v>720</v>
      </c>
      <c r="AT451" t="s">
        <v>198</v>
      </c>
      <c r="AU451">
        <v>2021</v>
      </c>
      <c r="AW451">
        <v>465</v>
      </c>
      <c r="BB451">
        <v>106</v>
      </c>
      <c r="BC451">
        <v>115</v>
      </c>
      <c r="BE451" t="s">
        <v>3182</v>
      </c>
      <c r="BF451" t="str">
        <f>HYPERLINK("http://dx.doi.org/10.17223/15617793/465/15","http://dx.doi.org/10.17223/15617793/465/15")</f>
        <v>http://dx.doi.org/10.17223/15617793/465/15</v>
      </c>
      <c r="BS451" t="s">
        <v>3183</v>
      </c>
      <c r="BT451" t="str">
        <f>HYPERLINK("https%3A%2F%2Fwww.webofscience.com%2Fwos%2Fwoscc%2Ffull-record%2FWOS:000691270200015","View Full Record in Web of Science")</f>
        <v>View Full Record in Web of Science</v>
      </c>
    </row>
    <row r="452" spans="1:72" ht="12.75" customHeight="1" x14ac:dyDescent="0.2">
      <c r="A452" t="s">
        <v>72</v>
      </c>
      <c r="B452" t="s">
        <v>110</v>
      </c>
      <c r="F452" t="s">
        <v>111</v>
      </c>
      <c r="I452" t="s">
        <v>3184</v>
      </c>
      <c r="J452" t="s">
        <v>434</v>
      </c>
      <c r="AA452" t="s">
        <v>677</v>
      </c>
      <c r="AB452" t="s">
        <v>678</v>
      </c>
      <c r="AO452" t="s">
        <v>437</v>
      </c>
      <c r="AP452" t="s">
        <v>438</v>
      </c>
      <c r="AU452">
        <v>2021</v>
      </c>
      <c r="AV452">
        <v>14</v>
      </c>
      <c r="AW452">
        <v>4</v>
      </c>
      <c r="BB452">
        <v>26</v>
      </c>
      <c r="BC452">
        <v>50</v>
      </c>
      <c r="BE452" t="s">
        <v>3185</v>
      </c>
      <c r="BF452" t="str">
        <f>HYPERLINK("http://dx.doi.org/10.24833/2071-8160-2021-4-79-26-50","http://dx.doi.org/10.24833/2071-8160-2021-4-79-26-50")</f>
        <v>http://dx.doi.org/10.24833/2071-8160-2021-4-79-26-50</v>
      </c>
      <c r="BS452" t="s">
        <v>3186</v>
      </c>
      <c r="BT452" t="str">
        <f>HYPERLINK("https%3A%2F%2Fwww.webofscience.com%2Fwos%2Fwoscc%2Ffull-record%2FWOS:000695496900002","View Full Record in Web of Science")</f>
        <v>View Full Record in Web of Science</v>
      </c>
    </row>
    <row r="453" spans="1:72" ht="12.75" customHeight="1" x14ac:dyDescent="0.2">
      <c r="A453" t="s">
        <v>72</v>
      </c>
      <c r="B453" t="s">
        <v>1037</v>
      </c>
      <c r="F453" t="s">
        <v>1038</v>
      </c>
      <c r="I453" t="s">
        <v>3187</v>
      </c>
      <c r="J453" t="s">
        <v>716</v>
      </c>
      <c r="AO453" t="s">
        <v>719</v>
      </c>
      <c r="AP453" t="s">
        <v>720</v>
      </c>
      <c r="AT453" t="s">
        <v>319</v>
      </c>
      <c r="AU453">
        <v>2020</v>
      </c>
      <c r="AW453">
        <v>460</v>
      </c>
      <c r="BB453">
        <v>190</v>
      </c>
      <c r="BC453">
        <v>201</v>
      </c>
      <c r="BE453" t="s">
        <v>3188</v>
      </c>
      <c r="BF453" t="str">
        <f>HYPERLINK("http://dx.doi.org/10.17223/15617793/460/23","http://dx.doi.org/10.17223/15617793/460/23")</f>
        <v>http://dx.doi.org/10.17223/15617793/460/23</v>
      </c>
      <c r="BS453" t="s">
        <v>3189</v>
      </c>
      <c r="BT453" t="str">
        <f>HYPERLINK("https%3A%2F%2Fwww.webofscience.com%2Fwos%2Fwoscc%2Ffull-record%2FWOS:000624428700023","View Full Record in Web of Science")</f>
        <v>View Full Record in Web of Science</v>
      </c>
    </row>
    <row r="454" spans="1:72" ht="12.75" customHeight="1" x14ac:dyDescent="0.2">
      <c r="A454" t="s">
        <v>72</v>
      </c>
      <c r="B454" t="s">
        <v>3190</v>
      </c>
      <c r="F454" t="s">
        <v>3191</v>
      </c>
      <c r="I454" t="s">
        <v>3192</v>
      </c>
      <c r="J454" t="s">
        <v>123</v>
      </c>
      <c r="AO454" t="s">
        <v>124</v>
      </c>
      <c r="AT454" t="s">
        <v>1167</v>
      </c>
      <c r="AU454">
        <v>2020</v>
      </c>
      <c r="AV454">
        <v>21</v>
      </c>
      <c r="AW454">
        <v>7</v>
      </c>
      <c r="BB454">
        <v>11</v>
      </c>
      <c r="BC454">
        <v>16</v>
      </c>
      <c r="BE454" t="s">
        <v>3193</v>
      </c>
      <c r="BF454" t="str">
        <f>HYPERLINK("http://dx.doi.org/10.12911/22998993/125459","http://dx.doi.org/10.12911/22998993/125459")</f>
        <v>http://dx.doi.org/10.12911/22998993/125459</v>
      </c>
      <c r="BS454" t="s">
        <v>3194</v>
      </c>
      <c r="BT454" t="str">
        <f>HYPERLINK("https%3A%2F%2Fwww.webofscience.com%2Fwos%2Fwoscc%2Ffull-record%2FWOS:000576664500002","View Full Record in Web of Science")</f>
        <v>View Full Record in Web of Science</v>
      </c>
    </row>
    <row r="455" spans="1:72" ht="12.75" customHeight="1" x14ac:dyDescent="0.2">
      <c r="A455" t="s">
        <v>147</v>
      </c>
      <c r="B455" t="s">
        <v>568</v>
      </c>
      <c r="D455" t="s">
        <v>3195</v>
      </c>
      <c r="F455" t="s">
        <v>569</v>
      </c>
      <c r="I455" t="s">
        <v>3196</v>
      </c>
      <c r="J455" t="s">
        <v>3197</v>
      </c>
      <c r="K455" t="s">
        <v>390</v>
      </c>
      <c r="O455" t="s">
        <v>3198</v>
      </c>
      <c r="P455" t="s">
        <v>3199</v>
      </c>
      <c r="Q455" t="s">
        <v>393</v>
      </c>
      <c r="R455" t="s">
        <v>3200</v>
      </c>
      <c r="AA455" t="s">
        <v>3201</v>
      </c>
      <c r="AB455" t="s">
        <v>922</v>
      </c>
      <c r="AO455" t="s">
        <v>395</v>
      </c>
      <c r="AQ455" t="s">
        <v>3202</v>
      </c>
      <c r="AU455">
        <v>2020</v>
      </c>
      <c r="BB455">
        <v>512</v>
      </c>
      <c r="BC455">
        <v>515</v>
      </c>
      <c r="BS455" t="s">
        <v>3203</v>
      </c>
      <c r="BT455" t="str">
        <f>HYPERLINK("https%3A%2F%2Fwww.webofscience.com%2Fwos%2Fwoscc%2Ffull-record%2FWOS:000612854100118","View Full Record in Web of Science")</f>
        <v>View Full Record in Web of Science</v>
      </c>
    </row>
    <row r="456" spans="1:72" ht="12.75" customHeight="1" x14ac:dyDescent="0.2">
      <c r="A456" t="s">
        <v>147</v>
      </c>
      <c r="B456" t="s">
        <v>3204</v>
      </c>
      <c r="D456" t="s">
        <v>3205</v>
      </c>
      <c r="F456" t="s">
        <v>3206</v>
      </c>
      <c r="I456" t="s">
        <v>3207</v>
      </c>
      <c r="J456" t="s">
        <v>3208</v>
      </c>
      <c r="K456" t="s">
        <v>1313</v>
      </c>
      <c r="O456" t="s">
        <v>3209</v>
      </c>
      <c r="P456" t="s">
        <v>3210</v>
      </c>
      <c r="Q456" t="s">
        <v>3211</v>
      </c>
      <c r="R456" t="s">
        <v>3212</v>
      </c>
      <c r="AB456" t="s">
        <v>3213</v>
      </c>
      <c r="AO456" t="s">
        <v>1319</v>
      </c>
      <c r="AP456" t="s">
        <v>2948</v>
      </c>
      <c r="AQ456" t="s">
        <v>3214</v>
      </c>
      <c r="AU456">
        <v>2019</v>
      </c>
      <c r="AV456">
        <v>985</v>
      </c>
      <c r="BB456">
        <v>1</v>
      </c>
      <c r="BC456">
        <v>10</v>
      </c>
      <c r="BE456" t="s">
        <v>3215</v>
      </c>
      <c r="BF456" t="str">
        <f>HYPERLINK("http://dx.doi.org/10.1007/978-3-030-19810-7_1","http://dx.doi.org/10.1007/978-3-030-19810-7_1")</f>
        <v>http://dx.doi.org/10.1007/978-3-030-19810-7_1</v>
      </c>
      <c r="BS456" t="s">
        <v>3216</v>
      </c>
      <c r="BT456" t="str">
        <f>HYPERLINK("https%3A%2F%2Fwww.webofscience.com%2Fwos%2Fwoscc%2Ffull-record%2FWOS:000503762800001","View Full Record in Web of Science")</f>
        <v>View Full Record in Web of Science</v>
      </c>
    </row>
    <row r="457" spans="1:72" ht="12.75" customHeight="1" x14ac:dyDescent="0.2">
      <c r="A457" t="s">
        <v>147</v>
      </c>
      <c r="B457" t="s">
        <v>3217</v>
      </c>
      <c r="E457" t="s">
        <v>210</v>
      </c>
      <c r="F457" t="s">
        <v>3218</v>
      </c>
      <c r="I457" t="s">
        <v>3219</v>
      </c>
      <c r="J457" t="s">
        <v>3220</v>
      </c>
      <c r="O457" t="s">
        <v>3221</v>
      </c>
      <c r="P457" t="s">
        <v>2914</v>
      </c>
      <c r="Q457" t="s">
        <v>3222</v>
      </c>
      <c r="R457" t="s">
        <v>3223</v>
      </c>
      <c r="S457" t="s">
        <v>3224</v>
      </c>
      <c r="AQ457" t="s">
        <v>3225</v>
      </c>
      <c r="AU457">
        <v>2019</v>
      </c>
      <c r="BS457" t="s">
        <v>3226</v>
      </c>
      <c r="BT457" t="str">
        <f>HYPERLINK("https%3A%2F%2Fwww.webofscience.com%2Fwos%2Fwoscc%2Ffull-record%2FWOS:000560311400085","View Full Record in Web of Science")</f>
        <v>View Full Record in Web of Science</v>
      </c>
    </row>
    <row r="458" spans="1:72" ht="12.75" customHeight="1" x14ac:dyDescent="0.2">
      <c r="A458" t="s">
        <v>72</v>
      </c>
      <c r="B458" t="s">
        <v>1074</v>
      </c>
      <c r="F458" t="s">
        <v>2476</v>
      </c>
      <c r="I458" t="s">
        <v>3227</v>
      </c>
      <c r="J458" t="s">
        <v>2478</v>
      </c>
      <c r="AA458" t="s">
        <v>1078</v>
      </c>
      <c r="AB458" t="s">
        <v>1079</v>
      </c>
      <c r="AO458" t="s">
        <v>2479</v>
      </c>
      <c r="AU458">
        <v>2019</v>
      </c>
      <c r="AV458">
        <v>16</v>
      </c>
      <c r="BB458">
        <v>1493</v>
      </c>
      <c r="BC458">
        <v>1530</v>
      </c>
      <c r="BE458" t="s">
        <v>3228</v>
      </c>
      <c r="BF458" t="str">
        <f>HYPERLINK("http://dx.doi.org/10.33048/semi.2019.16.103","http://dx.doi.org/10.33048/semi.2019.16.103")</f>
        <v>http://dx.doi.org/10.33048/semi.2019.16.103</v>
      </c>
      <c r="BS458" t="s">
        <v>3229</v>
      </c>
      <c r="BT458" t="str">
        <f>HYPERLINK("https%3A%2F%2Fwww.webofscience.com%2Fwos%2Fwoscc%2Ffull-record%2FWOS:000491071700001","View Full Record in Web of Science")</f>
        <v>View Full Record in Web of Science</v>
      </c>
    </row>
    <row r="459" spans="1:72" ht="12.75" customHeight="1" x14ac:dyDescent="0.2">
      <c r="A459" t="s">
        <v>72</v>
      </c>
      <c r="B459" t="s">
        <v>3230</v>
      </c>
      <c r="F459" t="s">
        <v>3231</v>
      </c>
      <c r="I459" t="s">
        <v>3232</v>
      </c>
      <c r="J459" t="s">
        <v>3233</v>
      </c>
      <c r="AA459" t="s">
        <v>3234</v>
      </c>
      <c r="AB459" t="s">
        <v>3235</v>
      </c>
      <c r="AO459" t="s">
        <v>3236</v>
      </c>
      <c r="AP459" t="s">
        <v>3237</v>
      </c>
      <c r="AT459" t="s">
        <v>171</v>
      </c>
      <c r="AU459">
        <v>2018</v>
      </c>
      <c r="AW459">
        <v>41</v>
      </c>
      <c r="BB459">
        <v>255</v>
      </c>
      <c r="BC459">
        <v>270</v>
      </c>
      <c r="BE459" t="s">
        <v>3238</v>
      </c>
      <c r="BF459" t="str">
        <f>HYPERLINK("http://dx.doi.org/10.17223/19996195/41/16","http://dx.doi.org/10.17223/19996195/41/16")</f>
        <v>http://dx.doi.org/10.17223/19996195/41/16</v>
      </c>
      <c r="BS459" t="s">
        <v>3239</v>
      </c>
      <c r="BT459" t="str">
        <f>HYPERLINK("https%3A%2F%2Fwww.webofscience.com%2Fwos%2Fwoscc%2Ffull-record%2FWOS:000437910300016","View Full Record in Web of Science")</f>
        <v>View Full Record in Web of Science</v>
      </c>
    </row>
    <row r="460" spans="1:72" ht="12.75" customHeight="1" x14ac:dyDescent="0.2">
      <c r="A460" t="s">
        <v>147</v>
      </c>
      <c r="B460" t="s">
        <v>3240</v>
      </c>
      <c r="E460" t="s">
        <v>210</v>
      </c>
      <c r="F460" t="s">
        <v>3241</v>
      </c>
      <c r="I460" t="s">
        <v>3242</v>
      </c>
      <c r="J460" t="s">
        <v>3243</v>
      </c>
      <c r="O460" t="s">
        <v>3244</v>
      </c>
      <c r="P460" t="s">
        <v>3245</v>
      </c>
      <c r="Q460" t="s">
        <v>746</v>
      </c>
      <c r="AA460" t="s">
        <v>84</v>
      </c>
      <c r="AB460" t="s">
        <v>85</v>
      </c>
      <c r="AQ460" t="s">
        <v>3246</v>
      </c>
      <c r="AU460">
        <v>2018</v>
      </c>
      <c r="BB460">
        <v>153</v>
      </c>
      <c r="BC460">
        <v>157</v>
      </c>
      <c r="BE460" t="s">
        <v>3247</v>
      </c>
      <c r="BF460" t="str">
        <f>HYPERLINK("http://dx.doi.org/10.1109/EnT-MIPT.2018.00042","http://dx.doi.org/10.1109/EnT-MIPT.2018.00042")</f>
        <v>http://dx.doi.org/10.1109/EnT-MIPT.2018.00042</v>
      </c>
      <c r="BS460" t="s">
        <v>3248</v>
      </c>
      <c r="BT460" t="str">
        <f>HYPERLINK("https%3A%2F%2Fwww.webofscience.com%2Fwos%2Fwoscc%2Ffull-record%2FWOS:000490858200035","View Full Record in Web of Science")</f>
        <v>View Full Record in Web of Science</v>
      </c>
    </row>
    <row r="461" spans="1:72" ht="12.75" customHeight="1" x14ac:dyDescent="0.2">
      <c r="A461" t="s">
        <v>147</v>
      </c>
      <c r="B461" t="s">
        <v>3249</v>
      </c>
      <c r="E461" t="s">
        <v>175</v>
      </c>
      <c r="F461" t="s">
        <v>3250</v>
      </c>
      <c r="I461" t="s">
        <v>3251</v>
      </c>
      <c r="J461" t="s">
        <v>885</v>
      </c>
      <c r="K461" t="s">
        <v>179</v>
      </c>
      <c r="O461" t="s">
        <v>886</v>
      </c>
      <c r="P461" t="s">
        <v>887</v>
      </c>
      <c r="Q461" t="s">
        <v>888</v>
      </c>
      <c r="AA461" t="s">
        <v>1107</v>
      </c>
      <c r="AB461" t="s">
        <v>1108</v>
      </c>
      <c r="AO461" t="s">
        <v>187</v>
      </c>
      <c r="AP461" t="s">
        <v>188</v>
      </c>
      <c r="AU461">
        <v>2018</v>
      </c>
      <c r="AV461">
        <v>944</v>
      </c>
      <c r="BD461">
        <v>12045</v>
      </c>
      <c r="BE461" t="s">
        <v>3252</v>
      </c>
      <c r="BF461" t="str">
        <f>HYPERLINK("http://dx.doi.org/10.1088/1742-6596/944/1/012045","http://dx.doi.org/10.1088/1742-6596/944/1/012045")</f>
        <v>http://dx.doi.org/10.1088/1742-6596/944/1/012045</v>
      </c>
      <c r="BS461" t="s">
        <v>3253</v>
      </c>
      <c r="BT461" t="str">
        <f>HYPERLINK("https%3A%2F%2Fwww.webofscience.com%2Fwos%2Fwoscc%2Ffull-record%2FWOS:000431622000045","View Full Record in Web of Science")</f>
        <v>View Full Record in Web of Science</v>
      </c>
    </row>
    <row r="462" spans="1:72" ht="12.75" customHeight="1" x14ac:dyDescent="0.2">
      <c r="A462" t="s">
        <v>147</v>
      </c>
      <c r="B462" t="s">
        <v>3254</v>
      </c>
      <c r="D462" t="s">
        <v>2500</v>
      </c>
      <c r="F462" t="s">
        <v>3255</v>
      </c>
      <c r="I462" t="s">
        <v>3256</v>
      </c>
      <c r="J462" t="s">
        <v>2503</v>
      </c>
      <c r="K462" t="s">
        <v>2504</v>
      </c>
      <c r="O462" t="s">
        <v>2505</v>
      </c>
      <c r="P462" t="s">
        <v>2506</v>
      </c>
      <c r="Q462" t="s">
        <v>2507</v>
      </c>
      <c r="R462" t="s">
        <v>2508</v>
      </c>
      <c r="AA462" t="s">
        <v>1885</v>
      </c>
      <c r="AB462" t="s">
        <v>3257</v>
      </c>
      <c r="AO462" t="s">
        <v>2509</v>
      </c>
      <c r="AQ462" t="s">
        <v>2510</v>
      </c>
      <c r="AU462">
        <v>2018</v>
      </c>
      <c r="AV462">
        <v>47</v>
      </c>
      <c r="BB462">
        <v>680</v>
      </c>
      <c r="BC462">
        <v>682</v>
      </c>
      <c r="BS462" t="s">
        <v>3258</v>
      </c>
      <c r="BT462" t="str">
        <f>HYPERLINK("https%3A%2F%2Fwww.webofscience.com%2Fwos%2Fwoscc%2Ffull-record%2FWOS:000679066800151","View Full Record in Web of Science")</f>
        <v>View Full Record in Web of Science</v>
      </c>
    </row>
    <row r="463" spans="1:72" ht="12.75" customHeight="1" x14ac:dyDescent="0.2">
      <c r="A463" t="s">
        <v>72</v>
      </c>
      <c r="B463" t="s">
        <v>3259</v>
      </c>
      <c r="F463" t="s">
        <v>3260</v>
      </c>
      <c r="I463" t="s">
        <v>3261</v>
      </c>
      <c r="J463" t="s">
        <v>1944</v>
      </c>
      <c r="AA463" t="s">
        <v>2348</v>
      </c>
      <c r="AB463" t="s">
        <v>2349</v>
      </c>
      <c r="AO463" t="s">
        <v>1947</v>
      </c>
      <c r="AU463">
        <v>2018</v>
      </c>
      <c r="AV463">
        <v>63</v>
      </c>
      <c r="AW463">
        <v>4</v>
      </c>
      <c r="BB463">
        <v>1289</v>
      </c>
      <c r="BC463">
        <v>1302</v>
      </c>
      <c r="BE463" t="s">
        <v>3262</v>
      </c>
      <c r="BF463" t="str">
        <f>HYPERLINK("http://dx.doi.org/10.21638/11701/spbu02.2018.417","http://dx.doi.org/10.21638/11701/spbu02.2018.417")</f>
        <v>http://dx.doi.org/10.21638/11701/spbu02.2018.417</v>
      </c>
      <c r="BS463" t="s">
        <v>3263</v>
      </c>
      <c r="BT463" t="str">
        <f>HYPERLINK("https%3A%2F%2Fwww.webofscience.com%2Fwos%2Fwoscc%2Ffull-record%2FWOS:000456948700017","View Full Record in Web of Science")</f>
        <v>View Full Record in Web of Science</v>
      </c>
    </row>
    <row r="464" spans="1:72" ht="12.75" customHeight="1" x14ac:dyDescent="0.2">
      <c r="A464" t="s">
        <v>72</v>
      </c>
      <c r="B464" t="s">
        <v>302</v>
      </c>
      <c r="F464" t="s">
        <v>3264</v>
      </c>
      <c r="I464" t="s">
        <v>3265</v>
      </c>
      <c r="J464" t="s">
        <v>244</v>
      </c>
      <c r="AA464" t="s">
        <v>305</v>
      </c>
      <c r="AB464" t="s">
        <v>306</v>
      </c>
      <c r="AO464" t="s">
        <v>245</v>
      </c>
      <c r="AP464" t="s">
        <v>246</v>
      </c>
      <c r="AU464">
        <v>2017</v>
      </c>
      <c r="AW464">
        <v>2</v>
      </c>
      <c r="BB464">
        <v>126</v>
      </c>
      <c r="BC464">
        <v>137</v>
      </c>
      <c r="BS464" t="s">
        <v>3266</v>
      </c>
      <c r="BT464" t="str">
        <f>HYPERLINK("https%3A%2F%2Fwww.webofscience.com%2Fwos%2Fwoscc%2Ffull-record%2FWOS:000396961700009","View Full Record in Web of Science")</f>
        <v>View Full Record in Web of Science</v>
      </c>
    </row>
    <row r="465" spans="1:72" ht="12.75" customHeight="1" x14ac:dyDescent="0.2">
      <c r="A465" t="s">
        <v>72</v>
      </c>
      <c r="B465" t="s">
        <v>1660</v>
      </c>
      <c r="F465" t="s">
        <v>1661</v>
      </c>
      <c r="I465" t="s">
        <v>3267</v>
      </c>
      <c r="J465" t="s">
        <v>244</v>
      </c>
      <c r="AA465" t="s">
        <v>1460</v>
      </c>
      <c r="AB465" t="s">
        <v>1461</v>
      </c>
      <c r="AO465" t="s">
        <v>245</v>
      </c>
      <c r="AP465" t="s">
        <v>246</v>
      </c>
      <c r="AU465">
        <v>2017</v>
      </c>
      <c r="AW465">
        <v>2</v>
      </c>
      <c r="BB465">
        <v>146</v>
      </c>
      <c r="BC465">
        <v>151</v>
      </c>
      <c r="BS465" t="s">
        <v>3268</v>
      </c>
      <c r="BT465" t="str">
        <f>HYPERLINK("https%3A%2F%2Fwww.webofscience.com%2Fwos%2Fwoscc%2Ffull-record%2FWOS:000396961700011","View Full Record in Web of Science")</f>
        <v>View Full Record in Web of Science</v>
      </c>
    </row>
    <row r="466" spans="1:72" ht="12.75" customHeight="1" x14ac:dyDescent="0.2">
      <c r="A466" t="s">
        <v>147</v>
      </c>
      <c r="B466" t="s">
        <v>3269</v>
      </c>
      <c r="D466" t="s">
        <v>3270</v>
      </c>
      <c r="F466" t="s">
        <v>3271</v>
      </c>
      <c r="I466" t="s">
        <v>3272</v>
      </c>
      <c r="J466" t="s">
        <v>3273</v>
      </c>
      <c r="K466" t="s">
        <v>1494</v>
      </c>
      <c r="O466" t="s">
        <v>3274</v>
      </c>
      <c r="P466" t="s">
        <v>3275</v>
      </c>
      <c r="Q466" t="s">
        <v>3276</v>
      </c>
      <c r="R466" t="s">
        <v>3277</v>
      </c>
      <c r="AA466" t="s">
        <v>3278</v>
      </c>
      <c r="AB466" t="s">
        <v>3279</v>
      </c>
      <c r="AO466" t="s">
        <v>1500</v>
      </c>
      <c r="AP466" t="s">
        <v>1304</v>
      </c>
      <c r="AQ466" t="s">
        <v>3280</v>
      </c>
      <c r="AU466">
        <v>2017</v>
      </c>
      <c r="AV466">
        <v>10421</v>
      </c>
      <c r="BB466">
        <v>196</v>
      </c>
      <c r="BC466">
        <v>204</v>
      </c>
      <c r="BE466" t="s">
        <v>3281</v>
      </c>
      <c r="BF466" t="str">
        <f>HYPERLINK("http://dx.doi.org/10.1007/978-3-319-62932-2_18","http://dx.doi.org/10.1007/978-3-319-62932-2_18")</f>
        <v>http://dx.doi.org/10.1007/978-3-319-62932-2_18</v>
      </c>
      <c r="BS466" t="s">
        <v>3282</v>
      </c>
      <c r="BT466" t="str">
        <f>HYPERLINK("https%3A%2F%2Fwww.webofscience.com%2Fwos%2Fwoscc%2Ffull-record%2FWOS:000444105600018","View Full Record in Web of Science")</f>
        <v>View Full Record in Web of Science</v>
      </c>
    </row>
    <row r="467" spans="1:72" ht="12.75" customHeight="1" x14ac:dyDescent="0.2">
      <c r="A467" t="s">
        <v>147</v>
      </c>
      <c r="B467" t="s">
        <v>2678</v>
      </c>
      <c r="D467" t="s">
        <v>2011</v>
      </c>
      <c r="F467" t="s">
        <v>2679</v>
      </c>
      <c r="I467" t="s">
        <v>3283</v>
      </c>
      <c r="J467" t="s">
        <v>2014</v>
      </c>
      <c r="K467" t="s">
        <v>390</v>
      </c>
      <c r="O467" t="s">
        <v>2015</v>
      </c>
      <c r="P467" t="s">
        <v>2016</v>
      </c>
      <c r="Q467" t="s">
        <v>1553</v>
      </c>
      <c r="AA467" t="s">
        <v>1143</v>
      </c>
      <c r="AB467" t="s">
        <v>1144</v>
      </c>
      <c r="AO467" t="s">
        <v>395</v>
      </c>
      <c r="AQ467" t="s">
        <v>2019</v>
      </c>
      <c r="AU467">
        <v>2017</v>
      </c>
      <c r="BB467">
        <v>155</v>
      </c>
      <c r="BC467">
        <v>158</v>
      </c>
      <c r="BS467" t="s">
        <v>3284</v>
      </c>
      <c r="BT467" t="str">
        <f>HYPERLINK("https%3A%2F%2Fwww.webofscience.com%2Fwos%2Fwoscc%2Ffull-record%2FWOS:000428759500042","View Full Record in Web of Science")</f>
        <v>View Full Record in Web of Science</v>
      </c>
    </row>
    <row r="468" spans="1:72" ht="12.75" customHeight="1" x14ac:dyDescent="0.2">
      <c r="A468" t="s">
        <v>147</v>
      </c>
      <c r="B468" t="s">
        <v>3285</v>
      </c>
      <c r="E468" t="s">
        <v>210</v>
      </c>
      <c r="F468" t="s">
        <v>3286</v>
      </c>
      <c r="I468" t="s">
        <v>3287</v>
      </c>
      <c r="J468" t="s">
        <v>1539</v>
      </c>
      <c r="O468" t="s">
        <v>1540</v>
      </c>
      <c r="P468" t="s">
        <v>1541</v>
      </c>
      <c r="Q468" t="s">
        <v>1542</v>
      </c>
      <c r="R468" t="s">
        <v>1543</v>
      </c>
      <c r="AQ468" t="s">
        <v>1544</v>
      </c>
      <c r="AU468">
        <v>2016</v>
      </c>
      <c r="BS468" t="s">
        <v>3288</v>
      </c>
      <c r="BT468" t="str">
        <f>HYPERLINK("https%3A%2F%2Fwww.webofscience.com%2Fwos%2Fwoscc%2Ffull-record%2FWOS:000403604400117","View Full Record in Web of Science")</f>
        <v>View Full Record in Web of Science</v>
      </c>
    </row>
    <row r="469" spans="1:72" ht="12.75" customHeight="1" x14ac:dyDescent="0.2">
      <c r="A469" t="s">
        <v>147</v>
      </c>
      <c r="B469" t="s">
        <v>3289</v>
      </c>
      <c r="E469" t="s">
        <v>280</v>
      </c>
      <c r="F469" t="s">
        <v>3290</v>
      </c>
      <c r="I469" t="s">
        <v>3291</v>
      </c>
      <c r="J469" t="s">
        <v>1411</v>
      </c>
      <c r="K469" t="s">
        <v>284</v>
      </c>
      <c r="O469" t="s">
        <v>285</v>
      </c>
      <c r="P469" t="s">
        <v>286</v>
      </c>
      <c r="Q469" t="s">
        <v>287</v>
      </c>
      <c r="R469" t="s">
        <v>288</v>
      </c>
      <c r="AO469" t="s">
        <v>289</v>
      </c>
      <c r="AQ469" t="s">
        <v>1414</v>
      </c>
      <c r="AU469">
        <v>2014</v>
      </c>
      <c r="BB469">
        <v>501</v>
      </c>
      <c r="BC469">
        <v>508</v>
      </c>
      <c r="BS469" t="s">
        <v>3292</v>
      </c>
      <c r="BT469" t="str">
        <f>HYPERLINK("https%3A%2F%2Fwww.webofscience.com%2Fwos%2Fwoscc%2Ffull-record%2FWOS:000357943500061","View Full Record in Web of Science")</f>
        <v>View Full Record in Web of Science</v>
      </c>
    </row>
    <row r="470" spans="1:72" ht="12.75" customHeight="1" x14ac:dyDescent="0.2">
      <c r="A470" t="s">
        <v>72</v>
      </c>
      <c r="B470" t="s">
        <v>292</v>
      </c>
      <c r="F470" t="s">
        <v>293</v>
      </c>
      <c r="I470" t="s">
        <v>3293</v>
      </c>
      <c r="J470" t="s">
        <v>76</v>
      </c>
      <c r="AO470" t="s">
        <v>77</v>
      </c>
      <c r="AT470" t="s">
        <v>1012</v>
      </c>
      <c r="AU470">
        <v>2011</v>
      </c>
      <c r="AW470">
        <v>5</v>
      </c>
      <c r="BB470">
        <v>112</v>
      </c>
      <c r="BC470">
        <v>120</v>
      </c>
      <c r="BS470" t="s">
        <v>3294</v>
      </c>
      <c r="BT470" t="str">
        <f>HYPERLINK("https%3A%2F%2Fwww.webofscience.com%2Fwos%2Fwoscc%2Ffull-record%2FWOS:000296675600009","View Full Record in Web of Science")</f>
        <v>View Full Record in Web of Science</v>
      </c>
    </row>
    <row r="471" spans="1:72" ht="12.75" customHeight="1" x14ac:dyDescent="0.2">
      <c r="A471" t="s">
        <v>72</v>
      </c>
      <c r="B471" t="s">
        <v>3295</v>
      </c>
      <c r="F471" t="s">
        <v>3296</v>
      </c>
      <c r="I471" t="s">
        <v>3297</v>
      </c>
      <c r="J471" t="s">
        <v>3298</v>
      </c>
      <c r="AA471" t="s">
        <v>990</v>
      </c>
      <c r="AB471" t="s">
        <v>3299</v>
      </c>
      <c r="AO471" t="s">
        <v>3300</v>
      </c>
      <c r="AT471" t="s">
        <v>307</v>
      </c>
      <c r="AU471">
        <v>2007</v>
      </c>
      <c r="AV471">
        <v>62</v>
      </c>
      <c r="AW471">
        <v>1</v>
      </c>
      <c r="BB471">
        <v>199</v>
      </c>
      <c r="BC471">
        <v>201</v>
      </c>
      <c r="BE471" t="s">
        <v>3301</v>
      </c>
      <c r="BF471" t="str">
        <f>HYPERLINK("http://dx.doi.org/10.1070/RM2007v062n01ABEH004387","http://dx.doi.org/10.1070/RM2007v062n01ABEH004387")</f>
        <v>http://dx.doi.org/10.1070/RM2007v062n01ABEH004387</v>
      </c>
      <c r="BS471" t="s">
        <v>3302</v>
      </c>
      <c r="BT471" t="str">
        <f>HYPERLINK("https%3A%2F%2Fwww.webofscience.com%2Fwos%2Fwoscc%2Ffull-record%2FWOS:000247727000013","View Full Record in Web of Science")</f>
        <v>View Full Record in Web of Science</v>
      </c>
    </row>
    <row r="472" spans="1:72" ht="12.75" customHeight="1" x14ac:dyDescent="0.2">
      <c r="A472" t="s">
        <v>72</v>
      </c>
      <c r="B472" t="s">
        <v>3303</v>
      </c>
      <c r="F472" t="s">
        <v>3304</v>
      </c>
      <c r="I472" t="s">
        <v>3305</v>
      </c>
      <c r="J472" t="s">
        <v>614</v>
      </c>
      <c r="AA472" t="s">
        <v>1024</v>
      </c>
      <c r="AB472" t="s">
        <v>1025</v>
      </c>
      <c r="AO472" t="s">
        <v>617</v>
      </c>
      <c r="AP472" t="s">
        <v>1720</v>
      </c>
      <c r="AT472" t="s">
        <v>403</v>
      </c>
      <c r="AU472">
        <v>2006</v>
      </c>
      <c r="AV472">
        <v>42</v>
      </c>
      <c r="AW472">
        <v>12</v>
      </c>
      <c r="BB472">
        <v>1310</v>
      </c>
      <c r="BC472">
        <v>1318</v>
      </c>
      <c r="BE472" t="s">
        <v>3306</v>
      </c>
      <c r="BF472" t="str">
        <f>HYPERLINK("http://dx.doi.org/10.1134/S102319350612007X","http://dx.doi.org/10.1134/S102319350612007X")</f>
        <v>http://dx.doi.org/10.1134/S102319350612007X</v>
      </c>
      <c r="BS472" t="s">
        <v>3307</v>
      </c>
      <c r="BT472" t="str">
        <f>HYPERLINK("https%3A%2F%2Fwww.webofscience.com%2Fwos%2Fwoscc%2Ffull-record%2FWOS:000243338000007","View Full Record in Web of Science")</f>
        <v>View Full Record in Web of Science</v>
      </c>
    </row>
    <row r="473" spans="1:72" ht="12.75" customHeight="1" x14ac:dyDescent="0.2">
      <c r="A473" t="s">
        <v>72</v>
      </c>
      <c r="B473" t="s">
        <v>3308</v>
      </c>
      <c r="F473" t="s">
        <v>3308</v>
      </c>
      <c r="I473" t="s">
        <v>3309</v>
      </c>
      <c r="J473" t="s">
        <v>3310</v>
      </c>
      <c r="AA473" t="s">
        <v>3311</v>
      </c>
      <c r="AB473" t="s">
        <v>3312</v>
      </c>
      <c r="AO473" t="s">
        <v>3313</v>
      </c>
      <c r="AT473" t="s">
        <v>78</v>
      </c>
      <c r="AU473">
        <v>2005</v>
      </c>
      <c r="AV473">
        <v>26</v>
      </c>
      <c r="AW473">
        <v>3</v>
      </c>
      <c r="BB473">
        <v>25</v>
      </c>
      <c r="BC473">
        <v>37</v>
      </c>
      <c r="BS473" t="s">
        <v>3314</v>
      </c>
      <c r="BT473" t="str">
        <f>HYPERLINK("https%3A%2F%2Fwww.webofscience.com%2Fwos%2Fwoscc%2Ffull-record%2FWOS:000229563300003","View Full Record in Web of Science")</f>
        <v>View Full Record in Web of Science</v>
      </c>
    </row>
    <row r="474" spans="1:72" ht="12.75" customHeight="1" x14ac:dyDescent="0.2">
      <c r="A474" t="s">
        <v>72</v>
      </c>
      <c r="B474" t="s">
        <v>3315</v>
      </c>
      <c r="F474" t="s">
        <v>3315</v>
      </c>
      <c r="I474" t="s">
        <v>3316</v>
      </c>
      <c r="J474" t="s">
        <v>3317</v>
      </c>
      <c r="AO474" t="s">
        <v>3318</v>
      </c>
      <c r="AT474" t="s">
        <v>198</v>
      </c>
      <c r="AU474">
        <v>2001</v>
      </c>
      <c r="AV474">
        <v>56</v>
      </c>
      <c r="AW474">
        <v>4</v>
      </c>
      <c r="BB474">
        <v>388</v>
      </c>
      <c r="BC474">
        <v>389</v>
      </c>
      <c r="BE474" t="s">
        <v>3319</v>
      </c>
      <c r="BF474" t="str">
        <f>HYPERLINK("http://dx.doi.org/10.1023/A:1016616732627","http://dx.doi.org/10.1023/A:1016616732627")</f>
        <v>http://dx.doi.org/10.1023/A:1016616732627</v>
      </c>
      <c r="BS474" t="s">
        <v>3320</v>
      </c>
      <c r="BT474" t="str">
        <f>HYPERLINK("https%3A%2F%2Fwww.webofscience.com%2Fwos%2Fwoscc%2Ffull-record%2FWOS:000168892900016","View Full Record in Web of Science")</f>
        <v>View Full Record in Web of Science</v>
      </c>
    </row>
    <row r="475" spans="1:72" ht="12.75" customHeight="1" x14ac:dyDescent="0.2">
      <c r="A475" t="s">
        <v>72</v>
      </c>
      <c r="B475" t="s">
        <v>3321</v>
      </c>
      <c r="F475" t="s">
        <v>3322</v>
      </c>
      <c r="I475" t="s">
        <v>3323</v>
      </c>
      <c r="J475" t="s">
        <v>3324</v>
      </c>
      <c r="AA475" t="s">
        <v>1402</v>
      </c>
      <c r="AB475" t="s">
        <v>1403</v>
      </c>
      <c r="AO475" t="s">
        <v>3325</v>
      </c>
      <c r="AU475">
        <v>2023</v>
      </c>
      <c r="AV475">
        <v>11</v>
      </c>
      <c r="BB475">
        <v>41061</v>
      </c>
      <c r="BC475">
        <v>41074</v>
      </c>
      <c r="BE475" t="s">
        <v>3326</v>
      </c>
      <c r="BF475" t="str">
        <f>HYPERLINK("http://dx.doi.org/10.1109/ACCESS.2023.3269720","http://dx.doi.org/10.1109/ACCESS.2023.3269720")</f>
        <v>http://dx.doi.org/10.1109/ACCESS.2023.3269720</v>
      </c>
      <c r="BS475" t="s">
        <v>3327</v>
      </c>
      <c r="BT475" t="str">
        <f>HYPERLINK("https%3A%2F%2Fwww.webofscience.com%2Fwos%2Fwoscc%2Ffull-record%2FWOS:000981905100001","View Full Record in Web of Science")</f>
        <v>View Full Record in Web of Science</v>
      </c>
    </row>
    <row r="476" spans="1:72" ht="12.75" customHeight="1" x14ac:dyDescent="0.2">
      <c r="A476" t="s">
        <v>72</v>
      </c>
      <c r="B476" t="s">
        <v>2287</v>
      </c>
      <c r="F476" t="s">
        <v>2288</v>
      </c>
      <c r="I476" t="s">
        <v>3328</v>
      </c>
      <c r="J476" t="s">
        <v>2290</v>
      </c>
      <c r="AA476" t="s">
        <v>2291</v>
      </c>
      <c r="AB476" t="s">
        <v>2292</v>
      </c>
      <c r="AO476" t="s">
        <v>2293</v>
      </c>
      <c r="AP476" t="s">
        <v>2294</v>
      </c>
      <c r="AT476" t="s">
        <v>3329</v>
      </c>
      <c r="AU476">
        <v>2022</v>
      </c>
      <c r="AV476">
        <v>74</v>
      </c>
      <c r="AW476">
        <v>5</v>
      </c>
      <c r="BB476">
        <v>873</v>
      </c>
      <c r="BC476">
        <v>875</v>
      </c>
      <c r="BE476" t="s">
        <v>3330</v>
      </c>
      <c r="BF476" t="str">
        <f>HYPERLINK("http://dx.doi.org/10.1080/09668136.2022.2083309","http://dx.doi.org/10.1080/09668136.2022.2083309")</f>
        <v>http://dx.doi.org/10.1080/09668136.2022.2083309</v>
      </c>
      <c r="BS476" t="s">
        <v>3331</v>
      </c>
      <c r="BT476" t="str">
        <f>HYPERLINK("https%3A%2F%2Fwww.webofscience.com%2Fwos%2Fwoscc%2Ffull-record%2FWOS:000814439200009","View Full Record in Web of Science")</f>
        <v>View Full Record in Web of Science</v>
      </c>
    </row>
    <row r="477" spans="1:72" ht="12.75" customHeight="1" x14ac:dyDescent="0.2">
      <c r="A477" t="s">
        <v>72</v>
      </c>
      <c r="B477" t="s">
        <v>3332</v>
      </c>
      <c r="F477" t="s">
        <v>3333</v>
      </c>
      <c r="I477" t="s">
        <v>3334</v>
      </c>
      <c r="J477" t="s">
        <v>3335</v>
      </c>
      <c r="AO477" t="s">
        <v>3336</v>
      </c>
      <c r="AP477" t="s">
        <v>3337</v>
      </c>
      <c r="AU477">
        <v>2022</v>
      </c>
      <c r="AV477">
        <v>44</v>
      </c>
      <c r="BD477" t="s">
        <v>3338</v>
      </c>
      <c r="BE477" t="s">
        <v>3339</v>
      </c>
      <c r="BF477" t="str">
        <f>HYPERLINK("http://dx.doi.org/10.4025/actascihealthsci.v44i1.56397","http://dx.doi.org/10.4025/actascihealthsci.v44i1.56397")</f>
        <v>http://dx.doi.org/10.4025/actascihealthsci.v44i1.56397</v>
      </c>
      <c r="BS477" t="s">
        <v>3340</v>
      </c>
      <c r="BT477" t="str">
        <f>HYPERLINK("https%3A%2F%2Fwww.webofscience.com%2Fwos%2Fwoscc%2Ffull-record%2FWOS:000744117000001","View Full Record in Web of Science")</f>
        <v>View Full Record in Web of Science</v>
      </c>
    </row>
    <row r="478" spans="1:72" ht="12.75" customHeight="1" x14ac:dyDescent="0.2">
      <c r="A478" t="s">
        <v>72</v>
      </c>
      <c r="B478" t="s">
        <v>3341</v>
      </c>
      <c r="F478" t="s">
        <v>3342</v>
      </c>
      <c r="I478" t="s">
        <v>3343</v>
      </c>
      <c r="J478" t="s">
        <v>668</v>
      </c>
      <c r="AA478" t="s">
        <v>3344</v>
      </c>
      <c r="AB478" t="s">
        <v>518</v>
      </c>
      <c r="AO478" t="s">
        <v>669</v>
      </c>
      <c r="AP478" t="s">
        <v>670</v>
      </c>
      <c r="AU478">
        <v>2022</v>
      </c>
      <c r="AV478">
        <v>11</v>
      </c>
      <c r="AW478">
        <v>7</v>
      </c>
      <c r="BB478">
        <v>59</v>
      </c>
      <c r="BC478">
        <v>73</v>
      </c>
      <c r="BE478" t="s">
        <v>3345</v>
      </c>
      <c r="BF478" t="str">
        <f>HYPERLINK("http://dx.doi.org/10.24224/2227-1295-2022-11-7-59-73","http://dx.doi.org/10.24224/2227-1295-2022-11-7-59-73")</f>
        <v>http://dx.doi.org/10.24224/2227-1295-2022-11-7-59-73</v>
      </c>
      <c r="BS478" t="s">
        <v>3346</v>
      </c>
      <c r="BT478" t="str">
        <f>HYPERLINK("https%3A%2F%2Fwww.webofscience.com%2Fwos%2Fwoscc%2Ffull-record%2FWOS:000886616200004","View Full Record in Web of Science")</f>
        <v>View Full Record in Web of Science</v>
      </c>
    </row>
    <row r="479" spans="1:72" ht="12.75" customHeight="1" x14ac:dyDescent="0.2">
      <c r="A479" t="s">
        <v>72</v>
      </c>
      <c r="B479" t="s">
        <v>2287</v>
      </c>
      <c r="F479" t="s">
        <v>2288</v>
      </c>
      <c r="I479" t="s">
        <v>3347</v>
      </c>
      <c r="J479" t="s">
        <v>2290</v>
      </c>
      <c r="AA479" t="s">
        <v>2291</v>
      </c>
      <c r="AB479" t="s">
        <v>2292</v>
      </c>
      <c r="AO479" t="s">
        <v>2293</v>
      </c>
      <c r="AP479" t="s">
        <v>2294</v>
      </c>
      <c r="AT479" t="s">
        <v>2891</v>
      </c>
      <c r="AU479">
        <v>2021</v>
      </c>
      <c r="AV479">
        <v>73</v>
      </c>
      <c r="AW479">
        <v>10</v>
      </c>
      <c r="BB479">
        <v>1965</v>
      </c>
      <c r="BC479">
        <v>1966</v>
      </c>
      <c r="BE479" t="s">
        <v>3348</v>
      </c>
      <c r="BF479" t="str">
        <f>HYPERLINK("http://dx.doi.org/10.1080/09668136.2021.1977037","http://dx.doi.org/10.1080/09668136.2021.1977037")</f>
        <v>http://dx.doi.org/10.1080/09668136.2021.1977037</v>
      </c>
      <c r="BS479" t="s">
        <v>3349</v>
      </c>
      <c r="BT479" t="str">
        <f>HYPERLINK("https%3A%2F%2Fwww.webofscience.com%2Fwos%2Fwoscc%2Ffull-record%2FWOS:000734240600010","View Full Record in Web of Science")</f>
        <v>View Full Record in Web of Science</v>
      </c>
    </row>
    <row r="480" spans="1:72" ht="12.75" customHeight="1" x14ac:dyDescent="0.2">
      <c r="A480" t="s">
        <v>147</v>
      </c>
      <c r="B480" t="s">
        <v>3350</v>
      </c>
      <c r="D480" t="s">
        <v>1062</v>
      </c>
      <c r="F480" t="s">
        <v>3351</v>
      </c>
      <c r="I480" t="s">
        <v>3352</v>
      </c>
      <c r="J480" t="s">
        <v>1065</v>
      </c>
      <c r="K480" t="s">
        <v>253</v>
      </c>
      <c r="O480" t="s">
        <v>1066</v>
      </c>
      <c r="P480" t="s">
        <v>1067</v>
      </c>
      <c r="Q480" t="s">
        <v>1068</v>
      </c>
      <c r="R480" t="s">
        <v>1069</v>
      </c>
      <c r="S480" t="s">
        <v>1070</v>
      </c>
      <c r="AP480" t="s">
        <v>259</v>
      </c>
      <c r="AQ480" t="s">
        <v>1071</v>
      </c>
      <c r="AU480">
        <v>2021</v>
      </c>
      <c r="AV480">
        <v>114</v>
      </c>
      <c r="BB480">
        <v>388</v>
      </c>
      <c r="BC480">
        <v>396</v>
      </c>
      <c r="BE480" t="s">
        <v>3353</v>
      </c>
      <c r="BF480" t="str">
        <f>HYPERLINK("http://dx.doi.org/10.15405/epsbs.2021.07.02.46","http://dx.doi.org/10.15405/epsbs.2021.07.02.46")</f>
        <v>http://dx.doi.org/10.15405/epsbs.2021.07.02.46</v>
      </c>
      <c r="BS480" t="s">
        <v>3354</v>
      </c>
      <c r="BT480" t="str">
        <f>HYPERLINK("https%3A%2F%2Fwww.webofscience.com%2Fwos%2Fwoscc%2Ffull-record%2FWOS:000771919100046","View Full Record in Web of Science")</f>
        <v>View Full Record in Web of Science</v>
      </c>
    </row>
    <row r="481" spans="1:72" ht="12.75" customHeight="1" x14ac:dyDescent="0.2">
      <c r="A481" t="s">
        <v>72</v>
      </c>
      <c r="B481" t="s">
        <v>3355</v>
      </c>
      <c r="F481" t="s">
        <v>3356</v>
      </c>
      <c r="I481" t="s">
        <v>3357</v>
      </c>
      <c r="J481" t="s">
        <v>2640</v>
      </c>
      <c r="AO481" t="s">
        <v>2643</v>
      </c>
      <c r="AU481">
        <v>2020</v>
      </c>
      <c r="AV481">
        <v>25</v>
      </c>
      <c r="AW481">
        <v>3</v>
      </c>
      <c r="BB481">
        <v>129</v>
      </c>
      <c r="BC481">
        <v>140</v>
      </c>
      <c r="BE481" t="s">
        <v>3358</v>
      </c>
      <c r="BF481" t="str">
        <f>HYPERLINK("http://dx.doi.org/10.26170/FK20-03-11","http://dx.doi.org/10.26170/FK20-03-11")</f>
        <v>http://dx.doi.org/10.26170/FK20-03-11</v>
      </c>
      <c r="BS481" t="s">
        <v>3359</v>
      </c>
      <c r="BT481" t="str">
        <f>HYPERLINK("https%3A%2F%2Fwww.webofscience.com%2Fwos%2Fwoscc%2Ffull-record%2FWOS:000607937300011","View Full Record in Web of Science")</f>
        <v>View Full Record in Web of Science</v>
      </c>
    </row>
    <row r="482" spans="1:72" ht="12.75" customHeight="1" x14ac:dyDescent="0.2">
      <c r="A482" t="s">
        <v>72</v>
      </c>
      <c r="B482" t="s">
        <v>3360</v>
      </c>
      <c r="F482" t="s">
        <v>3361</v>
      </c>
      <c r="I482" t="s">
        <v>3362</v>
      </c>
      <c r="J482" t="s">
        <v>325</v>
      </c>
      <c r="AA482" t="s">
        <v>3363</v>
      </c>
      <c r="AB482" t="s">
        <v>327</v>
      </c>
      <c r="AO482" t="s">
        <v>328</v>
      </c>
      <c r="AP482" t="s">
        <v>329</v>
      </c>
      <c r="AU482">
        <v>2020</v>
      </c>
      <c r="AV482">
        <v>14</v>
      </c>
      <c r="AW482">
        <v>1</v>
      </c>
      <c r="BB482">
        <v>253</v>
      </c>
      <c r="BC482">
        <v>270</v>
      </c>
      <c r="BE482" t="s">
        <v>3364</v>
      </c>
      <c r="BF482" t="str">
        <f>HYPERLINK("http://dx.doi.org/10.24874/IJQR14.01-16","http://dx.doi.org/10.24874/IJQR14.01-16")</f>
        <v>http://dx.doi.org/10.24874/IJQR14.01-16</v>
      </c>
      <c r="BS482" t="s">
        <v>3365</v>
      </c>
      <c r="BT482" t="str">
        <f>HYPERLINK("https%3A%2F%2Fwww.webofscience.com%2Fwos%2Fwoscc%2Ffull-record%2FWOS:000518417300016","View Full Record in Web of Science")</f>
        <v>View Full Record in Web of Science</v>
      </c>
    </row>
    <row r="483" spans="1:72" ht="12.75" customHeight="1" x14ac:dyDescent="0.2">
      <c r="A483" t="s">
        <v>72</v>
      </c>
      <c r="B483" t="s">
        <v>3366</v>
      </c>
      <c r="F483" t="s">
        <v>3367</v>
      </c>
      <c r="I483" t="s">
        <v>3368</v>
      </c>
      <c r="J483" t="s">
        <v>434</v>
      </c>
      <c r="AA483" t="s">
        <v>3369</v>
      </c>
      <c r="AB483" t="s">
        <v>3370</v>
      </c>
      <c r="AO483" t="s">
        <v>437</v>
      </c>
      <c r="AP483" t="s">
        <v>438</v>
      </c>
      <c r="AU483">
        <v>2020</v>
      </c>
      <c r="AV483">
        <v>13</v>
      </c>
      <c r="AW483">
        <v>2</v>
      </c>
      <c r="BB483">
        <v>7</v>
      </c>
      <c r="BC483">
        <v>39</v>
      </c>
      <c r="BE483" t="s">
        <v>3371</v>
      </c>
      <c r="BF483" t="str">
        <f>HYPERLINK("http://dx.doi.org/10.24833/2071-8160-2020-2-71-7-39","http://dx.doi.org/10.24833/2071-8160-2020-2-71-7-39")</f>
        <v>http://dx.doi.org/10.24833/2071-8160-2020-2-71-7-39</v>
      </c>
      <c r="BS483" t="s">
        <v>3372</v>
      </c>
      <c r="BT483" t="str">
        <f>HYPERLINK("https%3A%2F%2Fwww.webofscience.com%2Fwos%2Fwoscc%2Ffull-record%2FWOS:000530164600001","View Full Record in Web of Science")</f>
        <v>View Full Record in Web of Science</v>
      </c>
    </row>
    <row r="484" spans="1:72" ht="12.75" customHeight="1" x14ac:dyDescent="0.2">
      <c r="A484" t="s">
        <v>72</v>
      </c>
      <c r="B484" t="s">
        <v>378</v>
      </c>
      <c r="F484" t="s">
        <v>1226</v>
      </c>
      <c r="I484" t="s">
        <v>3373</v>
      </c>
      <c r="J484" t="s">
        <v>1228</v>
      </c>
      <c r="AA484" t="s">
        <v>553</v>
      </c>
      <c r="AB484" t="s">
        <v>554</v>
      </c>
      <c r="AO484" t="s">
        <v>1229</v>
      </c>
      <c r="AU484">
        <v>2019</v>
      </c>
      <c r="AV484">
        <v>8</v>
      </c>
      <c r="AW484">
        <v>6</v>
      </c>
      <c r="BB484">
        <v>151</v>
      </c>
      <c r="BC484">
        <v>156</v>
      </c>
      <c r="BS484" t="s">
        <v>3374</v>
      </c>
      <c r="BT484" t="str">
        <f>HYPERLINK("https%3A%2F%2Fwww.webofscience.com%2Fwos%2Fwoscc%2Ffull-record%2FWOS:000477564000021","View Full Record in Web of Science")</f>
        <v>View Full Record in Web of Science</v>
      </c>
    </row>
    <row r="485" spans="1:72" ht="12.75" customHeight="1" x14ac:dyDescent="0.2">
      <c r="A485" t="s">
        <v>72</v>
      </c>
      <c r="B485" t="s">
        <v>3375</v>
      </c>
      <c r="F485" t="s">
        <v>3376</v>
      </c>
      <c r="I485" t="s">
        <v>3377</v>
      </c>
      <c r="J485" t="s">
        <v>668</v>
      </c>
      <c r="AB485" t="s">
        <v>3378</v>
      </c>
      <c r="AO485" t="s">
        <v>669</v>
      </c>
      <c r="AP485" t="s">
        <v>670</v>
      </c>
      <c r="AU485">
        <v>2019</v>
      </c>
      <c r="AW485">
        <v>9</v>
      </c>
      <c r="BB485">
        <v>159</v>
      </c>
      <c r="BC485">
        <v>172</v>
      </c>
      <c r="BE485" t="s">
        <v>3379</v>
      </c>
      <c r="BF485" t="str">
        <f>HYPERLINK("http://dx.doi.org/10.24224/2227-1295-2019-9-159-172","http://dx.doi.org/10.24224/2227-1295-2019-9-159-172")</f>
        <v>http://dx.doi.org/10.24224/2227-1295-2019-9-159-172</v>
      </c>
      <c r="BS485" t="s">
        <v>3380</v>
      </c>
      <c r="BT485" t="str">
        <f>HYPERLINK("https%3A%2F%2Fwww.webofscience.com%2Fwos%2Fwoscc%2Ffull-record%2FWOS:000484392200010","View Full Record in Web of Science")</f>
        <v>View Full Record in Web of Science</v>
      </c>
    </row>
    <row r="486" spans="1:72" ht="12.75" customHeight="1" x14ac:dyDescent="0.2">
      <c r="A486" t="s">
        <v>147</v>
      </c>
      <c r="B486" t="s">
        <v>3381</v>
      </c>
      <c r="E486" t="s">
        <v>3382</v>
      </c>
      <c r="F486" t="s">
        <v>3383</v>
      </c>
      <c r="I486" t="s">
        <v>3384</v>
      </c>
      <c r="J486" t="s">
        <v>3385</v>
      </c>
      <c r="O486" t="s">
        <v>3386</v>
      </c>
      <c r="P486" t="s">
        <v>3387</v>
      </c>
      <c r="Q486" t="s">
        <v>1316</v>
      </c>
      <c r="AA486" t="s">
        <v>3388</v>
      </c>
      <c r="AB486" t="s">
        <v>3389</v>
      </c>
      <c r="AQ486" t="s">
        <v>3390</v>
      </c>
      <c r="AU486">
        <v>2019</v>
      </c>
      <c r="BB486">
        <v>43</v>
      </c>
      <c r="BC486">
        <v>47</v>
      </c>
      <c r="BE486" t="s">
        <v>3391</v>
      </c>
      <c r="BF486" t="str">
        <f>HYPERLINK("http://dx.doi.org/10.1145/3357419.3357430","http://dx.doi.org/10.1145/3357419.3357430")</f>
        <v>http://dx.doi.org/10.1145/3357419.3357430</v>
      </c>
      <c r="BS486" t="s">
        <v>3392</v>
      </c>
      <c r="BT486" t="str">
        <f>HYPERLINK("https%3A%2F%2Fwww.webofscience.com%2Fwos%2Fwoscc%2Ffull-record%2FWOS:000518414100009","View Full Record in Web of Science")</f>
        <v>View Full Record in Web of Science</v>
      </c>
    </row>
    <row r="487" spans="1:72" ht="12.75" customHeight="1" x14ac:dyDescent="0.2">
      <c r="A487" t="s">
        <v>72</v>
      </c>
      <c r="B487" t="s">
        <v>378</v>
      </c>
      <c r="F487" t="s">
        <v>379</v>
      </c>
      <c r="I487" t="s">
        <v>3393</v>
      </c>
      <c r="J487" t="s">
        <v>381</v>
      </c>
      <c r="AO487" t="s">
        <v>382</v>
      </c>
      <c r="AT487" t="s">
        <v>383</v>
      </c>
      <c r="AU487">
        <v>2018</v>
      </c>
      <c r="AV487">
        <v>10</v>
      </c>
      <c r="AW487">
        <v>37</v>
      </c>
      <c r="BB487">
        <v>235</v>
      </c>
      <c r="BC487">
        <v>241</v>
      </c>
      <c r="BS487" t="s">
        <v>3394</v>
      </c>
      <c r="BT487" t="str">
        <f>HYPERLINK("https%3A%2F%2Fwww.webofscience.com%2Fwos%2Fwoscc%2Ffull-record%2FWOS:000434451000017","View Full Record in Web of Science")</f>
        <v>View Full Record in Web of Science</v>
      </c>
    </row>
    <row r="488" spans="1:72" ht="12.75" customHeight="1" x14ac:dyDescent="0.2">
      <c r="A488" t="s">
        <v>72</v>
      </c>
      <c r="B488" t="s">
        <v>2324</v>
      </c>
      <c r="F488" t="s">
        <v>3395</v>
      </c>
      <c r="I488" t="s">
        <v>3396</v>
      </c>
      <c r="J488" t="s">
        <v>204</v>
      </c>
      <c r="AA488" t="s">
        <v>3397</v>
      </c>
      <c r="AB488" t="s">
        <v>3398</v>
      </c>
      <c r="AO488" t="s">
        <v>205</v>
      </c>
      <c r="AP488" t="s">
        <v>206</v>
      </c>
      <c r="AT488" t="s">
        <v>171</v>
      </c>
      <c r="AU488">
        <v>2018</v>
      </c>
      <c r="AV488">
        <v>20</v>
      </c>
      <c r="AW488">
        <v>3</v>
      </c>
      <c r="BB488">
        <v>53</v>
      </c>
      <c r="BC488">
        <v>82</v>
      </c>
      <c r="BE488" t="s">
        <v>3399</v>
      </c>
      <c r="BF488" t="str">
        <f>HYPERLINK("http://dx.doi.org/10.17853/1994-5639-2018-3-53-82","http://dx.doi.org/10.17853/1994-5639-2018-3-53-82")</f>
        <v>http://dx.doi.org/10.17853/1994-5639-2018-3-53-82</v>
      </c>
      <c r="BS488" t="s">
        <v>3400</v>
      </c>
      <c r="BT488" t="str">
        <f>HYPERLINK("https%3A%2F%2Fwww.webofscience.com%2Fwos%2Fwoscc%2Ffull-record%2FWOS:000461120400003","View Full Record in Web of Science")</f>
        <v>View Full Record in Web of Science</v>
      </c>
    </row>
    <row r="489" spans="1:72" ht="12.75" customHeight="1" x14ac:dyDescent="0.2">
      <c r="A489" t="s">
        <v>72</v>
      </c>
      <c r="B489" t="s">
        <v>925</v>
      </c>
      <c r="F489" t="s">
        <v>926</v>
      </c>
      <c r="I489" t="s">
        <v>3401</v>
      </c>
      <c r="J489" t="s">
        <v>3402</v>
      </c>
      <c r="AA489" t="s">
        <v>3403</v>
      </c>
      <c r="AB489" t="s">
        <v>3404</v>
      </c>
      <c r="AO489" t="s">
        <v>3405</v>
      </c>
      <c r="AP489" t="s">
        <v>3406</v>
      </c>
      <c r="AT489" t="s">
        <v>541</v>
      </c>
      <c r="AU489">
        <v>2018</v>
      </c>
      <c r="AV489">
        <v>27</v>
      </c>
      <c r="AW489">
        <v>1</v>
      </c>
      <c r="BD489">
        <v>1850004</v>
      </c>
      <c r="BE489" t="s">
        <v>3407</v>
      </c>
      <c r="BF489" t="str">
        <f>HYPERLINK("http://dx.doi.org/10.1142/S0218126618500044","http://dx.doi.org/10.1142/S0218126618500044")</f>
        <v>http://dx.doi.org/10.1142/S0218126618500044</v>
      </c>
      <c r="BS489" t="s">
        <v>3408</v>
      </c>
      <c r="BT489" t="str">
        <f>HYPERLINK("https%3A%2F%2Fwww.webofscience.com%2Fwos%2Fwoscc%2Ffull-record%2FWOS:000408205300004","View Full Record in Web of Science")</f>
        <v>View Full Record in Web of Science</v>
      </c>
    </row>
    <row r="490" spans="1:72" ht="12.75" customHeight="1" x14ac:dyDescent="0.2">
      <c r="A490" t="s">
        <v>72</v>
      </c>
      <c r="B490" t="s">
        <v>3409</v>
      </c>
      <c r="F490" t="s">
        <v>3410</v>
      </c>
      <c r="I490" t="s">
        <v>3411</v>
      </c>
      <c r="J490" t="s">
        <v>3412</v>
      </c>
      <c r="AA490" t="s">
        <v>3413</v>
      </c>
      <c r="AB490" t="s">
        <v>3414</v>
      </c>
      <c r="AO490" t="s">
        <v>3415</v>
      </c>
      <c r="AP490" t="s">
        <v>3416</v>
      </c>
      <c r="AU490">
        <v>2018</v>
      </c>
      <c r="AV490">
        <v>28</v>
      </c>
      <c r="AW490">
        <v>3</v>
      </c>
      <c r="BB490">
        <v>416</v>
      </c>
      <c r="BC490">
        <v>428</v>
      </c>
      <c r="BE490" t="s">
        <v>3417</v>
      </c>
      <c r="BF490" t="str">
        <f>HYPERLINK("http://dx.doi.org/10.15507/0236-2910.028.201803.416-428","http://dx.doi.org/10.15507/0236-2910.028.201803.416-428")</f>
        <v>http://dx.doi.org/10.15507/0236-2910.028.201803.416-428</v>
      </c>
      <c r="BS490" t="s">
        <v>3418</v>
      </c>
      <c r="BT490" t="str">
        <f>HYPERLINK("https%3A%2F%2Fwww.webofscience.com%2Fwos%2Fwoscc%2Ffull-record%2FWOS:000444121400010","View Full Record in Web of Science")</f>
        <v>View Full Record in Web of Science</v>
      </c>
    </row>
    <row r="491" spans="1:72" ht="12.75" customHeight="1" x14ac:dyDescent="0.2">
      <c r="A491" t="s">
        <v>72</v>
      </c>
      <c r="B491" t="s">
        <v>698</v>
      </c>
      <c r="F491" t="s">
        <v>2370</v>
      </c>
      <c r="I491" t="s">
        <v>3419</v>
      </c>
      <c r="J491" t="s">
        <v>1652</v>
      </c>
      <c r="AA491" t="s">
        <v>553</v>
      </c>
      <c r="AB491" t="s">
        <v>554</v>
      </c>
      <c r="AO491" t="s">
        <v>1653</v>
      </c>
      <c r="AT491" t="s">
        <v>3420</v>
      </c>
      <c r="AU491">
        <v>2018</v>
      </c>
      <c r="AV491">
        <v>12</v>
      </c>
      <c r="AW491">
        <v>1</v>
      </c>
      <c r="BB491">
        <v>496</v>
      </c>
      <c r="BC491">
        <v>499</v>
      </c>
      <c r="BS491" t="s">
        <v>3421</v>
      </c>
      <c r="BT491" t="str">
        <f>HYPERLINK("https%3A%2F%2Fwww.webofscience.com%2Fwos%2Fwoscc%2Ffull-record%2FWOS:000432248900136","View Full Record in Web of Science")</f>
        <v>View Full Record in Web of Science</v>
      </c>
    </row>
    <row r="492" spans="1:72" ht="12.75" customHeight="1" x14ac:dyDescent="0.2">
      <c r="A492" t="s">
        <v>147</v>
      </c>
      <c r="B492" t="s">
        <v>3422</v>
      </c>
      <c r="D492" t="s">
        <v>3423</v>
      </c>
      <c r="F492" t="s">
        <v>3424</v>
      </c>
      <c r="I492" t="s">
        <v>3425</v>
      </c>
      <c r="J492" t="s">
        <v>3426</v>
      </c>
      <c r="O492" t="s">
        <v>3427</v>
      </c>
      <c r="P492" t="s">
        <v>3428</v>
      </c>
      <c r="Q492" t="s">
        <v>3429</v>
      </c>
      <c r="R492" t="s">
        <v>3430</v>
      </c>
      <c r="S492" t="s">
        <v>3431</v>
      </c>
      <c r="AA492" t="s">
        <v>2486</v>
      </c>
      <c r="AB492" t="s">
        <v>2487</v>
      </c>
      <c r="AQ492" t="s">
        <v>3432</v>
      </c>
      <c r="AU492">
        <v>2018</v>
      </c>
      <c r="BB492">
        <v>240</v>
      </c>
      <c r="BC492">
        <v>245</v>
      </c>
      <c r="BS492" t="s">
        <v>3433</v>
      </c>
      <c r="BT492" t="str">
        <f>HYPERLINK("https%3A%2F%2Fwww.webofscience.com%2Fwos%2Fwoscc%2Ffull-record%2FWOS:000618551100040","View Full Record in Web of Science")</f>
        <v>View Full Record in Web of Science</v>
      </c>
    </row>
    <row r="493" spans="1:72" ht="12.75" customHeight="1" x14ac:dyDescent="0.2">
      <c r="A493" t="s">
        <v>147</v>
      </c>
      <c r="B493" t="s">
        <v>3434</v>
      </c>
      <c r="D493" t="s">
        <v>2500</v>
      </c>
      <c r="F493" t="s">
        <v>3435</v>
      </c>
      <c r="I493" t="s">
        <v>3436</v>
      </c>
      <c r="J493" t="s">
        <v>2503</v>
      </c>
      <c r="K493" t="s">
        <v>2504</v>
      </c>
      <c r="O493" t="s">
        <v>2505</v>
      </c>
      <c r="P493" t="s">
        <v>2506</v>
      </c>
      <c r="Q493" t="s">
        <v>2507</v>
      </c>
      <c r="R493" t="s">
        <v>2508</v>
      </c>
      <c r="AO493" t="s">
        <v>2509</v>
      </c>
      <c r="AQ493" t="s">
        <v>2510</v>
      </c>
      <c r="AU493">
        <v>2018</v>
      </c>
      <c r="AV493">
        <v>47</v>
      </c>
      <c r="BB493">
        <v>988</v>
      </c>
      <c r="BC493">
        <v>991</v>
      </c>
      <c r="BS493" t="s">
        <v>3437</v>
      </c>
      <c r="BT493" t="str">
        <f>HYPERLINK("https%3A%2F%2Fwww.webofscience.com%2Fwos%2Fwoscc%2Ffull-record%2FWOS:000679066800223","View Full Record in Web of Science")</f>
        <v>View Full Record in Web of Science</v>
      </c>
    </row>
    <row r="494" spans="1:72" ht="12.75" customHeight="1" x14ac:dyDescent="0.2">
      <c r="A494" t="s">
        <v>72</v>
      </c>
      <c r="B494" t="s">
        <v>3438</v>
      </c>
      <c r="F494" t="s">
        <v>3439</v>
      </c>
      <c r="I494" t="s">
        <v>3440</v>
      </c>
      <c r="J494" t="s">
        <v>3441</v>
      </c>
      <c r="AA494" t="s">
        <v>3442</v>
      </c>
      <c r="AB494" t="s">
        <v>3443</v>
      </c>
      <c r="AO494" t="s">
        <v>3444</v>
      </c>
      <c r="AP494" t="s">
        <v>3445</v>
      </c>
      <c r="AT494" t="s">
        <v>198</v>
      </c>
      <c r="AU494">
        <v>2017</v>
      </c>
      <c r="AV494">
        <v>41</v>
      </c>
      <c r="AW494">
        <v>1</v>
      </c>
      <c r="BB494">
        <v>43</v>
      </c>
      <c r="BC494">
        <v>60</v>
      </c>
      <c r="BE494" t="s">
        <v>3446</v>
      </c>
      <c r="BF494" t="str">
        <f>HYPERLINK("http://dx.doi.org/10.1007/s11185-016-9174-9","http://dx.doi.org/10.1007/s11185-016-9174-9")</f>
        <v>http://dx.doi.org/10.1007/s11185-016-9174-9</v>
      </c>
      <c r="BS494" t="s">
        <v>3447</v>
      </c>
      <c r="BT494" t="str">
        <f>HYPERLINK("https%3A%2F%2Fwww.webofscience.com%2Fwos%2Fwoscc%2Ffull-record%2FWOS:000398165000003","View Full Record in Web of Science")</f>
        <v>View Full Record in Web of Science</v>
      </c>
    </row>
    <row r="495" spans="1:72" ht="12.75" customHeight="1" x14ac:dyDescent="0.2">
      <c r="A495" t="s">
        <v>147</v>
      </c>
      <c r="B495" t="s">
        <v>2152</v>
      </c>
      <c r="E495" t="s">
        <v>210</v>
      </c>
      <c r="F495" t="s">
        <v>2153</v>
      </c>
      <c r="I495" t="s">
        <v>3448</v>
      </c>
      <c r="J495" t="s">
        <v>1261</v>
      </c>
      <c r="O495" t="s">
        <v>214</v>
      </c>
      <c r="P495" t="s">
        <v>909</v>
      </c>
      <c r="Q495" t="s">
        <v>910</v>
      </c>
      <c r="R495" t="s">
        <v>1262</v>
      </c>
      <c r="AA495" t="s">
        <v>562</v>
      </c>
      <c r="AB495" t="s">
        <v>563</v>
      </c>
      <c r="AQ495" t="s">
        <v>1263</v>
      </c>
      <c r="AU495">
        <v>2017</v>
      </c>
      <c r="BS495" t="s">
        <v>3449</v>
      </c>
      <c r="BT495" t="str">
        <f>HYPERLINK("https%3A%2F%2Fwww.webofscience.com%2Fwos%2Fwoscc%2Ffull-record%2FWOS:000414282400359","View Full Record in Web of Science")</f>
        <v>View Full Record in Web of Science</v>
      </c>
    </row>
    <row r="496" spans="1:72" ht="12.75" customHeight="1" x14ac:dyDescent="0.2">
      <c r="A496" t="s">
        <v>147</v>
      </c>
      <c r="B496" t="s">
        <v>3450</v>
      </c>
      <c r="D496" t="s">
        <v>903</v>
      </c>
      <c r="F496" t="s">
        <v>3451</v>
      </c>
      <c r="I496" t="s">
        <v>3452</v>
      </c>
      <c r="J496" t="s">
        <v>906</v>
      </c>
      <c r="K496" t="s">
        <v>907</v>
      </c>
      <c r="O496" t="s">
        <v>908</v>
      </c>
      <c r="P496" t="s">
        <v>909</v>
      </c>
      <c r="Q496" t="s">
        <v>910</v>
      </c>
      <c r="R496" t="s">
        <v>911</v>
      </c>
      <c r="AA496" t="s">
        <v>1609</v>
      </c>
      <c r="AB496" t="s">
        <v>1610</v>
      </c>
      <c r="AO496" t="s">
        <v>912</v>
      </c>
      <c r="AU496">
        <v>2017</v>
      </c>
      <c r="AV496">
        <v>206</v>
      </c>
      <c r="BB496">
        <v>1648</v>
      </c>
      <c r="BC496">
        <v>1653</v>
      </c>
      <c r="BE496" t="s">
        <v>3453</v>
      </c>
      <c r="BF496" t="str">
        <f>HYPERLINK("http://dx.doi.org/10.1016/j.proeng.2017.10.692","http://dx.doi.org/10.1016/j.proeng.2017.10.692")</f>
        <v>http://dx.doi.org/10.1016/j.proeng.2017.10.692</v>
      </c>
      <c r="BS496" t="s">
        <v>3454</v>
      </c>
      <c r="BT496" t="str">
        <f>HYPERLINK("https%3A%2F%2Fwww.webofscience.com%2Fwos%2Fwoscc%2Ffull-record%2FWOS:000425674300266","View Full Record in Web of Science")</f>
        <v>View Full Record in Web of Science</v>
      </c>
    </row>
    <row r="497" spans="1:72" ht="12.75" customHeight="1" x14ac:dyDescent="0.2">
      <c r="A497" t="s">
        <v>147</v>
      </c>
      <c r="B497" t="s">
        <v>3455</v>
      </c>
      <c r="E497" t="s">
        <v>210</v>
      </c>
      <c r="F497" t="s">
        <v>3456</v>
      </c>
      <c r="I497" t="s">
        <v>3457</v>
      </c>
      <c r="J497" t="s">
        <v>1261</v>
      </c>
      <c r="O497" t="s">
        <v>214</v>
      </c>
      <c r="P497" t="s">
        <v>909</v>
      </c>
      <c r="Q497" t="s">
        <v>910</v>
      </c>
      <c r="R497" t="s">
        <v>1262</v>
      </c>
      <c r="AQ497" t="s">
        <v>1263</v>
      </c>
      <c r="AU497">
        <v>2017</v>
      </c>
      <c r="BS497" t="s">
        <v>3458</v>
      </c>
      <c r="BT497" t="str">
        <f>HYPERLINK("https%3A%2F%2Fwww.webofscience.com%2Fwos%2Fwoscc%2Ffull-record%2FWOS:000414282400167","View Full Record in Web of Science")</f>
        <v>View Full Record in Web of Science</v>
      </c>
    </row>
    <row r="498" spans="1:72" ht="12.75" customHeight="1" x14ac:dyDescent="0.2">
      <c r="A498" t="s">
        <v>147</v>
      </c>
      <c r="B498" t="s">
        <v>925</v>
      </c>
      <c r="D498" t="s">
        <v>3270</v>
      </c>
      <c r="F498" t="s">
        <v>926</v>
      </c>
      <c r="I498" t="s">
        <v>3459</v>
      </c>
      <c r="J498" t="s">
        <v>3460</v>
      </c>
      <c r="K498" t="s">
        <v>1494</v>
      </c>
      <c r="O498" t="s">
        <v>3461</v>
      </c>
      <c r="P498" t="s">
        <v>3462</v>
      </c>
      <c r="Q498" t="s">
        <v>3463</v>
      </c>
      <c r="R498" t="s">
        <v>3464</v>
      </c>
      <c r="AA498" t="s">
        <v>934</v>
      </c>
      <c r="AB498" t="s">
        <v>935</v>
      </c>
      <c r="AO498" t="s">
        <v>1500</v>
      </c>
      <c r="AP498" t="s">
        <v>1304</v>
      </c>
      <c r="AQ498" t="s">
        <v>3465</v>
      </c>
      <c r="AU498">
        <v>2015</v>
      </c>
      <c r="AV498">
        <v>9251</v>
      </c>
      <c r="BB498">
        <v>47</v>
      </c>
      <c r="BC498">
        <v>61</v>
      </c>
      <c r="BE498" t="s">
        <v>3466</v>
      </c>
      <c r="BF498" t="str">
        <f>HYPERLINK("http://dx.doi.org/10.1007/978-3-319-21909-7_5","http://dx.doi.org/10.1007/978-3-319-21909-7_5")</f>
        <v>http://dx.doi.org/10.1007/978-3-319-21909-7_5</v>
      </c>
      <c r="BS498" t="s">
        <v>3467</v>
      </c>
      <c r="BT498" t="str">
        <f>HYPERLINK("https%3A%2F%2Fwww.webofscience.com%2Fwos%2Fwoscc%2Ffull-record%2FWOS:000363763200005","View Full Record in Web of Science")</f>
        <v>View Full Record in Web of Science</v>
      </c>
    </row>
    <row r="499" spans="1:72" ht="12.75" customHeight="1" x14ac:dyDescent="0.2">
      <c r="A499" t="s">
        <v>72</v>
      </c>
      <c r="B499" t="s">
        <v>3468</v>
      </c>
      <c r="F499" t="s">
        <v>3469</v>
      </c>
      <c r="I499" t="s">
        <v>3470</v>
      </c>
      <c r="J499" t="s">
        <v>3471</v>
      </c>
      <c r="AA499" t="s">
        <v>425</v>
      </c>
      <c r="AB499" t="s">
        <v>426</v>
      </c>
      <c r="AO499" t="s">
        <v>3472</v>
      </c>
      <c r="AP499" t="s">
        <v>3473</v>
      </c>
      <c r="AT499" t="s">
        <v>198</v>
      </c>
      <c r="AU499">
        <v>2007</v>
      </c>
      <c r="AV499">
        <v>50</v>
      </c>
      <c r="AW499">
        <v>4</v>
      </c>
      <c r="BB499">
        <v>330</v>
      </c>
      <c r="BC499">
        <v>336</v>
      </c>
      <c r="BE499" t="s">
        <v>3474</v>
      </c>
      <c r="BF499" t="str">
        <f>HYPERLINK("http://dx.doi.org/10.1007/s11141-007-0030-z","http://dx.doi.org/10.1007/s11141-007-0030-z")</f>
        <v>http://dx.doi.org/10.1007/s11141-007-0030-z</v>
      </c>
      <c r="BS499" t="s">
        <v>3475</v>
      </c>
      <c r="BT499" t="str">
        <f>HYPERLINK("https%3A%2F%2Fwww.webofscience.com%2Fwos%2Fwoscc%2Ffull-record%2FWOS:000207860900009","View Full Record in Web of Science")</f>
        <v>View Full Record in Web of Science</v>
      </c>
    </row>
    <row r="500" spans="1:72" ht="12.75" customHeight="1" x14ac:dyDescent="0.2">
      <c r="A500" t="s">
        <v>72</v>
      </c>
      <c r="B500" t="s">
        <v>2034</v>
      </c>
      <c r="F500" t="s">
        <v>2034</v>
      </c>
      <c r="I500" t="s">
        <v>3476</v>
      </c>
      <c r="J500" t="s">
        <v>311</v>
      </c>
      <c r="AO500" t="s">
        <v>312</v>
      </c>
      <c r="AT500" t="s">
        <v>3477</v>
      </c>
      <c r="AU500">
        <v>2002</v>
      </c>
      <c r="AV500">
        <v>36</v>
      </c>
      <c r="AW500">
        <v>6</v>
      </c>
      <c r="BB500">
        <v>601</v>
      </c>
      <c r="BC500">
        <v>603</v>
      </c>
      <c r="BE500" t="s">
        <v>3478</v>
      </c>
      <c r="BF500" t="str">
        <f>HYPERLINK("http://dx.doi.org/10.1023/A:1021274019713","http://dx.doi.org/10.1023/A:1021274019713")</f>
        <v>http://dx.doi.org/10.1023/A:1021274019713</v>
      </c>
      <c r="BS500" t="s">
        <v>3479</v>
      </c>
      <c r="BT500" t="str">
        <f>HYPERLINK("https%3A%2F%2Fwww.webofscience.com%2Fwos%2Fwoscc%2Ffull-record%2FWOS:000180094300016","View Full Record in Web of Science")</f>
        <v>View Full Record in Web of Science</v>
      </c>
    </row>
    <row r="501" spans="1:72" ht="12.75" customHeight="1" x14ac:dyDescent="0.2">
      <c r="A501" t="s">
        <v>72</v>
      </c>
      <c r="B501" t="s">
        <v>3480</v>
      </c>
      <c r="F501" t="s">
        <v>3481</v>
      </c>
      <c r="I501" t="s">
        <v>3482</v>
      </c>
      <c r="J501" t="s">
        <v>123</v>
      </c>
      <c r="AO501" t="s">
        <v>124</v>
      </c>
      <c r="AT501" t="s">
        <v>655</v>
      </c>
      <c r="AU501">
        <v>2021</v>
      </c>
      <c r="AV501">
        <v>22</v>
      </c>
      <c r="AW501">
        <v>2</v>
      </c>
      <c r="BB501">
        <v>195</v>
      </c>
      <c r="BC501">
        <v>199</v>
      </c>
      <c r="BE501" t="s">
        <v>3483</v>
      </c>
      <c r="BF501" t="str">
        <f>HYPERLINK("http://dx.doi.org/10.12911/22998993/131029","http://dx.doi.org/10.12911/22998993/131029")</f>
        <v>http://dx.doi.org/10.12911/22998993/131029</v>
      </c>
      <c r="BS501" t="s">
        <v>3484</v>
      </c>
      <c r="BT501" t="str">
        <f>HYPERLINK("https%3A%2F%2Fwww.webofscience.com%2Fwos%2Fwoscc%2Ffull-record%2FWOS:000615787800022","View Full Record in Web of Science")</f>
        <v>View Full Record in Web of Science</v>
      </c>
    </row>
    <row r="502" spans="1:72" ht="12.75" customHeight="1" x14ac:dyDescent="0.2">
      <c r="A502" t="s">
        <v>72</v>
      </c>
      <c r="B502" t="s">
        <v>3485</v>
      </c>
      <c r="F502" t="s">
        <v>3486</v>
      </c>
      <c r="I502" t="s">
        <v>3487</v>
      </c>
      <c r="J502" t="s">
        <v>3488</v>
      </c>
      <c r="AB502" t="s">
        <v>3489</v>
      </c>
      <c r="AO502" t="s">
        <v>3490</v>
      </c>
      <c r="AP502" t="s">
        <v>3491</v>
      </c>
      <c r="AT502" t="s">
        <v>703</v>
      </c>
      <c r="AU502">
        <v>2020</v>
      </c>
      <c r="AV502">
        <v>22</v>
      </c>
      <c r="AW502">
        <v>4</v>
      </c>
      <c r="BB502">
        <v>18</v>
      </c>
      <c r="BC502">
        <v>30</v>
      </c>
      <c r="BE502" t="s">
        <v>3492</v>
      </c>
      <c r="BF502" t="str">
        <f>HYPERLINK("http://dx.doi.org/10.17212/1994-6309-2020-22.4-18-30","http://dx.doi.org/10.17212/1994-6309-2020-22.4-18-30")</f>
        <v>http://dx.doi.org/10.17212/1994-6309-2020-22.4-18-30</v>
      </c>
      <c r="BS502" t="s">
        <v>3493</v>
      </c>
      <c r="BT502" t="str">
        <f>HYPERLINK("https%3A%2F%2Fwww.webofscience.com%2Fwos%2Fwoscc%2Ffull-record%2FWOS:000598224000002","View Full Record in Web of Science")</f>
        <v>View Full Record in Web of Science</v>
      </c>
    </row>
    <row r="503" spans="1:72" ht="12.75" customHeight="1" x14ac:dyDescent="0.2">
      <c r="A503" t="s">
        <v>72</v>
      </c>
      <c r="B503" t="s">
        <v>80</v>
      </c>
      <c r="F503" t="s">
        <v>81</v>
      </c>
      <c r="I503" t="s">
        <v>3494</v>
      </c>
      <c r="J503" t="s">
        <v>3495</v>
      </c>
      <c r="AA503" t="s">
        <v>84</v>
      </c>
      <c r="AB503" t="s">
        <v>85</v>
      </c>
      <c r="AO503" t="s">
        <v>3496</v>
      </c>
      <c r="AT503" t="s">
        <v>491</v>
      </c>
      <c r="AU503">
        <v>2020</v>
      </c>
      <c r="AV503">
        <v>30</v>
      </c>
      <c r="BD503">
        <v>105506</v>
      </c>
      <c r="BE503" t="s">
        <v>3497</v>
      </c>
      <c r="BF503" t="str">
        <f>HYPERLINK("http://dx.doi.org/10.1016/j.dib.2020.105506","http://dx.doi.org/10.1016/j.dib.2020.105506")</f>
        <v>http://dx.doi.org/10.1016/j.dib.2020.105506</v>
      </c>
      <c r="BN503">
        <v>32373682</v>
      </c>
      <c r="BS503" t="s">
        <v>3498</v>
      </c>
      <c r="BT503" t="str">
        <f>HYPERLINK("https%3A%2F%2Fwww.webofscience.com%2Fwos%2Fwoscc%2Ffull-record%2FWOS:000541974200007","View Full Record in Web of Science")</f>
        <v>View Full Record in Web of Science</v>
      </c>
    </row>
    <row r="504" spans="1:72" ht="12.75" customHeight="1" x14ac:dyDescent="0.2">
      <c r="A504" t="s">
        <v>72</v>
      </c>
      <c r="B504" t="s">
        <v>3499</v>
      </c>
      <c r="F504" t="s">
        <v>3500</v>
      </c>
      <c r="I504" t="s">
        <v>3501</v>
      </c>
      <c r="J504" t="s">
        <v>3502</v>
      </c>
      <c r="AA504" t="s">
        <v>1412</v>
      </c>
      <c r="AB504" t="s">
        <v>1413</v>
      </c>
      <c r="AO504" t="s">
        <v>3503</v>
      </c>
      <c r="AP504" t="s">
        <v>3504</v>
      </c>
      <c r="AT504" t="s">
        <v>491</v>
      </c>
      <c r="AU504">
        <v>2020</v>
      </c>
      <c r="AV504">
        <v>38</v>
      </c>
      <c r="BB504">
        <v>178</v>
      </c>
      <c r="BC504">
        <v>189</v>
      </c>
      <c r="BE504" t="s">
        <v>3505</v>
      </c>
      <c r="BF504" t="str">
        <f>HYPERLINK("http://dx.doi.org/10.17223/22220836/38/16","http://dx.doi.org/10.17223/22220836/38/16")</f>
        <v>http://dx.doi.org/10.17223/22220836/38/16</v>
      </c>
      <c r="BS504" t="s">
        <v>3506</v>
      </c>
      <c r="BT504" t="str">
        <f>HYPERLINK("https%3A%2F%2Fwww.webofscience.com%2Fwos%2Fwoscc%2Ffull-record%2FWOS:000540950700016","View Full Record in Web of Science")</f>
        <v>View Full Record in Web of Science</v>
      </c>
    </row>
    <row r="505" spans="1:72" ht="12.75" customHeight="1" x14ac:dyDescent="0.2">
      <c r="A505" t="s">
        <v>72</v>
      </c>
      <c r="B505" t="s">
        <v>3507</v>
      </c>
      <c r="F505" t="s">
        <v>3508</v>
      </c>
      <c r="I505" t="s">
        <v>3509</v>
      </c>
      <c r="J505" t="s">
        <v>716</v>
      </c>
      <c r="AA505" t="s">
        <v>3510</v>
      </c>
      <c r="AB505" t="s">
        <v>3511</v>
      </c>
      <c r="AO505" t="s">
        <v>719</v>
      </c>
      <c r="AP505" t="s">
        <v>720</v>
      </c>
      <c r="AT505" t="s">
        <v>655</v>
      </c>
      <c r="AU505">
        <v>2020</v>
      </c>
      <c r="AW505">
        <v>451</v>
      </c>
      <c r="BB505">
        <v>170</v>
      </c>
      <c r="BC505">
        <v>178</v>
      </c>
      <c r="BE505" t="s">
        <v>3512</v>
      </c>
      <c r="BF505" t="str">
        <f>HYPERLINK("http://dx.doi.org/10.17223/15617793/451/23","http://dx.doi.org/10.17223/15617793/451/23")</f>
        <v>http://dx.doi.org/10.17223/15617793/451/23</v>
      </c>
      <c r="BS505" t="s">
        <v>3513</v>
      </c>
      <c r="BT505" t="str">
        <f>HYPERLINK("https%3A%2F%2Fwww.webofscience.com%2Fwos%2Fwoscc%2Ffull-record%2FWOS:000530049500023","View Full Record in Web of Science")</f>
        <v>View Full Record in Web of Science</v>
      </c>
    </row>
    <row r="506" spans="1:72" ht="12.75" customHeight="1" x14ac:dyDescent="0.2">
      <c r="A506" t="s">
        <v>72</v>
      </c>
      <c r="B506" t="s">
        <v>1984</v>
      </c>
      <c r="F506" t="s">
        <v>1985</v>
      </c>
      <c r="I506" t="s">
        <v>3514</v>
      </c>
      <c r="J506" t="s">
        <v>3515</v>
      </c>
      <c r="AA506" t="s">
        <v>1988</v>
      </c>
      <c r="AB506" t="s">
        <v>1989</v>
      </c>
      <c r="AO506" t="s">
        <v>3516</v>
      </c>
      <c r="AP506" t="s">
        <v>3517</v>
      </c>
      <c r="AU506">
        <v>2020</v>
      </c>
      <c r="AV506">
        <v>18</v>
      </c>
      <c r="AW506">
        <v>1</v>
      </c>
      <c r="BB506">
        <v>92</v>
      </c>
      <c r="BC506">
        <v>110</v>
      </c>
      <c r="BE506" t="s">
        <v>3518</v>
      </c>
      <c r="BF506" t="str">
        <f>HYPERLINK("http://dx.doi.org/10.15393/j9.art.2020.6882","http://dx.doi.org/10.15393/j9.art.2020.6882")</f>
        <v>http://dx.doi.org/10.15393/j9.art.2020.6882</v>
      </c>
      <c r="BS506" t="s">
        <v>3519</v>
      </c>
      <c r="BT506" t="str">
        <f>HYPERLINK("https%3A%2F%2Fwww.webofscience.com%2Fwos%2Fwoscc%2Ffull-record%2FWOS:000528268000005","View Full Record in Web of Science")</f>
        <v>View Full Record in Web of Science</v>
      </c>
    </row>
    <row r="507" spans="1:72" ht="12.75" customHeight="1" x14ac:dyDescent="0.2">
      <c r="A507" t="s">
        <v>72</v>
      </c>
      <c r="B507" t="s">
        <v>3520</v>
      </c>
      <c r="F507" t="s">
        <v>3521</v>
      </c>
      <c r="I507" t="s">
        <v>3522</v>
      </c>
      <c r="J507" t="s">
        <v>668</v>
      </c>
      <c r="AB507" t="s">
        <v>3523</v>
      </c>
      <c r="AO507" t="s">
        <v>669</v>
      </c>
      <c r="AP507" t="s">
        <v>670</v>
      </c>
      <c r="AU507">
        <v>2020</v>
      </c>
      <c r="AW507">
        <v>9</v>
      </c>
      <c r="BB507">
        <v>420</v>
      </c>
      <c r="BC507">
        <v>433</v>
      </c>
      <c r="BE507" t="s">
        <v>3524</v>
      </c>
      <c r="BF507" t="str">
        <f>HYPERLINK("http://dx.doi.org/10.24224/2227-1295-2020-9-420-433","http://dx.doi.org/10.24224/2227-1295-2020-9-420-433")</f>
        <v>http://dx.doi.org/10.24224/2227-1295-2020-9-420-433</v>
      </c>
      <c r="BS507" t="s">
        <v>3525</v>
      </c>
      <c r="BT507" t="str">
        <f>HYPERLINK("https%3A%2F%2Fwww.webofscience.com%2Fwos%2Fwoscc%2Ffull-record%2FWOS:000576831000025","View Full Record in Web of Science")</f>
        <v>View Full Record in Web of Science</v>
      </c>
    </row>
    <row r="508" spans="1:72" ht="12.75" customHeight="1" x14ac:dyDescent="0.2">
      <c r="A508" t="s">
        <v>72</v>
      </c>
      <c r="B508" t="s">
        <v>1074</v>
      </c>
      <c r="F508" t="s">
        <v>1075</v>
      </c>
      <c r="I508" t="s">
        <v>3526</v>
      </c>
      <c r="J508" t="s">
        <v>3527</v>
      </c>
      <c r="AA508" t="s">
        <v>1078</v>
      </c>
      <c r="AB508" t="s">
        <v>1079</v>
      </c>
      <c r="AO508" t="s">
        <v>3528</v>
      </c>
      <c r="AU508">
        <v>2020</v>
      </c>
      <c r="AV508">
        <v>26</v>
      </c>
      <c r="AW508">
        <v>3</v>
      </c>
      <c r="BB508">
        <v>171</v>
      </c>
      <c r="BC508">
        <v>171</v>
      </c>
      <c r="BE508" t="s">
        <v>3529</v>
      </c>
      <c r="BF508" t="str">
        <f>HYPERLINK("http://dx.doi.org/10.21538/0134-4889-2020-26-3-171-186","http://dx.doi.org/10.21538/0134-4889-2020-26-3-171-186")</f>
        <v>http://dx.doi.org/10.21538/0134-4889-2020-26-3-171-186</v>
      </c>
      <c r="BS508" t="s">
        <v>3530</v>
      </c>
      <c r="BT508" t="str">
        <f>HYPERLINK("https%3A%2F%2Fwww.webofscience.com%2Fwos%2Fwoscc%2Ffull-record%2FWOS:000592231900015","View Full Record in Web of Science")</f>
        <v>View Full Record in Web of Science</v>
      </c>
    </row>
    <row r="509" spans="1:72" ht="12.75" customHeight="1" x14ac:dyDescent="0.2">
      <c r="A509" t="s">
        <v>72</v>
      </c>
      <c r="B509" t="s">
        <v>581</v>
      </c>
      <c r="F509" t="s">
        <v>582</v>
      </c>
      <c r="I509" t="s">
        <v>3531</v>
      </c>
      <c r="J509" t="s">
        <v>584</v>
      </c>
      <c r="AA509" t="s">
        <v>1842</v>
      </c>
      <c r="AB509" t="s">
        <v>1843</v>
      </c>
      <c r="AO509" t="s">
        <v>587</v>
      </c>
      <c r="AP509" t="s">
        <v>588</v>
      </c>
      <c r="AU509">
        <v>2020</v>
      </c>
      <c r="AV509">
        <v>95</v>
      </c>
      <c r="AW509">
        <v>3</v>
      </c>
      <c r="BB509">
        <v>90</v>
      </c>
      <c r="BC509">
        <v>103</v>
      </c>
      <c r="BE509" t="s">
        <v>3532</v>
      </c>
      <c r="BF509" t="str">
        <f>HYPERLINK("http://dx.doi.org/10.18720/MCE.95.9","http://dx.doi.org/10.18720/MCE.95.9")</f>
        <v>http://dx.doi.org/10.18720/MCE.95.9</v>
      </c>
      <c r="BS509" t="s">
        <v>3533</v>
      </c>
      <c r="BT509" t="str">
        <f>HYPERLINK("https%3A%2F%2Fwww.webofscience.com%2Fwos%2Fwoscc%2Ffull-record%2FWOS:000593143400009","View Full Record in Web of Science")</f>
        <v>View Full Record in Web of Science</v>
      </c>
    </row>
    <row r="510" spans="1:72" ht="12.75" customHeight="1" x14ac:dyDescent="0.2">
      <c r="A510" t="s">
        <v>147</v>
      </c>
      <c r="B510" t="s">
        <v>3534</v>
      </c>
      <c r="D510" t="s">
        <v>3535</v>
      </c>
      <c r="F510" t="s">
        <v>3536</v>
      </c>
      <c r="I510" t="s">
        <v>3537</v>
      </c>
      <c r="J510" t="s">
        <v>3538</v>
      </c>
      <c r="K510" t="s">
        <v>253</v>
      </c>
      <c r="O510" t="s">
        <v>3539</v>
      </c>
      <c r="P510" t="s">
        <v>3540</v>
      </c>
      <c r="Q510" t="s">
        <v>3541</v>
      </c>
      <c r="S510" t="s">
        <v>3542</v>
      </c>
      <c r="AO510" t="s">
        <v>259</v>
      </c>
      <c r="AU510">
        <v>2019</v>
      </c>
      <c r="AV510">
        <v>57</v>
      </c>
      <c r="BB510">
        <v>738</v>
      </c>
      <c r="BC510">
        <v>746</v>
      </c>
      <c r="BE510" t="s">
        <v>3543</v>
      </c>
      <c r="BF510" t="str">
        <f>HYPERLINK("http://dx.doi.org/10.15405/epsbs.2019.03.73","http://dx.doi.org/10.15405/epsbs.2019.03.73")</f>
        <v>http://dx.doi.org/10.15405/epsbs.2019.03.73</v>
      </c>
      <c r="BS510" t="s">
        <v>3544</v>
      </c>
      <c r="BT510" t="str">
        <f>HYPERLINK("https%3A%2F%2Fwww.webofscience.com%2Fwos%2Fwoscc%2Ffull-record%2FWOS:000471325700073","View Full Record in Web of Science")</f>
        <v>View Full Record in Web of Science</v>
      </c>
    </row>
    <row r="511" spans="1:72" ht="12.75" customHeight="1" x14ac:dyDescent="0.2">
      <c r="A511" t="s">
        <v>72</v>
      </c>
      <c r="B511" t="s">
        <v>723</v>
      </c>
      <c r="F511" t="s">
        <v>724</v>
      </c>
      <c r="I511" t="s">
        <v>3545</v>
      </c>
      <c r="J511" t="s">
        <v>244</v>
      </c>
      <c r="AO511" t="s">
        <v>245</v>
      </c>
      <c r="AP511" t="s">
        <v>246</v>
      </c>
      <c r="AU511">
        <v>2019</v>
      </c>
      <c r="AW511">
        <v>12</v>
      </c>
      <c r="AX511">
        <v>2</v>
      </c>
      <c r="BB511">
        <v>221</v>
      </c>
      <c r="BC511">
        <v>233</v>
      </c>
      <c r="BE511" t="s">
        <v>3546</v>
      </c>
      <c r="BF511" t="str">
        <f>HYPERLINK("http://dx.doi.org/10.3116/VoprosyIstorii201912Statyi45","http://dx.doi.org/10.3116/VoprosyIstorii201912Statyi45")</f>
        <v>http://dx.doi.org/10.3116/VoprosyIstorii201912Statyi45</v>
      </c>
      <c r="BS511" t="s">
        <v>3547</v>
      </c>
      <c r="BT511" t="str">
        <f>HYPERLINK("https%3A%2F%2Fwww.webofscience.com%2Fwos%2Fwoscc%2Ffull-record%2FWOS:000514212900023","View Full Record in Web of Science")</f>
        <v>View Full Record in Web of Science</v>
      </c>
    </row>
    <row r="512" spans="1:72" ht="12.75" customHeight="1" x14ac:dyDescent="0.2">
      <c r="A512" t="s">
        <v>72</v>
      </c>
      <c r="B512" t="s">
        <v>3548</v>
      </c>
      <c r="F512" t="s">
        <v>3549</v>
      </c>
      <c r="I512" t="s">
        <v>3550</v>
      </c>
      <c r="J512" t="s">
        <v>3551</v>
      </c>
      <c r="AA512" t="s">
        <v>3552</v>
      </c>
      <c r="AB512" t="s">
        <v>3553</v>
      </c>
      <c r="AO512" t="s">
        <v>3554</v>
      </c>
      <c r="AP512" t="s">
        <v>3555</v>
      </c>
      <c r="AU512">
        <v>2019</v>
      </c>
      <c r="AW512">
        <v>44</v>
      </c>
      <c r="BB512">
        <v>12</v>
      </c>
      <c r="BC512">
        <v>33</v>
      </c>
      <c r="BE512" t="s">
        <v>3556</v>
      </c>
      <c r="BF512" t="str">
        <f>HYPERLINK("http://dx.doi.org/10.17223/20710410/44/2","http://dx.doi.org/10.17223/20710410/44/2")</f>
        <v>http://dx.doi.org/10.17223/20710410/44/2</v>
      </c>
      <c r="BS512" t="s">
        <v>3557</v>
      </c>
      <c r="BT512" t="str">
        <f>HYPERLINK("https%3A%2F%2Fwww.webofscience.com%2Fwos%2Fwoscc%2Ffull-record%2FWOS:000476644400002","View Full Record in Web of Science")</f>
        <v>View Full Record in Web of Science</v>
      </c>
    </row>
    <row r="513" spans="1:72" ht="12.75" customHeight="1" x14ac:dyDescent="0.2">
      <c r="A513" t="s">
        <v>147</v>
      </c>
      <c r="B513" t="s">
        <v>3558</v>
      </c>
      <c r="D513" t="s">
        <v>233</v>
      </c>
      <c r="F513" t="s">
        <v>3559</v>
      </c>
      <c r="I513" t="s">
        <v>3560</v>
      </c>
      <c r="J513" t="s">
        <v>3561</v>
      </c>
      <c r="K513" t="s">
        <v>1767</v>
      </c>
      <c r="O513" t="s">
        <v>3562</v>
      </c>
      <c r="P513" t="s">
        <v>3563</v>
      </c>
      <c r="Q513" t="s">
        <v>3564</v>
      </c>
      <c r="R513" t="s">
        <v>1771</v>
      </c>
      <c r="AA513" t="s">
        <v>3565</v>
      </c>
      <c r="AB513" t="s">
        <v>3566</v>
      </c>
      <c r="AO513" t="s">
        <v>1772</v>
      </c>
      <c r="AP513" t="s">
        <v>1773</v>
      </c>
      <c r="AQ513" t="s">
        <v>3567</v>
      </c>
      <c r="AU513">
        <v>2019</v>
      </c>
      <c r="AV513">
        <v>57</v>
      </c>
      <c r="BB513">
        <v>1085</v>
      </c>
      <c r="BC513">
        <v>1093</v>
      </c>
      <c r="BE513" t="s">
        <v>3568</v>
      </c>
      <c r="BF513" t="str">
        <f>HYPERLINK("http://dx.doi.org/10.1007/978-3-030-00102-5_114","http://dx.doi.org/10.1007/978-3-030-00102-5_114")</f>
        <v>http://dx.doi.org/10.1007/978-3-030-00102-5_114</v>
      </c>
      <c r="BS513" t="s">
        <v>3569</v>
      </c>
      <c r="BT513" t="str">
        <f>HYPERLINK("https%3A%2F%2Fwww.webofscience.com%2Fwos%2Fwoscc%2Ffull-record%2FWOS:000460581800114","View Full Record in Web of Science")</f>
        <v>View Full Record in Web of Science</v>
      </c>
    </row>
    <row r="514" spans="1:72" ht="12.75" customHeight="1" x14ac:dyDescent="0.2">
      <c r="A514" t="s">
        <v>72</v>
      </c>
      <c r="B514" t="s">
        <v>3570</v>
      </c>
      <c r="F514" t="s">
        <v>3571</v>
      </c>
      <c r="I514" t="s">
        <v>3572</v>
      </c>
      <c r="J514" t="s">
        <v>676</v>
      </c>
      <c r="AA514" t="s">
        <v>608</v>
      </c>
      <c r="AB514" t="s">
        <v>609</v>
      </c>
      <c r="AO514" t="s">
        <v>679</v>
      </c>
      <c r="AU514">
        <v>2019</v>
      </c>
      <c r="AV514">
        <v>10</v>
      </c>
      <c r="AW514">
        <v>3</v>
      </c>
      <c r="BE514" t="s">
        <v>3573</v>
      </c>
      <c r="BF514" t="str">
        <f>HYPERLINK("http://dx.doi.org/10.18254/S207987840005469-4","http://dx.doi.org/10.18254/S207987840005469-4")</f>
        <v>http://dx.doi.org/10.18254/S207987840005469-4</v>
      </c>
      <c r="BS514" t="s">
        <v>3574</v>
      </c>
      <c r="BT514" t="str">
        <f>HYPERLINK("https%3A%2F%2Fwww.webofscience.com%2Fwos%2Fwoscc%2Ffull-record%2FWOS:000483368500016","View Full Record in Web of Science")</f>
        <v>View Full Record in Web of Science</v>
      </c>
    </row>
    <row r="515" spans="1:72" ht="12.75" customHeight="1" x14ac:dyDescent="0.2">
      <c r="A515" t="s">
        <v>72</v>
      </c>
      <c r="B515" t="s">
        <v>581</v>
      </c>
      <c r="F515" t="s">
        <v>582</v>
      </c>
      <c r="I515" t="s">
        <v>3575</v>
      </c>
      <c r="J515" t="s">
        <v>584</v>
      </c>
      <c r="AA515" t="s">
        <v>3576</v>
      </c>
      <c r="AB515" t="s">
        <v>1843</v>
      </c>
      <c r="AO515" t="s">
        <v>587</v>
      </c>
      <c r="AP515" t="s">
        <v>588</v>
      </c>
      <c r="AU515">
        <v>2018</v>
      </c>
      <c r="AV515">
        <v>79</v>
      </c>
      <c r="AW515">
        <v>3</v>
      </c>
      <c r="BB515">
        <v>54</v>
      </c>
      <c r="BC515">
        <v>65</v>
      </c>
      <c r="BE515" t="s">
        <v>3577</v>
      </c>
      <c r="BF515" t="str">
        <f>HYPERLINK("http://dx.doi.org/10.18720/MCE.79.6","http://dx.doi.org/10.18720/MCE.79.6")</f>
        <v>http://dx.doi.org/10.18720/MCE.79.6</v>
      </c>
      <c r="BS515" t="s">
        <v>3578</v>
      </c>
      <c r="BT515" t="str">
        <f>HYPERLINK("https%3A%2F%2Fwww.webofscience.com%2Fwos%2Fwoscc%2Ffull-record%2FWOS:000447699900006","View Full Record in Web of Science")</f>
        <v>View Full Record in Web of Science</v>
      </c>
    </row>
    <row r="516" spans="1:72" ht="12.75" customHeight="1" x14ac:dyDescent="0.2">
      <c r="A516" t="s">
        <v>147</v>
      </c>
      <c r="B516" t="s">
        <v>3579</v>
      </c>
      <c r="D516" t="s">
        <v>249</v>
      </c>
      <c r="F516" t="s">
        <v>3580</v>
      </c>
      <c r="I516" t="s">
        <v>3581</v>
      </c>
      <c r="J516" t="s">
        <v>3582</v>
      </c>
      <c r="K516" t="s">
        <v>253</v>
      </c>
      <c r="O516" t="s">
        <v>3583</v>
      </c>
      <c r="P516" t="s">
        <v>3584</v>
      </c>
      <c r="Q516" t="s">
        <v>256</v>
      </c>
      <c r="S516" t="s">
        <v>257</v>
      </c>
      <c r="AA516" t="s">
        <v>3585</v>
      </c>
      <c r="AB516" t="s">
        <v>3586</v>
      </c>
      <c r="AO516" t="s">
        <v>259</v>
      </c>
      <c r="AU516">
        <v>2018</v>
      </c>
      <c r="AV516">
        <v>45</v>
      </c>
      <c r="BB516">
        <v>526</v>
      </c>
      <c r="BC516">
        <v>536</v>
      </c>
      <c r="BE516" t="s">
        <v>3587</v>
      </c>
      <c r="BF516" t="str">
        <f>HYPERLINK("http://dx.doi.org/10.15405/epsbs.2018.09.60","http://dx.doi.org/10.15405/epsbs.2018.09.60")</f>
        <v>http://dx.doi.org/10.15405/epsbs.2018.09.60</v>
      </c>
      <c r="BS516" t="s">
        <v>3588</v>
      </c>
      <c r="BT516" t="str">
        <f>HYPERLINK("https%3A%2F%2Fwww.webofscience.com%2Fwos%2Fwoscc%2Ffull-record%2FWOS:000472144400060","View Full Record in Web of Science")</f>
        <v>View Full Record in Web of Science</v>
      </c>
    </row>
    <row r="517" spans="1:72" ht="12.75" customHeight="1" x14ac:dyDescent="0.2">
      <c r="A517" t="s">
        <v>147</v>
      </c>
      <c r="B517" t="s">
        <v>3589</v>
      </c>
      <c r="E517" t="s">
        <v>210</v>
      </c>
      <c r="F517" t="s">
        <v>3590</v>
      </c>
      <c r="I517" t="s">
        <v>3591</v>
      </c>
      <c r="J517" t="s">
        <v>1261</v>
      </c>
      <c r="O517" t="s">
        <v>214</v>
      </c>
      <c r="P517" t="s">
        <v>909</v>
      </c>
      <c r="Q517" t="s">
        <v>910</v>
      </c>
      <c r="R517" t="s">
        <v>1262</v>
      </c>
      <c r="AA517" t="s">
        <v>1268</v>
      </c>
      <c r="AB517" t="s">
        <v>1269</v>
      </c>
      <c r="AQ517" t="s">
        <v>1263</v>
      </c>
      <c r="AU517">
        <v>2017</v>
      </c>
      <c r="BS517" t="s">
        <v>3592</v>
      </c>
      <c r="BT517" t="str">
        <f>HYPERLINK("https%3A%2F%2Fwww.webofscience.com%2Fwos%2Fwoscc%2Ffull-record%2FWOS:000414282400174","View Full Record in Web of Science")</f>
        <v>View Full Record in Web of Science</v>
      </c>
    </row>
    <row r="518" spans="1:72" ht="12.75" customHeight="1" x14ac:dyDescent="0.2">
      <c r="A518" t="s">
        <v>72</v>
      </c>
      <c r="B518" t="s">
        <v>3593</v>
      </c>
      <c r="F518" t="s">
        <v>3594</v>
      </c>
      <c r="I518" t="s">
        <v>3595</v>
      </c>
      <c r="J518" t="s">
        <v>76</v>
      </c>
      <c r="AA518" t="s">
        <v>299</v>
      </c>
      <c r="AB518" t="s">
        <v>300</v>
      </c>
      <c r="AO518" t="s">
        <v>77</v>
      </c>
      <c r="AT518" t="s">
        <v>3477</v>
      </c>
      <c r="AU518">
        <v>2016</v>
      </c>
      <c r="AW518">
        <v>6</v>
      </c>
      <c r="BB518">
        <v>112</v>
      </c>
      <c r="BC518">
        <v>131</v>
      </c>
      <c r="BS518" t="s">
        <v>3596</v>
      </c>
      <c r="BT518" t="str">
        <f>HYPERLINK("https%3A%2F%2Fwww.webofscience.com%2Fwos%2Fwoscc%2Ffull-record%2FWOS:000391650700009","View Full Record in Web of Science")</f>
        <v>View Full Record in Web of Science</v>
      </c>
    </row>
    <row r="519" spans="1:72" ht="12.75" customHeight="1" x14ac:dyDescent="0.2">
      <c r="A519" t="s">
        <v>147</v>
      </c>
      <c r="B519" t="s">
        <v>3597</v>
      </c>
      <c r="E519" t="s">
        <v>210</v>
      </c>
      <c r="F519" t="s">
        <v>3598</v>
      </c>
      <c r="I519" t="s">
        <v>3599</v>
      </c>
      <c r="J519" t="s">
        <v>730</v>
      </c>
      <c r="O519" t="s">
        <v>421</v>
      </c>
      <c r="P519" t="s">
        <v>731</v>
      </c>
      <c r="Q519" t="s">
        <v>732</v>
      </c>
      <c r="R519" t="s">
        <v>733</v>
      </c>
      <c r="AA519" t="s">
        <v>2723</v>
      </c>
      <c r="AB519" t="s">
        <v>2724</v>
      </c>
      <c r="AQ519" t="s">
        <v>736</v>
      </c>
      <c r="AU519">
        <v>2016</v>
      </c>
      <c r="BS519" t="s">
        <v>3600</v>
      </c>
      <c r="BT519" t="str">
        <f>HYPERLINK("https%3A%2F%2Fwww.webofscience.com%2Fwos%2Fwoscc%2Ffull-record%2FWOS:000400700700089","View Full Record in Web of Science")</f>
        <v>View Full Record in Web of Science</v>
      </c>
    </row>
    <row r="520" spans="1:72" ht="12.75" customHeight="1" x14ac:dyDescent="0.2">
      <c r="A520" t="s">
        <v>72</v>
      </c>
      <c r="B520" t="s">
        <v>3601</v>
      </c>
      <c r="F520" t="s">
        <v>3602</v>
      </c>
      <c r="I520" t="s">
        <v>3603</v>
      </c>
      <c r="J520" t="s">
        <v>614</v>
      </c>
      <c r="O520" t="s">
        <v>3604</v>
      </c>
      <c r="P520" t="s">
        <v>3605</v>
      </c>
      <c r="Q520" t="s">
        <v>3159</v>
      </c>
      <c r="AA520" t="s">
        <v>1718</v>
      </c>
      <c r="AB520" t="s">
        <v>1719</v>
      </c>
      <c r="AO520" t="s">
        <v>617</v>
      </c>
      <c r="AP520" t="s">
        <v>1720</v>
      </c>
      <c r="AT520" t="s">
        <v>491</v>
      </c>
      <c r="AU520">
        <v>2009</v>
      </c>
      <c r="AV520">
        <v>45</v>
      </c>
      <c r="AW520">
        <v>6</v>
      </c>
      <c r="BB520">
        <v>684</v>
      </c>
      <c r="BC520">
        <v>692</v>
      </c>
      <c r="BE520" t="s">
        <v>3606</v>
      </c>
      <c r="BF520" t="str">
        <f>HYPERLINK("http://dx.doi.org/10.1134/S102319350906010X","http://dx.doi.org/10.1134/S102319350906010X")</f>
        <v>http://dx.doi.org/10.1134/S102319350906010X</v>
      </c>
      <c r="BS520" t="s">
        <v>3607</v>
      </c>
      <c r="BT520" t="str">
        <f>HYPERLINK("https%3A%2F%2Fwww.webofscience.com%2Fwos%2Fwoscc%2Ffull-record%2FWOS:000267670800010","View Full Record in Web of Science")</f>
        <v>View Full Record in Web of Science</v>
      </c>
    </row>
    <row r="521" spans="1:72" ht="12.75" customHeight="1" x14ac:dyDescent="0.2">
      <c r="A521" t="s">
        <v>72</v>
      </c>
      <c r="B521" t="s">
        <v>3608</v>
      </c>
      <c r="F521" t="s">
        <v>3608</v>
      </c>
      <c r="I521" t="s">
        <v>3609</v>
      </c>
      <c r="J521" t="s">
        <v>3610</v>
      </c>
      <c r="AA521" t="s">
        <v>3611</v>
      </c>
      <c r="AB521" t="s">
        <v>3612</v>
      </c>
      <c r="AO521" t="s">
        <v>3613</v>
      </c>
      <c r="AT521" t="s">
        <v>125</v>
      </c>
      <c r="AU521">
        <v>2003</v>
      </c>
      <c r="AV521">
        <v>36</v>
      </c>
      <c r="AW521">
        <v>7</v>
      </c>
      <c r="BB521">
        <v>704</v>
      </c>
      <c r="BC521">
        <v>713</v>
      </c>
      <c r="BS521" t="s">
        <v>3614</v>
      </c>
      <c r="BT521" t="str">
        <f>HYPERLINK("https%3A%2F%2Fwww.webofscience.com%2Fwos%2Fwoscc%2Ffull-record%2FWOS:000184314600002","View Full Record in Web of Science")</f>
        <v>View Full Record in Web of Science</v>
      </c>
    </row>
    <row r="522" spans="1:72" ht="12.75" customHeight="1" x14ac:dyDescent="0.2">
      <c r="A522" t="s">
        <v>72</v>
      </c>
      <c r="B522" t="s">
        <v>3615</v>
      </c>
      <c r="F522" t="s">
        <v>3616</v>
      </c>
      <c r="I522" t="s">
        <v>3617</v>
      </c>
      <c r="J522" t="s">
        <v>3618</v>
      </c>
      <c r="AA522" t="s">
        <v>3619</v>
      </c>
      <c r="AB522" t="s">
        <v>609</v>
      </c>
      <c r="AO522" t="s">
        <v>3620</v>
      </c>
      <c r="AT522" t="s">
        <v>171</v>
      </c>
      <c r="AU522">
        <v>2023</v>
      </c>
      <c r="AV522">
        <v>67</v>
      </c>
      <c r="AW522">
        <v>3</v>
      </c>
      <c r="BB522">
        <v>116</v>
      </c>
      <c r="BC522">
        <v>129</v>
      </c>
      <c r="BE522" t="s">
        <v>3621</v>
      </c>
      <c r="BF522" t="str">
        <f>HYPERLINK("http://dx.doi.org/10.20542/0131-2227-2023-67-3-116-129","http://dx.doi.org/10.20542/0131-2227-2023-67-3-116-129")</f>
        <v>http://dx.doi.org/10.20542/0131-2227-2023-67-3-116-129</v>
      </c>
      <c r="BS522" t="s">
        <v>3622</v>
      </c>
      <c r="BT522" t="str">
        <f>HYPERLINK("https%3A%2F%2Fwww.webofscience.com%2Fwos%2Fwoscc%2Ffull-record%2FWOS:000946882600010","View Full Record in Web of Science")</f>
        <v>View Full Record in Web of Science</v>
      </c>
    </row>
    <row r="523" spans="1:72" ht="12.75" customHeight="1" x14ac:dyDescent="0.2">
      <c r="A523" t="s">
        <v>72</v>
      </c>
      <c r="B523" t="s">
        <v>3259</v>
      </c>
      <c r="F523" t="s">
        <v>3623</v>
      </c>
      <c r="I523" t="s">
        <v>3624</v>
      </c>
      <c r="J523" t="s">
        <v>1122</v>
      </c>
      <c r="AA523" t="s">
        <v>608</v>
      </c>
      <c r="AB523" t="s">
        <v>609</v>
      </c>
      <c r="AO523" t="s">
        <v>1124</v>
      </c>
      <c r="AP523" t="s">
        <v>1125</v>
      </c>
      <c r="AT523" t="s">
        <v>198</v>
      </c>
      <c r="AU523">
        <v>2022</v>
      </c>
      <c r="AW523">
        <v>76</v>
      </c>
      <c r="BB523">
        <v>89</v>
      </c>
      <c r="BC523">
        <v>99</v>
      </c>
      <c r="BE523" t="s">
        <v>3625</v>
      </c>
      <c r="BF523" t="str">
        <f>HYPERLINK("http://dx.doi.org/10.17223/19988613/76/11","http://dx.doi.org/10.17223/19988613/76/11")</f>
        <v>http://dx.doi.org/10.17223/19988613/76/11</v>
      </c>
      <c r="BS523" t="s">
        <v>3626</v>
      </c>
      <c r="BT523" t="str">
        <f>HYPERLINK("https%3A%2F%2Fwww.webofscience.com%2Fwos%2Fwoscc%2Ffull-record%2FWOS:000869093900011","View Full Record in Web of Science")</f>
        <v>View Full Record in Web of Science</v>
      </c>
    </row>
    <row r="524" spans="1:72" ht="12.75" customHeight="1" x14ac:dyDescent="0.2">
      <c r="A524" t="s">
        <v>72</v>
      </c>
      <c r="B524" t="s">
        <v>2446</v>
      </c>
      <c r="F524" t="s">
        <v>2447</v>
      </c>
      <c r="I524" t="s">
        <v>3627</v>
      </c>
      <c r="J524" t="s">
        <v>940</v>
      </c>
      <c r="AA524" t="s">
        <v>2449</v>
      </c>
      <c r="AB524" t="s">
        <v>3628</v>
      </c>
      <c r="AO524" t="s">
        <v>943</v>
      </c>
      <c r="AP524" t="s">
        <v>944</v>
      </c>
      <c r="AT524" t="s">
        <v>541</v>
      </c>
      <c r="AU524">
        <v>2022</v>
      </c>
      <c r="AV524">
        <v>63</v>
      </c>
      <c r="AW524" t="s">
        <v>1594</v>
      </c>
      <c r="BB524">
        <v>510</v>
      </c>
      <c r="BC524">
        <v>515</v>
      </c>
      <c r="BE524" t="s">
        <v>3629</v>
      </c>
      <c r="BF524" t="str">
        <f>HYPERLINK("http://dx.doi.org/10.1007/s11041-022-00720-1","http://dx.doi.org/10.1007/s11041-022-00720-1")</f>
        <v>http://dx.doi.org/10.1007/s11041-022-00720-1</v>
      </c>
      <c r="BH524" t="s">
        <v>3630</v>
      </c>
      <c r="BS524" t="s">
        <v>3631</v>
      </c>
      <c r="BT524" t="str">
        <f>HYPERLINK("https%3A%2F%2Fwww.webofscience.com%2Fwos%2Fwoscc%2Ffull-record%2FWOS:000761143200002","View Full Record in Web of Science")</f>
        <v>View Full Record in Web of Science</v>
      </c>
    </row>
    <row r="525" spans="1:72" ht="12.75" customHeight="1" x14ac:dyDescent="0.2">
      <c r="A525" t="s">
        <v>72</v>
      </c>
      <c r="B525" t="s">
        <v>138</v>
      </c>
      <c r="F525" t="s">
        <v>139</v>
      </c>
      <c r="I525" t="s">
        <v>3632</v>
      </c>
      <c r="J525" t="s">
        <v>141</v>
      </c>
      <c r="AA525" t="s">
        <v>142</v>
      </c>
      <c r="AB525" t="s">
        <v>143</v>
      </c>
      <c r="AO525" t="s">
        <v>144</v>
      </c>
      <c r="AU525">
        <v>2022</v>
      </c>
      <c r="AW525">
        <v>4</v>
      </c>
      <c r="BB525">
        <v>1</v>
      </c>
      <c r="BC525">
        <v>14</v>
      </c>
      <c r="BE525" t="s">
        <v>3633</v>
      </c>
      <c r="BF525" t="str">
        <f>HYPERLINK("http://dx.doi.org/10.52254/1857-0070.2022.4-56.01","http://dx.doi.org/10.52254/1857-0070.2022.4-56.01")</f>
        <v>http://dx.doi.org/10.52254/1857-0070.2022.4-56.01</v>
      </c>
      <c r="BS525" t="s">
        <v>3634</v>
      </c>
      <c r="BT525" t="str">
        <f>HYPERLINK("https%3A%2F%2Fwww.webofscience.com%2Fwos%2Fwoscc%2Ffull-record%2FWOS:000904633900001","View Full Record in Web of Science")</f>
        <v>View Full Record in Web of Science</v>
      </c>
    </row>
    <row r="526" spans="1:72" ht="12.75" customHeight="1" x14ac:dyDescent="0.2">
      <c r="A526" t="s">
        <v>72</v>
      </c>
      <c r="B526" t="s">
        <v>3635</v>
      </c>
      <c r="F526" t="s">
        <v>3636</v>
      </c>
      <c r="I526" t="s">
        <v>3637</v>
      </c>
      <c r="J526" t="s">
        <v>131</v>
      </c>
      <c r="AA526" t="s">
        <v>3638</v>
      </c>
      <c r="AB526" t="s">
        <v>3639</v>
      </c>
      <c r="AO526" t="s">
        <v>134</v>
      </c>
      <c r="AP526" t="s">
        <v>135</v>
      </c>
      <c r="AU526">
        <v>2022</v>
      </c>
      <c r="AV526">
        <v>22</v>
      </c>
      <c r="AW526">
        <v>4</v>
      </c>
      <c r="BB526">
        <v>125</v>
      </c>
      <c r="BC526">
        <v>132</v>
      </c>
      <c r="BE526" t="s">
        <v>3640</v>
      </c>
      <c r="BF526" t="str">
        <f>HYPERLINK("http://dx.doi.org/10.14529/hsm220415","http://dx.doi.org/10.14529/hsm220415")</f>
        <v>http://dx.doi.org/10.14529/hsm220415</v>
      </c>
      <c r="BS526" t="s">
        <v>3641</v>
      </c>
      <c r="BT526" t="str">
        <f>HYPERLINK("https%3A%2F%2Fwww.webofscience.com%2Fwos%2Fwoscc%2Ffull-record%2FWOS:000957611400015","View Full Record in Web of Science")</f>
        <v>View Full Record in Web of Science</v>
      </c>
    </row>
    <row r="527" spans="1:72" ht="12.75" customHeight="1" x14ac:dyDescent="0.2">
      <c r="A527" t="s">
        <v>147</v>
      </c>
      <c r="B527" t="s">
        <v>3642</v>
      </c>
      <c r="D527" t="s">
        <v>233</v>
      </c>
      <c r="F527" t="s">
        <v>3643</v>
      </c>
      <c r="I527" t="s">
        <v>3644</v>
      </c>
      <c r="J527" t="s">
        <v>1766</v>
      </c>
      <c r="K527" t="s">
        <v>1767</v>
      </c>
      <c r="O527" t="s">
        <v>1768</v>
      </c>
      <c r="P527" t="s">
        <v>1769</v>
      </c>
      <c r="Q527" t="s">
        <v>1770</v>
      </c>
      <c r="S527" t="s">
        <v>1771</v>
      </c>
      <c r="AA527" t="s">
        <v>3645</v>
      </c>
      <c r="AB527" t="s">
        <v>3646</v>
      </c>
      <c r="AO527" t="s">
        <v>1772</v>
      </c>
      <c r="AP527" t="s">
        <v>1773</v>
      </c>
      <c r="AQ527" t="s">
        <v>1774</v>
      </c>
      <c r="AU527">
        <v>2022</v>
      </c>
      <c r="AV527">
        <v>368</v>
      </c>
      <c r="BB527">
        <v>427</v>
      </c>
      <c r="BC527">
        <v>436</v>
      </c>
      <c r="BE527" t="s">
        <v>3647</v>
      </c>
      <c r="BF527" t="str">
        <f>HYPERLINK("http://dx.doi.org/10.1007/978-3-030-93244-2_47","http://dx.doi.org/10.1007/978-3-030-93244-2_47")</f>
        <v>http://dx.doi.org/10.1007/978-3-030-93244-2_47</v>
      </c>
      <c r="BS527" t="s">
        <v>3648</v>
      </c>
      <c r="BT527" t="str">
        <f>HYPERLINK("https%3A%2F%2Fwww.webofscience.com%2Fwos%2Fwoscc%2Ffull-record%2FWOS:000759460600047","View Full Record in Web of Science")</f>
        <v>View Full Record in Web of Science</v>
      </c>
    </row>
    <row r="528" spans="1:72" ht="12.75" customHeight="1" x14ac:dyDescent="0.2">
      <c r="A528" t="s">
        <v>72</v>
      </c>
      <c r="B528" t="s">
        <v>3649</v>
      </c>
      <c r="F528" t="s">
        <v>3650</v>
      </c>
      <c r="I528" t="s">
        <v>3651</v>
      </c>
      <c r="J528" t="s">
        <v>3652</v>
      </c>
      <c r="AA528" t="s">
        <v>507</v>
      </c>
      <c r="AB528" t="s">
        <v>508</v>
      </c>
      <c r="AO528" t="s">
        <v>3653</v>
      </c>
      <c r="AP528" t="s">
        <v>3654</v>
      </c>
      <c r="AT528" t="s">
        <v>3655</v>
      </c>
      <c r="AU528">
        <v>2023</v>
      </c>
      <c r="AV528">
        <v>33</v>
      </c>
      <c r="AW528">
        <v>3</v>
      </c>
      <c r="BB528">
        <v>207</v>
      </c>
      <c r="BC528">
        <v>220</v>
      </c>
      <c r="BE528" t="s">
        <v>3656</v>
      </c>
      <c r="BF528" t="str">
        <f>HYPERLINK("http://dx.doi.org/10.1080/08974454.2021.1980483","http://dx.doi.org/10.1080/08974454.2021.1980483")</f>
        <v>http://dx.doi.org/10.1080/08974454.2021.1980483</v>
      </c>
      <c r="BH528" t="s">
        <v>3657</v>
      </c>
      <c r="BS528" t="s">
        <v>3658</v>
      </c>
      <c r="BT528" t="str">
        <f>HYPERLINK("https%3A%2F%2Fwww.webofscience.com%2Fwos%2Fwoscc%2Ffull-record%2FWOS:000702679300001","View Full Record in Web of Science")</f>
        <v>View Full Record in Web of Science</v>
      </c>
    </row>
    <row r="529" spans="1:72" ht="12.75" customHeight="1" x14ac:dyDescent="0.2">
      <c r="A529" t="s">
        <v>147</v>
      </c>
      <c r="B529" t="s">
        <v>3659</v>
      </c>
      <c r="D529" t="s">
        <v>1062</v>
      </c>
      <c r="F529" t="s">
        <v>3660</v>
      </c>
      <c r="I529" t="s">
        <v>3661</v>
      </c>
      <c r="J529" t="s">
        <v>1065</v>
      </c>
      <c r="K529" t="s">
        <v>253</v>
      </c>
      <c r="O529" t="s">
        <v>1066</v>
      </c>
      <c r="P529" t="s">
        <v>1067</v>
      </c>
      <c r="Q529" t="s">
        <v>1068</v>
      </c>
      <c r="R529" t="s">
        <v>1069</v>
      </c>
      <c r="S529" t="s">
        <v>1070</v>
      </c>
      <c r="AA529" t="s">
        <v>3662</v>
      </c>
      <c r="AB529" t="s">
        <v>3663</v>
      </c>
      <c r="AP529" t="s">
        <v>259</v>
      </c>
      <c r="AQ529" t="s">
        <v>1071</v>
      </c>
      <c r="AU529">
        <v>2021</v>
      </c>
      <c r="AV529">
        <v>114</v>
      </c>
      <c r="BB529">
        <v>380</v>
      </c>
      <c r="BC529">
        <v>387</v>
      </c>
      <c r="BE529" t="s">
        <v>3664</v>
      </c>
      <c r="BF529" t="str">
        <f>HYPERLINK("http://dx.doi.org/10.15405/epsbs.2021.07.02.45","http://dx.doi.org/10.15405/epsbs.2021.07.02.45")</f>
        <v>http://dx.doi.org/10.15405/epsbs.2021.07.02.45</v>
      </c>
      <c r="BS529" t="s">
        <v>3665</v>
      </c>
      <c r="BT529" t="str">
        <f>HYPERLINK("https%3A%2F%2Fwww.webofscience.com%2Fwos%2Fwoscc%2Ffull-record%2FWOS:000771919100045","View Full Record in Web of Science")</f>
        <v>View Full Record in Web of Science</v>
      </c>
    </row>
    <row r="530" spans="1:72" ht="12.75" customHeight="1" x14ac:dyDescent="0.2">
      <c r="A530" t="s">
        <v>147</v>
      </c>
      <c r="B530" t="s">
        <v>3666</v>
      </c>
      <c r="E530" t="s">
        <v>210</v>
      </c>
      <c r="F530" t="s">
        <v>3667</v>
      </c>
      <c r="I530" t="s">
        <v>3668</v>
      </c>
      <c r="J530" t="s">
        <v>1053</v>
      </c>
      <c r="K530" t="s">
        <v>743</v>
      </c>
      <c r="O530" t="s">
        <v>744</v>
      </c>
      <c r="P530" t="s">
        <v>1054</v>
      </c>
      <c r="Q530" t="s">
        <v>256</v>
      </c>
      <c r="R530" t="s">
        <v>1055</v>
      </c>
      <c r="S530" t="s">
        <v>257</v>
      </c>
      <c r="AA530" t="s">
        <v>367</v>
      </c>
      <c r="AB530" t="s">
        <v>368</v>
      </c>
      <c r="AO530" t="s">
        <v>748</v>
      </c>
      <c r="AQ530" t="s">
        <v>1058</v>
      </c>
      <c r="AU530">
        <v>2021</v>
      </c>
      <c r="BE530" t="s">
        <v>3669</v>
      </c>
      <c r="BF530" t="str">
        <f>HYPERLINK("http://dx.doi.org/10.1109/SIBCON50419.2021.9438904","http://dx.doi.org/10.1109/SIBCON50419.2021.9438904")</f>
        <v>http://dx.doi.org/10.1109/SIBCON50419.2021.9438904</v>
      </c>
      <c r="BS530" t="s">
        <v>3670</v>
      </c>
      <c r="BT530" t="str">
        <f>HYPERLINK("https%3A%2F%2Fwww.webofscience.com%2Fwos%2Fwoscc%2Ffull-record%2FWOS:000680842100054","View Full Record in Web of Science")</f>
        <v>View Full Record in Web of Science</v>
      </c>
    </row>
    <row r="531" spans="1:72" ht="12.75" customHeight="1" x14ac:dyDescent="0.2">
      <c r="A531" t="s">
        <v>72</v>
      </c>
      <c r="B531" t="s">
        <v>3671</v>
      </c>
      <c r="F531" t="s">
        <v>3672</v>
      </c>
      <c r="I531" t="s">
        <v>3673</v>
      </c>
      <c r="J531" t="s">
        <v>668</v>
      </c>
      <c r="AA531" t="s">
        <v>3442</v>
      </c>
      <c r="AB531" t="s">
        <v>3443</v>
      </c>
      <c r="AO531" t="s">
        <v>669</v>
      </c>
      <c r="AP531" t="s">
        <v>670</v>
      </c>
      <c r="AU531">
        <v>2020</v>
      </c>
      <c r="AW531">
        <v>7</v>
      </c>
      <c r="BB531">
        <v>158</v>
      </c>
      <c r="BC531">
        <v>176</v>
      </c>
      <c r="BE531" t="s">
        <v>3674</v>
      </c>
      <c r="BF531" t="str">
        <f>HYPERLINK("http://dx.doi.org/10.24224/2227-1295-2020-7-158-176","http://dx.doi.org/10.24224/2227-1295-2020-7-158-176")</f>
        <v>http://dx.doi.org/10.24224/2227-1295-2020-7-158-176</v>
      </c>
      <c r="BS531" t="s">
        <v>3675</v>
      </c>
      <c r="BT531" t="str">
        <f>HYPERLINK("https%3A%2F%2Fwww.webofscience.com%2Fwos%2Fwoscc%2Ffull-record%2FWOS:000568419600010","View Full Record in Web of Science")</f>
        <v>View Full Record in Web of Science</v>
      </c>
    </row>
    <row r="532" spans="1:72" ht="12.75" customHeight="1" x14ac:dyDescent="0.2">
      <c r="A532" t="s">
        <v>72</v>
      </c>
      <c r="B532" t="s">
        <v>3676</v>
      </c>
      <c r="F532" t="s">
        <v>3677</v>
      </c>
      <c r="I532" t="s">
        <v>3678</v>
      </c>
      <c r="J532" t="s">
        <v>668</v>
      </c>
      <c r="AA532" t="s">
        <v>3025</v>
      </c>
      <c r="AB532" t="s">
        <v>3679</v>
      </c>
      <c r="AO532" t="s">
        <v>669</v>
      </c>
      <c r="AP532" t="s">
        <v>670</v>
      </c>
      <c r="AU532">
        <v>2020</v>
      </c>
      <c r="AW532">
        <v>7</v>
      </c>
      <c r="BB532">
        <v>226</v>
      </c>
      <c r="BC532">
        <v>240</v>
      </c>
      <c r="BE532" t="s">
        <v>3680</v>
      </c>
      <c r="BF532" t="str">
        <f>HYPERLINK("http://dx.doi.org/10.24224/2227-1295-2020-7-226-240","http://dx.doi.org/10.24224/2227-1295-2020-7-226-240")</f>
        <v>http://dx.doi.org/10.24224/2227-1295-2020-7-226-240</v>
      </c>
      <c r="BS532" t="s">
        <v>3681</v>
      </c>
      <c r="BT532" t="str">
        <f>HYPERLINK("https%3A%2F%2Fwww.webofscience.com%2Fwos%2Fwoscc%2Ffull-record%2FWOS:000568419600014","View Full Record in Web of Science")</f>
        <v>View Full Record in Web of Science</v>
      </c>
    </row>
    <row r="533" spans="1:72" ht="12.75" customHeight="1" x14ac:dyDescent="0.2">
      <c r="A533" t="s">
        <v>72</v>
      </c>
      <c r="B533" t="s">
        <v>378</v>
      </c>
      <c r="F533" t="s">
        <v>1226</v>
      </c>
      <c r="I533" t="s">
        <v>3682</v>
      </c>
      <c r="J533" t="s">
        <v>3683</v>
      </c>
      <c r="AA533" t="s">
        <v>553</v>
      </c>
      <c r="AB533" t="s">
        <v>554</v>
      </c>
      <c r="AO533" t="s">
        <v>3684</v>
      </c>
      <c r="AP533" t="s">
        <v>3685</v>
      </c>
      <c r="AT533" t="s">
        <v>3686</v>
      </c>
      <c r="AU533">
        <v>2019</v>
      </c>
      <c r="AV533">
        <v>10</v>
      </c>
      <c r="AW533">
        <v>24</v>
      </c>
      <c r="BB533">
        <v>367</v>
      </c>
      <c r="BC533">
        <v>386</v>
      </c>
      <c r="BS533" t="s">
        <v>3687</v>
      </c>
      <c r="BT533" t="str">
        <f>HYPERLINK("https%3A%2F%2Fwww.webofscience.com%2Fwos%2Fwoscc%2Ffull-record%2FWOS:000489760100016","View Full Record in Web of Science")</f>
        <v>View Full Record in Web of Science</v>
      </c>
    </row>
    <row r="534" spans="1:72" ht="12.75" customHeight="1" x14ac:dyDescent="0.2">
      <c r="A534" t="s">
        <v>72</v>
      </c>
      <c r="B534" t="s">
        <v>3688</v>
      </c>
      <c r="F534" t="s">
        <v>3689</v>
      </c>
      <c r="I534" t="s">
        <v>3690</v>
      </c>
      <c r="J534" t="s">
        <v>3691</v>
      </c>
      <c r="AA534" t="s">
        <v>3692</v>
      </c>
      <c r="AO534" t="s">
        <v>3693</v>
      </c>
      <c r="AP534" t="s">
        <v>3694</v>
      </c>
      <c r="AT534" t="s">
        <v>88</v>
      </c>
      <c r="AU534">
        <v>2019</v>
      </c>
      <c r="AV534">
        <v>8</v>
      </c>
      <c r="AW534">
        <v>2</v>
      </c>
      <c r="BB534">
        <v>554</v>
      </c>
      <c r="BC534">
        <v>563</v>
      </c>
      <c r="BE534" t="s">
        <v>3695</v>
      </c>
      <c r="BF534" t="str">
        <f>HYPERLINK("http://dx.doi.org/10.18421/TEM82-31","http://dx.doi.org/10.18421/TEM82-31")</f>
        <v>http://dx.doi.org/10.18421/TEM82-31</v>
      </c>
      <c r="BS534" t="s">
        <v>3696</v>
      </c>
      <c r="BT534" t="str">
        <f>HYPERLINK("https%3A%2F%2Fwww.webofscience.com%2Fwos%2Fwoscc%2Ffull-record%2FWOS:000468971700031","View Full Record in Web of Science")</f>
        <v>View Full Record in Web of Science</v>
      </c>
    </row>
    <row r="535" spans="1:72" ht="12.75" customHeight="1" x14ac:dyDescent="0.2">
      <c r="A535" t="s">
        <v>147</v>
      </c>
      <c r="B535" t="s">
        <v>3697</v>
      </c>
      <c r="D535" t="s">
        <v>249</v>
      </c>
      <c r="F535" t="s">
        <v>3698</v>
      </c>
      <c r="I535" t="s">
        <v>3699</v>
      </c>
      <c r="J535" t="s">
        <v>1371</v>
      </c>
      <c r="O535" t="s">
        <v>1372</v>
      </c>
      <c r="P535" t="s">
        <v>1373</v>
      </c>
      <c r="Q535" t="s">
        <v>256</v>
      </c>
      <c r="S535" t="s">
        <v>257</v>
      </c>
      <c r="AA535" t="s">
        <v>3700</v>
      </c>
      <c r="AB535" t="s">
        <v>2923</v>
      </c>
      <c r="AQ535" t="s">
        <v>1374</v>
      </c>
      <c r="AU535">
        <v>2019</v>
      </c>
      <c r="BB535">
        <v>271</v>
      </c>
      <c r="BC535">
        <v>280</v>
      </c>
      <c r="BE535" t="s">
        <v>3701</v>
      </c>
      <c r="BF535" t="str">
        <f>HYPERLINK("http://dx.doi.org/10.3897/ap.1.e0254","http://dx.doi.org/10.3897/ap.1.e0254")</f>
        <v>http://dx.doi.org/10.3897/ap.1.e0254</v>
      </c>
      <c r="BS535" t="s">
        <v>3702</v>
      </c>
      <c r="BT535" t="str">
        <f>HYPERLINK("https%3A%2F%2Fwww.webofscience.com%2Fwos%2Fwoscc%2Ffull-record%2FWOS:000520005200027","View Full Record in Web of Science")</f>
        <v>View Full Record in Web of Science</v>
      </c>
    </row>
    <row r="536" spans="1:72" ht="12.75" customHeight="1" x14ac:dyDescent="0.2">
      <c r="A536" t="s">
        <v>147</v>
      </c>
      <c r="B536" t="s">
        <v>220</v>
      </c>
      <c r="E536" t="s">
        <v>210</v>
      </c>
      <c r="F536" t="s">
        <v>221</v>
      </c>
      <c r="I536" t="s">
        <v>3703</v>
      </c>
      <c r="J536" t="s">
        <v>3220</v>
      </c>
      <c r="O536" t="s">
        <v>3221</v>
      </c>
      <c r="P536" t="s">
        <v>2914</v>
      </c>
      <c r="Q536" t="s">
        <v>3222</v>
      </c>
      <c r="R536" t="s">
        <v>3223</v>
      </c>
      <c r="S536" t="s">
        <v>3224</v>
      </c>
      <c r="AQ536" t="s">
        <v>3225</v>
      </c>
      <c r="AU536">
        <v>2019</v>
      </c>
      <c r="BS536" t="s">
        <v>3704</v>
      </c>
      <c r="BT536" t="str">
        <f>HYPERLINK("https%3A%2F%2Fwww.webofscience.com%2Fwos%2Fwoscc%2Ffull-record%2FWOS:000560311400076","View Full Record in Web of Science")</f>
        <v>View Full Record in Web of Science</v>
      </c>
    </row>
    <row r="537" spans="1:72" ht="12.75" customHeight="1" x14ac:dyDescent="0.2">
      <c r="A537" t="s">
        <v>147</v>
      </c>
      <c r="B537" t="s">
        <v>3705</v>
      </c>
      <c r="E537" t="s">
        <v>175</v>
      </c>
      <c r="F537" t="s">
        <v>3706</v>
      </c>
      <c r="I537" t="s">
        <v>3707</v>
      </c>
      <c r="J537" t="s">
        <v>178</v>
      </c>
      <c r="K537" t="s">
        <v>179</v>
      </c>
      <c r="O537" t="s">
        <v>180</v>
      </c>
      <c r="P537" t="s">
        <v>181</v>
      </c>
      <c r="Q537" t="s">
        <v>182</v>
      </c>
      <c r="R537" t="s">
        <v>183</v>
      </c>
      <c r="S537" t="s">
        <v>184</v>
      </c>
      <c r="AO537" t="s">
        <v>187</v>
      </c>
      <c r="AP537" t="s">
        <v>188</v>
      </c>
      <c r="AU537">
        <v>2019</v>
      </c>
      <c r="AV537">
        <v>1399</v>
      </c>
      <c r="BD537">
        <v>33050</v>
      </c>
      <c r="BE537" t="s">
        <v>3708</v>
      </c>
      <c r="BF537" t="str">
        <f>HYPERLINK("http://dx.doi.org/10.1088/1742-6596/1399/3/033050","http://dx.doi.org/10.1088/1742-6596/1399/3/033050")</f>
        <v>http://dx.doi.org/10.1088/1742-6596/1399/3/033050</v>
      </c>
      <c r="BS537" t="s">
        <v>3709</v>
      </c>
      <c r="BT537" t="str">
        <f>HYPERLINK("https%3A%2F%2Fwww.webofscience.com%2Fwos%2Fwoscc%2Ffull-record%2FWOS:000589557100112","View Full Record in Web of Science")</f>
        <v>View Full Record in Web of Science</v>
      </c>
    </row>
    <row r="538" spans="1:72" ht="12.75" customHeight="1" x14ac:dyDescent="0.2">
      <c r="A538" t="s">
        <v>72</v>
      </c>
      <c r="B538" t="s">
        <v>3710</v>
      </c>
      <c r="F538" t="s">
        <v>3711</v>
      </c>
      <c r="I538" t="s">
        <v>3712</v>
      </c>
      <c r="J538" t="s">
        <v>1087</v>
      </c>
      <c r="AA538" t="s">
        <v>3713</v>
      </c>
      <c r="AB538" t="s">
        <v>3714</v>
      </c>
      <c r="AO538" t="s">
        <v>1093</v>
      </c>
      <c r="AP538" t="s">
        <v>1094</v>
      </c>
      <c r="AT538" t="s">
        <v>403</v>
      </c>
      <c r="AU538">
        <v>2018</v>
      </c>
      <c r="AV538">
        <v>55</v>
      </c>
      <c r="AW538">
        <v>4</v>
      </c>
      <c r="BB538">
        <v>469</v>
      </c>
      <c r="BC538">
        <v>473</v>
      </c>
      <c r="BS538" t="s">
        <v>3715</v>
      </c>
      <c r="BT538" t="str">
        <f>HYPERLINK("https%3A%2F%2Fwww.webofscience.com%2Fwos%2Fwoscc%2Ffull-record%2FWOS:000454987400002","View Full Record in Web of Science")</f>
        <v>View Full Record in Web of Science</v>
      </c>
    </row>
    <row r="539" spans="1:72" ht="12.75" customHeight="1" x14ac:dyDescent="0.2">
      <c r="A539" t="s">
        <v>72</v>
      </c>
      <c r="B539" t="s">
        <v>1984</v>
      </c>
      <c r="F539" t="s">
        <v>3716</v>
      </c>
      <c r="I539" t="s">
        <v>3717</v>
      </c>
      <c r="J539" t="s">
        <v>2640</v>
      </c>
      <c r="AA539" t="s">
        <v>1988</v>
      </c>
      <c r="AB539" t="s">
        <v>1989</v>
      </c>
      <c r="AO539" t="s">
        <v>2643</v>
      </c>
      <c r="AU539">
        <v>2018</v>
      </c>
      <c r="AV539">
        <v>51</v>
      </c>
      <c r="AW539">
        <v>1</v>
      </c>
      <c r="BB539">
        <v>145</v>
      </c>
      <c r="BC539">
        <v>147</v>
      </c>
      <c r="BE539" t="s">
        <v>3718</v>
      </c>
      <c r="BF539" t="str">
        <f>HYPERLINK("http://dx.doi.org/10.26710/fk18-01-23","http://dx.doi.org/10.26710/fk18-01-23")</f>
        <v>http://dx.doi.org/10.26710/fk18-01-23</v>
      </c>
      <c r="BS539" t="s">
        <v>3719</v>
      </c>
      <c r="BT539" t="str">
        <f>HYPERLINK("https%3A%2F%2Fwww.webofscience.com%2Fwos%2Fwoscc%2Ffull-record%2FWOS:000438455300022","View Full Record in Web of Science")</f>
        <v>View Full Record in Web of Science</v>
      </c>
    </row>
    <row r="540" spans="1:72" ht="12.75" customHeight="1" x14ac:dyDescent="0.2">
      <c r="A540" t="s">
        <v>147</v>
      </c>
      <c r="B540" t="s">
        <v>3720</v>
      </c>
      <c r="E540" t="s">
        <v>210</v>
      </c>
      <c r="F540" t="s">
        <v>3721</v>
      </c>
      <c r="I540" t="s">
        <v>3722</v>
      </c>
      <c r="J540" t="s">
        <v>1139</v>
      </c>
      <c r="K540" t="s">
        <v>390</v>
      </c>
      <c r="O540" t="s">
        <v>1140</v>
      </c>
      <c r="P540" t="s">
        <v>1141</v>
      </c>
      <c r="Q540" t="s">
        <v>393</v>
      </c>
      <c r="R540" t="s">
        <v>1142</v>
      </c>
      <c r="AO540" t="s">
        <v>395</v>
      </c>
      <c r="AQ540" t="s">
        <v>1145</v>
      </c>
      <c r="AU540">
        <v>2018</v>
      </c>
      <c r="BB540">
        <v>455</v>
      </c>
      <c r="BC540">
        <v>459</v>
      </c>
      <c r="BS540" t="s">
        <v>3723</v>
      </c>
      <c r="BT540" t="str">
        <f>HYPERLINK("https%3A%2F%2Fwww.webofscience.com%2Fwos%2Fwoscc%2Ffull-record%2FWOS:000644432200115","View Full Record in Web of Science")</f>
        <v>View Full Record in Web of Science</v>
      </c>
    </row>
    <row r="541" spans="1:72" ht="12.75" customHeight="1" x14ac:dyDescent="0.2">
      <c r="A541" t="s">
        <v>147</v>
      </c>
      <c r="B541" t="s">
        <v>3724</v>
      </c>
      <c r="D541" t="s">
        <v>249</v>
      </c>
      <c r="F541" t="s">
        <v>3725</v>
      </c>
      <c r="I541" t="s">
        <v>3726</v>
      </c>
      <c r="J541" t="s">
        <v>252</v>
      </c>
      <c r="K541" t="s">
        <v>253</v>
      </c>
      <c r="O541" t="s">
        <v>254</v>
      </c>
      <c r="P541" t="s">
        <v>255</v>
      </c>
      <c r="Q541" t="s">
        <v>256</v>
      </c>
      <c r="S541" t="s">
        <v>257</v>
      </c>
      <c r="AA541" t="s">
        <v>3727</v>
      </c>
      <c r="AB541" t="s">
        <v>3728</v>
      </c>
      <c r="AO541" t="s">
        <v>259</v>
      </c>
      <c r="AU541">
        <v>2017</v>
      </c>
      <c r="AV541">
        <v>29</v>
      </c>
      <c r="BB541">
        <v>129</v>
      </c>
      <c r="BC541">
        <v>137</v>
      </c>
      <c r="BE541" t="s">
        <v>3729</v>
      </c>
      <c r="BF541" t="str">
        <f>HYPERLINK("http://dx.doi.org/10.15405/epsbs.2017.08.02.17","http://dx.doi.org/10.15405/epsbs.2017.08.02.17")</f>
        <v>http://dx.doi.org/10.15405/epsbs.2017.08.02.17</v>
      </c>
      <c r="BS541" t="s">
        <v>3730</v>
      </c>
      <c r="BT541" t="str">
        <f>HYPERLINK("https%3A%2F%2Fwww.webofscience.com%2Fwos%2Fwoscc%2Ffull-record%2FWOS:000432421300017","View Full Record in Web of Science")</f>
        <v>View Full Record in Web of Science</v>
      </c>
    </row>
    <row r="542" spans="1:72" ht="12.75" customHeight="1" x14ac:dyDescent="0.2">
      <c r="A542" t="s">
        <v>147</v>
      </c>
      <c r="B542" t="s">
        <v>1408</v>
      </c>
      <c r="E542" t="s">
        <v>280</v>
      </c>
      <c r="F542" t="s">
        <v>1409</v>
      </c>
      <c r="I542" t="s">
        <v>3731</v>
      </c>
      <c r="J542" t="s">
        <v>2574</v>
      </c>
      <c r="K542" t="s">
        <v>284</v>
      </c>
      <c r="O542" t="s">
        <v>2575</v>
      </c>
      <c r="P542" t="s">
        <v>2576</v>
      </c>
      <c r="Q542" t="s">
        <v>287</v>
      </c>
      <c r="R542" t="s">
        <v>2577</v>
      </c>
      <c r="AA542" t="s">
        <v>1412</v>
      </c>
      <c r="AB542" t="s">
        <v>1413</v>
      </c>
      <c r="AO542" t="s">
        <v>289</v>
      </c>
      <c r="AQ542" t="s">
        <v>2580</v>
      </c>
      <c r="AU542">
        <v>2016</v>
      </c>
      <c r="BB542">
        <v>523</v>
      </c>
      <c r="BC542">
        <v>530</v>
      </c>
      <c r="BS542" t="s">
        <v>3732</v>
      </c>
      <c r="BT542" t="str">
        <f>HYPERLINK("https%3A%2F%2Fwww.webofscience.com%2Fwos%2Fwoscc%2Ffull-record%2FWOS:000395727700063","View Full Record in Web of Science")</f>
        <v>View Full Record in Web of Science</v>
      </c>
    </row>
    <row r="543" spans="1:72" ht="12.75" customHeight="1" x14ac:dyDescent="0.2">
      <c r="A543" t="s">
        <v>72</v>
      </c>
      <c r="B543" t="s">
        <v>3733</v>
      </c>
      <c r="F543" t="s">
        <v>3734</v>
      </c>
      <c r="I543" t="s">
        <v>3735</v>
      </c>
      <c r="J543" t="s">
        <v>244</v>
      </c>
      <c r="AA543" t="s">
        <v>608</v>
      </c>
      <c r="AB543" t="s">
        <v>609</v>
      </c>
      <c r="AO543" t="s">
        <v>245</v>
      </c>
      <c r="AP543" t="s">
        <v>246</v>
      </c>
      <c r="AU543">
        <v>2014</v>
      </c>
      <c r="AW543">
        <v>4</v>
      </c>
      <c r="BB543">
        <v>106</v>
      </c>
      <c r="BC543">
        <v>122</v>
      </c>
      <c r="BS543" t="s">
        <v>3736</v>
      </c>
      <c r="BT543" t="str">
        <f>HYPERLINK("https%3A%2F%2Fwww.webofscience.com%2Fwos%2Fwoscc%2Ffull-record%2FWOS:000335425700007","View Full Record in Web of Science")</f>
        <v>View Full Record in Web of Science</v>
      </c>
    </row>
    <row r="544" spans="1:72" ht="12.75" customHeight="1" x14ac:dyDescent="0.2">
      <c r="A544" t="s">
        <v>72</v>
      </c>
      <c r="B544" t="s">
        <v>1170</v>
      </c>
      <c r="F544" t="s">
        <v>1171</v>
      </c>
      <c r="I544" t="s">
        <v>3737</v>
      </c>
      <c r="J544" t="s">
        <v>311</v>
      </c>
      <c r="AO544" t="s">
        <v>312</v>
      </c>
      <c r="AT544" t="s">
        <v>88</v>
      </c>
      <c r="AU544">
        <v>2012</v>
      </c>
      <c r="AV544">
        <v>46</v>
      </c>
      <c r="AW544">
        <v>3</v>
      </c>
      <c r="BB544">
        <v>199</v>
      </c>
      <c r="BC544">
        <v>212</v>
      </c>
      <c r="BE544" t="s">
        <v>3738</v>
      </c>
      <c r="BF544" t="str">
        <f>HYPERLINK("http://dx.doi.org/10.1134/S0040579512020121","http://dx.doi.org/10.1134/S0040579512020121")</f>
        <v>http://dx.doi.org/10.1134/S0040579512020121</v>
      </c>
      <c r="BS544" t="s">
        <v>3739</v>
      </c>
      <c r="BT544" t="str">
        <f>HYPERLINK("https%3A%2F%2Fwww.webofscience.com%2Fwos%2Fwoscc%2Ffull-record%2FWOS:000305421400001","View Full Record in Web of Science")</f>
        <v>View Full Record in Web of Science</v>
      </c>
    </row>
    <row r="545" spans="1:72" ht="12.75" customHeight="1" x14ac:dyDescent="0.2">
      <c r="A545" t="s">
        <v>72</v>
      </c>
      <c r="B545" t="s">
        <v>3740</v>
      </c>
      <c r="F545" t="s">
        <v>3741</v>
      </c>
      <c r="I545" t="s">
        <v>3742</v>
      </c>
      <c r="J545" t="s">
        <v>3743</v>
      </c>
      <c r="AO545" t="s">
        <v>3744</v>
      </c>
      <c r="AU545">
        <v>2011</v>
      </c>
      <c r="AW545">
        <v>1</v>
      </c>
      <c r="BB545">
        <v>109</v>
      </c>
      <c r="BC545">
        <v>113</v>
      </c>
      <c r="BS545" t="s">
        <v>3745</v>
      </c>
      <c r="BT545" t="str">
        <f>HYPERLINK("https%3A%2F%2Fwww.webofscience.com%2Fwos%2Fwoscc%2Ffull-record%2FWOS:000287838000014","View Full Record in Web of Science")</f>
        <v>View Full Record in Web of Science</v>
      </c>
    </row>
    <row r="546" spans="1:72" ht="12.75" customHeight="1" x14ac:dyDescent="0.2">
      <c r="A546" t="s">
        <v>72</v>
      </c>
      <c r="B546" t="s">
        <v>1176</v>
      </c>
      <c r="F546" t="s">
        <v>1177</v>
      </c>
      <c r="I546" t="s">
        <v>3746</v>
      </c>
      <c r="J546" t="s">
        <v>244</v>
      </c>
      <c r="AO546" t="s">
        <v>245</v>
      </c>
      <c r="AU546">
        <v>2007</v>
      </c>
      <c r="AW546">
        <v>4</v>
      </c>
      <c r="BB546">
        <v>153</v>
      </c>
      <c r="BC546">
        <v>155</v>
      </c>
      <c r="BS546" t="s">
        <v>3747</v>
      </c>
      <c r="BT546" t="str">
        <f>HYPERLINK("https%3A%2F%2Fwww.webofscience.com%2Fwos%2Fwoscc%2Ffull-record%2FWOS:000246945000011","View Full Record in Web of Science")</f>
        <v>View Full Record in Web of Science</v>
      </c>
    </row>
    <row r="547" spans="1:72" ht="12.75" customHeight="1" x14ac:dyDescent="0.2">
      <c r="A547" t="s">
        <v>72</v>
      </c>
      <c r="B547" t="s">
        <v>3748</v>
      </c>
      <c r="F547" t="s">
        <v>3748</v>
      </c>
      <c r="I547" t="s">
        <v>3749</v>
      </c>
      <c r="J547" t="s">
        <v>1401</v>
      </c>
      <c r="AA547" t="s">
        <v>3750</v>
      </c>
      <c r="AB547" t="s">
        <v>3213</v>
      </c>
      <c r="AO547" t="s">
        <v>1404</v>
      </c>
      <c r="AT547" t="s">
        <v>1012</v>
      </c>
      <c r="AU547">
        <v>2000</v>
      </c>
      <c r="AV547">
        <v>39</v>
      </c>
      <c r="AW547">
        <v>5</v>
      </c>
      <c r="BB547">
        <v>766</v>
      </c>
      <c r="BC547">
        <v>771</v>
      </c>
      <c r="BS547" t="s">
        <v>3751</v>
      </c>
      <c r="BT547" t="str">
        <f>HYPERLINK("https%3A%2F%2Fwww.webofscience.com%2Fwos%2Fwoscc%2Ffull-record%2FWOS:000089912600010","View Full Record in Web of Science")</f>
        <v>View Full Record in Web of Science</v>
      </c>
    </row>
    <row r="548" spans="1:72" ht="12.75" customHeight="1" x14ac:dyDescent="0.2">
      <c r="A548" t="s">
        <v>72</v>
      </c>
      <c r="B548" t="s">
        <v>3752</v>
      </c>
      <c r="F548" t="s">
        <v>3753</v>
      </c>
      <c r="I548" t="s">
        <v>3754</v>
      </c>
      <c r="J548" t="s">
        <v>3755</v>
      </c>
      <c r="AB548" t="s">
        <v>3756</v>
      </c>
      <c r="AO548" t="s">
        <v>3757</v>
      </c>
      <c r="AP548" t="s">
        <v>3758</v>
      </c>
      <c r="AT548" t="s">
        <v>198</v>
      </c>
      <c r="AU548">
        <v>2023</v>
      </c>
      <c r="AV548">
        <v>125</v>
      </c>
      <c r="BD548">
        <v>104064</v>
      </c>
      <c r="BE548" t="s">
        <v>3759</v>
      </c>
      <c r="BF548" t="str">
        <f>HYPERLINK("http://dx.doi.org/10.1016/j.tate.2023.104064","http://dx.doi.org/10.1016/j.tate.2023.104064")</f>
        <v>http://dx.doi.org/10.1016/j.tate.2023.104064</v>
      </c>
      <c r="BH548" t="s">
        <v>3760</v>
      </c>
      <c r="BS548" t="s">
        <v>3761</v>
      </c>
      <c r="BT548" t="str">
        <f>HYPERLINK("https%3A%2F%2Fwww.webofscience.com%2Fwos%2Fwoscc%2Ffull-record%2FWOS:000944440600001","View Full Record in Web of Science")</f>
        <v>View Full Record in Web of Science</v>
      </c>
    </row>
    <row r="549" spans="1:72" ht="12.75" customHeight="1" x14ac:dyDescent="0.2">
      <c r="A549" t="s">
        <v>72</v>
      </c>
      <c r="B549" t="s">
        <v>705</v>
      </c>
      <c r="F549" t="s">
        <v>706</v>
      </c>
      <c r="I549" t="s">
        <v>3762</v>
      </c>
      <c r="J549" t="s">
        <v>708</v>
      </c>
      <c r="AO549" t="s">
        <v>709</v>
      </c>
      <c r="AP549" t="s">
        <v>710</v>
      </c>
      <c r="AT549" t="s">
        <v>319</v>
      </c>
      <c r="AU549">
        <v>2022</v>
      </c>
      <c r="AV549">
        <v>123</v>
      </c>
      <c r="AW549">
        <v>11</v>
      </c>
      <c r="BB549">
        <v>1105</v>
      </c>
      <c r="BC549">
        <v>1111</v>
      </c>
      <c r="BE549" t="s">
        <v>3763</v>
      </c>
      <c r="BF549" t="str">
        <f>HYPERLINK("http://dx.doi.org/10.1134/S0031918X22601251","http://dx.doi.org/10.1134/S0031918X22601251")</f>
        <v>http://dx.doi.org/10.1134/S0031918X22601251</v>
      </c>
      <c r="BS549" t="s">
        <v>3764</v>
      </c>
      <c r="BT549" t="str">
        <f>HYPERLINK("https%3A%2F%2Fwww.webofscience.com%2Fwos%2Fwoscc%2Ffull-record%2FWOS:000931264400009","View Full Record in Web of Science")</f>
        <v>View Full Record in Web of Science</v>
      </c>
    </row>
    <row r="550" spans="1:72" ht="12.75" customHeight="1" x14ac:dyDescent="0.2">
      <c r="A550" t="s">
        <v>72</v>
      </c>
      <c r="B550" t="s">
        <v>3765</v>
      </c>
      <c r="F550" t="s">
        <v>3766</v>
      </c>
      <c r="I550" t="s">
        <v>3767</v>
      </c>
      <c r="J550" t="s">
        <v>2640</v>
      </c>
      <c r="AO550" t="s">
        <v>2643</v>
      </c>
      <c r="AU550">
        <v>2021</v>
      </c>
      <c r="AV550">
        <v>26</v>
      </c>
      <c r="AW550">
        <v>4</v>
      </c>
      <c r="BB550">
        <v>273</v>
      </c>
      <c r="BC550">
        <v>283</v>
      </c>
      <c r="BE550" t="s">
        <v>3768</v>
      </c>
      <c r="BF550" t="str">
        <f>HYPERLINK("http://dx.doi.org/10.51762/1FK-2021-26-04-24","http://dx.doi.org/10.51762/1FK-2021-26-04-24")</f>
        <v>http://dx.doi.org/10.51762/1FK-2021-26-04-24</v>
      </c>
      <c r="BS550" t="s">
        <v>3769</v>
      </c>
      <c r="BT550" t="str">
        <f>HYPERLINK("https%3A%2F%2Fwww.webofscience.com%2Fwos%2Fwoscc%2Ffull-record%2FWOS:000742349400006","View Full Record in Web of Science")</f>
        <v>View Full Record in Web of Science</v>
      </c>
    </row>
    <row r="551" spans="1:72" ht="12.75" customHeight="1" x14ac:dyDescent="0.2">
      <c r="A551" t="s">
        <v>72</v>
      </c>
      <c r="B551" t="s">
        <v>544</v>
      </c>
      <c r="F551" t="s">
        <v>3770</v>
      </c>
      <c r="I551" t="s">
        <v>3771</v>
      </c>
      <c r="J551" t="s">
        <v>166</v>
      </c>
      <c r="AO551" t="s">
        <v>169</v>
      </c>
      <c r="AP551" t="s">
        <v>170</v>
      </c>
      <c r="AT551" t="s">
        <v>491</v>
      </c>
      <c r="AU551">
        <v>2020</v>
      </c>
      <c r="AV551">
        <v>9</v>
      </c>
      <c r="AW551">
        <v>2</v>
      </c>
      <c r="BB551">
        <v>417</v>
      </c>
      <c r="BC551">
        <v>433</v>
      </c>
      <c r="BE551" t="s">
        <v>3772</v>
      </c>
      <c r="BF551" t="str">
        <f>HYPERLINK("http://dx.doi.org/10.13187/ejced.2020.2.417","http://dx.doi.org/10.13187/ejced.2020.2.417")</f>
        <v>http://dx.doi.org/10.13187/ejced.2020.2.417</v>
      </c>
      <c r="BS551" t="s">
        <v>3773</v>
      </c>
      <c r="BT551" t="str">
        <f>HYPERLINK("https%3A%2F%2Fwww.webofscience.com%2Fwos%2Fwoscc%2Ffull-record%2FWOS:000542265300011","View Full Record in Web of Science")</f>
        <v>View Full Record in Web of Science</v>
      </c>
    </row>
    <row r="552" spans="1:72" ht="12.75" customHeight="1" x14ac:dyDescent="0.2">
      <c r="A552" t="s">
        <v>72</v>
      </c>
      <c r="B552" t="s">
        <v>2287</v>
      </c>
      <c r="F552" t="s">
        <v>2288</v>
      </c>
      <c r="I552" t="s">
        <v>3774</v>
      </c>
      <c r="J552" t="s">
        <v>3775</v>
      </c>
      <c r="AA552" t="s">
        <v>2291</v>
      </c>
      <c r="AB552" t="s">
        <v>2292</v>
      </c>
      <c r="AO552" t="s">
        <v>3776</v>
      </c>
      <c r="AP552" t="s">
        <v>3777</v>
      </c>
      <c r="AT552" t="s">
        <v>655</v>
      </c>
      <c r="AU552">
        <v>2020</v>
      </c>
      <c r="AV552">
        <v>135</v>
      </c>
      <c r="AW552">
        <v>572</v>
      </c>
      <c r="BB552">
        <v>248</v>
      </c>
      <c r="BC552">
        <v>250</v>
      </c>
      <c r="BE552" t="s">
        <v>3778</v>
      </c>
      <c r="BF552" t="str">
        <f>HYPERLINK("http://dx.doi.org/10.1093/ehr/cez365","http://dx.doi.org/10.1093/ehr/cez365")</f>
        <v>http://dx.doi.org/10.1093/ehr/cez365</v>
      </c>
      <c r="BS552" t="s">
        <v>3779</v>
      </c>
      <c r="BT552" t="str">
        <f>HYPERLINK("https%3A%2F%2Fwww.webofscience.com%2Fwos%2Fwoscc%2Ffull-record%2FWOS:000559957200058","View Full Record in Web of Science")</f>
        <v>View Full Record in Web of Science</v>
      </c>
    </row>
    <row r="553" spans="1:72" ht="12.75" customHeight="1" x14ac:dyDescent="0.2">
      <c r="A553" t="s">
        <v>72</v>
      </c>
      <c r="B553" t="s">
        <v>3780</v>
      </c>
      <c r="F553" t="s">
        <v>3781</v>
      </c>
      <c r="I553" t="s">
        <v>3782</v>
      </c>
      <c r="J553" t="s">
        <v>668</v>
      </c>
      <c r="AO553" t="s">
        <v>669</v>
      </c>
      <c r="AP553" t="s">
        <v>670</v>
      </c>
      <c r="AU553">
        <v>2020</v>
      </c>
      <c r="AW553">
        <v>10</v>
      </c>
      <c r="BB553">
        <v>268</v>
      </c>
      <c r="BC553">
        <v>279</v>
      </c>
      <c r="BE553" t="s">
        <v>3783</v>
      </c>
      <c r="BF553" t="str">
        <f>HYPERLINK("http://dx.doi.org/10.24224/2227-1295-2020-10-268-279","http://dx.doi.org/10.24224/2227-1295-2020-10-268-279")</f>
        <v>http://dx.doi.org/10.24224/2227-1295-2020-10-268-279</v>
      </c>
      <c r="BS553" t="s">
        <v>3784</v>
      </c>
      <c r="BT553" t="str">
        <f>HYPERLINK("https%3A%2F%2Fwww.webofscience.com%2Fwos%2Fwoscc%2Ffull-record%2FWOS:000586248800017","View Full Record in Web of Science")</f>
        <v>View Full Record in Web of Science</v>
      </c>
    </row>
    <row r="554" spans="1:72" ht="12.75" customHeight="1" x14ac:dyDescent="0.2">
      <c r="A554" t="s">
        <v>147</v>
      </c>
      <c r="B554" t="s">
        <v>220</v>
      </c>
      <c r="E554" t="s">
        <v>210</v>
      </c>
      <c r="F554" t="s">
        <v>221</v>
      </c>
      <c r="I554" t="s">
        <v>3785</v>
      </c>
      <c r="J554" t="s">
        <v>2082</v>
      </c>
      <c r="K554" t="s">
        <v>2083</v>
      </c>
      <c r="O554" t="s">
        <v>2084</v>
      </c>
      <c r="P554" t="s">
        <v>2085</v>
      </c>
      <c r="Q554" t="s">
        <v>2086</v>
      </c>
      <c r="R554" t="s">
        <v>2087</v>
      </c>
      <c r="S554" t="s">
        <v>2088</v>
      </c>
      <c r="AO554" t="s">
        <v>2089</v>
      </c>
      <c r="AQ554" t="s">
        <v>2090</v>
      </c>
      <c r="AU554">
        <v>2020</v>
      </c>
      <c r="BS554" t="s">
        <v>3786</v>
      </c>
      <c r="BT554" t="str">
        <f>HYPERLINK("https%3A%2F%2Fwww.webofscience.com%2Fwos%2Fwoscc%2Ffull-record%2FWOS:000649745900031","View Full Record in Web of Science")</f>
        <v>View Full Record in Web of Science</v>
      </c>
    </row>
    <row r="555" spans="1:72" ht="12.75" customHeight="1" x14ac:dyDescent="0.2">
      <c r="A555" t="s">
        <v>72</v>
      </c>
      <c r="B555" t="s">
        <v>3787</v>
      </c>
      <c r="F555" t="s">
        <v>3788</v>
      </c>
      <c r="I555" t="s">
        <v>3789</v>
      </c>
      <c r="J555" t="s">
        <v>1635</v>
      </c>
      <c r="AO555" t="s">
        <v>1636</v>
      </c>
      <c r="AP555" t="s">
        <v>1637</v>
      </c>
      <c r="AT555" t="s">
        <v>1638</v>
      </c>
      <c r="AU555">
        <v>2019</v>
      </c>
      <c r="AV555">
        <v>27</v>
      </c>
      <c r="AW555" t="s">
        <v>1639</v>
      </c>
      <c r="AZ555" t="s">
        <v>339</v>
      </c>
      <c r="BB555">
        <v>180</v>
      </c>
      <c r="BC555">
        <v>186</v>
      </c>
      <c r="BE555" t="s">
        <v>3790</v>
      </c>
      <c r="BF555" t="str">
        <f>HYPERLINK("http://dx.doi.org/10.1108/OTH-07-2019-0040","http://dx.doi.org/10.1108/OTH-07-2019-0040")</f>
        <v>http://dx.doi.org/10.1108/OTH-07-2019-0040</v>
      </c>
      <c r="BS555" t="s">
        <v>3791</v>
      </c>
      <c r="BT555" t="str">
        <f>HYPERLINK("https%3A%2F%2Fwww.webofscience.com%2Fwos%2Fwoscc%2Ffull-record%2FWOS:000491196500008","View Full Record in Web of Science")</f>
        <v>View Full Record in Web of Science</v>
      </c>
    </row>
    <row r="556" spans="1:72" ht="12.75" customHeight="1" x14ac:dyDescent="0.2">
      <c r="A556" t="s">
        <v>72</v>
      </c>
      <c r="B556" t="s">
        <v>833</v>
      </c>
      <c r="F556" t="s">
        <v>834</v>
      </c>
      <c r="I556" t="s">
        <v>3792</v>
      </c>
      <c r="J556" t="s">
        <v>204</v>
      </c>
      <c r="AB556" t="s">
        <v>3793</v>
      </c>
      <c r="AO556" t="s">
        <v>205</v>
      </c>
      <c r="AP556" t="s">
        <v>206</v>
      </c>
      <c r="AT556" t="s">
        <v>491</v>
      </c>
      <c r="AU556">
        <v>2019</v>
      </c>
      <c r="AV556">
        <v>21</v>
      </c>
      <c r="AW556">
        <v>6</v>
      </c>
      <c r="BB556">
        <v>146</v>
      </c>
      <c r="BC556">
        <v>170</v>
      </c>
      <c r="BE556" t="s">
        <v>3794</v>
      </c>
      <c r="BF556" t="str">
        <f>HYPERLINK("http://dx.doi.org/10.17853/1994-5639-2019-6-146-170","http://dx.doi.org/10.17853/1994-5639-2019-6-146-170")</f>
        <v>http://dx.doi.org/10.17853/1994-5639-2019-6-146-170</v>
      </c>
      <c r="BS556" t="s">
        <v>3795</v>
      </c>
      <c r="BT556" t="str">
        <f>HYPERLINK("https%3A%2F%2Fwww.webofscience.com%2Fwos%2Fwoscc%2Ffull-record%2FWOS:000497663600007","View Full Record in Web of Science")</f>
        <v>View Full Record in Web of Science</v>
      </c>
    </row>
    <row r="557" spans="1:72" ht="12.75" customHeight="1" x14ac:dyDescent="0.2">
      <c r="A557" t="s">
        <v>147</v>
      </c>
      <c r="B557" t="s">
        <v>3796</v>
      </c>
      <c r="E557" t="s">
        <v>210</v>
      </c>
      <c r="F557" t="s">
        <v>3797</v>
      </c>
      <c r="I557" t="s">
        <v>3798</v>
      </c>
      <c r="J557" t="s">
        <v>3799</v>
      </c>
      <c r="O557" t="s">
        <v>214</v>
      </c>
      <c r="P557" t="s">
        <v>820</v>
      </c>
      <c r="Q557" t="s">
        <v>156</v>
      </c>
      <c r="AA557" t="s">
        <v>3800</v>
      </c>
      <c r="AB557" t="s">
        <v>3801</v>
      </c>
      <c r="AQ557" t="s">
        <v>3802</v>
      </c>
      <c r="AU557">
        <v>2019</v>
      </c>
      <c r="BS557" t="s">
        <v>3803</v>
      </c>
      <c r="BT557" t="str">
        <f>HYPERLINK("https%3A%2F%2Fwww.webofscience.com%2Fwos%2Fwoscc%2Ffull-record%2FWOS:000607240300036","View Full Record in Web of Science")</f>
        <v>View Full Record in Web of Science</v>
      </c>
    </row>
    <row r="558" spans="1:72" ht="12.75" customHeight="1" x14ac:dyDescent="0.2">
      <c r="A558" t="s">
        <v>147</v>
      </c>
      <c r="B558" t="s">
        <v>568</v>
      </c>
      <c r="D558" t="s">
        <v>386</v>
      </c>
      <c r="F558" t="s">
        <v>569</v>
      </c>
      <c r="I558" t="s">
        <v>3804</v>
      </c>
      <c r="J558" t="s">
        <v>389</v>
      </c>
      <c r="K558" t="s">
        <v>390</v>
      </c>
      <c r="O558" t="s">
        <v>391</v>
      </c>
      <c r="P558" t="s">
        <v>392</v>
      </c>
      <c r="Q558" t="s">
        <v>393</v>
      </c>
      <c r="R558" t="s">
        <v>394</v>
      </c>
      <c r="AA558" t="s">
        <v>3805</v>
      </c>
      <c r="AB558" t="s">
        <v>3806</v>
      </c>
      <c r="AO558" t="s">
        <v>395</v>
      </c>
      <c r="AQ558" t="s">
        <v>396</v>
      </c>
      <c r="AU558">
        <v>2019</v>
      </c>
      <c r="BB558">
        <v>513</v>
      </c>
      <c r="BC558">
        <v>516</v>
      </c>
      <c r="BS558" t="s">
        <v>3807</v>
      </c>
      <c r="BT558" t="str">
        <f>HYPERLINK("https%3A%2F%2Fwww.webofscience.com%2Fwos%2Fwoscc%2Ffull-record%2FWOS:000492146100124","View Full Record in Web of Science")</f>
        <v>View Full Record in Web of Science</v>
      </c>
    </row>
    <row r="559" spans="1:72" ht="12.75" customHeight="1" x14ac:dyDescent="0.2">
      <c r="A559" t="s">
        <v>72</v>
      </c>
      <c r="B559" t="s">
        <v>503</v>
      </c>
      <c r="F559" t="s">
        <v>504</v>
      </c>
      <c r="I559" t="s">
        <v>3808</v>
      </c>
      <c r="J559" t="s">
        <v>506</v>
      </c>
      <c r="AA559" t="s">
        <v>507</v>
      </c>
      <c r="AB559" t="s">
        <v>508</v>
      </c>
      <c r="AO559" t="s">
        <v>509</v>
      </c>
      <c r="AP559" t="s">
        <v>510</v>
      </c>
      <c r="AU559">
        <v>2019</v>
      </c>
      <c r="AV559">
        <v>10</v>
      </c>
      <c r="AW559">
        <v>3</v>
      </c>
      <c r="BB559">
        <v>461</v>
      </c>
      <c r="BC559">
        <v>476</v>
      </c>
      <c r="BE559" t="s">
        <v>3809</v>
      </c>
      <c r="BF559" t="str">
        <f>HYPERLINK("http://dx.doi.org/10.21638/spbu14.2019.304","http://dx.doi.org/10.21638/spbu14.2019.304")</f>
        <v>http://dx.doi.org/10.21638/spbu14.2019.304</v>
      </c>
      <c r="BS559" t="s">
        <v>3810</v>
      </c>
      <c r="BT559" t="str">
        <f>HYPERLINK("https%3A%2F%2Fwww.webofscience.com%2Fwos%2Fwoscc%2Ffull-record%2FWOS:000490917500004","View Full Record in Web of Science")</f>
        <v>View Full Record in Web of Science</v>
      </c>
    </row>
    <row r="560" spans="1:72" ht="12.75" customHeight="1" x14ac:dyDescent="0.2">
      <c r="A560" t="s">
        <v>147</v>
      </c>
      <c r="B560" t="s">
        <v>3811</v>
      </c>
      <c r="C560" t="s">
        <v>1232</v>
      </c>
      <c r="F560" t="s">
        <v>3812</v>
      </c>
      <c r="G560" t="s">
        <v>1232</v>
      </c>
      <c r="I560" t="s">
        <v>3813</v>
      </c>
      <c r="J560" t="s">
        <v>1235</v>
      </c>
      <c r="K560" t="s">
        <v>1236</v>
      </c>
      <c r="O560" t="s">
        <v>1237</v>
      </c>
      <c r="P560" t="s">
        <v>1238</v>
      </c>
      <c r="Q560" t="s">
        <v>910</v>
      </c>
      <c r="R560" t="s">
        <v>1239</v>
      </c>
      <c r="AO560" t="s">
        <v>1240</v>
      </c>
      <c r="AU560">
        <v>2019</v>
      </c>
      <c r="AV560">
        <v>110</v>
      </c>
      <c r="BD560">
        <v>2010</v>
      </c>
      <c r="BE560" t="s">
        <v>3814</v>
      </c>
      <c r="BF560" t="str">
        <f>HYPERLINK("http://dx.doi.org/10.1051/e3sconf/201911002010","http://dx.doi.org/10.1051/e3sconf/201911002010")</f>
        <v>http://dx.doi.org/10.1051/e3sconf/201911002010</v>
      </c>
      <c r="BS560" t="s">
        <v>3815</v>
      </c>
      <c r="BT560" t="str">
        <f>HYPERLINK("https%3A%2F%2Fwww.webofscience.com%2Fwos%2Fwoscc%2Ffull-record%2FWOS:000569050000099","View Full Record in Web of Science")</f>
        <v>View Full Record in Web of Science</v>
      </c>
    </row>
    <row r="561" spans="1:72" ht="12.75" customHeight="1" x14ac:dyDescent="0.2">
      <c r="A561" t="s">
        <v>72</v>
      </c>
      <c r="B561" t="s">
        <v>2287</v>
      </c>
      <c r="F561" t="s">
        <v>2288</v>
      </c>
      <c r="I561" t="s">
        <v>3816</v>
      </c>
      <c r="J561" t="s">
        <v>3817</v>
      </c>
      <c r="AA561" t="s">
        <v>2291</v>
      </c>
      <c r="AB561" t="s">
        <v>2292</v>
      </c>
      <c r="AO561" t="s">
        <v>3818</v>
      </c>
      <c r="AP561" t="s">
        <v>3819</v>
      </c>
      <c r="AT561" t="s">
        <v>1167</v>
      </c>
      <c r="AU561">
        <v>2018</v>
      </c>
      <c r="AV561">
        <v>77</v>
      </c>
      <c r="AW561">
        <v>4</v>
      </c>
      <c r="BB561">
        <v>672</v>
      </c>
      <c r="BC561">
        <v>674</v>
      </c>
      <c r="BS561" t="s">
        <v>3820</v>
      </c>
      <c r="BT561" t="str">
        <f>HYPERLINK("https%3A%2F%2Fwww.webofscience.com%2Fwos%2Fwoscc%2Ffull-record%2FWOS:000443708100031","View Full Record in Web of Science")</f>
        <v>View Full Record in Web of Science</v>
      </c>
    </row>
    <row r="562" spans="1:72" ht="12.75" customHeight="1" x14ac:dyDescent="0.2">
      <c r="A562" t="s">
        <v>147</v>
      </c>
      <c r="B562" t="s">
        <v>3821</v>
      </c>
      <c r="E562" t="s">
        <v>210</v>
      </c>
      <c r="F562" t="s">
        <v>3822</v>
      </c>
      <c r="I562" t="s">
        <v>3823</v>
      </c>
      <c r="J562" t="s">
        <v>213</v>
      </c>
      <c r="O562" t="s">
        <v>214</v>
      </c>
      <c r="P562" t="s">
        <v>215</v>
      </c>
      <c r="Q562" t="s">
        <v>216</v>
      </c>
      <c r="S562" t="s">
        <v>217</v>
      </c>
      <c r="AQ562" t="s">
        <v>218</v>
      </c>
      <c r="AU562">
        <v>2018</v>
      </c>
      <c r="BS562" t="s">
        <v>3824</v>
      </c>
      <c r="BT562" t="str">
        <f>HYPERLINK("https%3A%2F%2Fwww.webofscience.com%2Fwos%2Fwoscc%2Ffull-record%2FWOS:000478963800045","View Full Record in Web of Science")</f>
        <v>View Full Record in Web of Science</v>
      </c>
    </row>
    <row r="563" spans="1:72" ht="12.75" customHeight="1" x14ac:dyDescent="0.2">
      <c r="A563" t="s">
        <v>147</v>
      </c>
      <c r="B563" t="s">
        <v>3825</v>
      </c>
      <c r="E563" t="s">
        <v>210</v>
      </c>
      <c r="F563" t="s">
        <v>3826</v>
      </c>
      <c r="I563" t="s">
        <v>3827</v>
      </c>
      <c r="J563" t="s">
        <v>213</v>
      </c>
      <c r="O563" t="s">
        <v>214</v>
      </c>
      <c r="P563" t="s">
        <v>215</v>
      </c>
      <c r="Q563" t="s">
        <v>216</v>
      </c>
      <c r="S563" t="s">
        <v>217</v>
      </c>
      <c r="AA563" t="s">
        <v>1899</v>
      </c>
      <c r="AB563" t="s">
        <v>1900</v>
      </c>
      <c r="AQ563" t="s">
        <v>218</v>
      </c>
      <c r="AU563">
        <v>2018</v>
      </c>
      <c r="BS563" t="s">
        <v>3828</v>
      </c>
      <c r="BT563" t="str">
        <f>HYPERLINK("https%3A%2F%2Fwww.webofscience.com%2Fwos%2Fwoscc%2Ffull-record%2FWOS:000478963800128","View Full Record in Web of Science")</f>
        <v>View Full Record in Web of Science</v>
      </c>
    </row>
    <row r="564" spans="1:72" ht="12.75" customHeight="1" x14ac:dyDescent="0.2">
      <c r="A564" t="s">
        <v>147</v>
      </c>
      <c r="B564" t="s">
        <v>3829</v>
      </c>
      <c r="D564" t="s">
        <v>233</v>
      </c>
      <c r="F564" t="s">
        <v>3830</v>
      </c>
      <c r="I564" t="s">
        <v>3831</v>
      </c>
      <c r="J564" t="s">
        <v>444</v>
      </c>
      <c r="K564" t="s">
        <v>445</v>
      </c>
      <c r="O564" t="s">
        <v>446</v>
      </c>
      <c r="P564" t="s">
        <v>447</v>
      </c>
      <c r="Q564" t="s">
        <v>448</v>
      </c>
      <c r="AA564" t="s">
        <v>3832</v>
      </c>
      <c r="AB564" t="s">
        <v>1886</v>
      </c>
      <c r="AO564" t="s">
        <v>450</v>
      </c>
      <c r="AQ564" t="s">
        <v>451</v>
      </c>
      <c r="AU564">
        <v>2017</v>
      </c>
      <c r="BB564">
        <v>69</v>
      </c>
      <c r="BC564">
        <v>76</v>
      </c>
      <c r="BE564" t="s">
        <v>3833</v>
      </c>
      <c r="BF564" t="str">
        <f>HYPERLINK("http://dx.doi.org/10.1007/978-3-319-60696-5_10","http://dx.doi.org/10.1007/978-3-319-60696-5_10")</f>
        <v>http://dx.doi.org/10.1007/978-3-319-60696-5_10</v>
      </c>
      <c r="BS564" t="s">
        <v>3834</v>
      </c>
      <c r="BT564" t="str">
        <f>HYPERLINK("https%3A%2F%2Fwww.webofscience.com%2Fwos%2Fwoscc%2Ffull-record%2FWOS:000426114200010","View Full Record in Web of Science")</f>
        <v>View Full Record in Web of Science</v>
      </c>
    </row>
    <row r="565" spans="1:72" ht="12.75" customHeight="1" x14ac:dyDescent="0.2">
      <c r="A565" t="s">
        <v>147</v>
      </c>
      <c r="B565" t="s">
        <v>3835</v>
      </c>
      <c r="E565" t="s">
        <v>210</v>
      </c>
      <c r="F565" t="s">
        <v>3836</v>
      </c>
      <c r="I565" t="s">
        <v>3837</v>
      </c>
      <c r="J565" t="s">
        <v>1261</v>
      </c>
      <c r="O565" t="s">
        <v>214</v>
      </c>
      <c r="P565" t="s">
        <v>909</v>
      </c>
      <c r="Q565" t="s">
        <v>910</v>
      </c>
      <c r="R565" t="s">
        <v>1262</v>
      </c>
      <c r="AQ565" t="s">
        <v>1263</v>
      </c>
      <c r="AU565">
        <v>2017</v>
      </c>
      <c r="BS565" t="s">
        <v>3838</v>
      </c>
      <c r="BT565" t="str">
        <f>HYPERLINK("https%3A%2F%2Fwww.webofscience.com%2Fwos%2Fwoscc%2Ffull-record%2FWOS:000414282400146","View Full Record in Web of Science")</f>
        <v>View Full Record in Web of Science</v>
      </c>
    </row>
    <row r="566" spans="1:72" ht="12.75" customHeight="1" x14ac:dyDescent="0.2">
      <c r="A566" t="s">
        <v>147</v>
      </c>
      <c r="B566" t="s">
        <v>3839</v>
      </c>
      <c r="E566" t="s">
        <v>210</v>
      </c>
      <c r="F566" t="s">
        <v>3840</v>
      </c>
      <c r="I566" t="s">
        <v>3841</v>
      </c>
      <c r="J566" t="s">
        <v>1539</v>
      </c>
      <c r="O566" t="s">
        <v>1540</v>
      </c>
      <c r="P566" t="s">
        <v>1541</v>
      </c>
      <c r="Q566" t="s">
        <v>1542</v>
      </c>
      <c r="R566" t="s">
        <v>1543</v>
      </c>
      <c r="AA566" t="s">
        <v>1899</v>
      </c>
      <c r="AB566" t="s">
        <v>1900</v>
      </c>
      <c r="AQ566" t="s">
        <v>1544</v>
      </c>
      <c r="AU566">
        <v>2016</v>
      </c>
      <c r="BS566" t="s">
        <v>3842</v>
      </c>
      <c r="BT566" t="str">
        <f>HYPERLINK("https%3A%2F%2Fwww.webofscience.com%2Fwos%2Fwoscc%2Ffull-record%2FWOS:000403604400349","View Full Record in Web of Science")</f>
        <v>View Full Record in Web of Science</v>
      </c>
    </row>
    <row r="567" spans="1:72" ht="12.75" customHeight="1" x14ac:dyDescent="0.2">
      <c r="A567" t="s">
        <v>72</v>
      </c>
      <c r="B567" t="s">
        <v>279</v>
      </c>
      <c r="F567" t="s">
        <v>3843</v>
      </c>
      <c r="I567" t="s">
        <v>3844</v>
      </c>
      <c r="J567" t="s">
        <v>244</v>
      </c>
      <c r="AO567" t="s">
        <v>245</v>
      </c>
      <c r="AP567" t="s">
        <v>246</v>
      </c>
      <c r="AU567">
        <v>2015</v>
      </c>
      <c r="AW567">
        <v>4</v>
      </c>
      <c r="BB567">
        <v>74</v>
      </c>
      <c r="BC567">
        <v>88</v>
      </c>
      <c r="BS567" t="s">
        <v>3845</v>
      </c>
      <c r="BT567" t="str">
        <f>HYPERLINK("https%3A%2F%2Fwww.webofscience.com%2Fwos%2Fwoscc%2Ffull-record%2FWOS:000354658300006","View Full Record in Web of Science")</f>
        <v>View Full Record in Web of Science</v>
      </c>
    </row>
    <row r="568" spans="1:72" ht="12.75" customHeight="1" x14ac:dyDescent="0.2">
      <c r="A568" t="s">
        <v>72</v>
      </c>
      <c r="B568" t="s">
        <v>3846</v>
      </c>
      <c r="F568" t="s">
        <v>3847</v>
      </c>
      <c r="I568" t="s">
        <v>3848</v>
      </c>
      <c r="J568" t="s">
        <v>1905</v>
      </c>
      <c r="O568" t="s">
        <v>3849</v>
      </c>
      <c r="P568" t="s">
        <v>3850</v>
      </c>
      <c r="Q568" t="s">
        <v>2563</v>
      </c>
      <c r="AA568" t="s">
        <v>3851</v>
      </c>
      <c r="AB568" t="s">
        <v>1719</v>
      </c>
      <c r="AO568" t="s">
        <v>1906</v>
      </c>
      <c r="AP568" t="s">
        <v>1912</v>
      </c>
      <c r="AT568" t="s">
        <v>655</v>
      </c>
      <c r="AU568">
        <v>2009</v>
      </c>
      <c r="AV568">
        <v>35</v>
      </c>
      <c r="AW568">
        <v>1</v>
      </c>
      <c r="BB568">
        <v>74</v>
      </c>
      <c r="BC568">
        <v>80</v>
      </c>
      <c r="BE568" t="s">
        <v>3852</v>
      </c>
      <c r="BF568" t="str">
        <f>HYPERLINK("http://dx.doi.org/10.1134/S1087659609010118","http://dx.doi.org/10.1134/S1087659609010118")</f>
        <v>http://dx.doi.org/10.1134/S1087659609010118</v>
      </c>
      <c r="BS568" t="s">
        <v>3853</v>
      </c>
      <c r="BT568" t="str">
        <f>HYPERLINK("https%3A%2F%2Fwww.webofscience.com%2Fwos%2Fwoscc%2Ffull-record%2FWOS:000266335300011","View Full Record in Web of Science")</f>
        <v>View Full Record in Web of Science</v>
      </c>
    </row>
    <row r="569" spans="1:72" ht="12.75" customHeight="1" x14ac:dyDescent="0.2">
      <c r="A569" t="s">
        <v>72</v>
      </c>
      <c r="B569" t="s">
        <v>2713</v>
      </c>
      <c r="F569" t="s">
        <v>2714</v>
      </c>
      <c r="I569" t="s">
        <v>3854</v>
      </c>
      <c r="J569" t="s">
        <v>244</v>
      </c>
      <c r="AO569" t="s">
        <v>245</v>
      </c>
      <c r="AU569">
        <v>2007</v>
      </c>
      <c r="AW569">
        <v>7</v>
      </c>
      <c r="BB569">
        <v>139</v>
      </c>
      <c r="BC569">
        <v>144</v>
      </c>
      <c r="BS569" t="s">
        <v>3855</v>
      </c>
      <c r="BT569" t="str">
        <f>HYPERLINK("https%3A%2F%2Fwww.webofscience.com%2Fwos%2Fwoscc%2Ffull-record%2FWOS:000249387600012","View Full Record in Web of Science")</f>
        <v>View Full Record in Web of Science</v>
      </c>
    </row>
    <row r="570" spans="1:72" ht="12.75" customHeight="1" x14ac:dyDescent="0.2">
      <c r="A570" t="s">
        <v>72</v>
      </c>
      <c r="B570" t="s">
        <v>2437</v>
      </c>
      <c r="F570" t="s">
        <v>2437</v>
      </c>
      <c r="I570" t="s">
        <v>3856</v>
      </c>
      <c r="J570" t="s">
        <v>940</v>
      </c>
      <c r="AO570" t="s">
        <v>943</v>
      </c>
      <c r="AT570" t="s">
        <v>78</v>
      </c>
      <c r="AU570">
        <v>2004</v>
      </c>
      <c r="AV570">
        <v>46</v>
      </c>
      <c r="AW570" t="s">
        <v>994</v>
      </c>
      <c r="BB570">
        <v>196</v>
      </c>
      <c r="BC570">
        <v>202</v>
      </c>
      <c r="BE570" t="s">
        <v>3857</v>
      </c>
      <c r="BF570" t="str">
        <f>HYPERLINK("http://dx.doi.org/10.1023/B:MSAT.0000043100.72622.0e","http://dx.doi.org/10.1023/B:MSAT.0000043100.72622.0e")</f>
        <v>http://dx.doi.org/10.1023/B:MSAT.0000043100.72622.0e</v>
      </c>
      <c r="BS570" t="s">
        <v>3858</v>
      </c>
      <c r="BT570" t="str">
        <f>HYPERLINK("https%3A%2F%2Fwww.webofscience.com%2Fwos%2Fwoscc%2Ffull-record%2FWOS:000226016200005","View Full Record in Web of Science")</f>
        <v>View Full Record in Web of Science</v>
      </c>
    </row>
    <row r="571" spans="1:72" ht="12.75" customHeight="1" x14ac:dyDescent="0.2">
      <c r="A571" t="s">
        <v>72</v>
      </c>
      <c r="B571" t="s">
        <v>1600</v>
      </c>
      <c r="F571" t="s">
        <v>1600</v>
      </c>
      <c r="I571" t="s">
        <v>3859</v>
      </c>
      <c r="J571" t="s">
        <v>3860</v>
      </c>
      <c r="AO571" t="s">
        <v>3861</v>
      </c>
      <c r="AT571" t="s">
        <v>313</v>
      </c>
      <c r="AU571">
        <v>2000</v>
      </c>
      <c r="AV571">
        <v>42</v>
      </c>
      <c r="AW571" t="s">
        <v>3862</v>
      </c>
      <c r="BB571">
        <v>191</v>
      </c>
      <c r="BC571">
        <v>194</v>
      </c>
      <c r="BS571" t="s">
        <v>3863</v>
      </c>
      <c r="BT571" t="str">
        <f>HYPERLINK("https%3A%2F%2Fwww.webofscience.com%2Fwos%2Fwoscc%2Ffull-record%2FWOS:000089082400005","View Full Record in Web of Science")</f>
        <v>View Full Record in Web of Science</v>
      </c>
    </row>
    <row r="572" spans="1:72" ht="12.75" customHeight="1" x14ac:dyDescent="0.2">
      <c r="A572" t="s">
        <v>72</v>
      </c>
      <c r="B572" t="s">
        <v>2437</v>
      </c>
      <c r="F572" t="s">
        <v>2437</v>
      </c>
      <c r="I572" t="s">
        <v>3864</v>
      </c>
      <c r="J572" t="s">
        <v>1433</v>
      </c>
      <c r="AO572" t="s">
        <v>1434</v>
      </c>
      <c r="AT572" t="s">
        <v>655</v>
      </c>
      <c r="AU572">
        <v>1997</v>
      </c>
      <c r="AV572">
        <v>61</v>
      </c>
      <c r="AW572">
        <v>2</v>
      </c>
      <c r="BB572">
        <v>298</v>
      </c>
      <c r="BC572">
        <v>303</v>
      </c>
      <c r="BS572" t="s">
        <v>3865</v>
      </c>
      <c r="BT572" t="str">
        <f>HYPERLINK("https%3A%2F%2Fwww.webofscience.com%2Fwos%2Fwoscc%2Ffull-record%2FWOS:A1997WU95900016","View Full Record in Web of Science")</f>
        <v>View Full Record in Web of Science</v>
      </c>
    </row>
    <row r="573" spans="1:72" ht="12.75" customHeight="1" x14ac:dyDescent="0.2">
      <c r="A573" t="s">
        <v>72</v>
      </c>
      <c r="B573" t="s">
        <v>3866</v>
      </c>
      <c r="F573" t="s">
        <v>3866</v>
      </c>
      <c r="I573" t="s">
        <v>3867</v>
      </c>
      <c r="J573" t="s">
        <v>3868</v>
      </c>
      <c r="AO573" t="s">
        <v>3869</v>
      </c>
      <c r="AT573" t="s">
        <v>198</v>
      </c>
      <c r="AU573">
        <v>1994</v>
      </c>
      <c r="AV573">
        <v>77</v>
      </c>
      <c r="AW573">
        <v>4</v>
      </c>
      <c r="BB573">
        <v>15</v>
      </c>
      <c r="BC573">
        <v>19</v>
      </c>
      <c r="BS573" t="s">
        <v>3870</v>
      </c>
      <c r="BT573" t="str">
        <f>HYPERLINK("https%3A%2F%2Fwww.webofscience.com%2Fwos%2Fwoscc%2Ffull-record%2FWOS:A1994QA42800002","View Full Record in Web of Science")</f>
        <v>View Full Record in Web of Science</v>
      </c>
    </row>
    <row r="574" spans="1:72" ht="12.75" customHeight="1" x14ac:dyDescent="0.2">
      <c r="A574" t="s">
        <v>72</v>
      </c>
      <c r="B574" t="s">
        <v>3871</v>
      </c>
      <c r="F574" t="s">
        <v>3872</v>
      </c>
      <c r="I574" t="s">
        <v>3873</v>
      </c>
      <c r="J574" t="s">
        <v>3874</v>
      </c>
      <c r="AO574" t="s">
        <v>3875</v>
      </c>
      <c r="AT574" t="s">
        <v>198</v>
      </c>
      <c r="AU574">
        <v>2023</v>
      </c>
      <c r="AV574">
        <v>31</v>
      </c>
      <c r="AW574">
        <v>3</v>
      </c>
      <c r="BB574">
        <v>1439</v>
      </c>
      <c r="BC574">
        <v>1451</v>
      </c>
      <c r="BE574" t="s">
        <v>3876</v>
      </c>
      <c r="BF574" t="str">
        <f>HYPERLINK("http://dx.doi.org/10.47836/pjst.31.3.17","http://dx.doi.org/10.47836/pjst.31.3.17")</f>
        <v>http://dx.doi.org/10.47836/pjst.31.3.17</v>
      </c>
      <c r="BS574" t="s">
        <v>3877</v>
      </c>
      <c r="BT574" t="str">
        <f>HYPERLINK("https%3A%2F%2Fwww.webofscience.com%2Fwos%2Fwoscc%2Ffull-record%2FWOS:000976016100017","View Full Record in Web of Science")</f>
        <v>View Full Record in Web of Science</v>
      </c>
    </row>
    <row r="575" spans="1:72" ht="12.75" customHeight="1" x14ac:dyDescent="0.2">
      <c r="A575" t="s">
        <v>72</v>
      </c>
      <c r="B575" t="s">
        <v>3878</v>
      </c>
      <c r="F575" t="s">
        <v>3879</v>
      </c>
      <c r="I575" t="s">
        <v>3880</v>
      </c>
      <c r="J575" t="s">
        <v>3233</v>
      </c>
      <c r="AO575" t="s">
        <v>3236</v>
      </c>
      <c r="AP575" t="s">
        <v>3237</v>
      </c>
      <c r="AT575" t="s">
        <v>403</v>
      </c>
      <c r="AU575">
        <v>2022</v>
      </c>
      <c r="AW575">
        <v>60</v>
      </c>
      <c r="BB575">
        <v>270</v>
      </c>
      <c r="BC575">
        <v>289</v>
      </c>
      <c r="BE575" t="s">
        <v>3881</v>
      </c>
      <c r="BF575" t="str">
        <f>HYPERLINK("http://dx.doi.org/10.17223/19996195/60/15","http://dx.doi.org/10.17223/19996195/60/15")</f>
        <v>http://dx.doi.org/10.17223/19996195/60/15</v>
      </c>
      <c r="BS575" t="s">
        <v>3882</v>
      </c>
      <c r="BT575" t="str">
        <f>HYPERLINK("https%3A%2F%2Fwww.webofscience.com%2Fwos%2Fwoscc%2Ffull-record%2FWOS:000935399800015","View Full Record in Web of Science")</f>
        <v>View Full Record in Web of Science</v>
      </c>
    </row>
    <row r="576" spans="1:72" ht="12.75" customHeight="1" x14ac:dyDescent="0.2">
      <c r="A576" t="s">
        <v>72</v>
      </c>
      <c r="B576" t="s">
        <v>2208</v>
      </c>
      <c r="F576" t="s">
        <v>2209</v>
      </c>
      <c r="I576" t="s">
        <v>3883</v>
      </c>
      <c r="J576" t="s">
        <v>561</v>
      </c>
      <c r="AA576" t="s">
        <v>2212</v>
      </c>
      <c r="AB576" t="s">
        <v>2213</v>
      </c>
      <c r="AO576" t="s">
        <v>564</v>
      </c>
      <c r="AP576" t="s">
        <v>565</v>
      </c>
      <c r="AT576" t="s">
        <v>125</v>
      </c>
      <c r="AU576">
        <v>2022</v>
      </c>
      <c r="AV576">
        <v>29</v>
      </c>
      <c r="AW576">
        <v>4</v>
      </c>
      <c r="BB576">
        <v>567</v>
      </c>
      <c r="BC576">
        <v>577</v>
      </c>
      <c r="BE576" t="s">
        <v>3884</v>
      </c>
      <c r="BF576" t="str">
        <f>HYPERLINK("http://dx.doi.org/10.1134/S0869864322040096","http://dx.doi.org/10.1134/S0869864322040096")</f>
        <v>http://dx.doi.org/10.1134/S0869864322040096</v>
      </c>
      <c r="BS576" t="s">
        <v>3885</v>
      </c>
      <c r="BT576" t="str">
        <f>HYPERLINK("https%3A%2F%2Fwww.webofscience.com%2Fwos%2Fwoscc%2Ffull-record%2FWOS:000889060400009","View Full Record in Web of Science")</f>
        <v>View Full Record in Web of Science</v>
      </c>
    </row>
    <row r="577" spans="1:72" ht="12.75" customHeight="1" x14ac:dyDescent="0.2">
      <c r="A577" t="s">
        <v>72</v>
      </c>
      <c r="B577" t="s">
        <v>3886</v>
      </c>
      <c r="F577" t="s">
        <v>3887</v>
      </c>
      <c r="I577" t="s">
        <v>3888</v>
      </c>
      <c r="J577" t="s">
        <v>516</v>
      </c>
      <c r="AO577" t="s">
        <v>519</v>
      </c>
      <c r="AP577" t="s">
        <v>520</v>
      </c>
      <c r="AT577" t="s">
        <v>171</v>
      </c>
      <c r="AU577">
        <v>2022</v>
      </c>
      <c r="AW577">
        <v>23</v>
      </c>
      <c r="BB577">
        <v>31</v>
      </c>
      <c r="BC577">
        <v>48</v>
      </c>
      <c r="BE577" t="s">
        <v>3889</v>
      </c>
      <c r="BF577" t="str">
        <f>HYPERLINK("http://dx.doi.org/10.17223/22274200/23/2","http://dx.doi.org/10.17223/22274200/23/2")</f>
        <v>http://dx.doi.org/10.17223/22274200/23/2</v>
      </c>
      <c r="BS577" t="s">
        <v>3890</v>
      </c>
      <c r="BT577" t="str">
        <f>HYPERLINK("https%3A%2F%2Fwww.webofscience.com%2Fwos%2Fwoscc%2Ffull-record%2FWOS:000869083300002","View Full Record in Web of Science")</f>
        <v>View Full Record in Web of Science</v>
      </c>
    </row>
    <row r="578" spans="1:72" ht="12.75" customHeight="1" x14ac:dyDescent="0.2">
      <c r="A578" t="s">
        <v>72</v>
      </c>
      <c r="B578" t="s">
        <v>120</v>
      </c>
      <c r="F578" t="s">
        <v>3891</v>
      </c>
      <c r="I578" t="s">
        <v>3892</v>
      </c>
      <c r="J578" t="s">
        <v>3893</v>
      </c>
      <c r="AO578" t="s">
        <v>3894</v>
      </c>
      <c r="AP578" t="s">
        <v>3895</v>
      </c>
      <c r="AT578" t="s">
        <v>88</v>
      </c>
      <c r="AU578">
        <v>2022</v>
      </c>
      <c r="AV578">
        <v>19</v>
      </c>
      <c r="AW578">
        <v>5</v>
      </c>
      <c r="BB578">
        <v>3481</v>
      </c>
      <c r="BC578">
        <v>3490</v>
      </c>
      <c r="BE578" t="s">
        <v>3896</v>
      </c>
      <c r="BF578" t="str">
        <f>HYPERLINK("http://dx.doi.org/10.1007/s13762-022-03971-w","http://dx.doi.org/10.1007/s13762-022-03971-w")</f>
        <v>http://dx.doi.org/10.1007/s13762-022-03971-w</v>
      </c>
      <c r="BH578" t="s">
        <v>3630</v>
      </c>
      <c r="BS578" t="s">
        <v>3897</v>
      </c>
      <c r="BT578" t="str">
        <f>HYPERLINK("https%3A%2F%2Fwww.webofscience.com%2Fwos%2Fwoscc%2Ffull-record%2FWOS:000753334600003","View Full Record in Web of Science")</f>
        <v>View Full Record in Web of Science</v>
      </c>
    </row>
    <row r="579" spans="1:72" ht="12.75" customHeight="1" x14ac:dyDescent="0.2">
      <c r="A579" t="s">
        <v>72</v>
      </c>
      <c r="B579" t="s">
        <v>3898</v>
      </c>
      <c r="F579" t="s">
        <v>3899</v>
      </c>
      <c r="I579" t="s">
        <v>3900</v>
      </c>
      <c r="J579" t="s">
        <v>95</v>
      </c>
      <c r="AO579" t="s">
        <v>98</v>
      </c>
      <c r="AP579" t="s">
        <v>99</v>
      </c>
      <c r="AU579">
        <v>2022</v>
      </c>
      <c r="AW579">
        <v>1</v>
      </c>
      <c r="BB579">
        <v>56</v>
      </c>
      <c r="BC579">
        <v>63</v>
      </c>
      <c r="BE579" t="s">
        <v>3901</v>
      </c>
      <c r="BF579" t="str">
        <f>HYPERLINK("http://dx.doi.org/10.25750/1995-4301-2022-1-056-063","http://dx.doi.org/10.25750/1995-4301-2022-1-056-063")</f>
        <v>http://dx.doi.org/10.25750/1995-4301-2022-1-056-063</v>
      </c>
      <c r="BS579" t="s">
        <v>3902</v>
      </c>
      <c r="BT579" t="str">
        <f>HYPERLINK("https%3A%2F%2Fwww.webofscience.com%2Fwos%2Fwoscc%2Ffull-record%2FWOS:000819811100007","View Full Record in Web of Science")</f>
        <v>View Full Record in Web of Science</v>
      </c>
    </row>
    <row r="580" spans="1:72" ht="12.75" customHeight="1" x14ac:dyDescent="0.2">
      <c r="A580" t="s">
        <v>72</v>
      </c>
      <c r="B580" t="s">
        <v>3903</v>
      </c>
      <c r="F580" t="s">
        <v>3904</v>
      </c>
      <c r="I580" t="s">
        <v>3905</v>
      </c>
      <c r="J580" t="s">
        <v>95</v>
      </c>
      <c r="AA580" t="s">
        <v>3906</v>
      </c>
      <c r="AB580" t="s">
        <v>3907</v>
      </c>
      <c r="AO580" t="s">
        <v>98</v>
      </c>
      <c r="AP580" t="s">
        <v>99</v>
      </c>
      <c r="AU580">
        <v>2020</v>
      </c>
      <c r="AW580">
        <v>2</v>
      </c>
      <c r="BB580">
        <v>187</v>
      </c>
      <c r="BC580">
        <v>192</v>
      </c>
      <c r="BE580" t="s">
        <v>3908</v>
      </c>
      <c r="BF580" t="str">
        <f>HYPERLINK("http://dx.doi.org/10.25750/1995-4301-2020-2-187-192","http://dx.doi.org/10.25750/1995-4301-2020-2-187-192")</f>
        <v>http://dx.doi.org/10.25750/1995-4301-2020-2-187-192</v>
      </c>
      <c r="BS580" t="s">
        <v>3909</v>
      </c>
      <c r="BT580" t="str">
        <f>HYPERLINK("https%3A%2F%2Fwww.webofscience.com%2Fwos%2Fwoscc%2Ffull-record%2FWOS:000545295600026","View Full Record in Web of Science")</f>
        <v>View Full Record in Web of Science</v>
      </c>
    </row>
    <row r="581" spans="1:72" ht="12.75" customHeight="1" x14ac:dyDescent="0.2">
      <c r="A581" t="s">
        <v>72</v>
      </c>
      <c r="B581" t="s">
        <v>378</v>
      </c>
      <c r="F581" t="s">
        <v>1226</v>
      </c>
      <c r="I581" t="s">
        <v>3910</v>
      </c>
      <c r="J581" t="s">
        <v>1228</v>
      </c>
      <c r="AA581" t="s">
        <v>553</v>
      </c>
      <c r="AB581" t="s">
        <v>554</v>
      </c>
      <c r="AO581" t="s">
        <v>1229</v>
      </c>
      <c r="AU581">
        <v>2020</v>
      </c>
      <c r="AV581">
        <v>9</v>
      </c>
      <c r="AW581">
        <v>5</v>
      </c>
      <c r="BB581">
        <v>63</v>
      </c>
      <c r="BC581">
        <v>67</v>
      </c>
      <c r="BS581" t="s">
        <v>3911</v>
      </c>
      <c r="BT581" t="str">
        <f>HYPERLINK("https%3A%2F%2Fwww.webofscience.com%2Fwos%2Fwoscc%2Ffull-record%2FWOS:000548170500008","View Full Record in Web of Science")</f>
        <v>View Full Record in Web of Science</v>
      </c>
    </row>
    <row r="582" spans="1:72" ht="12.75" customHeight="1" x14ac:dyDescent="0.2">
      <c r="A582" t="s">
        <v>72</v>
      </c>
      <c r="B582" t="s">
        <v>102</v>
      </c>
      <c r="F582" t="s">
        <v>1786</v>
      </c>
      <c r="I582" t="s">
        <v>3912</v>
      </c>
      <c r="J582" t="s">
        <v>105</v>
      </c>
      <c r="AO582" t="s">
        <v>106</v>
      </c>
      <c r="AU582">
        <v>2020</v>
      </c>
      <c r="AW582">
        <v>1</v>
      </c>
      <c r="BB582">
        <v>169</v>
      </c>
      <c r="BC582">
        <v>172</v>
      </c>
      <c r="BE582" t="s">
        <v>3913</v>
      </c>
      <c r="BF582" t="str">
        <f>HYPERLINK("http://dx.doi.org/10.28995/2073-0101-2020-1-169-179","http://dx.doi.org/10.28995/2073-0101-2020-1-169-179")</f>
        <v>http://dx.doi.org/10.28995/2073-0101-2020-1-169-179</v>
      </c>
      <c r="BS582" t="s">
        <v>3914</v>
      </c>
      <c r="BT582" t="str">
        <f>HYPERLINK("https%3A%2F%2Fwww.webofscience.com%2Fwos%2Fwoscc%2Ffull-record%2FWOS:000521784200013","View Full Record in Web of Science")</f>
        <v>View Full Record in Web of Science</v>
      </c>
    </row>
    <row r="583" spans="1:72" ht="12.75" customHeight="1" x14ac:dyDescent="0.2">
      <c r="A583" t="s">
        <v>72</v>
      </c>
      <c r="B583" t="s">
        <v>3915</v>
      </c>
      <c r="F583" t="s">
        <v>3916</v>
      </c>
      <c r="I583" t="s">
        <v>3917</v>
      </c>
      <c r="J583" t="s">
        <v>434</v>
      </c>
      <c r="AA583" t="s">
        <v>608</v>
      </c>
      <c r="AB583" t="s">
        <v>609</v>
      </c>
      <c r="AO583" t="s">
        <v>437</v>
      </c>
      <c r="AP583" t="s">
        <v>438</v>
      </c>
      <c r="AU583">
        <v>2020</v>
      </c>
      <c r="AV583">
        <v>13</v>
      </c>
      <c r="AW583">
        <v>4</v>
      </c>
      <c r="BB583">
        <v>52</v>
      </c>
      <c r="BC583">
        <v>79</v>
      </c>
      <c r="BE583" t="s">
        <v>3918</v>
      </c>
      <c r="BF583" t="str">
        <f>HYPERLINK("http://dx.doi.org/10.24833/2071-8160-2020-4-73-52-79","http://dx.doi.org/10.24833/2071-8160-2020-4-73-52-79")</f>
        <v>http://dx.doi.org/10.24833/2071-8160-2020-4-73-52-79</v>
      </c>
      <c r="BS583" t="s">
        <v>3919</v>
      </c>
      <c r="BT583" t="str">
        <f>HYPERLINK("https%3A%2F%2Fwww.webofscience.com%2Fwos%2Fwoscc%2Ffull-record%2FWOS:000566776900002","View Full Record in Web of Science")</f>
        <v>View Full Record in Web of Science</v>
      </c>
    </row>
    <row r="584" spans="1:72" ht="12.75" customHeight="1" x14ac:dyDescent="0.2">
      <c r="A584" t="s">
        <v>72</v>
      </c>
      <c r="B584" t="s">
        <v>3920</v>
      </c>
      <c r="F584" t="s">
        <v>3921</v>
      </c>
      <c r="I584" t="s">
        <v>3922</v>
      </c>
      <c r="J584" t="s">
        <v>95</v>
      </c>
      <c r="AA584" t="s">
        <v>3923</v>
      </c>
      <c r="AB584" t="s">
        <v>3924</v>
      </c>
      <c r="AO584" t="s">
        <v>98</v>
      </c>
      <c r="AP584" t="s">
        <v>99</v>
      </c>
      <c r="AU584">
        <v>2019</v>
      </c>
      <c r="AW584">
        <v>1</v>
      </c>
      <c r="BB584">
        <v>41</v>
      </c>
      <c r="BC584">
        <v>46</v>
      </c>
      <c r="BE584" t="s">
        <v>3925</v>
      </c>
      <c r="BF584" t="str">
        <f>HYPERLINK("http://dx.doi.org/10.25750/1995-4301-2019-1-041-046","http://dx.doi.org/10.25750/1995-4301-2019-1-041-046")</f>
        <v>http://dx.doi.org/10.25750/1995-4301-2019-1-041-046</v>
      </c>
      <c r="BS584" t="s">
        <v>3926</v>
      </c>
      <c r="BT584" t="str">
        <f>HYPERLINK("https%3A%2F%2Fwww.webofscience.com%2Fwos%2Fwoscc%2Ffull-record%2FWOS:000468565900006","View Full Record in Web of Science")</f>
        <v>View Full Record in Web of Science</v>
      </c>
    </row>
    <row r="585" spans="1:72" ht="12.75" customHeight="1" x14ac:dyDescent="0.2">
      <c r="A585" t="s">
        <v>147</v>
      </c>
      <c r="B585" t="s">
        <v>3927</v>
      </c>
      <c r="E585" t="s">
        <v>210</v>
      </c>
      <c r="F585" t="s">
        <v>3928</v>
      </c>
      <c r="I585" t="s">
        <v>3929</v>
      </c>
      <c r="J585" t="s">
        <v>3799</v>
      </c>
      <c r="O585" t="s">
        <v>214</v>
      </c>
      <c r="P585" t="s">
        <v>820</v>
      </c>
      <c r="Q585" t="s">
        <v>156</v>
      </c>
      <c r="AQ585" t="s">
        <v>3802</v>
      </c>
      <c r="AU585">
        <v>2019</v>
      </c>
      <c r="BS585" t="s">
        <v>3930</v>
      </c>
      <c r="BT585" t="str">
        <f>HYPERLINK("https%3A%2F%2Fwww.webofscience.com%2Fwos%2Fwoscc%2Ffull-record%2FWOS:000607240300166","View Full Record in Web of Science")</f>
        <v>View Full Record in Web of Science</v>
      </c>
    </row>
    <row r="586" spans="1:72" ht="12.75" customHeight="1" x14ac:dyDescent="0.2">
      <c r="A586" t="s">
        <v>147</v>
      </c>
      <c r="B586" t="s">
        <v>3931</v>
      </c>
      <c r="E586" t="s">
        <v>210</v>
      </c>
      <c r="F586" t="s">
        <v>3932</v>
      </c>
      <c r="I586" t="s">
        <v>3933</v>
      </c>
      <c r="J586" t="s">
        <v>213</v>
      </c>
      <c r="O586" t="s">
        <v>214</v>
      </c>
      <c r="P586" t="s">
        <v>215</v>
      </c>
      <c r="Q586" t="s">
        <v>216</v>
      </c>
      <c r="S586" t="s">
        <v>217</v>
      </c>
      <c r="AQ586" t="s">
        <v>218</v>
      </c>
      <c r="AU586">
        <v>2018</v>
      </c>
      <c r="BS586" t="s">
        <v>3934</v>
      </c>
      <c r="BT586" t="str">
        <f>HYPERLINK("https%3A%2F%2Fwww.webofscience.com%2Fwos%2Fwoscc%2Ffull-record%2FWOS:000478963800091","View Full Record in Web of Science")</f>
        <v>View Full Record in Web of Science</v>
      </c>
    </row>
    <row r="587" spans="1:72" ht="12.75" customHeight="1" x14ac:dyDescent="0.2">
      <c r="A587" t="s">
        <v>147</v>
      </c>
      <c r="B587" t="s">
        <v>3935</v>
      </c>
      <c r="D587" t="s">
        <v>249</v>
      </c>
      <c r="F587" t="s">
        <v>3936</v>
      </c>
      <c r="I587" t="s">
        <v>3937</v>
      </c>
      <c r="J587" t="s">
        <v>3582</v>
      </c>
      <c r="K587" t="s">
        <v>253</v>
      </c>
      <c r="O587" t="s">
        <v>3583</v>
      </c>
      <c r="P587" t="s">
        <v>3584</v>
      </c>
      <c r="Q587" t="s">
        <v>256</v>
      </c>
      <c r="S587" t="s">
        <v>257</v>
      </c>
      <c r="AA587" t="s">
        <v>1962</v>
      </c>
      <c r="AB587" t="s">
        <v>1963</v>
      </c>
      <c r="AO587" t="s">
        <v>259</v>
      </c>
      <c r="AU587">
        <v>2018</v>
      </c>
      <c r="AV587">
        <v>45</v>
      </c>
      <c r="BB587">
        <v>884</v>
      </c>
      <c r="BC587">
        <v>893</v>
      </c>
      <c r="BE587" t="s">
        <v>3938</v>
      </c>
      <c r="BF587" t="str">
        <f>HYPERLINK("http://dx.doi.org/10.15405/epsbs.2018.09.103","http://dx.doi.org/10.15405/epsbs.2018.09.103")</f>
        <v>http://dx.doi.org/10.15405/epsbs.2018.09.103</v>
      </c>
      <c r="BS587" t="s">
        <v>3939</v>
      </c>
      <c r="BT587" t="str">
        <f>HYPERLINK("https%3A%2F%2Fwww.webofscience.com%2Fwos%2Fwoscc%2Ffull-record%2FWOS:000472144400095","View Full Record in Web of Science")</f>
        <v>View Full Record in Web of Science</v>
      </c>
    </row>
    <row r="588" spans="1:72" ht="12.75" customHeight="1" x14ac:dyDescent="0.2">
      <c r="A588" t="s">
        <v>72</v>
      </c>
      <c r="B588" t="s">
        <v>3940</v>
      </c>
      <c r="F588" t="s">
        <v>3941</v>
      </c>
      <c r="I588" t="s">
        <v>3942</v>
      </c>
      <c r="J588" t="s">
        <v>3943</v>
      </c>
      <c r="AA588" t="s">
        <v>3944</v>
      </c>
      <c r="AB588" t="s">
        <v>3945</v>
      </c>
      <c r="AO588" t="s">
        <v>2363</v>
      </c>
      <c r="AP588" t="s">
        <v>3946</v>
      </c>
      <c r="AU588">
        <v>2018</v>
      </c>
      <c r="AW588">
        <v>2</v>
      </c>
      <c r="BB588">
        <v>24</v>
      </c>
      <c r="BC588">
        <v>36</v>
      </c>
      <c r="BS588" t="s">
        <v>3947</v>
      </c>
      <c r="BT588" t="str">
        <f>HYPERLINK("https%3A%2F%2Fwww.webofscience.com%2Fwos%2Fwoscc%2Ffull-record%2FWOS:000435214800002","View Full Record in Web of Science")</f>
        <v>View Full Record in Web of Science</v>
      </c>
    </row>
    <row r="589" spans="1:72" ht="12.75" customHeight="1" x14ac:dyDescent="0.2">
      <c r="A589" t="s">
        <v>72</v>
      </c>
      <c r="B589" t="s">
        <v>3948</v>
      </c>
      <c r="F589" t="s">
        <v>3949</v>
      </c>
      <c r="I589" t="s">
        <v>3950</v>
      </c>
      <c r="J589" t="s">
        <v>244</v>
      </c>
      <c r="AA589" t="s">
        <v>782</v>
      </c>
      <c r="AB589" t="s">
        <v>783</v>
      </c>
      <c r="AO589" t="s">
        <v>245</v>
      </c>
      <c r="AP589" t="s">
        <v>246</v>
      </c>
      <c r="AU589">
        <v>2018</v>
      </c>
      <c r="AW589">
        <v>10</v>
      </c>
      <c r="BB589">
        <v>145</v>
      </c>
      <c r="BC589">
        <v>161</v>
      </c>
      <c r="BS589" t="s">
        <v>3951</v>
      </c>
      <c r="BT589" t="str">
        <f>HYPERLINK("https%3A%2F%2Fwww.webofscience.com%2Fwos%2Fwoscc%2Ffull-record%2FWOS:000452093000013","View Full Record in Web of Science")</f>
        <v>View Full Record in Web of Science</v>
      </c>
    </row>
    <row r="590" spans="1:72" ht="12.75" customHeight="1" x14ac:dyDescent="0.2">
      <c r="A590" t="s">
        <v>72</v>
      </c>
      <c r="B590" t="s">
        <v>3952</v>
      </c>
      <c r="F590" t="s">
        <v>3953</v>
      </c>
      <c r="I590" t="s">
        <v>3954</v>
      </c>
      <c r="J590" t="s">
        <v>131</v>
      </c>
      <c r="AA590" t="s">
        <v>3955</v>
      </c>
      <c r="AB590" t="s">
        <v>3956</v>
      </c>
      <c r="AO590" t="s">
        <v>134</v>
      </c>
      <c r="AP590" t="s">
        <v>135</v>
      </c>
      <c r="AU590">
        <v>2018</v>
      </c>
      <c r="AV590">
        <v>18</v>
      </c>
      <c r="AW590">
        <v>3</v>
      </c>
      <c r="BB590">
        <v>120</v>
      </c>
      <c r="BC590">
        <v>134</v>
      </c>
      <c r="BE590" t="s">
        <v>3957</v>
      </c>
      <c r="BF590" t="str">
        <f>HYPERLINK("http://dx.doi.org/10.14529/hsm180312","http://dx.doi.org/10.14529/hsm180312")</f>
        <v>http://dx.doi.org/10.14529/hsm180312</v>
      </c>
      <c r="BS590" t="s">
        <v>3958</v>
      </c>
      <c r="BT590" t="str">
        <f>HYPERLINK("https%3A%2F%2Fwww.webofscience.com%2Fwos%2Fwoscc%2Ffull-record%2FWOS:000446135400012","View Full Record in Web of Science")</f>
        <v>View Full Record in Web of Science</v>
      </c>
    </row>
    <row r="591" spans="1:72" ht="12.75" customHeight="1" x14ac:dyDescent="0.2">
      <c r="A591" t="s">
        <v>147</v>
      </c>
      <c r="B591" t="s">
        <v>3434</v>
      </c>
      <c r="D591" t="s">
        <v>2517</v>
      </c>
      <c r="F591" t="s">
        <v>3959</v>
      </c>
      <c r="I591" t="s">
        <v>3960</v>
      </c>
      <c r="J591" t="s">
        <v>2520</v>
      </c>
      <c r="K591" t="s">
        <v>2521</v>
      </c>
      <c r="O591" t="s">
        <v>2522</v>
      </c>
      <c r="P591" t="s">
        <v>2523</v>
      </c>
      <c r="Q591" t="s">
        <v>2524</v>
      </c>
      <c r="R591" t="s">
        <v>2525</v>
      </c>
      <c r="AO591" t="s">
        <v>2527</v>
      </c>
      <c r="AP591" t="s">
        <v>2528</v>
      </c>
      <c r="AU591">
        <v>2018</v>
      </c>
      <c r="BB591">
        <v>1121</v>
      </c>
      <c r="BC591">
        <v>1124</v>
      </c>
      <c r="BE591" t="s">
        <v>3961</v>
      </c>
      <c r="BF591" t="str">
        <f>HYPERLINK("http://dx.doi.org/10.22616/ERDev2018.17.N217","http://dx.doi.org/10.22616/ERDev2018.17.N217")</f>
        <v>http://dx.doi.org/10.22616/ERDev2018.17.N217</v>
      </c>
      <c r="BS591" t="s">
        <v>3962</v>
      </c>
      <c r="BT591" t="str">
        <f>HYPERLINK("https%3A%2F%2Fwww.webofscience.com%2Fwos%2Fwoscc%2Ffull-record%2FWOS:000805412200171","View Full Record in Web of Science")</f>
        <v>View Full Record in Web of Science</v>
      </c>
    </row>
    <row r="592" spans="1:72" ht="12.75" customHeight="1" x14ac:dyDescent="0.2">
      <c r="A592" t="s">
        <v>147</v>
      </c>
      <c r="B592" t="s">
        <v>3963</v>
      </c>
      <c r="E592" t="s">
        <v>210</v>
      </c>
      <c r="F592" t="s">
        <v>3964</v>
      </c>
      <c r="I592" t="s">
        <v>3965</v>
      </c>
      <c r="J592" t="s">
        <v>1261</v>
      </c>
      <c r="O592" t="s">
        <v>214</v>
      </c>
      <c r="P592" t="s">
        <v>909</v>
      </c>
      <c r="Q592" t="s">
        <v>910</v>
      </c>
      <c r="R592" t="s">
        <v>1262</v>
      </c>
      <c r="AQ592" t="s">
        <v>1263</v>
      </c>
      <c r="AU592">
        <v>2017</v>
      </c>
      <c r="BS592" t="s">
        <v>3966</v>
      </c>
      <c r="BT592" t="str">
        <f>HYPERLINK("https%3A%2F%2Fwww.webofscience.com%2Fwos%2Fwoscc%2Ffull-record%2FWOS:000414282400252","View Full Record in Web of Science")</f>
        <v>View Full Record in Web of Science</v>
      </c>
    </row>
    <row r="593" spans="1:72" ht="12.75" customHeight="1" x14ac:dyDescent="0.2">
      <c r="A593" t="s">
        <v>147</v>
      </c>
      <c r="B593" t="s">
        <v>3967</v>
      </c>
      <c r="D593" t="s">
        <v>3968</v>
      </c>
      <c r="F593" t="s">
        <v>3969</v>
      </c>
      <c r="I593" t="s">
        <v>3970</v>
      </c>
      <c r="J593" t="s">
        <v>3971</v>
      </c>
      <c r="K593" t="s">
        <v>1669</v>
      </c>
      <c r="O593" t="s">
        <v>3972</v>
      </c>
      <c r="P593" t="s">
        <v>3973</v>
      </c>
      <c r="Q593" t="s">
        <v>746</v>
      </c>
      <c r="R593" t="s">
        <v>3974</v>
      </c>
      <c r="AA593" t="s">
        <v>934</v>
      </c>
      <c r="AB593" t="s">
        <v>935</v>
      </c>
      <c r="AO593" t="s">
        <v>1675</v>
      </c>
      <c r="AP593" t="s">
        <v>1676</v>
      </c>
      <c r="AQ593" t="s">
        <v>3975</v>
      </c>
      <c r="AU593">
        <v>2016</v>
      </c>
      <c r="AV593">
        <v>687</v>
      </c>
      <c r="BB593">
        <v>172</v>
      </c>
      <c r="BC593">
        <v>184</v>
      </c>
      <c r="BE593" t="s">
        <v>3976</v>
      </c>
      <c r="BF593" t="str">
        <f>HYPERLINK("http://dx.doi.org/10.1007/978-3-319-55669-7_14","http://dx.doi.org/10.1007/978-3-319-55669-7_14")</f>
        <v>http://dx.doi.org/10.1007/978-3-319-55669-7_14</v>
      </c>
      <c r="BS593" t="s">
        <v>3977</v>
      </c>
      <c r="BT593" t="str">
        <f>HYPERLINK("https%3A%2F%2Fwww.webofscience.com%2Fwos%2Fwoscc%2Ffull-record%2FWOS:000429275000014","View Full Record in Web of Science")</f>
        <v>View Full Record in Web of Science</v>
      </c>
    </row>
    <row r="594" spans="1:72" ht="12.75" customHeight="1" x14ac:dyDescent="0.2">
      <c r="A594" t="s">
        <v>147</v>
      </c>
      <c r="B594" t="s">
        <v>3978</v>
      </c>
      <c r="D594" t="s">
        <v>903</v>
      </c>
      <c r="F594" t="s">
        <v>3979</v>
      </c>
      <c r="I594" t="s">
        <v>3980</v>
      </c>
      <c r="J594" t="s">
        <v>3981</v>
      </c>
      <c r="K594" t="s">
        <v>907</v>
      </c>
      <c r="O594" t="s">
        <v>3982</v>
      </c>
      <c r="P594" t="s">
        <v>1541</v>
      </c>
      <c r="Q594" t="s">
        <v>1542</v>
      </c>
      <c r="R594" t="s">
        <v>3983</v>
      </c>
      <c r="AA594" t="s">
        <v>1609</v>
      </c>
      <c r="AB594" t="s">
        <v>1610</v>
      </c>
      <c r="AO594" t="s">
        <v>912</v>
      </c>
      <c r="AU594">
        <v>2016</v>
      </c>
      <c r="AV594">
        <v>150</v>
      </c>
      <c r="BB594">
        <v>1209</v>
      </c>
      <c r="BC594">
        <v>1214</v>
      </c>
      <c r="BE594" t="s">
        <v>3984</v>
      </c>
      <c r="BF594" t="str">
        <f>HYPERLINK("http://dx.doi.org/10.1016/j.proeng.2016.07.237","http://dx.doi.org/10.1016/j.proeng.2016.07.237")</f>
        <v>http://dx.doi.org/10.1016/j.proeng.2016.07.237</v>
      </c>
      <c r="BS594" t="s">
        <v>3985</v>
      </c>
      <c r="BT594" t="str">
        <f>HYPERLINK("https%3A%2F%2Fwww.webofscience.com%2Fwos%2Fwoscc%2Ffull-record%2FWOS:000387965000183","View Full Record in Web of Science")</f>
        <v>View Full Record in Web of Science</v>
      </c>
    </row>
    <row r="595" spans="1:72" ht="12.75" customHeight="1" x14ac:dyDescent="0.2">
      <c r="A595" t="s">
        <v>147</v>
      </c>
      <c r="B595" t="s">
        <v>568</v>
      </c>
      <c r="D595" t="s">
        <v>739</v>
      </c>
      <c r="F595" t="s">
        <v>2012</v>
      </c>
      <c r="I595" t="s">
        <v>3986</v>
      </c>
      <c r="J595" t="s">
        <v>742</v>
      </c>
      <c r="K595" t="s">
        <v>743</v>
      </c>
      <c r="O595" t="s">
        <v>744</v>
      </c>
      <c r="P595" t="s">
        <v>745</v>
      </c>
      <c r="Q595" t="s">
        <v>746</v>
      </c>
      <c r="R595" t="s">
        <v>747</v>
      </c>
      <c r="AA595" t="s">
        <v>3987</v>
      </c>
      <c r="AB595" t="s">
        <v>2048</v>
      </c>
      <c r="AO595" t="s">
        <v>748</v>
      </c>
      <c r="AQ595" t="s">
        <v>749</v>
      </c>
      <c r="AU595">
        <v>2016</v>
      </c>
      <c r="BS595" t="s">
        <v>3988</v>
      </c>
      <c r="BT595" t="str">
        <f>HYPERLINK("https%3A%2F%2Fwww.webofscience.com%2Fwos%2Fwoscc%2Ffull-record%2FWOS:000383090900161","View Full Record in Web of Science")</f>
        <v>View Full Record in Web of Science</v>
      </c>
    </row>
    <row r="596" spans="1:72" ht="12.75" customHeight="1" x14ac:dyDescent="0.2">
      <c r="A596" t="s">
        <v>147</v>
      </c>
      <c r="B596" t="s">
        <v>568</v>
      </c>
      <c r="E596" t="s">
        <v>210</v>
      </c>
      <c r="F596" t="s">
        <v>2012</v>
      </c>
      <c r="I596" t="s">
        <v>3989</v>
      </c>
      <c r="J596" t="s">
        <v>2832</v>
      </c>
      <c r="O596" t="s">
        <v>744</v>
      </c>
      <c r="P596" t="s">
        <v>2833</v>
      </c>
      <c r="Q596" t="s">
        <v>888</v>
      </c>
      <c r="R596" t="s">
        <v>2834</v>
      </c>
      <c r="AA596" t="s">
        <v>3990</v>
      </c>
      <c r="AB596" t="s">
        <v>3991</v>
      </c>
      <c r="AQ596" t="s">
        <v>2835</v>
      </c>
      <c r="AU596">
        <v>2015</v>
      </c>
      <c r="BS596" t="s">
        <v>3992</v>
      </c>
      <c r="BT596" t="str">
        <f>HYPERLINK("https%3A%2F%2Fwww.webofscience.com%2Fwos%2Fwoscc%2Ffull-record%2FWOS:000380571600163","View Full Record in Web of Science")</f>
        <v>View Full Record in Web of Science</v>
      </c>
    </row>
    <row r="597" spans="1:72" ht="12.75" customHeight="1" x14ac:dyDescent="0.2">
      <c r="A597" t="s">
        <v>72</v>
      </c>
      <c r="B597" t="s">
        <v>3993</v>
      </c>
      <c r="F597" t="s">
        <v>3994</v>
      </c>
      <c r="I597" t="s">
        <v>3995</v>
      </c>
      <c r="J597" t="s">
        <v>3996</v>
      </c>
      <c r="AA597" t="s">
        <v>3997</v>
      </c>
      <c r="AB597" t="s">
        <v>3998</v>
      </c>
      <c r="AO597" t="s">
        <v>3999</v>
      </c>
      <c r="AP597" t="s">
        <v>4000</v>
      </c>
      <c r="AT597" t="s">
        <v>830</v>
      </c>
      <c r="AU597">
        <v>2014</v>
      </c>
      <c r="AV597">
        <v>157</v>
      </c>
      <c r="AW597">
        <v>5</v>
      </c>
      <c r="BB597">
        <v>592</v>
      </c>
      <c r="BC597">
        <v>596</v>
      </c>
      <c r="BE597" t="s">
        <v>4001</v>
      </c>
      <c r="BF597" t="str">
        <f>HYPERLINK("http://dx.doi.org/10.1007/s10517-014-2623-9","http://dx.doi.org/10.1007/s10517-014-2623-9")</f>
        <v>http://dx.doi.org/10.1007/s10517-014-2623-9</v>
      </c>
      <c r="BN597">
        <v>25257421</v>
      </c>
      <c r="BS597" t="s">
        <v>4002</v>
      </c>
      <c r="BT597" t="str">
        <f>HYPERLINK("https%3A%2F%2Fwww.webofscience.com%2Fwos%2Fwoscc%2Ffull-record%2FWOS:000343135900015","View Full Record in Web of Science")</f>
        <v>View Full Record in Web of Science</v>
      </c>
    </row>
    <row r="598" spans="1:72" ht="12.75" customHeight="1" x14ac:dyDescent="0.2">
      <c r="A598" t="s">
        <v>72</v>
      </c>
      <c r="B598" t="s">
        <v>4003</v>
      </c>
      <c r="F598" t="s">
        <v>4004</v>
      </c>
      <c r="I598" t="s">
        <v>4005</v>
      </c>
      <c r="J598" t="s">
        <v>2004</v>
      </c>
      <c r="AA598" t="s">
        <v>1024</v>
      </c>
      <c r="AB598" t="s">
        <v>1025</v>
      </c>
      <c r="AO598" t="s">
        <v>2007</v>
      </c>
      <c r="AP598" t="s">
        <v>2008</v>
      </c>
      <c r="AT598" t="s">
        <v>403</v>
      </c>
      <c r="AU598">
        <v>2013</v>
      </c>
      <c r="AV598">
        <v>53</v>
      </c>
      <c r="AW598">
        <v>7</v>
      </c>
      <c r="BB598">
        <v>494</v>
      </c>
      <c r="BC598">
        <v>499</v>
      </c>
      <c r="BE598" t="s">
        <v>4006</v>
      </c>
      <c r="BF598" t="str">
        <f>HYPERLINK("http://dx.doi.org/10.1134/S0965544113070165","http://dx.doi.org/10.1134/S0965544113070165")</f>
        <v>http://dx.doi.org/10.1134/S0965544113070165</v>
      </c>
      <c r="BS598" t="s">
        <v>4007</v>
      </c>
      <c r="BT598" t="str">
        <f>HYPERLINK("https%3A%2F%2Fwww.webofscience.com%2Fwos%2Fwoscc%2Ffull-record%2FWOS:000327218300009","View Full Record in Web of Science")</f>
        <v>View Full Record in Web of Science</v>
      </c>
    </row>
    <row r="599" spans="1:72" ht="12.75" customHeight="1" x14ac:dyDescent="0.2">
      <c r="A599" t="s">
        <v>72</v>
      </c>
      <c r="B599" t="s">
        <v>3608</v>
      </c>
      <c r="F599" t="s">
        <v>4008</v>
      </c>
      <c r="I599" t="s">
        <v>4009</v>
      </c>
      <c r="J599" t="s">
        <v>3610</v>
      </c>
      <c r="AA599" t="s">
        <v>3611</v>
      </c>
      <c r="AB599" t="s">
        <v>3612</v>
      </c>
      <c r="AO599" t="s">
        <v>3613</v>
      </c>
      <c r="AT599" t="s">
        <v>319</v>
      </c>
      <c r="AU599">
        <v>2012</v>
      </c>
      <c r="AV599">
        <v>45</v>
      </c>
      <c r="AW599">
        <v>11</v>
      </c>
      <c r="BB599">
        <v>1013</v>
      </c>
      <c r="BC599">
        <v>1022</v>
      </c>
      <c r="BE599" t="s">
        <v>4010</v>
      </c>
      <c r="BF599" t="str">
        <f>HYPERLINK("http://dx.doi.org/10.1134/S1064229312110075","http://dx.doi.org/10.1134/S1064229312110075")</f>
        <v>http://dx.doi.org/10.1134/S1064229312110075</v>
      </c>
      <c r="BS599" t="s">
        <v>4011</v>
      </c>
      <c r="BT599" t="str">
        <f>HYPERLINK("https%3A%2F%2Fwww.webofscience.com%2Fwos%2Fwoscc%2Ffull-record%2FWOS:000310830000002","View Full Record in Web of Science")</f>
        <v>View Full Record in Web of Science</v>
      </c>
    </row>
    <row r="600" spans="1:72" ht="12.75" customHeight="1" x14ac:dyDescent="0.2">
      <c r="A600" t="s">
        <v>72</v>
      </c>
      <c r="B600" t="s">
        <v>2437</v>
      </c>
      <c r="F600" t="s">
        <v>4012</v>
      </c>
      <c r="I600" t="s">
        <v>4013</v>
      </c>
      <c r="J600" t="s">
        <v>940</v>
      </c>
      <c r="AO600" t="s">
        <v>943</v>
      </c>
      <c r="AT600" t="s">
        <v>830</v>
      </c>
      <c r="AU600">
        <v>2012</v>
      </c>
      <c r="AV600">
        <v>54</v>
      </c>
      <c r="AW600" t="s">
        <v>994</v>
      </c>
      <c r="BB600">
        <v>249</v>
      </c>
      <c r="BC600">
        <v>252</v>
      </c>
      <c r="BE600" t="s">
        <v>4014</v>
      </c>
      <c r="BF600" t="str">
        <f>HYPERLINK("http://dx.doi.org/10.1007/s11041-012-9491-6","http://dx.doi.org/10.1007/s11041-012-9491-6")</f>
        <v>http://dx.doi.org/10.1007/s11041-012-9491-6</v>
      </c>
      <c r="BS600" t="s">
        <v>4015</v>
      </c>
      <c r="BT600" t="str">
        <f>HYPERLINK("https%3A%2F%2Fwww.webofscience.com%2Fwos%2Fwoscc%2Ffull-record%2FWOS:000314271400009","View Full Record in Web of Science")</f>
        <v>View Full Record in Web of Science</v>
      </c>
    </row>
    <row r="601" spans="1:72" ht="12.75" customHeight="1" x14ac:dyDescent="0.2">
      <c r="A601" t="s">
        <v>72</v>
      </c>
      <c r="B601" t="s">
        <v>4016</v>
      </c>
      <c r="F601" t="s">
        <v>4017</v>
      </c>
      <c r="I601" t="s">
        <v>4018</v>
      </c>
      <c r="J601" t="s">
        <v>1401</v>
      </c>
      <c r="AA601" t="s">
        <v>3750</v>
      </c>
      <c r="AB601" t="s">
        <v>3213</v>
      </c>
      <c r="AO601" t="s">
        <v>1404</v>
      </c>
      <c r="AT601" t="s">
        <v>198</v>
      </c>
      <c r="AU601">
        <v>2008</v>
      </c>
      <c r="AV601">
        <v>47</v>
      </c>
      <c r="AW601">
        <v>2</v>
      </c>
      <c r="BB601">
        <v>245</v>
      </c>
      <c r="BC601">
        <v>251</v>
      </c>
      <c r="BE601" t="s">
        <v>4019</v>
      </c>
      <c r="BF601" t="str">
        <f>HYPERLINK("http://dx.doi.org/10.1134/S1064230708020111","http://dx.doi.org/10.1134/S1064230708020111")</f>
        <v>http://dx.doi.org/10.1134/S1064230708020111</v>
      </c>
      <c r="BS601" t="s">
        <v>4020</v>
      </c>
      <c r="BT601" t="str">
        <f>HYPERLINK("https%3A%2F%2Fwww.webofscience.com%2Fwos%2Fwoscc%2Ffull-record%2FWOS:000255862200011","View Full Record in Web of Science")</f>
        <v>View Full Record in Web of Science</v>
      </c>
    </row>
    <row r="602" spans="1:72" ht="12.75" customHeight="1" x14ac:dyDescent="0.2">
      <c r="A602" t="s">
        <v>72</v>
      </c>
      <c r="B602" t="s">
        <v>4021</v>
      </c>
      <c r="F602" t="s">
        <v>4022</v>
      </c>
      <c r="I602" t="s">
        <v>4023</v>
      </c>
      <c r="J602" t="s">
        <v>614</v>
      </c>
      <c r="AB602" t="s">
        <v>2399</v>
      </c>
      <c r="AO602" t="s">
        <v>617</v>
      </c>
      <c r="AT602" t="s">
        <v>491</v>
      </c>
      <c r="AU602">
        <v>2007</v>
      </c>
      <c r="AV602">
        <v>43</v>
      </c>
      <c r="AW602">
        <v>6</v>
      </c>
      <c r="BB602">
        <v>729</v>
      </c>
      <c r="BC602">
        <v>736</v>
      </c>
      <c r="BE602" t="s">
        <v>4024</v>
      </c>
      <c r="BF602" t="str">
        <f>HYPERLINK("http://dx.doi.org/10.1134/S1023193507060171","http://dx.doi.org/10.1134/S1023193507060171")</f>
        <v>http://dx.doi.org/10.1134/S1023193507060171</v>
      </c>
      <c r="BS602" t="s">
        <v>4025</v>
      </c>
      <c r="BT602" t="str">
        <f>HYPERLINK("https%3A%2F%2Fwww.webofscience.com%2Fwos%2Fwoscc%2Ffull-record%2FWOS:000247977600017","View Full Record in Web of Science")</f>
        <v>View Full Record in Web of Science</v>
      </c>
    </row>
    <row r="603" spans="1:72" ht="12.75" customHeight="1" x14ac:dyDescent="0.2">
      <c r="A603" t="s">
        <v>72</v>
      </c>
      <c r="B603" t="s">
        <v>4026</v>
      </c>
      <c r="F603" t="s">
        <v>4027</v>
      </c>
      <c r="I603" t="s">
        <v>4028</v>
      </c>
      <c r="J603" t="s">
        <v>614</v>
      </c>
      <c r="AO603" t="s">
        <v>617</v>
      </c>
      <c r="AT603" t="s">
        <v>491</v>
      </c>
      <c r="AU603">
        <v>2007</v>
      </c>
      <c r="AV603">
        <v>43</v>
      </c>
      <c r="AW603">
        <v>6</v>
      </c>
      <c r="BB603">
        <v>633</v>
      </c>
      <c r="BC603">
        <v>637</v>
      </c>
      <c r="BE603" t="s">
        <v>4029</v>
      </c>
      <c r="BF603" t="str">
        <f>HYPERLINK("http://dx.doi.org/10.1134/S1023193507060031","http://dx.doi.org/10.1134/S1023193507060031")</f>
        <v>http://dx.doi.org/10.1134/S1023193507060031</v>
      </c>
      <c r="BS603" t="s">
        <v>4030</v>
      </c>
      <c r="BT603" t="str">
        <f>HYPERLINK("https%3A%2F%2Fwww.webofscience.com%2Fwos%2Fwoscc%2Ffull-record%2FWOS:000247977600003","View Full Record in Web of Science")</f>
        <v>View Full Record in Web of Science</v>
      </c>
    </row>
    <row r="604" spans="1:72" ht="12.75" customHeight="1" x14ac:dyDescent="0.2">
      <c r="A604" t="s">
        <v>72</v>
      </c>
      <c r="B604" t="s">
        <v>4031</v>
      </c>
      <c r="F604" t="s">
        <v>4031</v>
      </c>
      <c r="I604" t="s">
        <v>4032</v>
      </c>
      <c r="J604" t="s">
        <v>3317</v>
      </c>
      <c r="AO604" t="s">
        <v>3318</v>
      </c>
      <c r="AT604" t="s">
        <v>655</v>
      </c>
      <c r="AU604">
        <v>2005</v>
      </c>
      <c r="AV604">
        <v>60</v>
      </c>
      <c r="AW604">
        <v>2</v>
      </c>
      <c r="BB604">
        <v>169</v>
      </c>
      <c r="BC604">
        <v>173</v>
      </c>
      <c r="BS604" t="s">
        <v>4033</v>
      </c>
      <c r="BT604" t="str">
        <f>HYPERLINK("https%3A%2F%2Fwww.webofscience.com%2Fwos%2Fwoscc%2Ffull-record%2FWOS:000227402900013","View Full Record in Web of Science")</f>
        <v>View Full Record in Web of Science</v>
      </c>
    </row>
    <row r="605" spans="1:72" ht="12.75" customHeight="1" x14ac:dyDescent="0.2">
      <c r="A605" t="s">
        <v>72</v>
      </c>
      <c r="B605" t="s">
        <v>4034</v>
      </c>
      <c r="F605" t="s">
        <v>4034</v>
      </c>
      <c r="I605" t="s">
        <v>4035</v>
      </c>
      <c r="J605" t="s">
        <v>614</v>
      </c>
      <c r="O605" t="s">
        <v>4036</v>
      </c>
      <c r="P605" t="s">
        <v>4037</v>
      </c>
      <c r="Q605" t="s">
        <v>4038</v>
      </c>
      <c r="AA605" t="s">
        <v>1024</v>
      </c>
      <c r="AB605" t="s">
        <v>1025</v>
      </c>
      <c r="AO605" t="s">
        <v>617</v>
      </c>
      <c r="AP605" t="s">
        <v>1720</v>
      </c>
      <c r="AT605" t="s">
        <v>1173</v>
      </c>
      <c r="AU605">
        <v>2002</v>
      </c>
      <c r="AV605">
        <v>38</v>
      </c>
      <c r="AW605">
        <v>8</v>
      </c>
      <c r="BB605">
        <v>892</v>
      </c>
      <c r="BC605">
        <v>895</v>
      </c>
      <c r="BE605" t="s">
        <v>4039</v>
      </c>
      <c r="BF605" t="str">
        <f>HYPERLINK("http://dx.doi.org/10.1023/A:1016822030399","http://dx.doi.org/10.1023/A:1016822030399")</f>
        <v>http://dx.doi.org/10.1023/A:1016822030399</v>
      </c>
      <c r="BS605" t="s">
        <v>4040</v>
      </c>
      <c r="BT605" t="str">
        <f>HYPERLINK("https%3A%2F%2Fwww.webofscience.com%2Fwos%2Fwoscc%2Ffull-record%2FWOS:000177879100015","View Full Record in Web of Science")</f>
        <v>View Full Record in Web of Science</v>
      </c>
    </row>
    <row r="606" spans="1:72" ht="12.75" customHeight="1" x14ac:dyDescent="0.2">
      <c r="A606" t="s">
        <v>72</v>
      </c>
      <c r="B606" t="s">
        <v>4041</v>
      </c>
      <c r="F606" t="s">
        <v>4041</v>
      </c>
      <c r="I606" t="s">
        <v>4042</v>
      </c>
      <c r="J606" t="s">
        <v>2197</v>
      </c>
      <c r="AA606" t="s">
        <v>4043</v>
      </c>
      <c r="AB606" t="s">
        <v>4044</v>
      </c>
      <c r="AO606" t="s">
        <v>2200</v>
      </c>
      <c r="AT606" t="s">
        <v>88</v>
      </c>
      <c r="AU606">
        <v>2000</v>
      </c>
      <c r="AV606">
        <v>42</v>
      </c>
      <c r="AW606">
        <v>5</v>
      </c>
      <c r="BB606">
        <v>488</v>
      </c>
      <c r="BC606">
        <v>492</v>
      </c>
      <c r="BS606" t="s">
        <v>4045</v>
      </c>
      <c r="BT606" t="str">
        <f>HYPERLINK("https%3A%2F%2Fwww.webofscience.com%2Fwos%2Fwoscc%2Ffull-record%2FWOS:000088980400006","View Full Record in Web of Science")</f>
        <v>View Full Record in Web of Science</v>
      </c>
    </row>
    <row r="607" spans="1:72" ht="12.75" customHeight="1" x14ac:dyDescent="0.2">
      <c r="A607" t="s">
        <v>147</v>
      </c>
      <c r="B607" t="s">
        <v>4046</v>
      </c>
      <c r="D607" t="s">
        <v>233</v>
      </c>
      <c r="F607" t="s">
        <v>4047</v>
      </c>
      <c r="I607" t="s">
        <v>4048</v>
      </c>
      <c r="J607" t="s">
        <v>1766</v>
      </c>
      <c r="K607" t="s">
        <v>1767</v>
      </c>
      <c r="O607" t="s">
        <v>1768</v>
      </c>
      <c r="P607" t="s">
        <v>1769</v>
      </c>
      <c r="Q607" t="s">
        <v>1770</v>
      </c>
      <c r="S607" t="s">
        <v>1771</v>
      </c>
      <c r="AA607" t="s">
        <v>4049</v>
      </c>
      <c r="AB607" t="s">
        <v>4050</v>
      </c>
      <c r="AO607" t="s">
        <v>1772</v>
      </c>
      <c r="AP607" t="s">
        <v>1773</v>
      </c>
      <c r="AQ607" t="s">
        <v>1774</v>
      </c>
      <c r="AU607">
        <v>2022</v>
      </c>
      <c r="AV607">
        <v>368</v>
      </c>
      <c r="BB607">
        <v>416</v>
      </c>
      <c r="BC607">
        <v>426</v>
      </c>
      <c r="BE607" t="s">
        <v>4051</v>
      </c>
      <c r="BF607" t="str">
        <f>HYPERLINK("http://dx.doi.org/10.1007/978-3-030-93244-2_46","http://dx.doi.org/10.1007/978-3-030-93244-2_46")</f>
        <v>http://dx.doi.org/10.1007/978-3-030-93244-2_46</v>
      </c>
      <c r="BS607" t="s">
        <v>4052</v>
      </c>
      <c r="BT607" t="str">
        <f>HYPERLINK("https%3A%2F%2Fwww.webofscience.com%2Fwos%2Fwoscc%2Ffull-record%2FWOS:000759460600046","View Full Record in Web of Science")</f>
        <v>View Full Record in Web of Science</v>
      </c>
    </row>
    <row r="608" spans="1:72" ht="12.75" customHeight="1" x14ac:dyDescent="0.2">
      <c r="A608" t="s">
        <v>72</v>
      </c>
      <c r="B608" t="s">
        <v>398</v>
      </c>
      <c r="F608" t="s">
        <v>399</v>
      </c>
      <c r="I608" t="s">
        <v>4053</v>
      </c>
      <c r="J608" t="s">
        <v>194</v>
      </c>
      <c r="AO608" t="s">
        <v>196</v>
      </c>
      <c r="AP608" t="s">
        <v>197</v>
      </c>
      <c r="AT608" t="s">
        <v>403</v>
      </c>
      <c r="AU608">
        <v>2021</v>
      </c>
      <c r="AV608">
        <v>27</v>
      </c>
      <c r="BB608">
        <v>186</v>
      </c>
      <c r="BC608">
        <v>196</v>
      </c>
      <c r="BE608" t="s">
        <v>4054</v>
      </c>
      <c r="BF608" t="str">
        <f>HYPERLINK("http://dx.doi.org/10.17223/23062061/27/12","http://dx.doi.org/10.17223/23062061/27/12")</f>
        <v>http://dx.doi.org/10.17223/23062061/27/12</v>
      </c>
      <c r="BS608" t="s">
        <v>4055</v>
      </c>
      <c r="BT608" t="str">
        <f>HYPERLINK("https%3A%2F%2Fwww.webofscience.com%2Fwos%2Fwoscc%2Ffull-record%2FWOS:000740965900012","View Full Record in Web of Science")</f>
        <v>View Full Record in Web of Science</v>
      </c>
    </row>
    <row r="609" spans="1:72" ht="12.75" customHeight="1" x14ac:dyDescent="0.2">
      <c r="A609" t="s">
        <v>72</v>
      </c>
      <c r="B609" t="s">
        <v>80</v>
      </c>
      <c r="F609" t="s">
        <v>81</v>
      </c>
      <c r="I609" t="s">
        <v>4056</v>
      </c>
      <c r="J609" t="s">
        <v>4057</v>
      </c>
      <c r="AA609" t="s">
        <v>84</v>
      </c>
      <c r="AB609" t="s">
        <v>85</v>
      </c>
      <c r="AP609" t="s">
        <v>4058</v>
      </c>
      <c r="AT609" t="s">
        <v>655</v>
      </c>
      <c r="AU609">
        <v>2021</v>
      </c>
      <c r="AV609">
        <v>9</v>
      </c>
      <c r="AW609">
        <v>2</v>
      </c>
      <c r="BD609">
        <v>9</v>
      </c>
      <c r="BE609" t="s">
        <v>4059</v>
      </c>
      <c r="BF609" t="str">
        <f>HYPERLINK("http://dx.doi.org/10.3390/computation9020009","http://dx.doi.org/10.3390/computation9020009")</f>
        <v>http://dx.doi.org/10.3390/computation9020009</v>
      </c>
      <c r="BS609" t="s">
        <v>4060</v>
      </c>
      <c r="BT609" t="str">
        <f>HYPERLINK("https%3A%2F%2Fwww.webofscience.com%2Fwos%2Fwoscc%2Ffull-record%2FWOS:000622388100001","View Full Record in Web of Science")</f>
        <v>View Full Record in Web of Science</v>
      </c>
    </row>
    <row r="610" spans="1:72" ht="12.75" customHeight="1" x14ac:dyDescent="0.2">
      <c r="A610" t="s">
        <v>72</v>
      </c>
      <c r="B610" t="s">
        <v>4061</v>
      </c>
      <c r="F610" t="s">
        <v>4062</v>
      </c>
      <c r="I610" t="s">
        <v>4063</v>
      </c>
      <c r="J610" t="s">
        <v>325</v>
      </c>
      <c r="AA610" t="s">
        <v>4064</v>
      </c>
      <c r="AO610" t="s">
        <v>328</v>
      </c>
      <c r="AP610" t="s">
        <v>329</v>
      </c>
      <c r="AU610">
        <v>2021</v>
      </c>
      <c r="AV610">
        <v>15</v>
      </c>
      <c r="AW610">
        <v>1</v>
      </c>
      <c r="BB610">
        <v>309</v>
      </c>
      <c r="BC610">
        <v>327</v>
      </c>
      <c r="BE610" t="s">
        <v>4065</v>
      </c>
      <c r="BF610" t="str">
        <f>HYPERLINK("http://dx.doi.org/10.24874/IJQR15.01-18","http://dx.doi.org/10.24874/IJQR15.01-18")</f>
        <v>http://dx.doi.org/10.24874/IJQR15.01-18</v>
      </c>
      <c r="BS610" t="s">
        <v>4066</v>
      </c>
      <c r="BT610" t="str">
        <f>HYPERLINK("https%3A%2F%2Fwww.webofscience.com%2Fwos%2Fwoscc%2Ffull-record%2FWOS:000617169900018","View Full Record in Web of Science")</f>
        <v>View Full Record in Web of Science</v>
      </c>
    </row>
    <row r="611" spans="1:72" ht="12.75" customHeight="1" x14ac:dyDescent="0.2">
      <c r="A611" t="s">
        <v>72</v>
      </c>
      <c r="B611" t="s">
        <v>3054</v>
      </c>
      <c r="F611" t="s">
        <v>3055</v>
      </c>
      <c r="I611" t="s">
        <v>4067</v>
      </c>
      <c r="J611" t="s">
        <v>141</v>
      </c>
      <c r="AO611" t="s">
        <v>144</v>
      </c>
      <c r="AU611">
        <v>2021</v>
      </c>
      <c r="AW611">
        <v>4</v>
      </c>
      <c r="BB611">
        <v>79</v>
      </c>
      <c r="BC611">
        <v>87</v>
      </c>
      <c r="BE611" t="s">
        <v>4068</v>
      </c>
      <c r="BF611" t="str">
        <f>HYPERLINK("http://dx.doi.org/10.52254/1857-0070.2021.4-52.08","http://dx.doi.org/10.52254/1857-0070.2021.4-52.08")</f>
        <v>http://dx.doi.org/10.52254/1857-0070.2021.4-52.08</v>
      </c>
      <c r="BS611" t="s">
        <v>4069</v>
      </c>
      <c r="BT611" t="str">
        <f>HYPERLINK("https%3A%2F%2Fwww.webofscience.com%2Fwos%2Fwoscc%2Ffull-record%2FWOS:000734088800007","View Full Record in Web of Science")</f>
        <v>View Full Record in Web of Science</v>
      </c>
    </row>
    <row r="612" spans="1:72" ht="12.75" customHeight="1" x14ac:dyDescent="0.2">
      <c r="A612" t="s">
        <v>72</v>
      </c>
      <c r="B612" t="s">
        <v>4070</v>
      </c>
      <c r="F612" t="s">
        <v>4071</v>
      </c>
      <c r="I612" t="s">
        <v>4072</v>
      </c>
      <c r="J612" t="s">
        <v>194</v>
      </c>
      <c r="AA612" t="s">
        <v>4073</v>
      </c>
      <c r="AB612" t="s">
        <v>4074</v>
      </c>
      <c r="AO612" t="s">
        <v>196</v>
      </c>
      <c r="AP612" t="s">
        <v>197</v>
      </c>
      <c r="AT612" t="s">
        <v>198</v>
      </c>
      <c r="AU612">
        <v>2020</v>
      </c>
      <c r="AV612">
        <v>22</v>
      </c>
      <c r="BB612">
        <v>125</v>
      </c>
      <c r="BC612">
        <v>138</v>
      </c>
      <c r="BE612" t="s">
        <v>4075</v>
      </c>
      <c r="BF612" t="str">
        <f>HYPERLINK("http://dx.doi.org/10.17223/23062061/22/8","http://dx.doi.org/10.17223/23062061/22/8")</f>
        <v>http://dx.doi.org/10.17223/23062061/22/8</v>
      </c>
      <c r="BS612" t="s">
        <v>4076</v>
      </c>
      <c r="BT612" t="str">
        <f>HYPERLINK("https%3A%2F%2Fwww.webofscience.com%2Fwos%2Fwoscc%2Ffull-record%2FWOS:000530061000008","View Full Record in Web of Science")</f>
        <v>View Full Record in Web of Science</v>
      </c>
    </row>
    <row r="613" spans="1:72" ht="12.75" customHeight="1" x14ac:dyDescent="0.2">
      <c r="A613" t="s">
        <v>72</v>
      </c>
      <c r="B613" t="s">
        <v>4077</v>
      </c>
      <c r="F613" t="s">
        <v>4078</v>
      </c>
      <c r="I613" t="s">
        <v>4079</v>
      </c>
      <c r="J613" t="s">
        <v>4080</v>
      </c>
      <c r="AO613" t="s">
        <v>4081</v>
      </c>
      <c r="AP613" t="s">
        <v>4082</v>
      </c>
      <c r="AU613">
        <v>2020</v>
      </c>
      <c r="AW613">
        <v>89</v>
      </c>
      <c r="BB613">
        <v>113</v>
      </c>
      <c r="BC613">
        <v>128</v>
      </c>
      <c r="BE613" t="s">
        <v>4083</v>
      </c>
      <c r="BF613" t="str">
        <f>HYPERLINK("http://dx.doi.org/10.15382/sturI202089.113-128","http://dx.doi.org/10.15382/sturI202089.113-128")</f>
        <v>http://dx.doi.org/10.15382/sturI202089.113-128</v>
      </c>
      <c r="BS613" t="s">
        <v>4084</v>
      </c>
      <c r="BT613" t="str">
        <f>HYPERLINK("https%3A%2F%2Fwww.webofscience.com%2Fwos%2Fwoscc%2Ffull-record%2FWOS:000546888000006","View Full Record in Web of Science")</f>
        <v>View Full Record in Web of Science</v>
      </c>
    </row>
    <row r="614" spans="1:72" ht="12.75" customHeight="1" x14ac:dyDescent="0.2">
      <c r="A614" t="s">
        <v>72</v>
      </c>
      <c r="B614" t="s">
        <v>80</v>
      </c>
      <c r="F614" t="s">
        <v>81</v>
      </c>
      <c r="I614" t="s">
        <v>4085</v>
      </c>
      <c r="J614" t="s">
        <v>3324</v>
      </c>
      <c r="AA614" t="s">
        <v>84</v>
      </c>
      <c r="AB614" t="s">
        <v>85</v>
      </c>
      <c r="AO614" t="s">
        <v>3325</v>
      </c>
      <c r="AU614">
        <v>2020</v>
      </c>
      <c r="AV614">
        <v>8</v>
      </c>
      <c r="BB614">
        <v>58603</v>
      </c>
      <c r="BC614">
        <v>58619</v>
      </c>
      <c r="BE614" t="s">
        <v>4086</v>
      </c>
      <c r="BF614" t="str">
        <f>HYPERLINK("http://dx.doi.org/10.1109/ACCESS.2020.2982365","http://dx.doi.org/10.1109/ACCESS.2020.2982365")</f>
        <v>http://dx.doi.org/10.1109/ACCESS.2020.2982365</v>
      </c>
      <c r="BS614" t="s">
        <v>4087</v>
      </c>
      <c r="BT614" t="str">
        <f>HYPERLINK("https%3A%2F%2Fwww.webofscience.com%2Fwos%2Fwoscc%2Ffull-record%2FWOS:000527414300001","View Full Record in Web of Science")</f>
        <v>View Full Record in Web of Science</v>
      </c>
    </row>
    <row r="615" spans="1:72" ht="12.75" customHeight="1" x14ac:dyDescent="0.2">
      <c r="A615" t="s">
        <v>147</v>
      </c>
      <c r="B615" t="s">
        <v>3796</v>
      </c>
      <c r="E615" t="s">
        <v>210</v>
      </c>
      <c r="F615" t="s">
        <v>3797</v>
      </c>
      <c r="I615" t="s">
        <v>4088</v>
      </c>
      <c r="J615" t="s">
        <v>2616</v>
      </c>
      <c r="O615" t="s">
        <v>214</v>
      </c>
      <c r="P615" t="s">
        <v>2617</v>
      </c>
      <c r="Q615" t="s">
        <v>1628</v>
      </c>
      <c r="R615" t="s">
        <v>2618</v>
      </c>
      <c r="AA615" t="s">
        <v>4089</v>
      </c>
      <c r="AB615" t="s">
        <v>4090</v>
      </c>
      <c r="AQ615" t="s">
        <v>2619</v>
      </c>
      <c r="AU615">
        <v>2020</v>
      </c>
      <c r="BS615" t="s">
        <v>4091</v>
      </c>
      <c r="BT615" t="str">
        <f>HYPERLINK("https%3A%2F%2Fwww.webofscience.com%2Fwos%2Fwoscc%2Ffull-record%2FWOS:000607234900159","View Full Record in Web of Science")</f>
        <v>View Full Record in Web of Science</v>
      </c>
    </row>
    <row r="616" spans="1:72" ht="12.75" customHeight="1" x14ac:dyDescent="0.2">
      <c r="A616" t="s">
        <v>72</v>
      </c>
      <c r="B616" t="s">
        <v>723</v>
      </c>
      <c r="F616" t="s">
        <v>2898</v>
      </c>
      <c r="I616" t="s">
        <v>4092</v>
      </c>
      <c r="J616" t="s">
        <v>105</v>
      </c>
      <c r="AO616" t="s">
        <v>106</v>
      </c>
      <c r="AU616">
        <v>2020</v>
      </c>
      <c r="AW616">
        <v>4</v>
      </c>
      <c r="BB616">
        <v>1007</v>
      </c>
      <c r="BC616">
        <v>1019</v>
      </c>
      <c r="BE616" t="s">
        <v>4093</v>
      </c>
      <c r="BF616" t="str">
        <f>HYPERLINK("http://dx.doi.org/10.28995/2073-0101-2020-4-1007-1019","http://dx.doi.org/10.28995/2073-0101-2020-4-1007-1019")</f>
        <v>http://dx.doi.org/10.28995/2073-0101-2020-4-1007-1019</v>
      </c>
      <c r="BS616" t="s">
        <v>4094</v>
      </c>
      <c r="BT616" t="str">
        <f>HYPERLINK("https%3A%2F%2Fwww.webofscience.com%2Fwos%2Fwoscc%2Ffull-record%2FWOS:000613509300004","View Full Record in Web of Science")</f>
        <v>View Full Record in Web of Science</v>
      </c>
    </row>
    <row r="617" spans="1:72" ht="12.75" customHeight="1" x14ac:dyDescent="0.2">
      <c r="A617" t="s">
        <v>147</v>
      </c>
      <c r="B617" t="s">
        <v>4095</v>
      </c>
      <c r="D617" t="s">
        <v>4096</v>
      </c>
      <c r="F617" t="s">
        <v>4097</v>
      </c>
      <c r="I617" t="s">
        <v>4098</v>
      </c>
      <c r="J617" t="s">
        <v>4099</v>
      </c>
      <c r="K617" t="s">
        <v>1313</v>
      </c>
      <c r="O617" t="s">
        <v>4100</v>
      </c>
      <c r="P617" t="s">
        <v>4101</v>
      </c>
      <c r="Q617" t="s">
        <v>3211</v>
      </c>
      <c r="R617" t="s">
        <v>4102</v>
      </c>
      <c r="AA617" t="s">
        <v>4103</v>
      </c>
      <c r="AB617" t="s">
        <v>4104</v>
      </c>
      <c r="AO617" t="s">
        <v>1319</v>
      </c>
      <c r="AP617" t="s">
        <v>2948</v>
      </c>
      <c r="AQ617" t="s">
        <v>4105</v>
      </c>
      <c r="AU617">
        <v>2020</v>
      </c>
      <c r="AV617">
        <v>1156</v>
      </c>
      <c r="BB617">
        <v>155</v>
      </c>
      <c r="BC617">
        <v>164</v>
      </c>
      <c r="BE617" t="s">
        <v>4106</v>
      </c>
      <c r="BF617" t="str">
        <f>HYPERLINK("http://dx.doi.org/10.1007/978-3-030-50097-9_16","http://dx.doi.org/10.1007/978-3-030-50097-9_16")</f>
        <v>http://dx.doi.org/10.1007/978-3-030-50097-9_16</v>
      </c>
      <c r="BS617" t="s">
        <v>4107</v>
      </c>
      <c r="BT617" t="str">
        <f>HYPERLINK("https%3A%2F%2Fwww.webofscience.com%2Fwos%2Fwoscc%2Ffull-record%2FWOS:000590145400016","View Full Record in Web of Science")</f>
        <v>View Full Record in Web of Science</v>
      </c>
    </row>
    <row r="618" spans="1:72" ht="12.75" customHeight="1" x14ac:dyDescent="0.2">
      <c r="A618" t="s">
        <v>72</v>
      </c>
      <c r="B618" t="s">
        <v>4108</v>
      </c>
      <c r="F618" t="s">
        <v>4109</v>
      </c>
      <c r="I618" t="s">
        <v>4110</v>
      </c>
      <c r="J618" t="s">
        <v>141</v>
      </c>
      <c r="AO618" t="s">
        <v>144</v>
      </c>
      <c r="AU618">
        <v>2019</v>
      </c>
      <c r="AW618">
        <v>3</v>
      </c>
      <c r="BB618">
        <v>1</v>
      </c>
      <c r="BC618">
        <v>16</v>
      </c>
      <c r="BE618" t="s">
        <v>4111</v>
      </c>
      <c r="BF618" t="str">
        <f>HYPERLINK("http://dx.doi.org/10.5281/zenodo.3562179","http://dx.doi.org/10.5281/zenodo.3562179")</f>
        <v>http://dx.doi.org/10.5281/zenodo.3562179</v>
      </c>
      <c r="BS618" t="s">
        <v>4112</v>
      </c>
      <c r="BT618" t="str">
        <f>HYPERLINK("https%3A%2F%2Fwww.webofscience.com%2Fwos%2Fwoscc%2Ffull-record%2FWOS:000504406100001","View Full Record in Web of Science")</f>
        <v>View Full Record in Web of Science</v>
      </c>
    </row>
    <row r="619" spans="1:72" ht="12.75" customHeight="1" x14ac:dyDescent="0.2">
      <c r="A619" t="s">
        <v>72</v>
      </c>
      <c r="B619" t="s">
        <v>751</v>
      </c>
      <c r="F619" t="s">
        <v>1939</v>
      </c>
      <c r="I619" t="s">
        <v>4113</v>
      </c>
      <c r="J619" t="s">
        <v>668</v>
      </c>
      <c r="AA619" t="s">
        <v>754</v>
      </c>
      <c r="AO619" t="s">
        <v>669</v>
      </c>
      <c r="AP619" t="s">
        <v>670</v>
      </c>
      <c r="AU619">
        <v>2019</v>
      </c>
      <c r="AW619">
        <v>11</v>
      </c>
      <c r="BB619">
        <v>418</v>
      </c>
      <c r="BC619">
        <v>432</v>
      </c>
      <c r="BE619" t="s">
        <v>4114</v>
      </c>
      <c r="BF619" t="str">
        <f>HYPERLINK("http://dx.doi.org/10.24224/2227-1295-2019-11-418-432","http://dx.doi.org/10.24224/2227-1295-2019-11-418-432")</f>
        <v>http://dx.doi.org/10.24224/2227-1295-2019-11-418-432</v>
      </c>
      <c r="BS619" t="s">
        <v>4115</v>
      </c>
      <c r="BT619" t="str">
        <f>HYPERLINK("https%3A%2F%2Fwww.webofscience.com%2Fwos%2Fwoscc%2Ffull-record%2FWOS:000498897100031","View Full Record in Web of Science")</f>
        <v>View Full Record in Web of Science</v>
      </c>
    </row>
    <row r="620" spans="1:72" ht="12.75" customHeight="1" x14ac:dyDescent="0.2">
      <c r="A620" t="s">
        <v>72</v>
      </c>
      <c r="B620" t="s">
        <v>4116</v>
      </c>
      <c r="F620" t="s">
        <v>4117</v>
      </c>
      <c r="I620" t="s">
        <v>4118</v>
      </c>
      <c r="J620" t="s">
        <v>875</v>
      </c>
      <c r="AO620" t="s">
        <v>878</v>
      </c>
      <c r="AP620" t="s">
        <v>879</v>
      </c>
      <c r="AU620">
        <v>2019</v>
      </c>
      <c r="AV620">
        <v>23</v>
      </c>
      <c r="AW620">
        <v>2</v>
      </c>
      <c r="BB620">
        <v>89</v>
      </c>
      <c r="BC620">
        <v>92</v>
      </c>
      <c r="BE620" t="s">
        <v>4119</v>
      </c>
      <c r="BF620" t="str">
        <f>HYPERLINK("http://dx.doi.org/10.15561/20755279.2019.0206","http://dx.doi.org/10.15561/20755279.2019.0206")</f>
        <v>http://dx.doi.org/10.15561/20755279.2019.0206</v>
      </c>
      <c r="BS620" t="s">
        <v>4120</v>
      </c>
      <c r="BT620" t="str">
        <f>HYPERLINK("https%3A%2F%2Fwww.webofscience.com%2Fwos%2Fwoscc%2Ffull-record%2FWOS:000465309700006","View Full Record in Web of Science")</f>
        <v>View Full Record in Web of Science</v>
      </c>
    </row>
    <row r="621" spans="1:72" ht="12.75" customHeight="1" x14ac:dyDescent="0.2">
      <c r="A621" t="s">
        <v>72</v>
      </c>
      <c r="B621" t="s">
        <v>398</v>
      </c>
      <c r="F621" t="s">
        <v>399</v>
      </c>
      <c r="I621" t="s">
        <v>4121</v>
      </c>
      <c r="J621" t="s">
        <v>194</v>
      </c>
      <c r="AA621" t="s">
        <v>401</v>
      </c>
      <c r="AB621" t="s">
        <v>402</v>
      </c>
      <c r="AO621" t="s">
        <v>196</v>
      </c>
      <c r="AP621" t="s">
        <v>197</v>
      </c>
      <c r="AT621" t="s">
        <v>198</v>
      </c>
      <c r="AU621">
        <v>2018</v>
      </c>
      <c r="AV621">
        <v>16</v>
      </c>
      <c r="BB621">
        <v>86</v>
      </c>
      <c r="BC621">
        <v>102</v>
      </c>
      <c r="BE621" t="s">
        <v>4122</v>
      </c>
      <c r="BF621" t="str">
        <f>HYPERLINK("http://dx.doi.org/10.17223/23062061/16/6","http://dx.doi.org/10.17223/23062061/16/6")</f>
        <v>http://dx.doi.org/10.17223/23062061/16/6</v>
      </c>
      <c r="BS621" t="s">
        <v>4123</v>
      </c>
      <c r="BT621" t="str">
        <f>HYPERLINK("https%3A%2F%2Fwww.webofscience.com%2Fwos%2Fwoscc%2Ffull-record%2FWOS:000451192400006","View Full Record in Web of Science")</f>
        <v>View Full Record in Web of Science</v>
      </c>
    </row>
    <row r="622" spans="1:72" ht="12.75" customHeight="1" x14ac:dyDescent="0.2">
      <c r="A622" t="s">
        <v>72</v>
      </c>
      <c r="B622" t="s">
        <v>581</v>
      </c>
      <c r="F622" t="s">
        <v>582</v>
      </c>
      <c r="I622" t="s">
        <v>4124</v>
      </c>
      <c r="J622" t="s">
        <v>584</v>
      </c>
      <c r="AA622" t="s">
        <v>585</v>
      </c>
      <c r="AB622" t="s">
        <v>586</v>
      </c>
      <c r="AO622" t="s">
        <v>587</v>
      </c>
      <c r="AP622" t="s">
        <v>588</v>
      </c>
      <c r="AU622">
        <v>2018</v>
      </c>
      <c r="AV622">
        <v>82</v>
      </c>
      <c r="AW622">
        <v>6</v>
      </c>
      <c r="BB622">
        <v>170</v>
      </c>
      <c r="BC622">
        <v>190</v>
      </c>
      <c r="BE622" t="s">
        <v>4125</v>
      </c>
      <c r="BF622" t="str">
        <f>HYPERLINK("http://dx.doi.org/10.18720/MCE.82.16","http://dx.doi.org/10.18720/MCE.82.16")</f>
        <v>http://dx.doi.org/10.18720/MCE.82.16</v>
      </c>
      <c r="BS622" t="s">
        <v>4126</v>
      </c>
      <c r="BT622" t="str">
        <f>HYPERLINK("https%3A%2F%2Fwww.webofscience.com%2Fwos%2Fwoscc%2Ffull-record%2FWOS:000457172600016","View Full Record in Web of Science")</f>
        <v>View Full Record in Web of Science</v>
      </c>
    </row>
    <row r="623" spans="1:72" ht="12.75" customHeight="1" x14ac:dyDescent="0.2">
      <c r="A623" t="s">
        <v>72</v>
      </c>
      <c r="B623" t="s">
        <v>4127</v>
      </c>
      <c r="F623" t="s">
        <v>4128</v>
      </c>
      <c r="I623" t="s">
        <v>4129</v>
      </c>
      <c r="J623" t="s">
        <v>409</v>
      </c>
      <c r="AA623" t="s">
        <v>4130</v>
      </c>
      <c r="AB623" t="s">
        <v>4131</v>
      </c>
      <c r="AO623" t="s">
        <v>412</v>
      </c>
      <c r="AP623" t="s">
        <v>413</v>
      </c>
      <c r="AT623" t="s">
        <v>198</v>
      </c>
      <c r="AU623">
        <v>2017</v>
      </c>
      <c r="AV623">
        <v>90</v>
      </c>
      <c r="AW623">
        <v>4</v>
      </c>
      <c r="BB623">
        <v>588</v>
      </c>
      <c r="BC623">
        <v>594</v>
      </c>
      <c r="BE623" t="s">
        <v>4132</v>
      </c>
      <c r="BF623" t="str">
        <f>HYPERLINK("http://dx.doi.org/10.1134/S1070427217040152","http://dx.doi.org/10.1134/S1070427217040152")</f>
        <v>http://dx.doi.org/10.1134/S1070427217040152</v>
      </c>
      <c r="BS623" t="s">
        <v>4133</v>
      </c>
      <c r="BT623" t="str">
        <f>HYPERLINK("https%3A%2F%2Fwww.webofscience.com%2Fwos%2Fwoscc%2Ffull-record%2FWOS:000406398900015","View Full Record in Web of Science")</f>
        <v>View Full Record in Web of Science</v>
      </c>
    </row>
    <row r="624" spans="1:72" ht="12.75" customHeight="1" x14ac:dyDescent="0.2">
      <c r="A624" t="s">
        <v>147</v>
      </c>
      <c r="B624" t="s">
        <v>4134</v>
      </c>
      <c r="E624" t="s">
        <v>210</v>
      </c>
      <c r="F624" t="s">
        <v>4135</v>
      </c>
      <c r="I624" t="s">
        <v>4136</v>
      </c>
      <c r="J624" t="s">
        <v>1539</v>
      </c>
      <c r="O624" t="s">
        <v>1540</v>
      </c>
      <c r="P624" t="s">
        <v>1541</v>
      </c>
      <c r="Q624" t="s">
        <v>1542</v>
      </c>
      <c r="R624" t="s">
        <v>1543</v>
      </c>
      <c r="AQ624" t="s">
        <v>1544</v>
      </c>
      <c r="AU624">
        <v>2016</v>
      </c>
      <c r="BS624" t="s">
        <v>4137</v>
      </c>
      <c r="BT624" t="str">
        <f>HYPERLINK("https%3A%2F%2Fwww.webofscience.com%2Fwos%2Fwoscc%2Ffull-record%2FWOS:000403604400155","View Full Record in Web of Science")</f>
        <v>View Full Record in Web of Science</v>
      </c>
    </row>
    <row r="625" spans="1:72" ht="12.75" customHeight="1" x14ac:dyDescent="0.2">
      <c r="A625" t="s">
        <v>72</v>
      </c>
      <c r="B625" t="s">
        <v>4138</v>
      </c>
      <c r="F625" t="s">
        <v>4139</v>
      </c>
      <c r="I625" t="s">
        <v>4140</v>
      </c>
      <c r="J625" t="s">
        <v>561</v>
      </c>
      <c r="AA625" t="s">
        <v>4141</v>
      </c>
      <c r="AB625" t="s">
        <v>4142</v>
      </c>
      <c r="AO625" t="s">
        <v>564</v>
      </c>
      <c r="AP625" t="s">
        <v>565</v>
      </c>
      <c r="AT625" t="s">
        <v>88</v>
      </c>
      <c r="AU625">
        <v>2015</v>
      </c>
      <c r="AV625">
        <v>22</v>
      </c>
      <c r="AW625">
        <v>3</v>
      </c>
      <c r="BB625">
        <v>371</v>
      </c>
      <c r="BC625">
        <v>386</v>
      </c>
      <c r="BE625" t="s">
        <v>4143</v>
      </c>
      <c r="BF625" t="str">
        <f>HYPERLINK("http://dx.doi.org/10.1134/S0869864315030129","http://dx.doi.org/10.1134/S0869864315030129")</f>
        <v>http://dx.doi.org/10.1134/S0869864315030129</v>
      </c>
      <c r="BS625" t="s">
        <v>4144</v>
      </c>
      <c r="BT625" t="str">
        <f>HYPERLINK("https%3A%2F%2Fwww.webofscience.com%2Fwos%2Fwoscc%2Ffull-record%2FWOS:000360647500012","View Full Record in Web of Science")</f>
        <v>View Full Record in Web of Science</v>
      </c>
    </row>
    <row r="626" spans="1:72" ht="12.75" customHeight="1" x14ac:dyDescent="0.2">
      <c r="A626" t="s">
        <v>147</v>
      </c>
      <c r="B626" t="s">
        <v>1408</v>
      </c>
      <c r="E626" t="s">
        <v>280</v>
      </c>
      <c r="F626" t="s">
        <v>1409</v>
      </c>
      <c r="I626" t="s">
        <v>4145</v>
      </c>
      <c r="J626" t="s">
        <v>4146</v>
      </c>
      <c r="K626" t="s">
        <v>284</v>
      </c>
      <c r="O626" t="s">
        <v>4147</v>
      </c>
      <c r="P626" t="s">
        <v>4148</v>
      </c>
      <c r="Q626" t="s">
        <v>287</v>
      </c>
      <c r="R626" t="s">
        <v>4149</v>
      </c>
      <c r="AA626" t="s">
        <v>1412</v>
      </c>
      <c r="AB626" t="s">
        <v>1413</v>
      </c>
      <c r="AO626" t="s">
        <v>289</v>
      </c>
      <c r="AQ626" t="s">
        <v>4150</v>
      </c>
      <c r="AU626">
        <v>2015</v>
      </c>
      <c r="BB626">
        <v>17</v>
      </c>
      <c r="BC626">
        <v>24</v>
      </c>
      <c r="BS626" t="s">
        <v>4151</v>
      </c>
      <c r="BT626" t="str">
        <f>HYPERLINK("https%3A%2F%2Fwww.webofscience.com%2Fwos%2Fwoscc%2Ffull-record%2FWOS:000378098500003","View Full Record in Web of Science")</f>
        <v>View Full Record in Web of Science</v>
      </c>
    </row>
    <row r="627" spans="1:72" ht="12.75" customHeight="1" x14ac:dyDescent="0.2">
      <c r="A627" t="s">
        <v>72</v>
      </c>
      <c r="B627" t="s">
        <v>4152</v>
      </c>
      <c r="F627" t="s">
        <v>4153</v>
      </c>
      <c r="I627" t="s">
        <v>4154</v>
      </c>
      <c r="J627" t="s">
        <v>4155</v>
      </c>
      <c r="AO627" t="s">
        <v>4156</v>
      </c>
      <c r="AP627" t="s">
        <v>4157</v>
      </c>
      <c r="AT627" t="s">
        <v>403</v>
      </c>
      <c r="AU627">
        <v>2014</v>
      </c>
      <c r="AV627">
        <v>22</v>
      </c>
      <c r="AW627">
        <v>7</v>
      </c>
      <c r="BB627">
        <v>717</v>
      </c>
      <c r="BC627">
        <v>743</v>
      </c>
      <c r="BE627" t="s">
        <v>4158</v>
      </c>
      <c r="BF627" t="str">
        <f>HYPERLINK("http://dx.doi.org/10.1134/S0869593814070053","http://dx.doi.org/10.1134/S0869593814070053")</f>
        <v>http://dx.doi.org/10.1134/S0869593814070053</v>
      </c>
      <c r="BS627" t="s">
        <v>4159</v>
      </c>
      <c r="BT627" t="str">
        <f>HYPERLINK("https%3A%2F%2Fwww.webofscience.com%2Fwos%2Fwoscc%2Ffull-record%2FWOS:000346415800004","View Full Record in Web of Science")</f>
        <v>View Full Record in Web of Science</v>
      </c>
    </row>
    <row r="628" spans="1:72" ht="12.75" customHeight="1" x14ac:dyDescent="0.2">
      <c r="A628" t="s">
        <v>147</v>
      </c>
      <c r="B628" t="s">
        <v>568</v>
      </c>
      <c r="E628" t="s">
        <v>210</v>
      </c>
      <c r="F628" t="s">
        <v>2012</v>
      </c>
      <c r="I628" t="s">
        <v>4160</v>
      </c>
      <c r="J628" t="s">
        <v>4161</v>
      </c>
      <c r="O628" t="s">
        <v>4162</v>
      </c>
      <c r="P628" t="s">
        <v>4163</v>
      </c>
      <c r="Q628" t="s">
        <v>4164</v>
      </c>
      <c r="R628" t="s">
        <v>4165</v>
      </c>
      <c r="AA628" t="s">
        <v>4166</v>
      </c>
      <c r="AB628" t="s">
        <v>4167</v>
      </c>
      <c r="AQ628" t="s">
        <v>4168</v>
      </c>
      <c r="AU628">
        <v>2014</v>
      </c>
      <c r="BS628" t="s">
        <v>4169</v>
      </c>
      <c r="BT628" t="str">
        <f>HYPERLINK("https%3A%2F%2Fwww.webofscience.com%2Fwos%2Fwoscc%2Ffull-record%2FWOS:000380470800042","View Full Record in Web of Science")</f>
        <v>View Full Record in Web of Science</v>
      </c>
    </row>
    <row r="629" spans="1:72" ht="12.75" customHeight="1" x14ac:dyDescent="0.2">
      <c r="A629" t="s">
        <v>72</v>
      </c>
      <c r="B629" t="s">
        <v>4170</v>
      </c>
      <c r="F629" t="s">
        <v>4171</v>
      </c>
      <c r="I629" t="s">
        <v>4172</v>
      </c>
      <c r="J629" t="s">
        <v>244</v>
      </c>
      <c r="AO629" t="s">
        <v>245</v>
      </c>
      <c r="AU629">
        <v>2012</v>
      </c>
      <c r="AW629">
        <v>10</v>
      </c>
      <c r="BB629">
        <v>145</v>
      </c>
      <c r="BC629">
        <v>149</v>
      </c>
      <c r="BS629" t="s">
        <v>4173</v>
      </c>
      <c r="BT629" t="str">
        <f>HYPERLINK("https%3A%2F%2Fwww.webofscience.com%2Fwos%2Fwoscc%2Ffull-record%2FWOS:000311018500012","View Full Record in Web of Science")</f>
        <v>View Full Record in Web of Science</v>
      </c>
    </row>
    <row r="630" spans="1:72" ht="12.75" customHeight="1" x14ac:dyDescent="0.2">
      <c r="A630" t="s">
        <v>72</v>
      </c>
      <c r="B630" t="s">
        <v>2034</v>
      </c>
      <c r="F630" t="s">
        <v>2034</v>
      </c>
      <c r="I630" t="s">
        <v>4174</v>
      </c>
      <c r="J630" t="s">
        <v>311</v>
      </c>
      <c r="AO630" t="s">
        <v>312</v>
      </c>
      <c r="AT630" t="s">
        <v>78</v>
      </c>
      <c r="AU630">
        <v>2001</v>
      </c>
      <c r="AV630">
        <v>35</v>
      </c>
      <c r="AW630">
        <v>3</v>
      </c>
      <c r="BB630">
        <v>298</v>
      </c>
      <c r="BC630">
        <v>302</v>
      </c>
      <c r="BE630" t="s">
        <v>4175</v>
      </c>
      <c r="BF630" t="str">
        <f>HYPERLINK("http://dx.doi.org/10.1023/A:1010410711855","http://dx.doi.org/10.1023/A:1010410711855")</f>
        <v>http://dx.doi.org/10.1023/A:1010410711855</v>
      </c>
      <c r="BS630" t="s">
        <v>4176</v>
      </c>
      <c r="BT630" t="str">
        <f>HYPERLINK("https%3A%2F%2Fwww.webofscience.com%2Fwos%2Fwoscc%2Ffull-record%2FWOS:000169595300014","View Full Record in Web of Science")</f>
        <v>View Full Record in Web of Science</v>
      </c>
    </row>
    <row r="631" spans="1:72" ht="12.75" customHeight="1" x14ac:dyDescent="0.2">
      <c r="A631" t="s">
        <v>72</v>
      </c>
      <c r="B631" t="s">
        <v>4177</v>
      </c>
      <c r="F631" t="s">
        <v>4177</v>
      </c>
      <c r="I631" t="s">
        <v>4178</v>
      </c>
      <c r="J631" t="s">
        <v>4179</v>
      </c>
      <c r="AA631" t="s">
        <v>4180</v>
      </c>
      <c r="AB631" t="s">
        <v>4181</v>
      </c>
      <c r="AO631" t="s">
        <v>4182</v>
      </c>
      <c r="AT631" t="s">
        <v>171</v>
      </c>
      <c r="AU631">
        <v>1995</v>
      </c>
      <c r="AV631">
        <v>38</v>
      </c>
      <c r="AW631" t="s">
        <v>1639</v>
      </c>
      <c r="BB631" t="s">
        <v>4183</v>
      </c>
      <c r="BC631" t="s">
        <v>4184</v>
      </c>
      <c r="BS631" t="s">
        <v>4185</v>
      </c>
      <c r="BT631" t="str">
        <f>HYPERLINK("https%3A%2F%2Fwww.webofscience.com%2Fwos%2Fwoscc%2Ffull-record%2FWOS:A1995RQ36400016","View Full Record in Web of Science")</f>
        <v>View Full Record in Web of Science</v>
      </c>
    </row>
    <row r="632" spans="1:72" ht="12.75" customHeight="1" x14ac:dyDescent="0.2">
      <c r="A632" t="s">
        <v>72</v>
      </c>
      <c r="B632" t="s">
        <v>4186</v>
      </c>
      <c r="F632" t="s">
        <v>4187</v>
      </c>
      <c r="I632" t="s">
        <v>4188</v>
      </c>
      <c r="J632" t="s">
        <v>4189</v>
      </c>
      <c r="AA632" t="s">
        <v>4190</v>
      </c>
      <c r="AB632" t="s">
        <v>4191</v>
      </c>
      <c r="AP632" t="s">
        <v>4192</v>
      </c>
      <c r="AT632" t="s">
        <v>655</v>
      </c>
      <c r="AU632">
        <v>2023</v>
      </c>
      <c r="AV632">
        <v>16</v>
      </c>
      <c r="AW632">
        <v>3</v>
      </c>
      <c r="BD632">
        <v>1237</v>
      </c>
      <c r="BE632" t="s">
        <v>4193</v>
      </c>
      <c r="BF632" t="str">
        <f>HYPERLINK("http://dx.doi.org/10.3390/en16031237","http://dx.doi.org/10.3390/en16031237")</f>
        <v>http://dx.doi.org/10.3390/en16031237</v>
      </c>
      <c r="BS632" t="s">
        <v>4194</v>
      </c>
      <c r="BT632" t="str">
        <f>HYPERLINK("https%3A%2F%2Fwww.webofscience.com%2Fwos%2Fwoscc%2Ffull-record%2FWOS:000930351400001","View Full Record in Web of Science")</f>
        <v>View Full Record in Web of Science</v>
      </c>
    </row>
    <row r="633" spans="1:72" ht="12.75" customHeight="1" x14ac:dyDescent="0.2">
      <c r="A633" t="s">
        <v>72</v>
      </c>
      <c r="B633" t="s">
        <v>2208</v>
      </c>
      <c r="F633" t="s">
        <v>2209</v>
      </c>
      <c r="I633" t="s">
        <v>4195</v>
      </c>
      <c r="J633" t="s">
        <v>561</v>
      </c>
      <c r="AA633" t="s">
        <v>3132</v>
      </c>
      <c r="AB633" t="s">
        <v>4196</v>
      </c>
      <c r="AO633" t="s">
        <v>564</v>
      </c>
      <c r="AP633" t="s">
        <v>565</v>
      </c>
      <c r="AT633" t="s">
        <v>88</v>
      </c>
      <c r="AU633">
        <v>2022</v>
      </c>
      <c r="AV633">
        <v>29</v>
      </c>
      <c r="AW633">
        <v>3</v>
      </c>
      <c r="BB633">
        <v>427</v>
      </c>
      <c r="BC633">
        <v>436</v>
      </c>
      <c r="BE633" t="s">
        <v>4197</v>
      </c>
      <c r="BF633" t="str">
        <f>HYPERLINK("http://dx.doi.org/10.1134/S0869864322030118","http://dx.doi.org/10.1134/S0869864322030118")</f>
        <v>http://dx.doi.org/10.1134/S0869864322030118</v>
      </c>
      <c r="BS633" t="s">
        <v>4198</v>
      </c>
      <c r="BT633" t="str">
        <f>HYPERLINK("https%3A%2F%2Fwww.webofscience.com%2Fwos%2Fwoscc%2Ffull-record%2FWOS:000868305900011","View Full Record in Web of Science")</f>
        <v>View Full Record in Web of Science</v>
      </c>
    </row>
    <row r="634" spans="1:72" ht="12.75" customHeight="1" x14ac:dyDescent="0.2">
      <c r="A634" t="s">
        <v>72</v>
      </c>
      <c r="B634" t="s">
        <v>4199</v>
      </c>
      <c r="F634" t="s">
        <v>4200</v>
      </c>
      <c r="I634" t="s">
        <v>4201</v>
      </c>
      <c r="J634" t="s">
        <v>141</v>
      </c>
      <c r="AO634" t="s">
        <v>144</v>
      </c>
      <c r="AU634">
        <v>2022</v>
      </c>
      <c r="AW634">
        <v>3</v>
      </c>
      <c r="BB634">
        <v>68</v>
      </c>
      <c r="BC634" t="s">
        <v>107</v>
      </c>
      <c r="BE634" t="s">
        <v>4202</v>
      </c>
      <c r="BF634" t="str">
        <f>HYPERLINK("http://dx.doi.org/10.52254/1857-0070.2022.3-55.06","http://dx.doi.org/10.52254/1857-0070.2022.3-55.06")</f>
        <v>http://dx.doi.org/10.52254/1857-0070.2022.3-55.06</v>
      </c>
      <c r="BS634" t="s">
        <v>4203</v>
      </c>
      <c r="BT634" t="str">
        <f>HYPERLINK("https%3A%2F%2Fwww.webofscience.com%2Fwos%2Fwoscc%2Ffull-record%2FWOS:000892787700010","View Full Record in Web of Science")</f>
        <v>View Full Record in Web of Science</v>
      </c>
    </row>
    <row r="635" spans="1:72" ht="12.75" customHeight="1" x14ac:dyDescent="0.2">
      <c r="A635" t="s">
        <v>72</v>
      </c>
      <c r="B635" t="s">
        <v>2734</v>
      </c>
      <c r="F635" t="s">
        <v>4204</v>
      </c>
      <c r="I635" t="s">
        <v>4205</v>
      </c>
      <c r="J635" t="s">
        <v>896</v>
      </c>
      <c r="AO635" t="s">
        <v>899</v>
      </c>
      <c r="AT635" t="s">
        <v>4206</v>
      </c>
      <c r="AU635">
        <v>2021</v>
      </c>
      <c r="AV635">
        <v>16</v>
      </c>
      <c r="AW635">
        <v>3</v>
      </c>
      <c r="BB635">
        <v>1203</v>
      </c>
      <c r="BC635">
        <v>1210</v>
      </c>
      <c r="BE635" t="s">
        <v>4207</v>
      </c>
      <c r="BF635" t="str">
        <f>HYPERLINK("http://dx.doi.org/10.13187/bg.2021.3.1203","http://dx.doi.org/10.13187/bg.2021.3.1203")</f>
        <v>http://dx.doi.org/10.13187/bg.2021.3.1203</v>
      </c>
      <c r="BS635" t="s">
        <v>4208</v>
      </c>
      <c r="BT635" t="str">
        <f>HYPERLINK("https%3A%2F%2Fwww.webofscience.com%2Fwos%2Fwoscc%2Ffull-record%2FWOS:000695383200016","View Full Record in Web of Science")</f>
        <v>View Full Record in Web of Science</v>
      </c>
    </row>
    <row r="636" spans="1:72" ht="12.75" customHeight="1" x14ac:dyDescent="0.2">
      <c r="A636" t="s">
        <v>72</v>
      </c>
      <c r="B636" t="s">
        <v>4209</v>
      </c>
      <c r="F636" t="s">
        <v>4210</v>
      </c>
      <c r="I636" t="s">
        <v>4211</v>
      </c>
      <c r="J636" t="s">
        <v>325</v>
      </c>
      <c r="AO636" t="s">
        <v>328</v>
      </c>
      <c r="AP636" t="s">
        <v>329</v>
      </c>
      <c r="AU636">
        <v>2021</v>
      </c>
      <c r="AV636">
        <v>15</v>
      </c>
      <c r="AW636">
        <v>4</v>
      </c>
      <c r="BB636">
        <v>1089</v>
      </c>
      <c r="BC636">
        <v>1106</v>
      </c>
      <c r="BE636" t="s">
        <v>4212</v>
      </c>
      <c r="BF636" t="str">
        <f>HYPERLINK("http://dx.doi.org/10.24874/IJQR15.04-05","http://dx.doi.org/10.24874/IJQR15.04-05")</f>
        <v>http://dx.doi.org/10.24874/IJQR15.04-05</v>
      </c>
      <c r="BS636" t="s">
        <v>4213</v>
      </c>
      <c r="BT636" t="str">
        <f>HYPERLINK("https%3A%2F%2Fwww.webofscience.com%2Fwos%2Fwoscc%2Ffull-record%2FWOS:000720953800005","View Full Record in Web of Science")</f>
        <v>View Full Record in Web of Science</v>
      </c>
    </row>
    <row r="637" spans="1:72" ht="12.75" customHeight="1" x14ac:dyDescent="0.2">
      <c r="A637" t="s">
        <v>72</v>
      </c>
      <c r="B637" t="s">
        <v>316</v>
      </c>
      <c r="F637" t="s">
        <v>4214</v>
      </c>
      <c r="I637" t="s">
        <v>4215</v>
      </c>
      <c r="J637" t="s">
        <v>204</v>
      </c>
      <c r="AA637" t="s">
        <v>4216</v>
      </c>
      <c r="AB637" t="s">
        <v>4217</v>
      </c>
      <c r="AO637" t="s">
        <v>205</v>
      </c>
      <c r="AP637" t="s">
        <v>206</v>
      </c>
      <c r="AT637" t="s">
        <v>4218</v>
      </c>
      <c r="AU637">
        <v>2020</v>
      </c>
      <c r="AV637">
        <v>22</v>
      </c>
      <c r="AW637">
        <v>1</v>
      </c>
      <c r="BB637">
        <v>113</v>
      </c>
      <c r="BC637">
        <v>145</v>
      </c>
      <c r="BE637" t="s">
        <v>4219</v>
      </c>
      <c r="BF637" t="str">
        <f>HYPERLINK("http://dx.doi.org/10.17853/1994-5639-2020-1-113-145","http://dx.doi.org/10.17853/1994-5639-2020-1-113-145")</f>
        <v>http://dx.doi.org/10.17853/1994-5639-2020-1-113-145</v>
      </c>
      <c r="BS637" t="s">
        <v>4220</v>
      </c>
      <c r="BT637" t="str">
        <f>HYPERLINK("https%3A%2F%2Fwww.webofscience.com%2Fwos%2Fwoscc%2Ffull-record%2FWOS:000512879700005","View Full Record in Web of Science")</f>
        <v>View Full Record in Web of Science</v>
      </c>
    </row>
    <row r="638" spans="1:72" ht="12.75" customHeight="1" x14ac:dyDescent="0.2">
      <c r="A638" t="s">
        <v>72</v>
      </c>
      <c r="B638" t="s">
        <v>4221</v>
      </c>
      <c r="F638" t="s">
        <v>4222</v>
      </c>
      <c r="I638" t="s">
        <v>4223</v>
      </c>
      <c r="J638" t="s">
        <v>325</v>
      </c>
      <c r="AA638" t="s">
        <v>4064</v>
      </c>
      <c r="AO638" t="s">
        <v>328</v>
      </c>
      <c r="AP638" t="s">
        <v>329</v>
      </c>
      <c r="AU638">
        <v>2020</v>
      </c>
      <c r="AV638">
        <v>14</v>
      </c>
      <c r="AW638">
        <v>1</v>
      </c>
      <c r="BB638">
        <v>33</v>
      </c>
      <c r="BC638">
        <v>50</v>
      </c>
      <c r="BE638" t="s">
        <v>4224</v>
      </c>
      <c r="BF638" t="str">
        <f>HYPERLINK("http://dx.doi.org/10.24874/IJQR14.01-03","http://dx.doi.org/10.24874/IJQR14.01-03")</f>
        <v>http://dx.doi.org/10.24874/IJQR14.01-03</v>
      </c>
      <c r="BS638" t="s">
        <v>4225</v>
      </c>
      <c r="BT638" t="str">
        <f>HYPERLINK("https%3A%2F%2Fwww.webofscience.com%2Fwos%2Fwoscc%2Ffull-record%2FWOS:000518417300003","View Full Record in Web of Science")</f>
        <v>View Full Record in Web of Science</v>
      </c>
    </row>
    <row r="639" spans="1:72" ht="12.75" customHeight="1" x14ac:dyDescent="0.2">
      <c r="A639" t="s">
        <v>72</v>
      </c>
      <c r="B639" t="s">
        <v>761</v>
      </c>
      <c r="F639" t="s">
        <v>4226</v>
      </c>
      <c r="I639" t="s">
        <v>4227</v>
      </c>
      <c r="J639" t="s">
        <v>3233</v>
      </c>
      <c r="AA639" t="s">
        <v>4228</v>
      </c>
      <c r="AB639" t="s">
        <v>3235</v>
      </c>
      <c r="AO639" t="s">
        <v>3236</v>
      </c>
      <c r="AP639" t="s">
        <v>3237</v>
      </c>
      <c r="AT639" t="s">
        <v>830</v>
      </c>
      <c r="AU639">
        <v>2019</v>
      </c>
      <c r="AW639">
        <v>47</v>
      </c>
      <c r="BB639">
        <v>197</v>
      </c>
      <c r="BC639">
        <v>216</v>
      </c>
      <c r="BE639" t="s">
        <v>4229</v>
      </c>
      <c r="BF639" t="str">
        <f>HYPERLINK("http://dx.doi.org/10.17223/19996195/47/11","http://dx.doi.org/10.17223/19996195/47/11")</f>
        <v>http://dx.doi.org/10.17223/19996195/47/11</v>
      </c>
      <c r="BS639" t="s">
        <v>4230</v>
      </c>
      <c r="BT639" t="str">
        <f>HYPERLINK("https%3A%2F%2Fwww.webofscience.com%2Fwos%2Fwoscc%2Ffull-record%2FWOS:000507408400011","View Full Record in Web of Science")</f>
        <v>View Full Record in Web of Science</v>
      </c>
    </row>
    <row r="640" spans="1:72" ht="12.75" customHeight="1" x14ac:dyDescent="0.2">
      <c r="A640" t="s">
        <v>72</v>
      </c>
      <c r="B640" t="s">
        <v>1074</v>
      </c>
      <c r="F640" t="s">
        <v>1075</v>
      </c>
      <c r="I640" t="s">
        <v>4231</v>
      </c>
      <c r="J640" t="s">
        <v>4232</v>
      </c>
      <c r="AA640" t="s">
        <v>1078</v>
      </c>
      <c r="AB640" t="s">
        <v>1079</v>
      </c>
      <c r="AO640" t="s">
        <v>4233</v>
      </c>
      <c r="AP640" t="s">
        <v>4234</v>
      </c>
      <c r="AT640" t="s">
        <v>88</v>
      </c>
      <c r="AU640">
        <v>2019</v>
      </c>
      <c r="AV640">
        <v>60</v>
      </c>
      <c r="AW640">
        <v>3</v>
      </c>
      <c r="BB640">
        <v>526</v>
      </c>
      <c r="BC640">
        <v>541</v>
      </c>
      <c r="BE640" t="s">
        <v>4235</v>
      </c>
      <c r="BF640" t="str">
        <f>HYPERLINK("http://dx.doi.org/10.1134/S0037446619030157","http://dx.doi.org/10.1134/S0037446619030157")</f>
        <v>http://dx.doi.org/10.1134/S0037446619030157</v>
      </c>
      <c r="BS640" t="s">
        <v>4236</v>
      </c>
      <c r="BT640" t="str">
        <f>HYPERLINK("https%3A%2F%2Fwww.webofscience.com%2Fwos%2Fwoscc%2Ffull-record%2FWOS:000471617300015","View Full Record in Web of Science")</f>
        <v>View Full Record in Web of Science</v>
      </c>
    </row>
    <row r="641" spans="1:72" ht="12.75" customHeight="1" x14ac:dyDescent="0.2">
      <c r="A641" t="s">
        <v>72</v>
      </c>
      <c r="B641" t="s">
        <v>4237</v>
      </c>
      <c r="F641" t="s">
        <v>4238</v>
      </c>
      <c r="I641" t="s">
        <v>4239</v>
      </c>
      <c r="J641" t="s">
        <v>141</v>
      </c>
      <c r="AA641" t="s">
        <v>142</v>
      </c>
      <c r="AB641" t="s">
        <v>143</v>
      </c>
      <c r="AO641" t="s">
        <v>144</v>
      </c>
      <c r="AU641">
        <v>2019</v>
      </c>
      <c r="AW641">
        <v>1</v>
      </c>
      <c r="BB641">
        <v>1</v>
      </c>
      <c r="BC641">
        <v>11</v>
      </c>
      <c r="BE641" t="s">
        <v>4240</v>
      </c>
      <c r="BF641" t="str">
        <f>HYPERLINK("http://dx.doi.org/10.5281/zenodo.2650407","http://dx.doi.org/10.5281/zenodo.2650407")</f>
        <v>http://dx.doi.org/10.5281/zenodo.2650407</v>
      </c>
      <c r="BS641" t="s">
        <v>4241</v>
      </c>
      <c r="BT641" t="str">
        <f>HYPERLINK("https%3A%2F%2Fwww.webofscience.com%2Fwos%2Fwoscc%2Ffull-record%2FWOS:000465587600001","View Full Record in Web of Science")</f>
        <v>View Full Record in Web of Science</v>
      </c>
    </row>
    <row r="642" spans="1:72" ht="12.75" customHeight="1" x14ac:dyDescent="0.2">
      <c r="A642" t="s">
        <v>72</v>
      </c>
      <c r="B642" t="s">
        <v>3780</v>
      </c>
      <c r="F642" t="s">
        <v>3781</v>
      </c>
      <c r="I642" t="s">
        <v>4242</v>
      </c>
      <c r="J642" t="s">
        <v>668</v>
      </c>
      <c r="AO642" t="s">
        <v>669</v>
      </c>
      <c r="AP642" t="s">
        <v>670</v>
      </c>
      <c r="AU642">
        <v>2019</v>
      </c>
      <c r="AW642">
        <v>11</v>
      </c>
      <c r="BB642">
        <v>144</v>
      </c>
      <c r="BC642">
        <v>154</v>
      </c>
      <c r="BE642" t="s">
        <v>4243</v>
      </c>
      <c r="BF642" t="str">
        <f>HYPERLINK("http://dx.doi.org/10.24224/2227-1295-2019-11-144-154","http://dx.doi.org/10.24224/2227-1295-2019-11-144-154")</f>
        <v>http://dx.doi.org/10.24224/2227-1295-2019-11-144-154</v>
      </c>
      <c r="BS642" t="s">
        <v>4244</v>
      </c>
      <c r="BT642" t="str">
        <f>HYPERLINK("https%3A%2F%2Fwww.webofscience.com%2Fwos%2Fwoscc%2Ffull-record%2FWOS:000498897100011","View Full Record in Web of Science")</f>
        <v>View Full Record in Web of Science</v>
      </c>
    </row>
    <row r="643" spans="1:72" ht="12.75" customHeight="1" x14ac:dyDescent="0.2">
      <c r="A643" t="s">
        <v>147</v>
      </c>
      <c r="B643" t="s">
        <v>4245</v>
      </c>
      <c r="C643" t="s">
        <v>1232</v>
      </c>
      <c r="F643" t="s">
        <v>4246</v>
      </c>
      <c r="G643" t="s">
        <v>1232</v>
      </c>
      <c r="I643" t="s">
        <v>4247</v>
      </c>
      <c r="J643" t="s">
        <v>1235</v>
      </c>
      <c r="K643" t="s">
        <v>1236</v>
      </c>
      <c r="O643" t="s">
        <v>1237</v>
      </c>
      <c r="P643" t="s">
        <v>1238</v>
      </c>
      <c r="Q643" t="s">
        <v>910</v>
      </c>
      <c r="R643" t="s">
        <v>1239</v>
      </c>
      <c r="AA643" t="s">
        <v>1885</v>
      </c>
      <c r="AB643" t="s">
        <v>3257</v>
      </c>
      <c r="AO643" t="s">
        <v>1240</v>
      </c>
      <c r="AU643">
        <v>2019</v>
      </c>
      <c r="AV643">
        <v>110</v>
      </c>
      <c r="BD643">
        <v>2090</v>
      </c>
      <c r="BE643" t="s">
        <v>4248</v>
      </c>
      <c r="BF643" t="str">
        <f>HYPERLINK("http://dx.doi.org/10.1051/e3sconf/201911002090","http://dx.doi.org/10.1051/e3sconf/201911002090")</f>
        <v>http://dx.doi.org/10.1051/e3sconf/201911002090</v>
      </c>
      <c r="BS643" t="s">
        <v>4249</v>
      </c>
      <c r="BT643" t="str">
        <f>HYPERLINK("https%3A%2F%2Fwww.webofscience.com%2Fwos%2Fwoscc%2Ffull-record%2FWOS:000569050000179","View Full Record in Web of Science")</f>
        <v>View Full Record in Web of Science</v>
      </c>
    </row>
    <row r="644" spans="1:72" ht="12.75" customHeight="1" x14ac:dyDescent="0.2">
      <c r="A644" t="s">
        <v>147</v>
      </c>
      <c r="B644" t="s">
        <v>4250</v>
      </c>
      <c r="E644" t="s">
        <v>210</v>
      </c>
      <c r="F644" t="s">
        <v>4251</v>
      </c>
      <c r="I644" t="s">
        <v>4252</v>
      </c>
      <c r="J644" t="s">
        <v>2113</v>
      </c>
      <c r="K644" t="s">
        <v>2114</v>
      </c>
      <c r="O644" t="s">
        <v>2115</v>
      </c>
      <c r="P644" t="s">
        <v>2116</v>
      </c>
      <c r="Q644" t="s">
        <v>2117</v>
      </c>
      <c r="R644" t="s">
        <v>2118</v>
      </c>
      <c r="S644" t="s">
        <v>2119</v>
      </c>
      <c r="AA644" t="s">
        <v>4253</v>
      </c>
      <c r="AB644" t="s">
        <v>4254</v>
      </c>
      <c r="AO644" t="s">
        <v>2122</v>
      </c>
      <c r="AQ644" t="s">
        <v>2123</v>
      </c>
      <c r="AU644">
        <v>2019</v>
      </c>
      <c r="BB644">
        <v>110</v>
      </c>
      <c r="BC644">
        <v>115</v>
      </c>
      <c r="BS644" t="s">
        <v>4255</v>
      </c>
      <c r="BT644" t="str">
        <f>HYPERLINK("https%3A%2F%2Fwww.webofscience.com%2Fwos%2Fwoscc%2Ffull-record%2FWOS:000469452600026","View Full Record in Web of Science")</f>
        <v>View Full Record in Web of Science</v>
      </c>
    </row>
    <row r="645" spans="1:72" ht="12.75" customHeight="1" x14ac:dyDescent="0.2">
      <c r="A645" t="s">
        <v>72</v>
      </c>
      <c r="B645" t="s">
        <v>4256</v>
      </c>
      <c r="F645" t="s">
        <v>4257</v>
      </c>
      <c r="I645" t="s">
        <v>4258</v>
      </c>
      <c r="J645" t="s">
        <v>676</v>
      </c>
      <c r="AA645" t="s">
        <v>1945</v>
      </c>
      <c r="AB645" t="s">
        <v>1946</v>
      </c>
      <c r="AO645" t="s">
        <v>679</v>
      </c>
      <c r="AU645">
        <v>2019</v>
      </c>
      <c r="AV645">
        <v>10</v>
      </c>
      <c r="AW645">
        <v>11</v>
      </c>
      <c r="BE645" t="s">
        <v>4259</v>
      </c>
      <c r="BF645" t="str">
        <f>HYPERLINK("http://dx.doi.org/10.18254/S207987840008095-3","http://dx.doi.org/10.18254/S207987840008095-3")</f>
        <v>http://dx.doi.org/10.18254/S207987840008095-3</v>
      </c>
      <c r="BS645" t="s">
        <v>4260</v>
      </c>
      <c r="BT645" t="str">
        <f>HYPERLINK("https%3A%2F%2Fwww.webofscience.com%2Fwos%2Fwoscc%2Ffull-record%2FWOS:000506663000033","View Full Record in Web of Science")</f>
        <v>View Full Record in Web of Science</v>
      </c>
    </row>
    <row r="646" spans="1:72" ht="12.75" customHeight="1" x14ac:dyDescent="0.2">
      <c r="A646" t="s">
        <v>72</v>
      </c>
      <c r="B646" t="s">
        <v>2817</v>
      </c>
      <c r="F646" t="s">
        <v>2818</v>
      </c>
      <c r="I646" t="s">
        <v>4261</v>
      </c>
      <c r="J646" t="s">
        <v>685</v>
      </c>
      <c r="AO646" t="s">
        <v>687</v>
      </c>
      <c r="AP646" t="s">
        <v>688</v>
      </c>
      <c r="AT646" t="s">
        <v>541</v>
      </c>
      <c r="AU646">
        <v>2019</v>
      </c>
      <c r="AV646">
        <v>46</v>
      </c>
      <c r="AW646">
        <v>1</v>
      </c>
      <c r="BB646">
        <v>65</v>
      </c>
      <c r="BC646">
        <v>73</v>
      </c>
      <c r="BE646" t="s">
        <v>4262</v>
      </c>
      <c r="BF646" t="str">
        <f>HYPERLINK("http://dx.doi.org/10.1134/S1062359019010114","http://dx.doi.org/10.1134/S1062359019010114")</f>
        <v>http://dx.doi.org/10.1134/S1062359019010114</v>
      </c>
      <c r="BS646" t="s">
        <v>4263</v>
      </c>
      <c r="BT646" t="str">
        <f>HYPERLINK("https%3A%2F%2Fwww.webofscience.com%2Fwos%2Fwoscc%2Ffull-record%2FWOS:000467048800009","View Full Record in Web of Science")</f>
        <v>View Full Record in Web of Science</v>
      </c>
    </row>
    <row r="647" spans="1:72" ht="12.75" customHeight="1" x14ac:dyDescent="0.2">
      <c r="A647" t="s">
        <v>72</v>
      </c>
      <c r="B647" t="s">
        <v>4264</v>
      </c>
      <c r="F647" t="s">
        <v>4265</v>
      </c>
      <c r="I647" t="s">
        <v>4266</v>
      </c>
      <c r="J647" t="s">
        <v>1987</v>
      </c>
      <c r="AA647" t="s">
        <v>4267</v>
      </c>
      <c r="AB647" t="s">
        <v>4268</v>
      </c>
      <c r="AO647" t="s">
        <v>1990</v>
      </c>
      <c r="AP647" t="s">
        <v>1991</v>
      </c>
      <c r="AT647" t="s">
        <v>1173</v>
      </c>
      <c r="AU647">
        <v>2018</v>
      </c>
      <c r="AV647">
        <v>54</v>
      </c>
      <c r="BB647">
        <v>5</v>
      </c>
      <c r="BC647">
        <v>28</v>
      </c>
      <c r="BE647" t="s">
        <v>4269</v>
      </c>
      <c r="BF647" t="str">
        <f>HYPERLINK("http://dx.doi.org/10.17223/19986645/54/1","http://dx.doi.org/10.17223/19986645/54/1")</f>
        <v>http://dx.doi.org/10.17223/19986645/54/1</v>
      </c>
      <c r="BS647" t="s">
        <v>4270</v>
      </c>
      <c r="BT647" t="str">
        <f>HYPERLINK("https%3A%2F%2Fwww.webofscience.com%2Fwos%2Fwoscc%2Ffull-record%2FWOS:000448064100001","View Full Record in Web of Science")</f>
        <v>View Full Record in Web of Science</v>
      </c>
    </row>
    <row r="648" spans="1:72" ht="12.75" customHeight="1" x14ac:dyDescent="0.2">
      <c r="A648" t="s">
        <v>147</v>
      </c>
      <c r="B648" t="s">
        <v>4245</v>
      </c>
      <c r="D648" t="s">
        <v>4271</v>
      </c>
      <c r="F648" t="s">
        <v>4246</v>
      </c>
      <c r="I648" t="s">
        <v>4272</v>
      </c>
      <c r="J648" t="s">
        <v>4273</v>
      </c>
      <c r="K648" t="s">
        <v>1276</v>
      </c>
      <c r="O648" t="s">
        <v>1237</v>
      </c>
      <c r="P648" t="s">
        <v>4274</v>
      </c>
      <c r="Q648" t="s">
        <v>4275</v>
      </c>
      <c r="S648" t="s">
        <v>4276</v>
      </c>
      <c r="AA648" t="s">
        <v>1885</v>
      </c>
      <c r="AB648" t="s">
        <v>3257</v>
      </c>
      <c r="AO648" t="s">
        <v>1282</v>
      </c>
      <c r="AU648">
        <v>2018</v>
      </c>
      <c r="AV648">
        <v>170</v>
      </c>
      <c r="BD648">
        <v>1003</v>
      </c>
      <c r="BE648" t="s">
        <v>4277</v>
      </c>
      <c r="BF648" t="str">
        <f>HYPERLINK("http://dx.doi.org/10.1051/matecconf/201817001003","http://dx.doi.org/10.1051/matecconf/201817001003")</f>
        <v>http://dx.doi.org/10.1051/matecconf/201817001003</v>
      </c>
      <c r="BS648" t="s">
        <v>4278</v>
      </c>
      <c r="BT648" t="str">
        <f>HYPERLINK("https%3A%2F%2Fwww.webofscience.com%2Fwos%2Fwoscc%2Ffull-record%2FWOS:000449660800003","View Full Record in Web of Science")</f>
        <v>View Full Record in Web of Science</v>
      </c>
    </row>
    <row r="649" spans="1:72" ht="12.75" customHeight="1" x14ac:dyDescent="0.2">
      <c r="A649" t="s">
        <v>147</v>
      </c>
      <c r="B649" t="s">
        <v>4279</v>
      </c>
      <c r="E649" t="s">
        <v>175</v>
      </c>
      <c r="F649" t="s">
        <v>4280</v>
      </c>
      <c r="I649" t="s">
        <v>4281</v>
      </c>
      <c r="J649" t="s">
        <v>4282</v>
      </c>
      <c r="K649" t="s">
        <v>1469</v>
      </c>
      <c r="O649" t="s">
        <v>4283</v>
      </c>
      <c r="P649" t="s">
        <v>4284</v>
      </c>
      <c r="Q649" t="s">
        <v>4285</v>
      </c>
      <c r="R649" t="s">
        <v>4286</v>
      </c>
      <c r="AA649" t="s">
        <v>4287</v>
      </c>
      <c r="AB649" t="s">
        <v>4288</v>
      </c>
      <c r="AO649" t="s">
        <v>1472</v>
      </c>
      <c r="AU649">
        <v>2018</v>
      </c>
      <c r="AV649">
        <v>450</v>
      </c>
      <c r="BD649">
        <v>32034</v>
      </c>
      <c r="BE649" t="s">
        <v>4289</v>
      </c>
      <c r="BF649" t="str">
        <f>HYPERLINK("http://dx.doi.org/10.1088/1757-899X/450/3/032034","http://dx.doi.org/10.1088/1757-899X/450/3/032034")</f>
        <v>http://dx.doi.org/10.1088/1757-899X/450/3/032034</v>
      </c>
      <c r="BS649" t="s">
        <v>4290</v>
      </c>
      <c r="BT649" t="str">
        <f>HYPERLINK("https%3A%2F%2Fwww.webofscience.com%2Fwos%2Fwoscc%2Ffull-record%2FWOS:000462356300069","View Full Record in Web of Science")</f>
        <v>View Full Record in Web of Science</v>
      </c>
    </row>
    <row r="650" spans="1:72" ht="12.75" customHeight="1" x14ac:dyDescent="0.2">
      <c r="A650" t="s">
        <v>147</v>
      </c>
      <c r="B650" t="s">
        <v>4291</v>
      </c>
      <c r="D650" t="s">
        <v>233</v>
      </c>
      <c r="F650" t="s">
        <v>4292</v>
      </c>
      <c r="I650" t="s">
        <v>4293</v>
      </c>
      <c r="J650" t="s">
        <v>444</v>
      </c>
      <c r="K650" t="s">
        <v>445</v>
      </c>
      <c r="O650" t="s">
        <v>446</v>
      </c>
      <c r="P650" t="s">
        <v>447</v>
      </c>
      <c r="Q650" t="s">
        <v>448</v>
      </c>
      <c r="AA650" t="s">
        <v>4294</v>
      </c>
      <c r="AB650" t="s">
        <v>4295</v>
      </c>
      <c r="AO650" t="s">
        <v>450</v>
      </c>
      <c r="AQ650" t="s">
        <v>451</v>
      </c>
      <c r="AU650">
        <v>2017</v>
      </c>
      <c r="BB650">
        <v>395</v>
      </c>
      <c r="BC650">
        <v>402</v>
      </c>
      <c r="BS650" t="s">
        <v>4296</v>
      </c>
      <c r="BT650" t="str">
        <f>HYPERLINK("https%3A%2F%2Fwww.webofscience.com%2Fwos%2Fwoscc%2Ffull-record%2FWOS:000426114200050","View Full Record in Web of Science")</f>
        <v>View Full Record in Web of Science</v>
      </c>
    </row>
    <row r="651" spans="1:72" ht="12.75" customHeight="1" x14ac:dyDescent="0.2">
      <c r="A651" t="s">
        <v>147</v>
      </c>
      <c r="B651" t="s">
        <v>1155</v>
      </c>
      <c r="E651" t="s">
        <v>210</v>
      </c>
      <c r="F651" t="s">
        <v>1156</v>
      </c>
      <c r="I651" t="s">
        <v>4297</v>
      </c>
      <c r="J651" t="s">
        <v>916</v>
      </c>
      <c r="K651" t="s">
        <v>420</v>
      </c>
      <c r="O651" t="s">
        <v>917</v>
      </c>
      <c r="P651" t="s">
        <v>918</v>
      </c>
      <c r="Q651" t="s">
        <v>919</v>
      </c>
      <c r="R651" t="s">
        <v>920</v>
      </c>
      <c r="AA651" t="s">
        <v>425</v>
      </c>
      <c r="AB651" t="s">
        <v>426</v>
      </c>
      <c r="AO651" t="s">
        <v>427</v>
      </c>
      <c r="AP651" t="s">
        <v>428</v>
      </c>
      <c r="AQ651" t="s">
        <v>923</v>
      </c>
      <c r="AU651">
        <v>2017</v>
      </c>
      <c r="BS651" t="s">
        <v>4298</v>
      </c>
      <c r="BT651" t="str">
        <f>HYPERLINK("https%3A%2F%2Fwww.webofscience.com%2Fwos%2Fwoscc%2Ffull-record%2FWOS:000426878200031","View Full Record in Web of Science")</f>
        <v>View Full Record in Web of Science</v>
      </c>
    </row>
    <row r="652" spans="1:72" ht="12.75" customHeight="1" x14ac:dyDescent="0.2">
      <c r="A652" t="s">
        <v>147</v>
      </c>
      <c r="B652" t="s">
        <v>4299</v>
      </c>
      <c r="D652" t="s">
        <v>233</v>
      </c>
      <c r="F652" t="s">
        <v>4300</v>
      </c>
      <c r="I652" t="s">
        <v>4301</v>
      </c>
      <c r="J652" t="s">
        <v>444</v>
      </c>
      <c r="K652" t="s">
        <v>445</v>
      </c>
      <c r="O652" t="s">
        <v>446</v>
      </c>
      <c r="P652" t="s">
        <v>447</v>
      </c>
      <c r="Q652" t="s">
        <v>448</v>
      </c>
      <c r="AA652" t="s">
        <v>2166</v>
      </c>
      <c r="AB652" t="s">
        <v>2167</v>
      </c>
      <c r="AO652" t="s">
        <v>450</v>
      </c>
      <c r="AQ652" t="s">
        <v>451</v>
      </c>
      <c r="AU652">
        <v>2017</v>
      </c>
      <c r="BB652">
        <v>315</v>
      </c>
      <c r="BC652">
        <v>320</v>
      </c>
      <c r="BE652" t="s">
        <v>4302</v>
      </c>
      <c r="BF652" t="str">
        <f>HYPERLINK("http://dx.doi.org/10.1007/978-3-319-60696-5_40","http://dx.doi.org/10.1007/978-3-319-60696-5_40")</f>
        <v>http://dx.doi.org/10.1007/978-3-319-60696-5_40</v>
      </c>
      <c r="BS652" t="s">
        <v>4303</v>
      </c>
      <c r="BT652" t="str">
        <f>HYPERLINK("https%3A%2F%2Fwww.webofscience.com%2Fwos%2Fwoscc%2Ffull-record%2FWOS:000426114200040","View Full Record in Web of Science")</f>
        <v>View Full Record in Web of Science</v>
      </c>
    </row>
    <row r="653" spans="1:72" ht="12.75" customHeight="1" x14ac:dyDescent="0.2">
      <c r="A653" t="s">
        <v>72</v>
      </c>
      <c r="B653" t="s">
        <v>4304</v>
      </c>
      <c r="F653" t="s">
        <v>4305</v>
      </c>
      <c r="I653" t="s">
        <v>4306</v>
      </c>
      <c r="J653" t="s">
        <v>409</v>
      </c>
      <c r="AA653" t="s">
        <v>480</v>
      </c>
      <c r="AB653" t="s">
        <v>481</v>
      </c>
      <c r="AO653" t="s">
        <v>412</v>
      </c>
      <c r="AT653" t="s">
        <v>491</v>
      </c>
      <c r="AU653">
        <v>2013</v>
      </c>
      <c r="AV653">
        <v>86</v>
      </c>
      <c r="AW653">
        <v>6</v>
      </c>
      <c r="BB653">
        <v>848</v>
      </c>
      <c r="BC653">
        <v>852</v>
      </c>
      <c r="BE653" t="s">
        <v>4307</v>
      </c>
      <c r="BF653" t="str">
        <f>HYPERLINK("http://dx.doi.org/10.1134/S1070427213060116","http://dx.doi.org/10.1134/S1070427213060116")</f>
        <v>http://dx.doi.org/10.1134/S1070427213060116</v>
      </c>
      <c r="BS653" t="s">
        <v>4308</v>
      </c>
      <c r="BT653" t="str">
        <f>HYPERLINK("https%3A%2F%2Fwww.webofscience.com%2Fwos%2Fwoscc%2Ffull-record%2FWOS:000322156700011","View Full Record in Web of Science")</f>
        <v>View Full Record in Web of Science</v>
      </c>
    </row>
    <row r="654" spans="1:72" ht="12.75" customHeight="1" x14ac:dyDescent="0.2">
      <c r="A654" t="s">
        <v>147</v>
      </c>
      <c r="B654" t="s">
        <v>4309</v>
      </c>
      <c r="E654" t="s">
        <v>210</v>
      </c>
      <c r="F654" t="s">
        <v>4310</v>
      </c>
      <c r="I654" t="s">
        <v>4311</v>
      </c>
      <c r="J654" t="s">
        <v>4312</v>
      </c>
      <c r="O654" t="s">
        <v>4313</v>
      </c>
      <c r="P654" t="s">
        <v>4314</v>
      </c>
      <c r="Q654" t="s">
        <v>2563</v>
      </c>
      <c r="R654" t="s">
        <v>210</v>
      </c>
      <c r="AA654" t="s">
        <v>2584</v>
      </c>
      <c r="AB654" t="s">
        <v>2585</v>
      </c>
      <c r="AQ654" t="s">
        <v>4315</v>
      </c>
      <c r="AU654">
        <v>2009</v>
      </c>
      <c r="BB654">
        <v>1328</v>
      </c>
      <c r="BC654">
        <v>1331</v>
      </c>
      <c r="BE654" t="s">
        <v>4316</v>
      </c>
      <c r="BF654" t="str">
        <f>HYPERLINK("http://dx.doi.org/10.1109/EURCON.2009.5167811","http://dx.doi.org/10.1109/EURCON.2009.5167811")</f>
        <v>http://dx.doi.org/10.1109/EURCON.2009.5167811</v>
      </c>
      <c r="BS654" t="s">
        <v>4317</v>
      </c>
      <c r="BT654" t="str">
        <f>HYPERLINK("https%3A%2F%2Fwww.webofscience.com%2Fwos%2Fwoscc%2Ffull-record%2FWOS:000272589500216","View Full Record in Web of Science")</f>
        <v>View Full Record in Web of Science</v>
      </c>
    </row>
    <row r="655" spans="1:72" ht="12.75" customHeight="1" x14ac:dyDescent="0.2">
      <c r="A655" t="s">
        <v>72</v>
      </c>
      <c r="B655" t="s">
        <v>4318</v>
      </c>
      <c r="F655" t="s">
        <v>4319</v>
      </c>
      <c r="I655" t="s">
        <v>4320</v>
      </c>
      <c r="J655" t="s">
        <v>304</v>
      </c>
      <c r="AO655" t="s">
        <v>77</v>
      </c>
      <c r="AU655">
        <v>2008</v>
      </c>
      <c r="AW655">
        <v>1</v>
      </c>
      <c r="BB655">
        <v>142</v>
      </c>
      <c r="BC655">
        <v>149</v>
      </c>
      <c r="BS655" t="s">
        <v>4321</v>
      </c>
      <c r="BT655" t="str">
        <f>HYPERLINK("https%3A%2F%2Fwww.webofscience.com%2Fwos%2Fwoscc%2Ffull-record%2FWOS:000253186900013","View Full Record in Web of Science")</f>
        <v>View Full Record in Web of Science</v>
      </c>
    </row>
    <row r="656" spans="1:72" ht="12.75" customHeight="1" x14ac:dyDescent="0.2">
      <c r="A656" t="s">
        <v>147</v>
      </c>
      <c r="B656" t="s">
        <v>1180</v>
      </c>
      <c r="D656" t="s">
        <v>4322</v>
      </c>
      <c r="F656" t="s">
        <v>1182</v>
      </c>
      <c r="I656" t="s">
        <v>4323</v>
      </c>
      <c r="J656" t="s">
        <v>4324</v>
      </c>
      <c r="K656" t="s">
        <v>4325</v>
      </c>
      <c r="O656" t="s">
        <v>4324</v>
      </c>
      <c r="P656" t="s">
        <v>4326</v>
      </c>
      <c r="Q656" t="s">
        <v>3276</v>
      </c>
      <c r="R656" t="s">
        <v>4327</v>
      </c>
      <c r="AO656" t="s">
        <v>1190</v>
      </c>
      <c r="AQ656" t="s">
        <v>4328</v>
      </c>
      <c r="AU656">
        <v>2006</v>
      </c>
      <c r="AV656">
        <v>6580</v>
      </c>
      <c r="BB656" t="s">
        <v>4329</v>
      </c>
      <c r="BC656" t="s">
        <v>4329</v>
      </c>
      <c r="BD656" t="s">
        <v>4330</v>
      </c>
      <c r="BE656" t="s">
        <v>4331</v>
      </c>
      <c r="BF656" t="str">
        <f>HYPERLINK("http://dx.doi.org/10.1117/12.724894","http://dx.doi.org/10.1117/12.724894")</f>
        <v>http://dx.doi.org/10.1117/12.724894</v>
      </c>
      <c r="BS656" t="s">
        <v>4332</v>
      </c>
      <c r="BT656" t="str">
        <f>HYPERLINK("https%3A%2F%2Fwww.webofscience.com%2Fwos%2Fwoscc%2Ffull-record%2FWOS:000245102200011","View Full Record in Web of Science")</f>
        <v>View Full Record in Web of Science</v>
      </c>
    </row>
    <row r="657" spans="1:72" ht="12.75" customHeight="1" x14ac:dyDescent="0.2">
      <c r="A657" t="s">
        <v>72</v>
      </c>
      <c r="B657" t="s">
        <v>1203</v>
      </c>
      <c r="F657" t="s">
        <v>1203</v>
      </c>
      <c r="I657" t="s">
        <v>4333</v>
      </c>
      <c r="J657" t="s">
        <v>1206</v>
      </c>
      <c r="AO657" t="s">
        <v>624</v>
      </c>
      <c r="AT657" t="s">
        <v>403</v>
      </c>
      <c r="AU657">
        <v>2004</v>
      </c>
      <c r="AV657">
        <v>78</v>
      </c>
      <c r="AW657">
        <v>12</v>
      </c>
      <c r="BB657">
        <v>1976</v>
      </c>
      <c r="BC657">
        <v>1979</v>
      </c>
      <c r="BS657" t="s">
        <v>4334</v>
      </c>
      <c r="BT657" t="str">
        <f>HYPERLINK("https%3A%2F%2Fwww.webofscience.com%2Fwos%2Fwoscc%2Ffull-record%2FWOS:000225664900020","View Full Record in Web of Science")</f>
        <v>View Full Record in Web of Science</v>
      </c>
    </row>
    <row r="658" spans="1:72" ht="12.75" customHeight="1" x14ac:dyDescent="0.2">
      <c r="A658" t="s">
        <v>72</v>
      </c>
      <c r="B658" t="s">
        <v>4335</v>
      </c>
      <c r="F658" t="s">
        <v>4335</v>
      </c>
      <c r="I658" t="s">
        <v>4336</v>
      </c>
      <c r="J658" t="s">
        <v>409</v>
      </c>
      <c r="O658" t="s">
        <v>486</v>
      </c>
      <c r="P658" t="s">
        <v>487</v>
      </c>
      <c r="Q658" t="s">
        <v>488</v>
      </c>
      <c r="AO658" t="s">
        <v>412</v>
      </c>
      <c r="AT658" t="s">
        <v>491</v>
      </c>
      <c r="AU658">
        <v>2000</v>
      </c>
      <c r="AV658">
        <v>73</v>
      </c>
      <c r="AW658">
        <v>6</v>
      </c>
      <c r="BB658">
        <v>1021</v>
      </c>
      <c r="BC658">
        <v>1024</v>
      </c>
      <c r="BS658" t="s">
        <v>4337</v>
      </c>
      <c r="BT658" t="str">
        <f>HYPERLINK("https%3A%2F%2Fwww.webofscience.com%2Fwos%2Fwoscc%2Ffull-record%2FWOS:000165979500021","View Full Record in Web of Science")</f>
        <v>View Full Record in Web of Science</v>
      </c>
    </row>
    <row r="659" spans="1:72" ht="12.75" customHeight="1" x14ac:dyDescent="0.2">
      <c r="A659" t="s">
        <v>72</v>
      </c>
      <c r="B659" t="s">
        <v>4338</v>
      </c>
      <c r="F659" t="s">
        <v>4339</v>
      </c>
      <c r="I659" t="s">
        <v>4340</v>
      </c>
      <c r="J659" t="s">
        <v>4341</v>
      </c>
      <c r="AA659" t="s">
        <v>2853</v>
      </c>
      <c r="AB659" t="s">
        <v>1760</v>
      </c>
      <c r="AO659" t="s">
        <v>4342</v>
      </c>
      <c r="AP659" t="s">
        <v>4343</v>
      </c>
      <c r="AT659" t="s">
        <v>655</v>
      </c>
      <c r="AU659">
        <v>2023</v>
      </c>
      <c r="AV659">
        <v>106</v>
      </c>
      <c r="AW659">
        <v>1</v>
      </c>
      <c r="BB659">
        <v>327</v>
      </c>
      <c r="BC659">
        <v>331</v>
      </c>
      <c r="BE659" t="s">
        <v>4344</v>
      </c>
      <c r="BF659" t="str">
        <f>HYPERLINK("http://dx.doi.org/10.1007/s00233-022-10327-w","http://dx.doi.org/10.1007/s00233-022-10327-w")</f>
        <v>http://dx.doi.org/10.1007/s00233-022-10327-w</v>
      </c>
      <c r="BH659" t="s">
        <v>4345</v>
      </c>
      <c r="BS659" t="s">
        <v>4346</v>
      </c>
      <c r="BT659" t="str">
        <f>HYPERLINK("https%3A%2F%2Fwww.webofscience.com%2Fwos%2Fwoscc%2Ffull-record%2FWOS:000894407100001","View Full Record in Web of Science")</f>
        <v>View Full Record in Web of Science</v>
      </c>
    </row>
    <row r="660" spans="1:72" ht="12.75" customHeight="1" x14ac:dyDescent="0.2">
      <c r="A660" t="s">
        <v>72</v>
      </c>
      <c r="B660" t="s">
        <v>4347</v>
      </c>
      <c r="F660" t="s">
        <v>4348</v>
      </c>
      <c r="I660" t="s">
        <v>4349</v>
      </c>
      <c r="J660" t="s">
        <v>95</v>
      </c>
      <c r="AA660" t="s">
        <v>4350</v>
      </c>
      <c r="AB660" t="s">
        <v>4351</v>
      </c>
      <c r="AO660" t="s">
        <v>98</v>
      </c>
      <c r="AP660" t="s">
        <v>99</v>
      </c>
      <c r="AU660">
        <v>2022</v>
      </c>
      <c r="AW660">
        <v>4</v>
      </c>
      <c r="BB660">
        <v>214</v>
      </c>
      <c r="BC660">
        <v>223</v>
      </c>
      <c r="BE660" t="s">
        <v>4352</v>
      </c>
      <c r="BF660" t="str">
        <f>HYPERLINK("http://dx.doi.org/10.25750/1995-4301-2022-4-214-223","http://dx.doi.org/10.25750/1995-4301-2022-4-214-223")</f>
        <v>http://dx.doi.org/10.25750/1995-4301-2022-4-214-223</v>
      </c>
      <c r="BS660" t="s">
        <v>4353</v>
      </c>
      <c r="BT660" t="str">
        <f>HYPERLINK("https%3A%2F%2Fwww.webofscience.com%2Fwos%2Fwoscc%2Ffull-record%2FWOS:000929704700029","View Full Record in Web of Science")</f>
        <v>View Full Record in Web of Science</v>
      </c>
    </row>
    <row r="661" spans="1:72" ht="12.75" customHeight="1" x14ac:dyDescent="0.2">
      <c r="A661" t="s">
        <v>72</v>
      </c>
      <c r="B661" t="s">
        <v>4354</v>
      </c>
      <c r="F661" t="s">
        <v>4355</v>
      </c>
      <c r="I661" t="s">
        <v>4356</v>
      </c>
      <c r="J661" t="s">
        <v>4357</v>
      </c>
      <c r="AO661" t="s">
        <v>4358</v>
      </c>
      <c r="AP661" t="s">
        <v>4359</v>
      </c>
      <c r="AU661">
        <v>2022</v>
      </c>
      <c r="AV661">
        <v>17</v>
      </c>
      <c r="AW661">
        <v>1</v>
      </c>
      <c r="BB661">
        <v>493</v>
      </c>
      <c r="BC661">
        <v>515</v>
      </c>
      <c r="BS661" t="s">
        <v>4360</v>
      </c>
      <c r="BT661" t="str">
        <f>HYPERLINK("https%3A%2F%2Fwww.webofscience.com%2Fwos%2Fwoscc%2Ffull-record%2FWOS:000805642800025","View Full Record in Web of Science")</f>
        <v>View Full Record in Web of Science</v>
      </c>
    </row>
    <row r="662" spans="1:72" ht="12.75" customHeight="1" x14ac:dyDescent="0.2">
      <c r="A662" t="s">
        <v>72</v>
      </c>
      <c r="B662" t="s">
        <v>4361</v>
      </c>
      <c r="F662" t="s">
        <v>4362</v>
      </c>
      <c r="I662" t="s">
        <v>4363</v>
      </c>
      <c r="J662" t="s">
        <v>434</v>
      </c>
      <c r="AA662" t="s">
        <v>608</v>
      </c>
      <c r="AB662" t="s">
        <v>609</v>
      </c>
      <c r="AO662" t="s">
        <v>437</v>
      </c>
      <c r="AP662" t="s">
        <v>438</v>
      </c>
      <c r="AU662">
        <v>2022</v>
      </c>
      <c r="AV662">
        <v>15</v>
      </c>
      <c r="AW662">
        <v>4</v>
      </c>
      <c r="BB662">
        <v>7</v>
      </c>
      <c r="BC662">
        <v>42</v>
      </c>
      <c r="BE662" t="s">
        <v>4364</v>
      </c>
      <c r="BF662" t="str">
        <f>HYPERLINK("http://dx.doi.org/10.24833/2071-8160-2022-4-85-7-42","http://dx.doi.org/10.24833/2071-8160-2022-4-85-7-42")</f>
        <v>http://dx.doi.org/10.24833/2071-8160-2022-4-85-7-42</v>
      </c>
      <c r="BS662" t="s">
        <v>4365</v>
      </c>
      <c r="BT662" t="str">
        <f>HYPERLINK("https%3A%2F%2Fwww.webofscience.com%2Fwos%2Fwoscc%2Ffull-record%2FWOS:000874742700001","View Full Record in Web of Science")</f>
        <v>View Full Record in Web of Science</v>
      </c>
    </row>
    <row r="663" spans="1:72" ht="12.75" customHeight="1" x14ac:dyDescent="0.2">
      <c r="A663" t="s">
        <v>72</v>
      </c>
      <c r="B663" t="s">
        <v>1128</v>
      </c>
      <c r="F663" t="s">
        <v>1129</v>
      </c>
      <c r="I663" t="s">
        <v>4366</v>
      </c>
      <c r="J663" t="s">
        <v>131</v>
      </c>
      <c r="AA663" t="s">
        <v>132</v>
      </c>
      <c r="AB663" t="s">
        <v>133</v>
      </c>
      <c r="AO663" t="s">
        <v>134</v>
      </c>
      <c r="AP663" t="s">
        <v>135</v>
      </c>
      <c r="AU663">
        <v>2021</v>
      </c>
      <c r="AV663">
        <v>21</v>
      </c>
      <c r="AW663">
        <v>4</v>
      </c>
      <c r="BB663">
        <v>107</v>
      </c>
      <c r="BC663">
        <v>114</v>
      </c>
      <c r="BE663" t="s">
        <v>4367</v>
      </c>
      <c r="BF663" t="str">
        <f>HYPERLINK("http://dx.doi.org/10.14529/hsm210413","http://dx.doi.org/10.14529/hsm210413")</f>
        <v>http://dx.doi.org/10.14529/hsm210413</v>
      </c>
      <c r="BS663" t="s">
        <v>4368</v>
      </c>
      <c r="BT663" t="str">
        <f>HYPERLINK("https%3A%2F%2Fwww.webofscience.com%2Fwos%2Fwoscc%2Ffull-record%2FWOS:000762279000013","View Full Record in Web of Science")</f>
        <v>View Full Record in Web of Science</v>
      </c>
    </row>
    <row r="664" spans="1:72" ht="12.75" customHeight="1" x14ac:dyDescent="0.2">
      <c r="A664" t="s">
        <v>72</v>
      </c>
      <c r="B664" t="s">
        <v>4369</v>
      </c>
      <c r="F664" t="s">
        <v>4370</v>
      </c>
      <c r="I664" t="s">
        <v>4371</v>
      </c>
      <c r="J664" t="s">
        <v>4372</v>
      </c>
      <c r="AA664" t="s">
        <v>1885</v>
      </c>
      <c r="AB664" t="s">
        <v>3257</v>
      </c>
      <c r="AO664" t="s">
        <v>4373</v>
      </c>
      <c r="AU664">
        <v>2021</v>
      </c>
      <c r="AW664">
        <v>2</v>
      </c>
      <c r="AX664">
        <v>1</v>
      </c>
      <c r="BB664">
        <v>160</v>
      </c>
      <c r="BC664">
        <v>167</v>
      </c>
      <c r="BE664" t="s">
        <v>4374</v>
      </c>
      <c r="BF664" t="str">
        <f>HYPERLINK("http://dx.doi.org/10.37220/MIT.2021.52.2.023","http://dx.doi.org/10.37220/MIT.2021.52.2.023")</f>
        <v>http://dx.doi.org/10.37220/MIT.2021.52.2.023</v>
      </c>
      <c r="BS664" t="s">
        <v>4375</v>
      </c>
      <c r="BT664" t="str">
        <f>HYPERLINK("https%3A%2F%2Fwww.webofscience.com%2Fwos%2Fwoscc%2Ffull-record%2FWOS:000664516800022","View Full Record in Web of Science")</f>
        <v>View Full Record in Web of Science</v>
      </c>
    </row>
    <row r="665" spans="1:72" ht="12.75" customHeight="1" x14ac:dyDescent="0.2">
      <c r="A665" t="s">
        <v>72</v>
      </c>
      <c r="B665" t="s">
        <v>102</v>
      </c>
      <c r="F665" t="s">
        <v>1786</v>
      </c>
      <c r="I665" t="s">
        <v>4376</v>
      </c>
      <c r="J665" t="s">
        <v>105</v>
      </c>
      <c r="AO665" t="s">
        <v>106</v>
      </c>
      <c r="AU665">
        <v>2021</v>
      </c>
      <c r="AW665">
        <v>2</v>
      </c>
      <c r="BB665">
        <v>482</v>
      </c>
      <c r="BC665">
        <v>495</v>
      </c>
      <c r="BE665" t="s">
        <v>4377</v>
      </c>
      <c r="BF665" t="str">
        <f>HYPERLINK("http://dx.doi.org/10.28995/2073-0101-2021-2-482-495","http://dx.doi.org/10.28995/2073-0101-2021-2-482-495")</f>
        <v>http://dx.doi.org/10.28995/2073-0101-2021-2-482-495</v>
      </c>
      <c r="BS665" t="s">
        <v>4378</v>
      </c>
      <c r="BT665" t="str">
        <f>HYPERLINK("https%3A%2F%2Fwww.webofscience.com%2Fwos%2Fwoscc%2Ffull-record%2FWOS:000698603400013","View Full Record in Web of Science")</f>
        <v>View Full Record in Web of Science</v>
      </c>
    </row>
    <row r="666" spans="1:72" ht="12.75" customHeight="1" x14ac:dyDescent="0.2">
      <c r="A666" t="s">
        <v>72</v>
      </c>
      <c r="B666" t="s">
        <v>4379</v>
      </c>
      <c r="F666" t="s">
        <v>4380</v>
      </c>
      <c r="I666" t="s">
        <v>4381</v>
      </c>
      <c r="J666" t="s">
        <v>4382</v>
      </c>
      <c r="AA666" t="s">
        <v>686</v>
      </c>
      <c r="AO666" t="s">
        <v>4383</v>
      </c>
      <c r="AP666" t="s">
        <v>4384</v>
      </c>
      <c r="AT666" t="s">
        <v>198</v>
      </c>
      <c r="AU666">
        <v>2020</v>
      </c>
      <c r="AV666">
        <v>13</v>
      </c>
      <c r="AW666">
        <v>2</v>
      </c>
      <c r="BB666">
        <v>186</v>
      </c>
      <c r="BC666">
        <v>192</v>
      </c>
      <c r="BE666" t="s">
        <v>4385</v>
      </c>
      <c r="BF666" t="str">
        <f>HYPERLINK("http://dx.doi.org/10.1134/S1995082920020297","http://dx.doi.org/10.1134/S1995082920020297")</f>
        <v>http://dx.doi.org/10.1134/S1995082920020297</v>
      </c>
      <c r="BS666" t="s">
        <v>4386</v>
      </c>
      <c r="BT666" t="str">
        <f>HYPERLINK("https%3A%2F%2Fwww.webofscience.com%2Fwos%2Fwoscc%2Ffull-record%2FWOS:000545314100010","View Full Record in Web of Science")</f>
        <v>View Full Record in Web of Science</v>
      </c>
    </row>
    <row r="667" spans="1:72" ht="12.75" customHeight="1" x14ac:dyDescent="0.2">
      <c r="A667" t="s">
        <v>147</v>
      </c>
      <c r="B667" t="s">
        <v>4387</v>
      </c>
      <c r="D667" t="s">
        <v>1215</v>
      </c>
      <c r="F667" t="s">
        <v>4388</v>
      </c>
      <c r="I667" t="s">
        <v>4389</v>
      </c>
      <c r="J667" t="s">
        <v>1218</v>
      </c>
      <c r="K667" t="s">
        <v>1219</v>
      </c>
      <c r="O667" t="s">
        <v>1220</v>
      </c>
      <c r="P667" t="s">
        <v>1221</v>
      </c>
      <c r="Q667" t="s">
        <v>1222</v>
      </c>
      <c r="AO667" t="s">
        <v>1223</v>
      </c>
      <c r="AU667">
        <v>2020</v>
      </c>
      <c r="AV667">
        <v>24</v>
      </c>
      <c r="BD667">
        <v>39</v>
      </c>
      <c r="BE667" t="s">
        <v>4390</v>
      </c>
      <c r="BF667" t="str">
        <f>HYPERLINK("http://dx.doi.org/10.1051/bioconf/20202400039","http://dx.doi.org/10.1051/bioconf/20202400039")</f>
        <v>http://dx.doi.org/10.1051/bioconf/20202400039</v>
      </c>
      <c r="BS667" t="s">
        <v>4391</v>
      </c>
      <c r="BT667" t="str">
        <f>HYPERLINK("https%3A%2F%2Fwww.webofscience.com%2Fwos%2Fwoscc%2Ffull-record%2FWOS:000624287900039","View Full Record in Web of Science")</f>
        <v>View Full Record in Web of Science</v>
      </c>
    </row>
    <row r="668" spans="1:72" ht="12.75" customHeight="1" x14ac:dyDescent="0.2">
      <c r="A668" t="s">
        <v>72</v>
      </c>
      <c r="B668" t="s">
        <v>4354</v>
      </c>
      <c r="F668" t="s">
        <v>4355</v>
      </c>
      <c r="I668" t="s">
        <v>4392</v>
      </c>
      <c r="J668" t="s">
        <v>4357</v>
      </c>
      <c r="AA668" t="s">
        <v>4393</v>
      </c>
      <c r="AB668" t="s">
        <v>4394</v>
      </c>
      <c r="AO668" t="s">
        <v>4358</v>
      </c>
      <c r="AP668" t="s">
        <v>4359</v>
      </c>
      <c r="AU668">
        <v>2020</v>
      </c>
      <c r="AV668">
        <v>15</v>
      </c>
      <c r="AW668">
        <v>1</v>
      </c>
      <c r="BB668">
        <v>309</v>
      </c>
      <c r="BC668">
        <v>325</v>
      </c>
      <c r="BS668" t="s">
        <v>4395</v>
      </c>
      <c r="BT668" t="str">
        <f>HYPERLINK("https%3A%2F%2Fwww.webofscience.com%2Fwos%2Fwoscc%2Ffull-record%2FWOS:000536400400017","View Full Record in Web of Science")</f>
        <v>View Full Record in Web of Science</v>
      </c>
    </row>
    <row r="669" spans="1:72" ht="12.75" customHeight="1" x14ac:dyDescent="0.2">
      <c r="A669" t="s">
        <v>231</v>
      </c>
      <c r="B669" t="s">
        <v>2621</v>
      </c>
      <c r="D669" t="s">
        <v>4396</v>
      </c>
      <c r="F669" t="s">
        <v>2954</v>
      </c>
      <c r="I669" t="s">
        <v>4397</v>
      </c>
      <c r="J669" t="s">
        <v>4398</v>
      </c>
      <c r="AQ669" t="s">
        <v>4399</v>
      </c>
      <c r="AU669">
        <v>2020</v>
      </c>
      <c r="BB669">
        <v>229</v>
      </c>
      <c r="BC669" t="s">
        <v>107</v>
      </c>
      <c r="BS669" t="s">
        <v>4400</v>
      </c>
      <c r="BT669" t="str">
        <f>HYPERLINK("https%3A%2F%2Fwww.webofscience.com%2Fwos%2Fwoscc%2Ffull-record%2FWOS:000588252000019","View Full Record in Web of Science")</f>
        <v>View Full Record in Web of Science</v>
      </c>
    </row>
    <row r="670" spans="1:72" ht="12.75" customHeight="1" x14ac:dyDescent="0.2">
      <c r="A670" t="s">
        <v>72</v>
      </c>
      <c r="B670" t="s">
        <v>431</v>
      </c>
      <c r="F670" t="s">
        <v>2129</v>
      </c>
      <c r="I670" t="s">
        <v>4401</v>
      </c>
      <c r="J670" t="s">
        <v>642</v>
      </c>
      <c r="AA670" t="s">
        <v>1945</v>
      </c>
      <c r="AB670" t="s">
        <v>1946</v>
      </c>
      <c r="AO670" t="s">
        <v>643</v>
      </c>
      <c r="AP670" t="s">
        <v>644</v>
      </c>
      <c r="AU670">
        <v>2020</v>
      </c>
      <c r="AV670">
        <v>8</v>
      </c>
      <c r="AW670">
        <v>1</v>
      </c>
      <c r="BB670">
        <v>150</v>
      </c>
      <c r="BC670">
        <v>163</v>
      </c>
      <c r="BE670" t="s">
        <v>4402</v>
      </c>
      <c r="BF670" t="str">
        <f>HYPERLINK("http://dx.doi.org/10.15826/qr.2020.1.453","http://dx.doi.org/10.15826/qr.2020.1.453")</f>
        <v>http://dx.doi.org/10.15826/qr.2020.1.453</v>
      </c>
      <c r="BS670" t="s">
        <v>4403</v>
      </c>
      <c r="BT670" t="str">
        <f>HYPERLINK("https%3A%2F%2Fwww.webofscience.com%2Fwos%2Fwoscc%2Ffull-record%2FWOS:000579426800010","View Full Record in Web of Science")</f>
        <v>View Full Record in Web of Science</v>
      </c>
    </row>
    <row r="671" spans="1:72" ht="12.75" customHeight="1" x14ac:dyDescent="0.2">
      <c r="A671" t="s">
        <v>72</v>
      </c>
      <c r="B671" t="s">
        <v>4404</v>
      </c>
      <c r="F671" t="s">
        <v>4405</v>
      </c>
      <c r="I671" t="s">
        <v>4406</v>
      </c>
      <c r="J671" t="s">
        <v>4407</v>
      </c>
      <c r="AA671" t="s">
        <v>507</v>
      </c>
      <c r="AB671" t="s">
        <v>508</v>
      </c>
      <c r="AO671" t="s">
        <v>4408</v>
      </c>
      <c r="AT671" t="s">
        <v>4409</v>
      </c>
      <c r="AU671">
        <v>2019</v>
      </c>
      <c r="AV671">
        <v>14</v>
      </c>
      <c r="AW671">
        <v>2</v>
      </c>
      <c r="BB671">
        <v>256</v>
      </c>
      <c r="BC671">
        <v>266</v>
      </c>
      <c r="BE671" t="s">
        <v>4410</v>
      </c>
      <c r="BF671" t="str">
        <f>HYPERLINK("http://dx.doi.org/10.5281/zenodo.3722888","http://dx.doi.org/10.5281/zenodo.3722888")</f>
        <v>http://dx.doi.org/10.5281/zenodo.3722888</v>
      </c>
      <c r="BS671" t="s">
        <v>4411</v>
      </c>
      <c r="BT671" t="str">
        <f>HYPERLINK("https%3A%2F%2Fwww.webofscience.com%2Fwos%2Fwoscc%2Ffull-record%2FWOS:000522670600013","View Full Record in Web of Science")</f>
        <v>View Full Record in Web of Science</v>
      </c>
    </row>
    <row r="672" spans="1:72" ht="12.75" customHeight="1" x14ac:dyDescent="0.2">
      <c r="A672" t="s">
        <v>72</v>
      </c>
      <c r="B672" t="s">
        <v>4412</v>
      </c>
      <c r="F672" t="s">
        <v>4413</v>
      </c>
      <c r="I672" t="s">
        <v>4414</v>
      </c>
      <c r="J672" t="s">
        <v>4382</v>
      </c>
      <c r="AO672" t="s">
        <v>4383</v>
      </c>
      <c r="AP672" t="s">
        <v>4384</v>
      </c>
      <c r="AT672" t="s">
        <v>491</v>
      </c>
      <c r="AU672">
        <v>2019</v>
      </c>
      <c r="AV672">
        <v>12</v>
      </c>
      <c r="AY672">
        <v>1</v>
      </c>
      <c r="BB672">
        <v>10</v>
      </c>
      <c r="BC672">
        <v>17</v>
      </c>
      <c r="BE672" t="s">
        <v>4415</v>
      </c>
      <c r="BF672" t="str">
        <f>HYPERLINK("http://dx.doi.org/10.1134/S1995082919050134","http://dx.doi.org/10.1134/S1995082919050134")</f>
        <v>http://dx.doi.org/10.1134/S1995082919050134</v>
      </c>
      <c r="BS672" t="s">
        <v>4416</v>
      </c>
      <c r="BT672" t="str">
        <f>HYPERLINK("https%3A%2F%2Fwww.webofscience.com%2Fwos%2Fwoscc%2Ffull-record%2FWOS:000483728400002","View Full Record in Web of Science")</f>
        <v>View Full Record in Web of Science</v>
      </c>
    </row>
    <row r="673" spans="1:72" ht="12.75" customHeight="1" x14ac:dyDescent="0.2">
      <c r="A673" t="s">
        <v>72</v>
      </c>
      <c r="B673" t="s">
        <v>128</v>
      </c>
      <c r="F673" t="s">
        <v>129</v>
      </c>
      <c r="I673" t="s">
        <v>4417</v>
      </c>
      <c r="J673" t="s">
        <v>131</v>
      </c>
      <c r="AA673" t="s">
        <v>4418</v>
      </c>
      <c r="AB673" t="s">
        <v>4419</v>
      </c>
      <c r="AO673" t="s">
        <v>134</v>
      </c>
      <c r="AP673" t="s">
        <v>135</v>
      </c>
      <c r="AU673">
        <v>2019</v>
      </c>
      <c r="AV673">
        <v>19</v>
      </c>
      <c r="AW673">
        <v>3</v>
      </c>
      <c r="BB673">
        <v>66</v>
      </c>
      <c r="BC673">
        <v>73</v>
      </c>
      <c r="BE673" t="s">
        <v>4420</v>
      </c>
      <c r="BF673" t="str">
        <f>HYPERLINK("http://dx.doi.org/10.14529/hsm190308","http://dx.doi.org/10.14529/hsm190308")</f>
        <v>http://dx.doi.org/10.14529/hsm190308</v>
      </c>
      <c r="BS673" t="s">
        <v>4421</v>
      </c>
      <c r="BT673" t="str">
        <f>HYPERLINK("https%3A%2F%2Fwww.webofscience.com%2Fwos%2Fwoscc%2Ffull-record%2FWOS:000502010700008","View Full Record in Web of Science")</f>
        <v>View Full Record in Web of Science</v>
      </c>
    </row>
    <row r="674" spans="1:72" ht="12.75" customHeight="1" x14ac:dyDescent="0.2">
      <c r="A674" t="s">
        <v>72</v>
      </c>
      <c r="B674" t="s">
        <v>2734</v>
      </c>
      <c r="F674" t="s">
        <v>4204</v>
      </c>
      <c r="I674" t="s">
        <v>4422</v>
      </c>
      <c r="J674" t="s">
        <v>896</v>
      </c>
      <c r="AA674" t="s">
        <v>4423</v>
      </c>
      <c r="AB674" t="s">
        <v>4424</v>
      </c>
      <c r="AO674" t="s">
        <v>899</v>
      </c>
      <c r="AU674">
        <v>2019</v>
      </c>
      <c r="AV674">
        <v>54</v>
      </c>
      <c r="AW674">
        <v>4</v>
      </c>
      <c r="BB674">
        <v>1811</v>
      </c>
      <c r="BC674">
        <v>1819</v>
      </c>
      <c r="BE674" t="s">
        <v>4425</v>
      </c>
      <c r="BF674" t="str">
        <f>HYPERLINK("http://dx.doi.org/10.13187/bg.2019.4.1811","http://dx.doi.org/10.13187/bg.2019.4.1811")</f>
        <v>http://dx.doi.org/10.13187/bg.2019.4.1811</v>
      </c>
      <c r="BS674" t="s">
        <v>4426</v>
      </c>
      <c r="BT674" t="str">
        <f>HYPERLINK("https%3A%2F%2Fwww.webofscience.com%2Fwos%2Fwoscc%2Ffull-record%2FWOS:000501567300041","View Full Record in Web of Science")</f>
        <v>View Full Record in Web of Science</v>
      </c>
    </row>
    <row r="675" spans="1:72" ht="12.75" customHeight="1" x14ac:dyDescent="0.2">
      <c r="A675" t="s">
        <v>72</v>
      </c>
      <c r="B675" t="s">
        <v>1660</v>
      </c>
      <c r="F675" t="s">
        <v>1661</v>
      </c>
      <c r="I675" t="s">
        <v>4427</v>
      </c>
      <c r="J675" t="s">
        <v>244</v>
      </c>
      <c r="AA675" t="s">
        <v>1460</v>
      </c>
      <c r="AB675" t="s">
        <v>1461</v>
      </c>
      <c r="AO675" t="s">
        <v>245</v>
      </c>
      <c r="AP675" t="s">
        <v>246</v>
      </c>
      <c r="AU675">
        <v>2019</v>
      </c>
      <c r="AW675">
        <v>8</v>
      </c>
      <c r="BB675">
        <v>128</v>
      </c>
      <c r="BC675">
        <v>134</v>
      </c>
      <c r="BE675" t="s">
        <v>4428</v>
      </c>
      <c r="BF675" t="str">
        <f>HYPERLINK("http://dx.doi.org/10.31166/VoprosyIstorii201908Statyil6","http://dx.doi.org/10.31166/VoprosyIstorii201908Statyil6")</f>
        <v>http://dx.doi.org/10.31166/VoprosyIstorii201908Statyil6</v>
      </c>
      <c r="BS675" t="s">
        <v>4429</v>
      </c>
      <c r="BT675" t="str">
        <f>HYPERLINK("https%3A%2F%2Fwww.webofscience.com%2Fwos%2Fwoscc%2Ffull-record%2FWOS:000484656400012","View Full Record in Web of Science")</f>
        <v>View Full Record in Web of Science</v>
      </c>
    </row>
    <row r="676" spans="1:72" ht="12.75" customHeight="1" x14ac:dyDescent="0.2">
      <c r="A676" t="s">
        <v>147</v>
      </c>
      <c r="B676" t="s">
        <v>4430</v>
      </c>
      <c r="D676" t="s">
        <v>386</v>
      </c>
      <c r="F676" t="s">
        <v>4431</v>
      </c>
      <c r="I676" t="s">
        <v>4432</v>
      </c>
      <c r="J676" t="s">
        <v>389</v>
      </c>
      <c r="K676" t="s">
        <v>390</v>
      </c>
      <c r="O676" t="s">
        <v>391</v>
      </c>
      <c r="P676" t="s">
        <v>392</v>
      </c>
      <c r="Q676" t="s">
        <v>393</v>
      </c>
      <c r="R676" t="s">
        <v>394</v>
      </c>
      <c r="AA676" t="s">
        <v>808</v>
      </c>
      <c r="AB676" t="s">
        <v>809</v>
      </c>
      <c r="AO676" t="s">
        <v>395</v>
      </c>
      <c r="AQ676" t="s">
        <v>396</v>
      </c>
      <c r="AU676">
        <v>2019</v>
      </c>
      <c r="BB676">
        <v>399</v>
      </c>
      <c r="BC676">
        <v>402</v>
      </c>
      <c r="BS676" t="s">
        <v>4433</v>
      </c>
      <c r="BT676" t="str">
        <f>HYPERLINK("https%3A%2F%2Fwww.webofscience.com%2Fwos%2Fwoscc%2Ffull-record%2FWOS:000492146100097","View Full Record in Web of Science")</f>
        <v>View Full Record in Web of Science</v>
      </c>
    </row>
    <row r="677" spans="1:72" ht="12.75" customHeight="1" x14ac:dyDescent="0.2">
      <c r="A677" t="s">
        <v>72</v>
      </c>
      <c r="B677" t="s">
        <v>4434</v>
      </c>
      <c r="F677" t="s">
        <v>4435</v>
      </c>
      <c r="I677" t="s">
        <v>4436</v>
      </c>
      <c r="J677" t="s">
        <v>131</v>
      </c>
      <c r="AO677" t="s">
        <v>134</v>
      </c>
      <c r="AP677" t="s">
        <v>135</v>
      </c>
      <c r="AU677">
        <v>2019</v>
      </c>
      <c r="AV677">
        <v>19</v>
      </c>
      <c r="AY677">
        <v>2</v>
      </c>
      <c r="BB677">
        <v>110</v>
      </c>
      <c r="BC677">
        <v>118</v>
      </c>
      <c r="BE677" t="s">
        <v>4437</v>
      </c>
      <c r="BF677" t="str">
        <f>HYPERLINK("http://dx.doi.org/10.14529/hsm19s215","http://dx.doi.org/10.14529/hsm19s215")</f>
        <v>http://dx.doi.org/10.14529/hsm19s215</v>
      </c>
      <c r="BS677" t="s">
        <v>4438</v>
      </c>
      <c r="BT677" t="str">
        <f>HYPERLINK("https%3A%2F%2Fwww.webofscience.com%2Fwos%2Fwoscc%2Ffull-record%2FWOS:000521649200015","View Full Record in Web of Science")</f>
        <v>View Full Record in Web of Science</v>
      </c>
    </row>
    <row r="678" spans="1:72" ht="12.75" customHeight="1" x14ac:dyDescent="0.2">
      <c r="A678" t="s">
        <v>72</v>
      </c>
      <c r="B678" t="s">
        <v>1074</v>
      </c>
      <c r="F678" t="s">
        <v>1075</v>
      </c>
      <c r="I678" t="s">
        <v>4439</v>
      </c>
      <c r="J678" t="s">
        <v>1077</v>
      </c>
      <c r="AA678" t="s">
        <v>1078</v>
      </c>
      <c r="AB678" t="s">
        <v>1079</v>
      </c>
      <c r="AO678" t="s">
        <v>1080</v>
      </c>
      <c r="AP678" t="s">
        <v>1081</v>
      </c>
      <c r="AT678" t="s">
        <v>541</v>
      </c>
      <c r="AU678">
        <v>2019</v>
      </c>
      <c r="AV678">
        <v>40</v>
      </c>
      <c r="AW678">
        <v>1</v>
      </c>
      <c r="AZ678" t="s">
        <v>339</v>
      </c>
      <c r="BB678">
        <v>90</v>
      </c>
      <c r="BC678">
        <v>100</v>
      </c>
      <c r="BE678" t="s">
        <v>4440</v>
      </c>
      <c r="BF678" t="str">
        <f>HYPERLINK("http://dx.doi.org/10.1134/S1995080219010128","http://dx.doi.org/10.1134/S1995080219010128")</f>
        <v>http://dx.doi.org/10.1134/S1995080219010128</v>
      </c>
      <c r="BS678" t="s">
        <v>4441</v>
      </c>
      <c r="BT678" t="str">
        <f>HYPERLINK("https%3A%2F%2Fwww.webofscience.com%2Fwos%2Fwoscc%2Ffull-record%2FWOS:000464212300011","View Full Record in Web of Science")</f>
        <v>View Full Record in Web of Science</v>
      </c>
    </row>
    <row r="679" spans="1:72" ht="12.75" customHeight="1" x14ac:dyDescent="0.2">
      <c r="A679" t="s">
        <v>72</v>
      </c>
      <c r="B679" t="s">
        <v>4442</v>
      </c>
      <c r="F679" t="s">
        <v>4443</v>
      </c>
      <c r="I679" t="s">
        <v>4444</v>
      </c>
      <c r="J679" t="s">
        <v>434</v>
      </c>
      <c r="AA679" t="s">
        <v>608</v>
      </c>
      <c r="AB679" t="s">
        <v>609</v>
      </c>
      <c r="AO679" t="s">
        <v>437</v>
      </c>
      <c r="AP679" t="s">
        <v>438</v>
      </c>
      <c r="AU679">
        <v>2019</v>
      </c>
      <c r="AW679">
        <v>1</v>
      </c>
      <c r="BB679">
        <v>59</v>
      </c>
      <c r="BC679">
        <v>82</v>
      </c>
      <c r="BE679" t="s">
        <v>4445</v>
      </c>
      <c r="BF679" t="str">
        <f>HYPERLINK("http://dx.doi.org/10.24833/2071-8160-2019-1-64-59-82","http://dx.doi.org/10.24833/2071-8160-2019-1-64-59-82")</f>
        <v>http://dx.doi.org/10.24833/2071-8160-2019-1-64-59-82</v>
      </c>
      <c r="BS679" t="s">
        <v>4446</v>
      </c>
      <c r="BT679" t="str">
        <f>HYPERLINK("https%3A%2F%2Fwww.webofscience.com%2Fwos%2Fwoscc%2Ffull-record%2FWOS:000473744600005","View Full Record in Web of Science")</f>
        <v>View Full Record in Web of Science</v>
      </c>
    </row>
    <row r="680" spans="1:72" ht="12.75" customHeight="1" x14ac:dyDescent="0.2">
      <c r="A680" t="s">
        <v>72</v>
      </c>
      <c r="B680" t="s">
        <v>4447</v>
      </c>
      <c r="F680" t="s">
        <v>4448</v>
      </c>
      <c r="I680" t="s">
        <v>4449</v>
      </c>
      <c r="J680" t="s">
        <v>4450</v>
      </c>
      <c r="AA680" t="s">
        <v>2283</v>
      </c>
      <c r="AO680" t="s">
        <v>4451</v>
      </c>
      <c r="AP680" t="s">
        <v>4452</v>
      </c>
      <c r="AU680">
        <v>2018</v>
      </c>
      <c r="AV680">
        <v>160</v>
      </c>
      <c r="AW680">
        <v>1</v>
      </c>
      <c r="BB680">
        <v>54</v>
      </c>
      <c r="BC680">
        <v>66</v>
      </c>
      <c r="BS680" t="s">
        <v>4453</v>
      </c>
      <c r="BT680" t="str">
        <f>HYPERLINK("https%3A%2F%2Fwww.webofscience.com%2Fwos%2Fwoscc%2Ffull-record%2FWOS:000438854600005","View Full Record in Web of Science")</f>
        <v>View Full Record in Web of Science</v>
      </c>
    </row>
    <row r="681" spans="1:72" ht="12.75" customHeight="1" x14ac:dyDescent="0.2">
      <c r="A681" t="s">
        <v>72</v>
      </c>
      <c r="B681" t="s">
        <v>4454</v>
      </c>
      <c r="F681" t="s">
        <v>4455</v>
      </c>
      <c r="I681" t="s">
        <v>4456</v>
      </c>
      <c r="J681" t="s">
        <v>2633</v>
      </c>
      <c r="AA681" t="s">
        <v>4457</v>
      </c>
      <c r="AB681" t="s">
        <v>4458</v>
      </c>
      <c r="AO681" t="s">
        <v>2634</v>
      </c>
      <c r="AU681">
        <v>2018</v>
      </c>
      <c r="AV681">
        <v>22</v>
      </c>
      <c r="AW681">
        <v>1</v>
      </c>
      <c r="BB681">
        <v>44</v>
      </c>
      <c r="BC681">
        <v>49</v>
      </c>
      <c r="BE681" t="s">
        <v>4459</v>
      </c>
      <c r="BF681" t="str">
        <f>HYPERLINK("http://dx.doi.org/10.15561/18189172.2018.0106","http://dx.doi.org/10.15561/18189172.2018.0106")</f>
        <v>http://dx.doi.org/10.15561/18189172.2018.0106</v>
      </c>
      <c r="BS681" t="s">
        <v>4460</v>
      </c>
      <c r="BT681" t="str">
        <f>HYPERLINK("https%3A%2F%2Fwww.webofscience.com%2Fwos%2Fwoscc%2Ffull-record%2FWOS:000431046900006","View Full Record in Web of Science")</f>
        <v>View Full Record in Web of Science</v>
      </c>
    </row>
    <row r="682" spans="1:72" ht="12.75" customHeight="1" x14ac:dyDescent="0.2">
      <c r="A682" t="s">
        <v>147</v>
      </c>
      <c r="B682" t="s">
        <v>3285</v>
      </c>
      <c r="E682" t="s">
        <v>210</v>
      </c>
      <c r="F682" t="s">
        <v>3286</v>
      </c>
      <c r="I682" t="s">
        <v>4461</v>
      </c>
      <c r="J682" t="s">
        <v>1261</v>
      </c>
      <c r="O682" t="s">
        <v>214</v>
      </c>
      <c r="P682" t="s">
        <v>909</v>
      </c>
      <c r="Q682" t="s">
        <v>910</v>
      </c>
      <c r="R682" t="s">
        <v>1262</v>
      </c>
      <c r="AQ682" t="s">
        <v>1263</v>
      </c>
      <c r="AU682">
        <v>2017</v>
      </c>
      <c r="BS682" t="s">
        <v>4462</v>
      </c>
      <c r="BT682" t="str">
        <f>HYPERLINK("https%3A%2F%2Fwww.webofscience.com%2Fwos%2Fwoscc%2Ffull-record%2FWOS:000414282400145","View Full Record in Web of Science")</f>
        <v>View Full Record in Web of Science</v>
      </c>
    </row>
    <row r="683" spans="1:72" ht="12.75" customHeight="1" x14ac:dyDescent="0.2">
      <c r="A683" t="s">
        <v>147</v>
      </c>
      <c r="B683" t="s">
        <v>4463</v>
      </c>
      <c r="E683" t="s">
        <v>175</v>
      </c>
      <c r="F683" t="s">
        <v>4464</v>
      </c>
      <c r="I683" t="s">
        <v>4465</v>
      </c>
      <c r="J683" t="s">
        <v>4466</v>
      </c>
      <c r="K683" t="s">
        <v>179</v>
      </c>
      <c r="O683" t="s">
        <v>4467</v>
      </c>
      <c r="P683" t="s">
        <v>4468</v>
      </c>
      <c r="Q683" t="s">
        <v>4469</v>
      </c>
      <c r="R683" t="s">
        <v>257</v>
      </c>
      <c r="S683" t="s">
        <v>4470</v>
      </c>
      <c r="AA683" t="s">
        <v>2283</v>
      </c>
      <c r="AB683" t="s">
        <v>2284</v>
      </c>
      <c r="AO683" t="s">
        <v>187</v>
      </c>
      <c r="AU683">
        <v>2016</v>
      </c>
      <c r="AV683">
        <v>669</v>
      </c>
      <c r="BD683">
        <v>12040</v>
      </c>
      <c r="BE683" t="s">
        <v>4471</v>
      </c>
      <c r="BF683" t="str">
        <f>HYPERLINK("http://dx.doi.org/10.1088/1742-6596/669/1/012040","http://dx.doi.org/10.1088/1742-6596/669/1/012040")</f>
        <v>http://dx.doi.org/10.1088/1742-6596/669/1/012040</v>
      </c>
      <c r="BS683" t="s">
        <v>4472</v>
      </c>
      <c r="BT683" t="str">
        <f>HYPERLINK("https%3A%2F%2Fwww.webofscience.com%2Fwos%2Fwoscc%2Ffull-record%2FWOS:000371617600040","View Full Record in Web of Science")</f>
        <v>View Full Record in Web of Science</v>
      </c>
    </row>
    <row r="684" spans="1:72" ht="12.75" customHeight="1" x14ac:dyDescent="0.2">
      <c r="A684" t="s">
        <v>147</v>
      </c>
      <c r="B684" t="s">
        <v>4473</v>
      </c>
      <c r="E684" t="s">
        <v>280</v>
      </c>
      <c r="F684" t="s">
        <v>4474</v>
      </c>
      <c r="I684" t="s">
        <v>4475</v>
      </c>
      <c r="J684" t="s">
        <v>2574</v>
      </c>
      <c r="K684" t="s">
        <v>284</v>
      </c>
      <c r="O684" t="s">
        <v>2575</v>
      </c>
      <c r="P684" t="s">
        <v>2576</v>
      </c>
      <c r="Q684" t="s">
        <v>287</v>
      </c>
      <c r="R684" t="s">
        <v>4476</v>
      </c>
      <c r="AO684" t="s">
        <v>289</v>
      </c>
      <c r="AQ684" t="s">
        <v>2580</v>
      </c>
      <c r="AU684">
        <v>2016</v>
      </c>
      <c r="BB684">
        <v>427</v>
      </c>
      <c r="BC684">
        <v>434</v>
      </c>
      <c r="BS684" t="s">
        <v>4477</v>
      </c>
      <c r="BT684" t="str">
        <f>HYPERLINK("https%3A%2F%2Fwww.webofscience.com%2Fwos%2Fwoscc%2Ffull-record%2FWOS:000395727700051","View Full Record in Web of Science")</f>
        <v>View Full Record in Web of Science</v>
      </c>
    </row>
    <row r="685" spans="1:72" ht="12.75" customHeight="1" x14ac:dyDescent="0.2">
      <c r="A685" t="s">
        <v>72</v>
      </c>
      <c r="B685" t="s">
        <v>1074</v>
      </c>
      <c r="F685" t="s">
        <v>1075</v>
      </c>
      <c r="I685" t="s">
        <v>4478</v>
      </c>
      <c r="J685" t="s">
        <v>4479</v>
      </c>
      <c r="AA685" t="s">
        <v>1078</v>
      </c>
      <c r="AB685" t="s">
        <v>1079</v>
      </c>
      <c r="AO685" t="s">
        <v>4480</v>
      </c>
      <c r="AP685" t="s">
        <v>4481</v>
      </c>
      <c r="AU685">
        <v>2016</v>
      </c>
      <c r="AV685">
        <v>207</v>
      </c>
      <c r="AW685">
        <v>9</v>
      </c>
      <c r="BB685">
        <v>1267</v>
      </c>
      <c r="BC685">
        <v>1286</v>
      </c>
      <c r="BE685" t="s">
        <v>4482</v>
      </c>
      <c r="BF685" t="str">
        <f>HYPERLINK("http://dx.doi.org/10.1070/SM8609","http://dx.doi.org/10.1070/SM8609")</f>
        <v>http://dx.doi.org/10.1070/SM8609</v>
      </c>
      <c r="BS685" t="s">
        <v>4483</v>
      </c>
      <c r="BT685" t="str">
        <f>HYPERLINK("https%3A%2F%2Fwww.webofscience.com%2Fwos%2Fwoscc%2Ffull-record%2FWOS:000391848300004","View Full Record in Web of Science")</f>
        <v>View Full Record in Web of Science</v>
      </c>
    </row>
    <row r="686" spans="1:72" ht="12.75" customHeight="1" x14ac:dyDescent="0.2">
      <c r="A686" t="s">
        <v>72</v>
      </c>
      <c r="B686" t="s">
        <v>4484</v>
      </c>
      <c r="F686" t="s">
        <v>4485</v>
      </c>
      <c r="I686" t="s">
        <v>4486</v>
      </c>
      <c r="J686" t="s">
        <v>409</v>
      </c>
      <c r="AA686" t="s">
        <v>758</v>
      </c>
      <c r="AB686" t="s">
        <v>759</v>
      </c>
      <c r="AO686" t="s">
        <v>412</v>
      </c>
      <c r="AP686" t="s">
        <v>413</v>
      </c>
      <c r="AT686" t="s">
        <v>319</v>
      </c>
      <c r="AU686">
        <v>2015</v>
      </c>
      <c r="AV686">
        <v>88</v>
      </c>
      <c r="AW686">
        <v>11</v>
      </c>
      <c r="BB686">
        <v>1800</v>
      </c>
      <c r="BC686">
        <v>1807</v>
      </c>
      <c r="BE686" t="s">
        <v>4487</v>
      </c>
      <c r="BF686" t="str">
        <f>HYPERLINK("http://dx.doi.org/10.1134/S10704272150110105","http://dx.doi.org/10.1134/S10704272150110105")</f>
        <v>http://dx.doi.org/10.1134/S10704272150110105</v>
      </c>
      <c r="BS686" t="s">
        <v>4488</v>
      </c>
      <c r="BT686" t="str">
        <f>HYPERLINK("https%3A%2F%2Fwww.webofscience.com%2Fwos%2Fwoscc%2Ffull-record%2FWOS:000370279700010","View Full Record in Web of Science")</f>
        <v>View Full Record in Web of Science</v>
      </c>
    </row>
    <row r="687" spans="1:72" ht="12.75" customHeight="1" x14ac:dyDescent="0.2">
      <c r="A687" t="s">
        <v>72</v>
      </c>
      <c r="B687" t="s">
        <v>3748</v>
      </c>
      <c r="F687" t="s">
        <v>4489</v>
      </c>
      <c r="I687" t="s">
        <v>4490</v>
      </c>
      <c r="J687" t="s">
        <v>1401</v>
      </c>
      <c r="AA687" t="s">
        <v>3750</v>
      </c>
      <c r="AB687" t="s">
        <v>3213</v>
      </c>
      <c r="AO687" t="s">
        <v>1404</v>
      </c>
      <c r="AP687" t="s">
        <v>1405</v>
      </c>
      <c r="AT687" t="s">
        <v>830</v>
      </c>
      <c r="AU687">
        <v>2013</v>
      </c>
      <c r="AV687">
        <v>52</v>
      </c>
      <c r="AW687">
        <v>5</v>
      </c>
      <c r="BB687">
        <v>759</v>
      </c>
      <c r="BC687">
        <v>763</v>
      </c>
      <c r="BE687" t="s">
        <v>4491</v>
      </c>
      <c r="BF687" t="str">
        <f>HYPERLINK("http://dx.doi.org/10.1134/S1064230713050122","http://dx.doi.org/10.1134/S1064230713050122")</f>
        <v>http://dx.doi.org/10.1134/S1064230713050122</v>
      </c>
      <c r="BS687" t="s">
        <v>4492</v>
      </c>
      <c r="BT687" t="str">
        <f>HYPERLINK("https%3A%2F%2Fwww.webofscience.com%2Fwos%2Fwoscc%2Ffull-record%2FWOS:000325636200009","View Full Record in Web of Science")</f>
        <v>View Full Record in Web of Science</v>
      </c>
    </row>
    <row r="688" spans="1:72" ht="12.75" customHeight="1" x14ac:dyDescent="0.2">
      <c r="A688" t="s">
        <v>72</v>
      </c>
      <c r="B688" t="s">
        <v>1170</v>
      </c>
      <c r="F688" t="s">
        <v>1171</v>
      </c>
      <c r="I688" t="s">
        <v>4493</v>
      </c>
      <c r="J688" t="s">
        <v>311</v>
      </c>
      <c r="AO688" t="s">
        <v>312</v>
      </c>
      <c r="AP688" t="s">
        <v>4494</v>
      </c>
      <c r="AT688" t="s">
        <v>125</v>
      </c>
      <c r="AU688">
        <v>2013</v>
      </c>
      <c r="AV688">
        <v>47</v>
      </c>
      <c r="AW688">
        <v>4</v>
      </c>
      <c r="BB688">
        <v>356</v>
      </c>
      <c r="BC688">
        <v>367</v>
      </c>
      <c r="BE688" t="s">
        <v>4495</v>
      </c>
      <c r="BF688" t="str">
        <f>HYPERLINK("http://dx.doi.org/10.1134/S0040579513020103","http://dx.doi.org/10.1134/S0040579513020103")</f>
        <v>http://dx.doi.org/10.1134/S0040579513020103</v>
      </c>
      <c r="BS688" t="s">
        <v>4496</v>
      </c>
      <c r="BT688" t="str">
        <f>HYPERLINK("https%3A%2F%2Fwww.webofscience.com%2Fwos%2Fwoscc%2Ffull-record%2FWOS:000323369900008","View Full Record in Web of Science")</f>
        <v>View Full Record in Web of Science</v>
      </c>
    </row>
    <row r="689" spans="1:72" ht="12.75" customHeight="1" x14ac:dyDescent="0.2">
      <c r="A689" t="s">
        <v>72</v>
      </c>
      <c r="B689" t="s">
        <v>4497</v>
      </c>
      <c r="F689" t="s">
        <v>4498</v>
      </c>
      <c r="I689" t="s">
        <v>4499</v>
      </c>
      <c r="J689" t="s">
        <v>409</v>
      </c>
      <c r="AO689" t="s">
        <v>412</v>
      </c>
      <c r="AT689" t="s">
        <v>541</v>
      </c>
      <c r="AU689">
        <v>2007</v>
      </c>
      <c r="AV689">
        <v>80</v>
      </c>
      <c r="AW689">
        <v>1</v>
      </c>
      <c r="BB689">
        <v>62</v>
      </c>
      <c r="BC689">
        <v>65</v>
      </c>
      <c r="BE689" t="s">
        <v>4500</v>
      </c>
      <c r="BF689" t="str">
        <f>HYPERLINK("http://dx.doi.org/10.1134/S1070427207010120","http://dx.doi.org/10.1134/S1070427207010120")</f>
        <v>http://dx.doi.org/10.1134/S1070427207010120</v>
      </c>
      <c r="BS689" t="s">
        <v>4501</v>
      </c>
      <c r="BT689" t="str">
        <f>HYPERLINK("https%3A%2F%2Fwww.webofscience.com%2Fwos%2Fwoscc%2Ffull-record%2FWOS:000244828900012","View Full Record in Web of Science")</f>
        <v>View Full Record in Web of Science</v>
      </c>
    </row>
    <row r="690" spans="1:72" ht="12.75" customHeight="1" x14ac:dyDescent="0.2">
      <c r="A690" t="s">
        <v>72</v>
      </c>
      <c r="B690" t="s">
        <v>2437</v>
      </c>
      <c r="F690" t="s">
        <v>2437</v>
      </c>
      <c r="I690" t="s">
        <v>4502</v>
      </c>
      <c r="J690" t="s">
        <v>708</v>
      </c>
      <c r="AO690" t="s">
        <v>709</v>
      </c>
      <c r="AT690" t="s">
        <v>541</v>
      </c>
      <c r="AU690">
        <v>2004</v>
      </c>
      <c r="AV690">
        <v>97</v>
      </c>
      <c r="AW690">
        <v>1</v>
      </c>
      <c r="BB690">
        <v>94</v>
      </c>
      <c r="BC690">
        <v>97</v>
      </c>
      <c r="BS690" t="s">
        <v>4503</v>
      </c>
      <c r="BT690" t="str">
        <f>HYPERLINK("https%3A%2F%2Fwww.webofscience.com%2Fwos%2Fwoscc%2Ffull-record%2FWOS:000189119800014","View Full Record in Web of Science")</f>
        <v>View Full Record in Web of Science</v>
      </c>
    </row>
    <row r="691" spans="1:72" ht="12.75" customHeight="1" x14ac:dyDescent="0.2">
      <c r="A691" t="s">
        <v>72</v>
      </c>
      <c r="B691" t="s">
        <v>4504</v>
      </c>
      <c r="F691" t="s">
        <v>4504</v>
      </c>
      <c r="I691" t="s">
        <v>4505</v>
      </c>
      <c r="J691" t="s">
        <v>4506</v>
      </c>
      <c r="AO691" t="s">
        <v>4507</v>
      </c>
      <c r="AT691" t="s">
        <v>313</v>
      </c>
      <c r="AU691">
        <v>1997</v>
      </c>
      <c r="AV691">
        <v>33</v>
      </c>
      <c r="AW691">
        <v>4</v>
      </c>
      <c r="BB691">
        <v>560</v>
      </c>
      <c r="BC691">
        <v>564</v>
      </c>
      <c r="BE691" t="s">
        <v>4508</v>
      </c>
      <c r="BF691" t="str">
        <f>HYPERLINK("http://dx.doi.org/10.1007/BF02537553","http://dx.doi.org/10.1007/BF02537553")</f>
        <v>http://dx.doi.org/10.1007/BF02537553</v>
      </c>
      <c r="BS691" t="s">
        <v>4509</v>
      </c>
      <c r="BT691" t="str">
        <f>HYPERLINK("https%3A%2F%2Fwww.webofscience.com%2Fwos%2Fwoscc%2Ffull-record%2FWOS:000075783700017","View Full Record in Web of Science")</f>
        <v>View Full Record in Web of Science</v>
      </c>
    </row>
    <row r="692" spans="1:72" ht="12.75" customHeight="1" x14ac:dyDescent="0.2">
      <c r="A692" t="s">
        <v>72</v>
      </c>
      <c r="B692" t="s">
        <v>4510</v>
      </c>
      <c r="F692" t="s">
        <v>4511</v>
      </c>
      <c r="I692" t="s">
        <v>4512</v>
      </c>
      <c r="J692" t="s">
        <v>1087</v>
      </c>
      <c r="AO692" t="s">
        <v>1093</v>
      </c>
      <c r="AP692" t="s">
        <v>1094</v>
      </c>
      <c r="AT692" t="s">
        <v>171</v>
      </c>
      <c r="AU692">
        <v>2022</v>
      </c>
      <c r="AV692">
        <v>59</v>
      </c>
      <c r="AW692">
        <v>1</v>
      </c>
      <c r="BB692">
        <v>8</v>
      </c>
      <c r="BC692">
        <v>17</v>
      </c>
      <c r="BE692" t="s">
        <v>4513</v>
      </c>
      <c r="BF692" t="str">
        <f>HYPERLINK("http://dx.doi.org/10.37358/MP.22.1.5555","http://dx.doi.org/10.37358/MP.22.1.5555")</f>
        <v>http://dx.doi.org/10.37358/MP.22.1.5555</v>
      </c>
      <c r="BS692" t="s">
        <v>4514</v>
      </c>
      <c r="BT692" t="str">
        <f>HYPERLINK("https%3A%2F%2Fwww.webofscience.com%2Fwos%2Fwoscc%2Ffull-record%2FWOS:000783749900001","View Full Record in Web of Science")</f>
        <v>View Full Record in Web of Science</v>
      </c>
    </row>
    <row r="693" spans="1:72" ht="12.75" customHeight="1" x14ac:dyDescent="0.2">
      <c r="A693" t="s">
        <v>72</v>
      </c>
      <c r="B693" t="s">
        <v>4515</v>
      </c>
      <c r="F693" t="s">
        <v>4516</v>
      </c>
      <c r="I693" t="s">
        <v>4517</v>
      </c>
      <c r="J693" t="s">
        <v>95</v>
      </c>
      <c r="AA693" t="s">
        <v>4518</v>
      </c>
      <c r="AB693" t="s">
        <v>4519</v>
      </c>
      <c r="AO693" t="s">
        <v>98</v>
      </c>
      <c r="AP693" t="s">
        <v>99</v>
      </c>
      <c r="AU693">
        <v>2022</v>
      </c>
      <c r="AW693">
        <v>1</v>
      </c>
      <c r="BB693">
        <v>191</v>
      </c>
      <c r="BC693">
        <v>197</v>
      </c>
      <c r="BE693" t="s">
        <v>4520</v>
      </c>
      <c r="BF693" t="str">
        <f>HYPERLINK("http://dx.doi.org/10.25750/1995-4301-2022-1-191-197","http://dx.doi.org/10.25750/1995-4301-2022-1-191-197")</f>
        <v>http://dx.doi.org/10.25750/1995-4301-2022-1-191-197</v>
      </c>
      <c r="BS693" t="s">
        <v>4521</v>
      </c>
      <c r="BT693" t="str">
        <f>HYPERLINK("https%3A%2F%2Fwww.webofscience.com%2Fwos%2Fwoscc%2Ffull-record%2FWOS:000819811100027","View Full Record in Web of Science")</f>
        <v>View Full Record in Web of Science</v>
      </c>
    </row>
    <row r="694" spans="1:72" ht="12.75" customHeight="1" x14ac:dyDescent="0.2">
      <c r="A694" t="s">
        <v>72</v>
      </c>
      <c r="B694" t="s">
        <v>4522</v>
      </c>
      <c r="F694" t="s">
        <v>4523</v>
      </c>
      <c r="I694" t="s">
        <v>4524</v>
      </c>
      <c r="J694" t="s">
        <v>95</v>
      </c>
      <c r="AA694" t="s">
        <v>4525</v>
      </c>
      <c r="AB694" t="s">
        <v>4526</v>
      </c>
      <c r="AO694" t="s">
        <v>98</v>
      </c>
      <c r="AP694" t="s">
        <v>99</v>
      </c>
      <c r="AU694">
        <v>2021</v>
      </c>
      <c r="AW694">
        <v>4</v>
      </c>
      <c r="BB694">
        <v>64</v>
      </c>
      <c r="BC694">
        <v>70</v>
      </c>
      <c r="BE694" t="s">
        <v>4527</v>
      </c>
      <c r="BF694" t="str">
        <f>HYPERLINK("http://dx.doi.org/10.25750/1995-4301-2021-4-064-070","http://dx.doi.org/10.25750/1995-4301-2021-4-064-070")</f>
        <v>http://dx.doi.org/10.25750/1995-4301-2021-4-064-070</v>
      </c>
      <c r="BS694" t="s">
        <v>4528</v>
      </c>
      <c r="BT694" t="str">
        <f>HYPERLINK("https%3A%2F%2Fwww.webofscience.com%2Fwos%2Fwoscc%2Ffull-record%2FWOS:000755154100009","View Full Record in Web of Science")</f>
        <v>View Full Record in Web of Science</v>
      </c>
    </row>
    <row r="695" spans="1:72" ht="12.75" customHeight="1" x14ac:dyDescent="0.2">
      <c r="A695" t="s">
        <v>72</v>
      </c>
      <c r="B695" t="s">
        <v>378</v>
      </c>
      <c r="F695" t="s">
        <v>2100</v>
      </c>
      <c r="I695" t="s">
        <v>4529</v>
      </c>
      <c r="J695" t="s">
        <v>1652</v>
      </c>
      <c r="AA695" t="s">
        <v>553</v>
      </c>
      <c r="AB695" t="s">
        <v>554</v>
      </c>
      <c r="AO695" t="s">
        <v>1653</v>
      </c>
      <c r="AT695" t="s">
        <v>2368</v>
      </c>
      <c r="AU695">
        <v>2020</v>
      </c>
      <c r="AV695">
        <v>14</v>
      </c>
      <c r="AW695">
        <v>2</v>
      </c>
      <c r="BB695">
        <v>1043</v>
      </c>
      <c r="BC695">
        <v>1045</v>
      </c>
      <c r="BS695" t="s">
        <v>4530</v>
      </c>
      <c r="BT695" t="str">
        <f>HYPERLINK("https%3A%2F%2Fwww.webofscience.com%2Fwos%2Fwoscc%2Ffull-record%2FWOS:000619393300195","View Full Record in Web of Science")</f>
        <v>View Full Record in Web of Science</v>
      </c>
    </row>
    <row r="696" spans="1:72" ht="12.75" customHeight="1" x14ac:dyDescent="0.2">
      <c r="A696" t="s">
        <v>72</v>
      </c>
      <c r="B696" t="s">
        <v>378</v>
      </c>
      <c r="F696" t="s">
        <v>1226</v>
      </c>
      <c r="I696" t="s">
        <v>4531</v>
      </c>
      <c r="J696" t="s">
        <v>1652</v>
      </c>
      <c r="AA696" t="s">
        <v>553</v>
      </c>
      <c r="AB696" t="s">
        <v>554</v>
      </c>
      <c r="AO696" t="s">
        <v>1653</v>
      </c>
      <c r="AT696" t="s">
        <v>3420</v>
      </c>
      <c r="AU696">
        <v>2020</v>
      </c>
      <c r="AV696">
        <v>14</v>
      </c>
      <c r="AW696">
        <v>1</v>
      </c>
      <c r="BB696">
        <v>544</v>
      </c>
      <c r="BC696">
        <v>546</v>
      </c>
      <c r="BS696" t="s">
        <v>4532</v>
      </c>
      <c r="BT696" t="str">
        <f>HYPERLINK("https%3A%2F%2Fwww.webofscience.com%2Fwos%2Fwoscc%2Ffull-record%2FWOS:000532483500140","View Full Record in Web of Science")</f>
        <v>View Full Record in Web of Science</v>
      </c>
    </row>
    <row r="697" spans="1:72" ht="12.75" customHeight="1" x14ac:dyDescent="0.2">
      <c r="A697" t="s">
        <v>72</v>
      </c>
      <c r="B697" t="s">
        <v>378</v>
      </c>
      <c r="F697" t="s">
        <v>1226</v>
      </c>
      <c r="I697" t="s">
        <v>4533</v>
      </c>
      <c r="J697" t="s">
        <v>381</v>
      </c>
      <c r="AA697" t="s">
        <v>553</v>
      </c>
      <c r="AB697" t="s">
        <v>554</v>
      </c>
      <c r="AO697" t="s">
        <v>382</v>
      </c>
      <c r="AT697" t="s">
        <v>4534</v>
      </c>
      <c r="AU697">
        <v>2020</v>
      </c>
      <c r="AV697">
        <v>12</v>
      </c>
      <c r="AW697">
        <v>47</v>
      </c>
      <c r="BB697">
        <v>75</v>
      </c>
      <c r="BC697">
        <v>79</v>
      </c>
      <c r="BS697" t="s">
        <v>4535</v>
      </c>
      <c r="BT697" t="str">
        <f>HYPERLINK("https%3A%2F%2Fwww.webofscience.com%2Fwos%2Fwoscc%2Ffull-record%2FWOS:000563081500010","View Full Record in Web of Science")</f>
        <v>View Full Record in Web of Science</v>
      </c>
    </row>
    <row r="698" spans="1:72" ht="12.75" customHeight="1" x14ac:dyDescent="0.2">
      <c r="A698" t="s">
        <v>72</v>
      </c>
      <c r="B698" t="s">
        <v>110</v>
      </c>
      <c r="F698" t="s">
        <v>4536</v>
      </c>
      <c r="I698" t="s">
        <v>4537</v>
      </c>
      <c r="J698" t="s">
        <v>2653</v>
      </c>
      <c r="AA698" t="s">
        <v>677</v>
      </c>
      <c r="AB698" t="s">
        <v>678</v>
      </c>
      <c r="AO698" t="s">
        <v>2656</v>
      </c>
      <c r="AP698" t="s">
        <v>2657</v>
      </c>
      <c r="AU698">
        <v>2020</v>
      </c>
      <c r="AV698">
        <v>22</v>
      </c>
      <c r="AW698">
        <v>4</v>
      </c>
      <c r="BB698">
        <v>208</v>
      </c>
      <c r="BC698">
        <v>223</v>
      </c>
      <c r="BE698" t="s">
        <v>4538</v>
      </c>
      <c r="BF698" t="str">
        <f>HYPERLINK("http://dx.doi.org/10.15826/izv2.2020.22.4.072","http://dx.doi.org/10.15826/izv2.2020.22.4.072")</f>
        <v>http://dx.doi.org/10.15826/izv2.2020.22.4.072</v>
      </c>
      <c r="BS698" t="s">
        <v>4539</v>
      </c>
      <c r="BT698" t="str">
        <f>HYPERLINK("https%3A%2F%2Fwww.webofscience.com%2Fwos%2Fwoscc%2Ffull-record%2FWOS:000604183000013","View Full Record in Web of Science")</f>
        <v>View Full Record in Web of Science</v>
      </c>
    </row>
    <row r="699" spans="1:72" ht="12.75" customHeight="1" x14ac:dyDescent="0.2">
      <c r="A699" t="s">
        <v>72</v>
      </c>
      <c r="B699" t="s">
        <v>4540</v>
      </c>
      <c r="F699" t="s">
        <v>4541</v>
      </c>
      <c r="I699" t="s">
        <v>4542</v>
      </c>
      <c r="J699" t="s">
        <v>4543</v>
      </c>
      <c r="AO699" t="s">
        <v>4544</v>
      </c>
      <c r="AT699" t="s">
        <v>125</v>
      </c>
      <c r="AU699">
        <v>2019</v>
      </c>
      <c r="AW699">
        <v>4</v>
      </c>
      <c r="BB699">
        <v>3</v>
      </c>
      <c r="BC699">
        <v>8</v>
      </c>
      <c r="BE699" t="s">
        <v>4545</v>
      </c>
      <c r="BF699" t="str">
        <f>HYPERLINK("http://dx.doi.org/10.20339/PhS.4-19.003","http://dx.doi.org/10.20339/PhS.4-19.003")</f>
        <v>http://dx.doi.org/10.20339/PhS.4-19.003</v>
      </c>
      <c r="BS699" t="s">
        <v>4546</v>
      </c>
      <c r="BT699" t="str">
        <f>HYPERLINK("https%3A%2F%2Fwww.webofscience.com%2Fwos%2Fwoscc%2Ffull-record%2FWOS:000476942200001","View Full Record in Web of Science")</f>
        <v>View Full Record in Web of Science</v>
      </c>
    </row>
    <row r="700" spans="1:72" ht="12.75" customHeight="1" x14ac:dyDescent="0.2">
      <c r="A700" t="s">
        <v>72</v>
      </c>
      <c r="B700" t="s">
        <v>4547</v>
      </c>
      <c r="F700" t="s">
        <v>4548</v>
      </c>
      <c r="I700" t="s">
        <v>4549</v>
      </c>
      <c r="J700" t="s">
        <v>4550</v>
      </c>
      <c r="AA700" t="s">
        <v>4551</v>
      </c>
      <c r="AB700" t="s">
        <v>4552</v>
      </c>
      <c r="AO700" t="s">
        <v>4553</v>
      </c>
      <c r="AT700" t="s">
        <v>491</v>
      </c>
      <c r="AU700">
        <v>2019</v>
      </c>
      <c r="AV700">
        <v>6</v>
      </c>
      <c r="AZ700" t="s">
        <v>339</v>
      </c>
      <c r="BD700">
        <v>105</v>
      </c>
      <c r="BS700" t="s">
        <v>4554</v>
      </c>
      <c r="BT700" t="str">
        <f>HYPERLINK("https%3A%2F%2Fwww.webofscience.com%2Fwos%2Fwoscc%2Ffull-record%2FWOS:000470308600018","View Full Record in Web of Science")</f>
        <v>View Full Record in Web of Science</v>
      </c>
    </row>
    <row r="701" spans="1:72" ht="12.75" customHeight="1" x14ac:dyDescent="0.2">
      <c r="A701" t="s">
        <v>147</v>
      </c>
      <c r="B701" t="s">
        <v>568</v>
      </c>
      <c r="D701" t="s">
        <v>386</v>
      </c>
      <c r="F701" t="s">
        <v>569</v>
      </c>
      <c r="I701" t="s">
        <v>4555</v>
      </c>
      <c r="J701" t="s">
        <v>389</v>
      </c>
      <c r="K701" t="s">
        <v>390</v>
      </c>
      <c r="O701" t="s">
        <v>391</v>
      </c>
      <c r="P701" t="s">
        <v>392</v>
      </c>
      <c r="Q701" t="s">
        <v>393</v>
      </c>
      <c r="R701" t="s">
        <v>394</v>
      </c>
      <c r="AA701" t="s">
        <v>1056</v>
      </c>
      <c r="AB701" t="s">
        <v>1057</v>
      </c>
      <c r="AO701" t="s">
        <v>395</v>
      </c>
      <c r="AQ701" t="s">
        <v>396</v>
      </c>
      <c r="AU701">
        <v>2019</v>
      </c>
      <c r="BB701">
        <v>374</v>
      </c>
      <c r="BC701">
        <v>377</v>
      </c>
      <c r="BS701" t="s">
        <v>4556</v>
      </c>
      <c r="BT701" t="str">
        <f>HYPERLINK("https%3A%2F%2Fwww.webofscience.com%2Fwos%2Fwoscc%2Ffull-record%2FWOS:000492146100091","View Full Record in Web of Science")</f>
        <v>View Full Record in Web of Science</v>
      </c>
    </row>
    <row r="702" spans="1:72" ht="12.75" customHeight="1" x14ac:dyDescent="0.2">
      <c r="A702" t="s">
        <v>147</v>
      </c>
      <c r="B702" t="s">
        <v>4557</v>
      </c>
      <c r="D702" t="s">
        <v>249</v>
      </c>
      <c r="F702" t="s">
        <v>4558</v>
      </c>
      <c r="I702" t="s">
        <v>4559</v>
      </c>
      <c r="J702" t="s">
        <v>1371</v>
      </c>
      <c r="O702" t="s">
        <v>1372</v>
      </c>
      <c r="P702" t="s">
        <v>1373</v>
      </c>
      <c r="Q702" t="s">
        <v>256</v>
      </c>
      <c r="S702" t="s">
        <v>257</v>
      </c>
      <c r="AA702" t="s">
        <v>4560</v>
      </c>
      <c r="AB702" t="s">
        <v>4561</v>
      </c>
      <c r="AQ702" t="s">
        <v>1374</v>
      </c>
      <c r="AU702">
        <v>2019</v>
      </c>
      <c r="BB702">
        <v>447</v>
      </c>
      <c r="BC702">
        <v>454</v>
      </c>
      <c r="BE702" t="s">
        <v>4562</v>
      </c>
      <c r="BF702" t="str">
        <f>HYPERLINK("http://dx.doi.org/10.3897/ap.1.e0422","http://dx.doi.org/10.3897/ap.1.e0422")</f>
        <v>http://dx.doi.org/10.3897/ap.1.e0422</v>
      </c>
      <c r="BS702" t="s">
        <v>4563</v>
      </c>
      <c r="BT702" t="str">
        <f>HYPERLINK("https%3A%2F%2Fwww.webofscience.com%2Fwos%2Fwoscc%2Ffull-record%2FWOS:000520005200045","View Full Record in Web of Science")</f>
        <v>View Full Record in Web of Science</v>
      </c>
    </row>
    <row r="703" spans="1:72" ht="12.75" customHeight="1" x14ac:dyDescent="0.2">
      <c r="A703" t="s">
        <v>72</v>
      </c>
      <c r="B703" t="s">
        <v>1119</v>
      </c>
      <c r="F703" t="s">
        <v>2469</v>
      </c>
      <c r="I703" t="s">
        <v>4564</v>
      </c>
      <c r="J703" t="s">
        <v>668</v>
      </c>
      <c r="AA703" t="s">
        <v>1123</v>
      </c>
      <c r="AB703" t="s">
        <v>3523</v>
      </c>
      <c r="AO703" t="s">
        <v>669</v>
      </c>
      <c r="AP703" t="s">
        <v>670</v>
      </c>
      <c r="AU703">
        <v>2019</v>
      </c>
      <c r="AW703">
        <v>10</v>
      </c>
      <c r="BB703">
        <v>434</v>
      </c>
      <c r="BC703">
        <v>451</v>
      </c>
      <c r="BE703" t="s">
        <v>4565</v>
      </c>
      <c r="BF703" t="str">
        <f>HYPERLINK("http://dx.doi.org/10.24224/2227-1295-2019-10-434-451","http://dx.doi.org/10.24224/2227-1295-2019-10-434-451")</f>
        <v>http://dx.doi.org/10.24224/2227-1295-2019-10-434-451</v>
      </c>
      <c r="BS703" t="s">
        <v>4566</v>
      </c>
      <c r="BT703" t="str">
        <f>HYPERLINK("https%3A%2F%2Fwww.webofscience.com%2Fwos%2Fwoscc%2Ffull-record%2FWOS:000493393100027","View Full Record in Web of Science")</f>
        <v>View Full Record in Web of Science</v>
      </c>
    </row>
    <row r="704" spans="1:72" ht="12.75" customHeight="1" x14ac:dyDescent="0.2">
      <c r="A704" t="s">
        <v>72</v>
      </c>
      <c r="B704" t="s">
        <v>4567</v>
      </c>
      <c r="F704" t="s">
        <v>4568</v>
      </c>
      <c r="I704" t="s">
        <v>4569</v>
      </c>
      <c r="J704" t="s">
        <v>4570</v>
      </c>
      <c r="AA704" t="s">
        <v>4571</v>
      </c>
      <c r="AB704" t="s">
        <v>4572</v>
      </c>
      <c r="AO704" t="s">
        <v>4573</v>
      </c>
      <c r="AU704">
        <v>2019</v>
      </c>
      <c r="AV704">
        <v>62</v>
      </c>
      <c r="AW704">
        <v>204</v>
      </c>
      <c r="BB704">
        <v>23</v>
      </c>
      <c r="BC704">
        <v>39</v>
      </c>
      <c r="BE704" t="s">
        <v>4574</v>
      </c>
      <c r="BF704" t="str">
        <f>HYPERLINK("http://dx.doi.org/10.12841/wood.1644-3985.268.06","http://dx.doi.org/10.12841/wood.1644-3985.268.06")</f>
        <v>http://dx.doi.org/10.12841/wood.1644-3985.268.06</v>
      </c>
      <c r="BS704" t="s">
        <v>4575</v>
      </c>
      <c r="BT704" t="str">
        <f>HYPERLINK("https%3A%2F%2Fwww.webofscience.com%2Fwos%2Fwoscc%2Ffull-record%2FWOS:000500693100002","View Full Record in Web of Science")</f>
        <v>View Full Record in Web of Science</v>
      </c>
    </row>
    <row r="705" spans="1:72" ht="12.75" customHeight="1" x14ac:dyDescent="0.2">
      <c r="A705" t="s">
        <v>1342</v>
      </c>
      <c r="B705" t="s">
        <v>232</v>
      </c>
      <c r="D705" t="s">
        <v>4576</v>
      </c>
      <c r="F705" t="s">
        <v>234</v>
      </c>
      <c r="I705" t="s">
        <v>4577</v>
      </c>
      <c r="J705" t="s">
        <v>4578</v>
      </c>
      <c r="K705" t="s">
        <v>4579</v>
      </c>
      <c r="AA705" t="s">
        <v>238</v>
      </c>
      <c r="AB705" t="s">
        <v>239</v>
      </c>
      <c r="AO705" t="s">
        <v>4580</v>
      </c>
      <c r="AP705" t="s">
        <v>4581</v>
      </c>
      <c r="AQ705" t="s">
        <v>4582</v>
      </c>
      <c r="AU705">
        <v>2019</v>
      </c>
      <c r="AV705">
        <v>169</v>
      </c>
      <c r="BB705">
        <v>131</v>
      </c>
      <c r="BC705">
        <v>143</v>
      </c>
      <c r="BE705" t="s">
        <v>4583</v>
      </c>
      <c r="BF705" t="str">
        <f>HYPERLINK("http://dx.doi.org/10.1007/978-3-319-94310-7_13","http://dx.doi.org/10.1007/978-3-319-94310-7_13")</f>
        <v>http://dx.doi.org/10.1007/978-3-319-94310-7_13</v>
      </c>
      <c r="BG705" t="s">
        <v>4584</v>
      </c>
      <c r="BS705" t="s">
        <v>4585</v>
      </c>
      <c r="BT705" t="str">
        <f>HYPERLINK("https%3A%2F%2Fwww.webofscience.com%2Fwos%2Fwoscc%2Ffull-record%2FWOS:000555691800014","View Full Record in Web of Science")</f>
        <v>View Full Record in Web of Science</v>
      </c>
    </row>
    <row r="706" spans="1:72" ht="12.75" customHeight="1" x14ac:dyDescent="0.2">
      <c r="A706" t="s">
        <v>72</v>
      </c>
      <c r="B706" t="s">
        <v>4586</v>
      </c>
      <c r="F706" t="s">
        <v>4587</v>
      </c>
      <c r="I706" t="s">
        <v>4588</v>
      </c>
      <c r="J706" t="s">
        <v>95</v>
      </c>
      <c r="AA706" t="s">
        <v>2283</v>
      </c>
      <c r="AO706" t="s">
        <v>98</v>
      </c>
      <c r="AP706" t="s">
        <v>99</v>
      </c>
      <c r="AU706">
        <v>2019</v>
      </c>
      <c r="AW706">
        <v>1</v>
      </c>
      <c r="BB706">
        <v>88</v>
      </c>
      <c r="BC706">
        <v>93</v>
      </c>
      <c r="BE706" t="s">
        <v>4589</v>
      </c>
      <c r="BF706" t="str">
        <f>HYPERLINK("http://dx.doi.org/10.25750/1995-4301-2019-1-088-093","http://dx.doi.org/10.25750/1995-4301-2019-1-088-093")</f>
        <v>http://dx.doi.org/10.25750/1995-4301-2019-1-088-093</v>
      </c>
      <c r="BS706" t="s">
        <v>4590</v>
      </c>
      <c r="BT706" t="str">
        <f>HYPERLINK("https%3A%2F%2Fwww.webofscience.com%2Fwos%2Fwoscc%2Ffull-record%2FWOS:000468565900013","View Full Record in Web of Science")</f>
        <v>View Full Record in Web of Science</v>
      </c>
    </row>
    <row r="707" spans="1:72" ht="12.75" customHeight="1" x14ac:dyDescent="0.2">
      <c r="A707" t="s">
        <v>72</v>
      </c>
      <c r="B707" t="s">
        <v>4591</v>
      </c>
      <c r="F707" t="s">
        <v>4592</v>
      </c>
      <c r="I707" t="s">
        <v>4593</v>
      </c>
      <c r="J707" t="s">
        <v>166</v>
      </c>
      <c r="AA707" t="s">
        <v>4594</v>
      </c>
      <c r="AO707" t="s">
        <v>169</v>
      </c>
      <c r="AP707" t="s">
        <v>170</v>
      </c>
      <c r="AT707" t="s">
        <v>403</v>
      </c>
      <c r="AU707">
        <v>2018</v>
      </c>
      <c r="AV707">
        <v>7</v>
      </c>
      <c r="AW707">
        <v>4</v>
      </c>
      <c r="BB707">
        <v>845</v>
      </c>
      <c r="BC707">
        <v>857</v>
      </c>
      <c r="BE707" t="s">
        <v>4595</v>
      </c>
      <c r="BF707" t="str">
        <f>HYPERLINK("http://dx.doi.org/10.13187/ejced.2018.4.845","http://dx.doi.org/10.13187/ejced.2018.4.845")</f>
        <v>http://dx.doi.org/10.13187/ejced.2018.4.845</v>
      </c>
      <c r="BS707" t="s">
        <v>4596</v>
      </c>
      <c r="BT707" t="str">
        <f>HYPERLINK("https%3A%2F%2Fwww.webofscience.com%2Fwos%2Fwoscc%2Ffull-record%2FWOS:000453622300017","View Full Record in Web of Science")</f>
        <v>View Full Record in Web of Science</v>
      </c>
    </row>
    <row r="708" spans="1:72" ht="12.75" customHeight="1" x14ac:dyDescent="0.2">
      <c r="A708" t="s">
        <v>72</v>
      </c>
      <c r="B708" t="s">
        <v>4597</v>
      </c>
      <c r="F708" t="s">
        <v>4598</v>
      </c>
      <c r="I708" t="s">
        <v>4599</v>
      </c>
      <c r="J708" t="s">
        <v>3610</v>
      </c>
      <c r="AA708" t="s">
        <v>4600</v>
      </c>
      <c r="AB708" t="s">
        <v>4601</v>
      </c>
      <c r="AO708" t="s">
        <v>3613</v>
      </c>
      <c r="AP708" t="s">
        <v>4602</v>
      </c>
      <c r="AT708" t="s">
        <v>125</v>
      </c>
      <c r="AU708">
        <v>2018</v>
      </c>
      <c r="AV708">
        <v>51</v>
      </c>
      <c r="AW708">
        <v>7</v>
      </c>
      <c r="BB708">
        <v>758</v>
      </c>
      <c r="BC708">
        <v>771</v>
      </c>
      <c r="BE708" t="s">
        <v>4603</v>
      </c>
      <c r="BF708" t="str">
        <f>HYPERLINK("http://dx.doi.org/10.1134/S1064229318070074","http://dx.doi.org/10.1134/S1064229318070074")</f>
        <v>http://dx.doi.org/10.1134/S1064229318070074</v>
      </c>
      <c r="BS708" t="s">
        <v>4604</v>
      </c>
      <c r="BT708" t="str">
        <f>HYPERLINK("https%3A%2F%2Fwww.webofscience.com%2Fwos%2Fwoscc%2Ffull-record%2FWOS:000441009400003","View Full Record in Web of Science")</f>
        <v>View Full Record in Web of Science</v>
      </c>
    </row>
    <row r="709" spans="1:72" ht="12.75" customHeight="1" x14ac:dyDescent="0.2">
      <c r="A709" t="s">
        <v>72</v>
      </c>
      <c r="B709" t="s">
        <v>4605</v>
      </c>
      <c r="F709" t="s">
        <v>4606</v>
      </c>
      <c r="I709" t="s">
        <v>4607</v>
      </c>
      <c r="J709" t="s">
        <v>131</v>
      </c>
      <c r="AA709" t="s">
        <v>2730</v>
      </c>
      <c r="AB709" t="s">
        <v>2731</v>
      </c>
      <c r="AO709" t="s">
        <v>134</v>
      </c>
      <c r="AP709" t="s">
        <v>135</v>
      </c>
      <c r="AU709">
        <v>2018</v>
      </c>
      <c r="AV709">
        <v>18</v>
      </c>
      <c r="AW709">
        <v>4</v>
      </c>
      <c r="BB709">
        <v>103</v>
      </c>
      <c r="BC709">
        <v>109</v>
      </c>
      <c r="BE709" t="s">
        <v>4608</v>
      </c>
      <c r="BF709" t="str">
        <f>HYPERLINK("http://dx.doi.org/10.14529/hsm180415","http://dx.doi.org/10.14529/hsm180415")</f>
        <v>http://dx.doi.org/10.14529/hsm180415</v>
      </c>
      <c r="BS709" t="s">
        <v>4609</v>
      </c>
      <c r="BT709" t="str">
        <f>HYPERLINK("https%3A%2F%2Fwww.webofscience.com%2Fwos%2Fwoscc%2Ffull-record%2FWOS:000458656200002","View Full Record in Web of Science")</f>
        <v>View Full Record in Web of Science</v>
      </c>
    </row>
    <row r="710" spans="1:72" ht="12.75" customHeight="1" x14ac:dyDescent="0.2">
      <c r="A710" t="s">
        <v>72</v>
      </c>
      <c r="B710" t="s">
        <v>102</v>
      </c>
      <c r="F710" t="s">
        <v>1786</v>
      </c>
      <c r="I710" t="s">
        <v>4610</v>
      </c>
      <c r="J710" t="s">
        <v>105</v>
      </c>
      <c r="AO710" t="s">
        <v>106</v>
      </c>
      <c r="AU710">
        <v>2018</v>
      </c>
      <c r="AW710">
        <v>2</v>
      </c>
      <c r="BB710">
        <v>455</v>
      </c>
      <c r="BC710">
        <v>462</v>
      </c>
      <c r="BE710" t="s">
        <v>4611</v>
      </c>
      <c r="BF710" t="str">
        <f>HYPERLINK("http://dx.doi.org/10.28995/2073-0101-2018-2-455-462","http://dx.doi.org/10.28995/2073-0101-2018-2-455-462")</f>
        <v>http://dx.doi.org/10.28995/2073-0101-2018-2-455-462</v>
      </c>
      <c r="BS710" t="s">
        <v>4612</v>
      </c>
      <c r="BT710" t="str">
        <f>HYPERLINK("https%3A%2F%2Fwww.webofscience.com%2Fwos%2Fwoscc%2Ffull-record%2FWOS:000452895600011","View Full Record in Web of Science")</f>
        <v>View Full Record in Web of Science</v>
      </c>
    </row>
    <row r="711" spans="1:72" ht="12.75" customHeight="1" x14ac:dyDescent="0.2">
      <c r="A711" t="s">
        <v>147</v>
      </c>
      <c r="B711" t="s">
        <v>2678</v>
      </c>
      <c r="E711" t="s">
        <v>210</v>
      </c>
      <c r="F711" t="s">
        <v>2679</v>
      </c>
      <c r="I711" t="s">
        <v>4613</v>
      </c>
      <c r="J711" t="s">
        <v>4614</v>
      </c>
      <c r="K711" t="s">
        <v>743</v>
      </c>
      <c r="O711" t="s">
        <v>4615</v>
      </c>
      <c r="P711" t="s">
        <v>4616</v>
      </c>
      <c r="Q711" t="s">
        <v>4617</v>
      </c>
      <c r="R711" t="s">
        <v>4618</v>
      </c>
      <c r="AA711" t="s">
        <v>1694</v>
      </c>
      <c r="AB711" t="s">
        <v>1695</v>
      </c>
      <c r="AO711" t="s">
        <v>748</v>
      </c>
      <c r="AQ711" t="s">
        <v>4619</v>
      </c>
      <c r="AU711">
        <v>2017</v>
      </c>
      <c r="BS711" t="s">
        <v>4620</v>
      </c>
      <c r="BT711" t="str">
        <f>HYPERLINK("https%3A%2F%2Fwww.webofscience.com%2Fwos%2Fwoscc%2Ffull-record%2FWOS:000426785900169","View Full Record in Web of Science")</f>
        <v>View Full Record in Web of Science</v>
      </c>
    </row>
    <row r="712" spans="1:72" ht="12.75" customHeight="1" x14ac:dyDescent="0.2">
      <c r="A712" t="s">
        <v>147</v>
      </c>
      <c r="B712" t="s">
        <v>4621</v>
      </c>
      <c r="E712" t="s">
        <v>175</v>
      </c>
      <c r="F712" t="s">
        <v>4622</v>
      </c>
      <c r="I712" t="s">
        <v>4623</v>
      </c>
      <c r="J712" t="s">
        <v>2405</v>
      </c>
      <c r="K712" t="s">
        <v>1469</v>
      </c>
      <c r="O712" t="s">
        <v>1619</v>
      </c>
      <c r="P712" t="s">
        <v>2406</v>
      </c>
      <c r="Q712" t="s">
        <v>1542</v>
      </c>
      <c r="R712" t="s">
        <v>2407</v>
      </c>
      <c r="AO712" t="s">
        <v>1472</v>
      </c>
      <c r="AU712">
        <v>2017</v>
      </c>
      <c r="AV712">
        <v>262</v>
      </c>
      <c r="BD712">
        <v>12052</v>
      </c>
      <c r="BE712" t="s">
        <v>4624</v>
      </c>
      <c r="BF712" t="str">
        <f>HYPERLINK("http://dx.doi.org/10.1088/1757-899X/262/1/012052","http://dx.doi.org/10.1088/1757-899X/262/1/012052")</f>
        <v>http://dx.doi.org/10.1088/1757-899X/262/1/012052</v>
      </c>
      <c r="BS712" t="s">
        <v>4625</v>
      </c>
      <c r="BT712" t="str">
        <f>HYPERLINK("https%3A%2F%2Fwww.webofscience.com%2Fwos%2Fwoscc%2Ffull-record%2FWOS:000423728200052","View Full Record in Web of Science")</f>
        <v>View Full Record in Web of Science</v>
      </c>
    </row>
    <row r="713" spans="1:72" ht="12.75" customHeight="1" x14ac:dyDescent="0.2">
      <c r="A713" t="s">
        <v>72</v>
      </c>
      <c r="B713" t="s">
        <v>2218</v>
      </c>
      <c r="F713" t="s">
        <v>4626</v>
      </c>
      <c r="I713" t="s">
        <v>4627</v>
      </c>
      <c r="J713" t="s">
        <v>244</v>
      </c>
      <c r="AA713" t="s">
        <v>2317</v>
      </c>
      <c r="AB713" t="s">
        <v>4628</v>
      </c>
      <c r="AO713" t="s">
        <v>245</v>
      </c>
      <c r="AP713" t="s">
        <v>246</v>
      </c>
      <c r="AU713">
        <v>2017</v>
      </c>
      <c r="AW713">
        <v>11</v>
      </c>
      <c r="BB713">
        <v>151</v>
      </c>
      <c r="BC713">
        <v>155</v>
      </c>
      <c r="BS713" t="s">
        <v>4629</v>
      </c>
      <c r="BT713" t="str">
        <f>HYPERLINK("https%3A%2F%2Fwww.webofscience.com%2Fwos%2Fwoscc%2Ffull-record%2FWOS:000430880200012","View Full Record in Web of Science")</f>
        <v>View Full Record in Web of Science</v>
      </c>
    </row>
    <row r="714" spans="1:72" ht="12.75" customHeight="1" x14ac:dyDescent="0.2">
      <c r="A714" t="s">
        <v>72</v>
      </c>
      <c r="B714" t="s">
        <v>279</v>
      </c>
      <c r="F714" t="s">
        <v>3843</v>
      </c>
      <c r="I714" t="s">
        <v>4630</v>
      </c>
      <c r="J714" t="s">
        <v>244</v>
      </c>
      <c r="AO714" t="s">
        <v>245</v>
      </c>
      <c r="AP714" t="s">
        <v>246</v>
      </c>
      <c r="AU714">
        <v>2016</v>
      </c>
      <c r="AW714">
        <v>9</v>
      </c>
      <c r="BB714">
        <v>46</v>
      </c>
      <c r="BC714">
        <v>59</v>
      </c>
      <c r="BS714" t="s">
        <v>4631</v>
      </c>
      <c r="BT714" t="str">
        <f>HYPERLINK("https%3A%2F%2Fwww.webofscience.com%2Fwos%2Fwoscc%2Ffull-record%2FWOS:000386421700003","View Full Record in Web of Science")</f>
        <v>View Full Record in Web of Science</v>
      </c>
    </row>
    <row r="715" spans="1:72" ht="12.75" customHeight="1" x14ac:dyDescent="0.2">
      <c r="A715" t="s">
        <v>72</v>
      </c>
      <c r="B715" t="s">
        <v>4632</v>
      </c>
      <c r="F715" t="s">
        <v>4633</v>
      </c>
      <c r="I715" t="s">
        <v>4634</v>
      </c>
      <c r="J715" t="s">
        <v>409</v>
      </c>
      <c r="AA715" t="s">
        <v>480</v>
      </c>
      <c r="AB715" t="s">
        <v>481</v>
      </c>
      <c r="AO715" t="s">
        <v>412</v>
      </c>
      <c r="AT715" t="s">
        <v>198</v>
      </c>
      <c r="AU715">
        <v>2012</v>
      </c>
      <c r="AV715">
        <v>85</v>
      </c>
      <c r="AW715">
        <v>4</v>
      </c>
      <c r="BB715">
        <v>616</v>
      </c>
      <c r="BC715">
        <v>620</v>
      </c>
      <c r="BE715" t="s">
        <v>4635</v>
      </c>
      <c r="BF715" t="str">
        <f>HYPERLINK("http://dx.doi.org/10.1134/S1070427212040143","http://dx.doi.org/10.1134/S1070427212040143")</f>
        <v>http://dx.doi.org/10.1134/S1070427212040143</v>
      </c>
      <c r="BS715" t="s">
        <v>4636</v>
      </c>
      <c r="BT715" t="str">
        <f>HYPERLINK("https%3A%2F%2Fwww.webofscience.com%2Fwos%2Fwoscc%2Ffull-record%2FWOS:000304155200014","View Full Record in Web of Science")</f>
        <v>View Full Record in Web of Science</v>
      </c>
    </row>
    <row r="716" spans="1:72" ht="12.75" customHeight="1" x14ac:dyDescent="0.2">
      <c r="A716" t="s">
        <v>72</v>
      </c>
      <c r="B716" t="s">
        <v>4637</v>
      </c>
      <c r="F716" t="s">
        <v>4638</v>
      </c>
      <c r="I716" t="s">
        <v>4639</v>
      </c>
      <c r="J716" t="s">
        <v>1905</v>
      </c>
      <c r="AB716" t="s">
        <v>2399</v>
      </c>
      <c r="AO716" t="s">
        <v>1906</v>
      </c>
      <c r="AP716" t="s">
        <v>1912</v>
      </c>
      <c r="AT716" t="s">
        <v>491</v>
      </c>
      <c r="AU716">
        <v>2009</v>
      </c>
      <c r="AV716">
        <v>35</v>
      </c>
      <c r="AW716">
        <v>3</v>
      </c>
      <c r="BB716">
        <v>346</v>
      </c>
      <c r="BC716">
        <v>354</v>
      </c>
      <c r="BE716" t="s">
        <v>4640</v>
      </c>
      <c r="BF716" t="str">
        <f>HYPERLINK("http://dx.doi.org/10.1134/S108765960903016X","http://dx.doi.org/10.1134/S108765960903016X")</f>
        <v>http://dx.doi.org/10.1134/S108765960903016X</v>
      </c>
      <c r="BS716" t="s">
        <v>4641</v>
      </c>
      <c r="BT716" t="str">
        <f>HYPERLINK("https%3A%2F%2Fwww.webofscience.com%2Fwos%2Fwoscc%2Ffull-record%2FWOS:000267486100016","View Full Record in Web of Science")</f>
        <v>View Full Record in Web of Science</v>
      </c>
    </row>
    <row r="717" spans="1:72" ht="12.75" customHeight="1" x14ac:dyDescent="0.2">
      <c r="A717" t="s">
        <v>72</v>
      </c>
      <c r="B717" t="s">
        <v>4642</v>
      </c>
      <c r="F717" t="s">
        <v>4643</v>
      </c>
      <c r="I717" t="s">
        <v>4644</v>
      </c>
      <c r="J717" t="s">
        <v>4382</v>
      </c>
      <c r="AO717" t="s">
        <v>4383</v>
      </c>
      <c r="AP717" t="s">
        <v>4384</v>
      </c>
      <c r="AT717" t="s">
        <v>125</v>
      </c>
      <c r="AU717">
        <v>2008</v>
      </c>
      <c r="AV717">
        <v>1</v>
      </c>
      <c r="AW717">
        <v>3</v>
      </c>
      <c r="BB717">
        <v>287</v>
      </c>
      <c r="BC717">
        <v>295</v>
      </c>
      <c r="BE717" t="s">
        <v>4645</v>
      </c>
      <c r="BF717" t="str">
        <f>HYPERLINK("http://dx.doi.org/10.1134/S1995082908030139","http://dx.doi.org/10.1134/S1995082908030139")</f>
        <v>http://dx.doi.org/10.1134/S1995082908030139</v>
      </c>
      <c r="BS717" t="s">
        <v>4646</v>
      </c>
      <c r="BT717" t="str">
        <f>HYPERLINK("https%3A%2F%2Fwww.webofscience.com%2Fwos%2Fwoscc%2Ffull-record%2FWOS:000259462900013","View Full Record in Web of Science")</f>
        <v>View Full Record in Web of Science</v>
      </c>
    </row>
    <row r="718" spans="1:72" ht="12.75" customHeight="1" x14ac:dyDescent="0.2">
      <c r="A718" t="s">
        <v>72</v>
      </c>
      <c r="B718" t="s">
        <v>4647</v>
      </c>
      <c r="F718" t="s">
        <v>4648</v>
      </c>
      <c r="I718" t="s">
        <v>4649</v>
      </c>
      <c r="J718" t="s">
        <v>304</v>
      </c>
      <c r="AA718" t="s">
        <v>608</v>
      </c>
      <c r="AB718" t="s">
        <v>609</v>
      </c>
      <c r="AO718" t="s">
        <v>77</v>
      </c>
      <c r="AT718" t="s">
        <v>2803</v>
      </c>
      <c r="AU718">
        <v>2007</v>
      </c>
      <c r="AW718">
        <v>2</v>
      </c>
      <c r="BB718">
        <v>196</v>
      </c>
      <c r="BC718">
        <v>197</v>
      </c>
      <c r="BS718" t="s">
        <v>4650</v>
      </c>
      <c r="BT718" t="str">
        <f>HYPERLINK("https%3A%2F%2Fwww.webofscience.com%2Fwos%2Fwoscc%2Ffull-record%2FWOS:000245904600016","View Full Record in Web of Science")</f>
        <v>View Full Record in Web of Science</v>
      </c>
    </row>
    <row r="719" spans="1:72" ht="12.75" customHeight="1" x14ac:dyDescent="0.2">
      <c r="A719" t="s">
        <v>72</v>
      </c>
      <c r="B719" t="s">
        <v>4651</v>
      </c>
      <c r="F719" t="s">
        <v>4652</v>
      </c>
      <c r="I719" t="s">
        <v>4653</v>
      </c>
      <c r="J719" t="s">
        <v>2004</v>
      </c>
      <c r="AA719" t="s">
        <v>2005</v>
      </c>
      <c r="AB719" t="s">
        <v>2006</v>
      </c>
      <c r="AO719" t="s">
        <v>2007</v>
      </c>
      <c r="AP719" t="s">
        <v>2008</v>
      </c>
      <c r="AT719" t="s">
        <v>403</v>
      </c>
      <c r="AU719">
        <v>2014</v>
      </c>
      <c r="AV719">
        <v>54</v>
      </c>
      <c r="AW719">
        <v>8</v>
      </c>
      <c r="BB719">
        <v>625</v>
      </c>
      <c r="BC719">
        <v>630</v>
      </c>
      <c r="BE719" t="s">
        <v>4654</v>
      </c>
      <c r="BF719" t="str">
        <f>HYPERLINK("http://dx.doi.org/10.1134/S0965544114080040","http://dx.doi.org/10.1134/S0965544114080040")</f>
        <v>http://dx.doi.org/10.1134/S0965544114080040</v>
      </c>
      <c r="BS719" t="s">
        <v>4655</v>
      </c>
      <c r="BT719" t="str">
        <f>HYPERLINK("https%3A%2F%2Fwww.webofscience.com%2Fwos%2Fwoscc%2Ffull-record%2FWOS:000347556300007","View Full Record in Web of Science")</f>
        <v>View Full Record in Web of Science</v>
      </c>
    </row>
    <row r="720" spans="1:72" ht="12.75" customHeight="1" x14ac:dyDescent="0.2">
      <c r="A720" t="s">
        <v>72</v>
      </c>
      <c r="B720" t="s">
        <v>4656</v>
      </c>
      <c r="F720" t="s">
        <v>4657</v>
      </c>
      <c r="I720" t="s">
        <v>4658</v>
      </c>
      <c r="J720" t="s">
        <v>716</v>
      </c>
      <c r="AO720" t="s">
        <v>719</v>
      </c>
      <c r="AP720" t="s">
        <v>720</v>
      </c>
      <c r="AT720" t="s">
        <v>319</v>
      </c>
      <c r="AU720">
        <v>2022</v>
      </c>
      <c r="AW720">
        <v>484</v>
      </c>
      <c r="BB720">
        <v>157</v>
      </c>
      <c r="BC720">
        <v>167</v>
      </c>
      <c r="BE720" t="s">
        <v>4659</v>
      </c>
      <c r="BF720" t="str">
        <f>HYPERLINK("http://dx.doi.org/10.17223/15617793/484/18","http://dx.doi.org/10.17223/15617793/484/18")</f>
        <v>http://dx.doi.org/10.17223/15617793/484/18</v>
      </c>
      <c r="BS720" t="s">
        <v>4660</v>
      </c>
      <c r="BT720" t="str">
        <f>HYPERLINK("https%3A%2F%2Fwww.webofscience.com%2Fwos%2Fwoscc%2Ffull-record%2FWOS:000952852900018","View Full Record in Web of Science")</f>
        <v>View Full Record in Web of Science</v>
      </c>
    </row>
    <row r="721" spans="1:72" ht="12.75" customHeight="1" x14ac:dyDescent="0.2">
      <c r="A721" t="s">
        <v>72</v>
      </c>
      <c r="B721" t="s">
        <v>2877</v>
      </c>
      <c r="F721" t="s">
        <v>2878</v>
      </c>
      <c r="I721" t="s">
        <v>4661</v>
      </c>
      <c r="J721" t="s">
        <v>2880</v>
      </c>
      <c r="AO721" t="s">
        <v>2881</v>
      </c>
      <c r="AP721" t="s">
        <v>2882</v>
      </c>
      <c r="AT721" t="s">
        <v>171</v>
      </c>
      <c r="AU721">
        <v>2020</v>
      </c>
      <c r="AV721">
        <v>53</v>
      </c>
      <c r="AW721">
        <v>6</v>
      </c>
      <c r="BB721">
        <v>380</v>
      </c>
      <c r="BC721">
        <v>382</v>
      </c>
      <c r="BE721" t="s">
        <v>4662</v>
      </c>
      <c r="BF721" t="str">
        <f>HYPERLINK("http://dx.doi.org/10.1007/s10527-020-09947-9","http://dx.doi.org/10.1007/s10527-020-09947-9")</f>
        <v>http://dx.doi.org/10.1007/s10527-020-09947-9</v>
      </c>
      <c r="BS721" t="s">
        <v>4663</v>
      </c>
      <c r="BT721" t="str">
        <f>HYPERLINK("https%3A%2F%2Fwww.webofscience.com%2Fwos%2Fwoscc%2Ffull-record%2FWOS:000748254500002","View Full Record in Web of Science")</f>
        <v>View Full Record in Web of Science</v>
      </c>
    </row>
    <row r="722" spans="1:72" ht="12.75" customHeight="1" x14ac:dyDescent="0.2">
      <c r="A722" t="s">
        <v>72</v>
      </c>
      <c r="B722" t="s">
        <v>4664</v>
      </c>
      <c r="F722" t="s">
        <v>4665</v>
      </c>
      <c r="I722" t="s">
        <v>4666</v>
      </c>
      <c r="J722" t="s">
        <v>131</v>
      </c>
      <c r="AA722" t="s">
        <v>4667</v>
      </c>
      <c r="AB722" t="s">
        <v>4668</v>
      </c>
      <c r="AO722" t="s">
        <v>134</v>
      </c>
      <c r="AP722" t="s">
        <v>135</v>
      </c>
      <c r="AU722">
        <v>2018</v>
      </c>
      <c r="AV722">
        <v>18</v>
      </c>
      <c r="AW722">
        <v>3</v>
      </c>
      <c r="BB722">
        <v>144</v>
      </c>
      <c r="BC722">
        <v>154</v>
      </c>
      <c r="BE722" t="s">
        <v>4669</v>
      </c>
      <c r="BF722" t="str">
        <f>HYPERLINK("http://dx.doi.org/10.14529/hsm180314","http://dx.doi.org/10.14529/hsm180314")</f>
        <v>http://dx.doi.org/10.14529/hsm180314</v>
      </c>
      <c r="BS722" t="s">
        <v>4670</v>
      </c>
      <c r="BT722" t="str">
        <f>HYPERLINK("https%3A%2F%2Fwww.webofscience.com%2Fwos%2Fwoscc%2Ffull-record%2FWOS:000454315400002","View Full Record in Web of Science")</f>
        <v>View Full Record in Web of Science</v>
      </c>
    </row>
    <row r="723" spans="1:72" ht="12.75" customHeight="1" x14ac:dyDescent="0.2">
      <c r="A723" t="s">
        <v>72</v>
      </c>
      <c r="B723" t="s">
        <v>4671</v>
      </c>
      <c r="F723" t="s">
        <v>4672</v>
      </c>
      <c r="I723" t="s">
        <v>4673</v>
      </c>
      <c r="J723" t="s">
        <v>244</v>
      </c>
      <c r="AA723" t="s">
        <v>1460</v>
      </c>
      <c r="AB723" t="s">
        <v>1461</v>
      </c>
      <c r="AO723" t="s">
        <v>245</v>
      </c>
      <c r="AP723" t="s">
        <v>246</v>
      </c>
      <c r="AU723">
        <v>2021</v>
      </c>
      <c r="AV723">
        <v>8</v>
      </c>
      <c r="AW723">
        <v>1</v>
      </c>
      <c r="BB723">
        <v>244</v>
      </c>
      <c r="BC723">
        <v>250</v>
      </c>
      <c r="BE723" t="s">
        <v>4674</v>
      </c>
      <c r="BF723" t="str">
        <f>HYPERLINK("http://dx.doi.org/10.31166/VoprosyIstorii202108Statyi20","http://dx.doi.org/10.31166/VoprosyIstorii202108Statyi20")</f>
        <v>http://dx.doi.org/10.31166/VoprosyIstorii202108Statyi20</v>
      </c>
      <c r="BS723" t="s">
        <v>4675</v>
      </c>
      <c r="BT723" t="str">
        <f>HYPERLINK("https%3A%2F%2Fwww.webofscience.com%2Fwos%2Fwoscc%2Ffull-record%2FWOS:000729816800022","View Full Record in Web of Science")</f>
        <v>View Full Record in Web of Science</v>
      </c>
    </row>
    <row r="724" spans="1:72" ht="12.75" customHeight="1" x14ac:dyDescent="0.2">
      <c r="A724" t="s">
        <v>72</v>
      </c>
      <c r="B724" t="s">
        <v>4676</v>
      </c>
      <c r="F724" t="s">
        <v>4676</v>
      </c>
      <c r="I724" t="s">
        <v>4677</v>
      </c>
      <c r="J724" t="s">
        <v>971</v>
      </c>
      <c r="AO724" t="s">
        <v>973</v>
      </c>
      <c r="AP724" t="s">
        <v>974</v>
      </c>
      <c r="AT724" t="s">
        <v>78</v>
      </c>
      <c r="AU724">
        <v>2004</v>
      </c>
      <c r="AV724">
        <v>40</v>
      </c>
      <c r="AW724">
        <v>3</v>
      </c>
      <c r="BB724">
        <v>266</v>
      </c>
      <c r="BC724">
        <v>271</v>
      </c>
      <c r="BE724" t="s">
        <v>4678</v>
      </c>
      <c r="BF724" t="str">
        <f>HYPERLINK("http://dx.doi.org/10.1023/B:ABIM.0000025950.07659.92","http://dx.doi.org/10.1023/B:ABIM.0000025950.07659.92")</f>
        <v>http://dx.doi.org/10.1023/B:ABIM.0000025950.07659.92</v>
      </c>
      <c r="BS724" t="s">
        <v>4679</v>
      </c>
      <c r="BT724" t="str">
        <f>HYPERLINK("https%3A%2F%2Fwww.webofscience.com%2Fwos%2Fwoscc%2Ffull-record%2FWOS:000221647800010","View Full Record in Web of Science")</f>
        <v>View Full Record in Web of Science</v>
      </c>
    </row>
    <row r="725" spans="1:72" ht="12.75" customHeight="1" x14ac:dyDescent="0.2">
      <c r="A725" t="s">
        <v>72</v>
      </c>
      <c r="B725" t="s">
        <v>4680</v>
      </c>
      <c r="F725" t="s">
        <v>4681</v>
      </c>
      <c r="I725" t="s">
        <v>4682</v>
      </c>
      <c r="J725" t="s">
        <v>3610</v>
      </c>
      <c r="AO725" t="s">
        <v>3613</v>
      </c>
      <c r="AP725" t="s">
        <v>4602</v>
      </c>
      <c r="AT725" t="s">
        <v>88</v>
      </c>
      <c r="AU725">
        <v>2021</v>
      </c>
      <c r="AV725">
        <v>54</v>
      </c>
      <c r="AW725">
        <v>5</v>
      </c>
      <c r="BB725">
        <v>816</v>
      </c>
      <c r="BC725">
        <v>826</v>
      </c>
      <c r="BE725" t="s">
        <v>4683</v>
      </c>
      <c r="BF725" t="str">
        <f>HYPERLINK("http://dx.doi.org/10.1134/S106422932105015X","http://dx.doi.org/10.1134/S106422932105015X")</f>
        <v>http://dx.doi.org/10.1134/S106422932105015X</v>
      </c>
      <c r="BS725" t="s">
        <v>4684</v>
      </c>
      <c r="BT725" t="str">
        <f>HYPERLINK("https%3A%2F%2Fwww.webofscience.com%2Fwos%2Fwoscc%2Ffull-record%2FWOS:000654172900015","View Full Record in Web of Science")</f>
        <v>View Full Record in Web of Science</v>
      </c>
    </row>
    <row r="726" spans="1:72" ht="12.75" customHeight="1" x14ac:dyDescent="0.2">
      <c r="A726" t="s">
        <v>72</v>
      </c>
      <c r="B726" t="s">
        <v>4685</v>
      </c>
      <c r="F726" t="s">
        <v>4686</v>
      </c>
      <c r="I726" t="s">
        <v>4687</v>
      </c>
      <c r="J726" t="s">
        <v>2233</v>
      </c>
      <c r="AA726" t="s">
        <v>507</v>
      </c>
      <c r="AB726" t="s">
        <v>508</v>
      </c>
      <c r="AO726" t="s">
        <v>2234</v>
      </c>
      <c r="AP726" t="s">
        <v>2235</v>
      </c>
      <c r="AU726">
        <v>2021</v>
      </c>
      <c r="AV726">
        <v>15</v>
      </c>
      <c r="AW726">
        <v>2</v>
      </c>
      <c r="BB726">
        <v>229</v>
      </c>
      <c r="BC726">
        <v>237</v>
      </c>
      <c r="BE726" t="s">
        <v>4688</v>
      </c>
      <c r="BF726" t="str">
        <f>HYPERLINK("http://dx.doi.org/10.17150/2500-4255.2021.15(2).229-237","http://dx.doi.org/10.17150/2500-4255.2021.15(2).229-237")</f>
        <v>http://dx.doi.org/10.17150/2500-4255.2021.15(2).229-237</v>
      </c>
      <c r="BS726" t="s">
        <v>4689</v>
      </c>
      <c r="BT726" t="str">
        <f>HYPERLINK("https%3A%2F%2Fwww.webofscience.com%2Fwos%2Fwoscc%2Ffull-record%2FWOS:000646592300008","View Full Record in Web of Science")</f>
        <v>View Full Record in Web of Science</v>
      </c>
    </row>
    <row r="727" spans="1:72" ht="12.75" customHeight="1" x14ac:dyDescent="0.2">
      <c r="A727" t="s">
        <v>72</v>
      </c>
      <c r="B727" t="s">
        <v>4690</v>
      </c>
      <c r="F727" t="s">
        <v>4691</v>
      </c>
      <c r="I727" t="s">
        <v>4692</v>
      </c>
      <c r="J727" t="s">
        <v>940</v>
      </c>
      <c r="AA727" t="s">
        <v>4693</v>
      </c>
      <c r="AB727" t="s">
        <v>4694</v>
      </c>
      <c r="AO727" t="s">
        <v>943</v>
      </c>
      <c r="AP727" t="s">
        <v>944</v>
      </c>
      <c r="AT727" t="s">
        <v>125</v>
      </c>
      <c r="AU727">
        <v>2019</v>
      </c>
      <c r="AV727">
        <v>61</v>
      </c>
      <c r="AW727" t="s">
        <v>1639</v>
      </c>
      <c r="BB727">
        <v>256</v>
      </c>
      <c r="BC727">
        <v>260</v>
      </c>
      <c r="BE727" t="s">
        <v>4695</v>
      </c>
      <c r="BF727" t="str">
        <f>HYPERLINK("http://dx.doi.org/10.1007/s11041-019-00410-5","http://dx.doi.org/10.1007/s11041-019-00410-5")</f>
        <v>http://dx.doi.org/10.1007/s11041-019-00410-5</v>
      </c>
      <c r="BH727" t="s">
        <v>4696</v>
      </c>
      <c r="BS727" t="s">
        <v>4697</v>
      </c>
      <c r="BT727" t="str">
        <f>HYPERLINK("https%3A%2F%2Fwww.webofscience.com%2Fwos%2Fwoscc%2Ffull-record%2FWOS:000492180000001","View Full Record in Web of Science")</f>
        <v>View Full Record in Web of Science</v>
      </c>
    </row>
    <row r="728" spans="1:72" ht="12.75" customHeight="1" x14ac:dyDescent="0.2">
      <c r="A728" t="s">
        <v>147</v>
      </c>
      <c r="B728" t="s">
        <v>4698</v>
      </c>
      <c r="D728" t="s">
        <v>1801</v>
      </c>
      <c r="F728" t="s">
        <v>4699</v>
      </c>
      <c r="I728" t="s">
        <v>4700</v>
      </c>
      <c r="J728" t="s">
        <v>1804</v>
      </c>
      <c r="K728" t="s">
        <v>1805</v>
      </c>
      <c r="O728" t="s">
        <v>1806</v>
      </c>
      <c r="P728" t="s">
        <v>1807</v>
      </c>
      <c r="Q728" t="s">
        <v>1808</v>
      </c>
      <c r="S728" t="s">
        <v>257</v>
      </c>
      <c r="AO728" t="s">
        <v>1809</v>
      </c>
      <c r="AQ728" t="s">
        <v>1810</v>
      </c>
      <c r="AU728">
        <v>2020</v>
      </c>
      <c r="BB728">
        <v>323</v>
      </c>
      <c r="BC728">
        <v>337</v>
      </c>
      <c r="BE728" t="s">
        <v>4701</v>
      </c>
      <c r="BF728" t="str">
        <f>HYPERLINK("http://dx.doi.org/10.3897/ap.2.e0323","http://dx.doi.org/10.3897/ap.2.e0323")</f>
        <v>http://dx.doi.org/10.3897/ap.2.e0323</v>
      </c>
      <c r="BS728" t="s">
        <v>4702</v>
      </c>
      <c r="BT728" t="str">
        <f>HYPERLINK("https%3A%2F%2Fwww.webofscience.com%2Fwos%2Fwoscc%2Ffull-record%2FWOS:000671896200024","View Full Record in Web of Science")</f>
        <v>View Full Record in Web of Science</v>
      </c>
    </row>
    <row r="729" spans="1:72" ht="12.75" customHeight="1" x14ac:dyDescent="0.2">
      <c r="A729" t="s">
        <v>72</v>
      </c>
      <c r="B729" t="s">
        <v>4703</v>
      </c>
      <c r="F729" t="s">
        <v>4704</v>
      </c>
      <c r="I729" t="s">
        <v>4705</v>
      </c>
      <c r="J729" t="s">
        <v>141</v>
      </c>
      <c r="AO729" t="s">
        <v>144</v>
      </c>
      <c r="AU729">
        <v>2020</v>
      </c>
      <c r="AW729">
        <v>3</v>
      </c>
      <c r="BB729">
        <v>40</v>
      </c>
      <c r="BC729">
        <v>55</v>
      </c>
      <c r="BE729" t="s">
        <v>4706</v>
      </c>
      <c r="BF729" t="str">
        <f>HYPERLINK("http://dx.doi.org/10.5281/zenodo.4018949","http://dx.doi.org/10.5281/zenodo.4018949")</f>
        <v>http://dx.doi.org/10.5281/zenodo.4018949</v>
      </c>
      <c r="BS729" t="s">
        <v>4707</v>
      </c>
      <c r="BT729" t="str">
        <f>HYPERLINK("https%3A%2F%2Fwww.webofscience.com%2Fwos%2Fwoscc%2Ffull-record%2FWOS:000573617200005","View Full Record in Web of Science")</f>
        <v>View Full Record in Web of Science</v>
      </c>
    </row>
    <row r="730" spans="1:72" ht="12.75" customHeight="1" x14ac:dyDescent="0.2">
      <c r="A730" t="s">
        <v>147</v>
      </c>
      <c r="B730" t="s">
        <v>4708</v>
      </c>
      <c r="D730" t="s">
        <v>249</v>
      </c>
      <c r="F730" t="s">
        <v>4709</v>
      </c>
      <c r="I730" t="s">
        <v>4710</v>
      </c>
      <c r="J730" t="s">
        <v>1371</v>
      </c>
      <c r="O730" t="s">
        <v>1372</v>
      </c>
      <c r="P730" t="s">
        <v>1373</v>
      </c>
      <c r="Q730" t="s">
        <v>256</v>
      </c>
      <c r="S730" t="s">
        <v>257</v>
      </c>
      <c r="AA730" t="s">
        <v>4711</v>
      </c>
      <c r="AQ730" t="s">
        <v>1374</v>
      </c>
      <c r="AU730">
        <v>2019</v>
      </c>
      <c r="BB730">
        <v>555</v>
      </c>
      <c r="BC730">
        <v>564</v>
      </c>
      <c r="BE730" t="s">
        <v>4712</v>
      </c>
      <c r="BF730" t="str">
        <f>HYPERLINK("http://dx.doi.org/10.3897/ap.1.e0526","http://dx.doi.org/10.3897/ap.1.e0526")</f>
        <v>http://dx.doi.org/10.3897/ap.1.e0526</v>
      </c>
      <c r="BS730" t="s">
        <v>4713</v>
      </c>
      <c r="BT730" t="str">
        <f>HYPERLINK("https%3A%2F%2Fwww.webofscience.com%2Fwos%2Fwoscc%2Ffull-record%2FWOS:000520005200056","View Full Record in Web of Science")</f>
        <v>View Full Record in Web of Science</v>
      </c>
    </row>
    <row r="731" spans="1:72" ht="12.75" customHeight="1" x14ac:dyDescent="0.2">
      <c r="A731" t="s">
        <v>72</v>
      </c>
      <c r="B731" t="s">
        <v>4714</v>
      </c>
      <c r="F731" t="s">
        <v>4715</v>
      </c>
      <c r="I731" t="s">
        <v>4716</v>
      </c>
      <c r="J731" t="s">
        <v>1905</v>
      </c>
      <c r="O731" t="s">
        <v>3849</v>
      </c>
      <c r="P731" t="s">
        <v>3850</v>
      </c>
      <c r="Q731" t="s">
        <v>2563</v>
      </c>
      <c r="AO731" t="s">
        <v>1906</v>
      </c>
      <c r="AP731" t="s">
        <v>1912</v>
      </c>
      <c r="AT731" t="s">
        <v>403</v>
      </c>
      <c r="AU731">
        <v>2008</v>
      </c>
      <c r="AV731">
        <v>34</v>
      </c>
      <c r="AW731">
        <v>6</v>
      </c>
      <c r="BB731">
        <v>716</v>
      </c>
      <c r="BC731">
        <v>723</v>
      </c>
      <c r="BE731" t="s">
        <v>4717</v>
      </c>
      <c r="BF731" t="str">
        <f>HYPERLINK("http://dx.doi.org/10.1134/S1087659608060096","http://dx.doi.org/10.1134/S1087659608060096")</f>
        <v>http://dx.doi.org/10.1134/S1087659608060096</v>
      </c>
      <c r="BS731" t="s">
        <v>4718</v>
      </c>
      <c r="BT731" t="str">
        <f>HYPERLINK("https%3A%2F%2Fwww.webofscience.com%2Fwos%2Fwoscc%2Ffull-record%2FWOS:000261789200009","View Full Record in Web of Science")</f>
        <v>View Full Record in Web of Science</v>
      </c>
    </row>
    <row r="732" spans="1:72" ht="12.75" customHeight="1" x14ac:dyDescent="0.2">
      <c r="A732" t="s">
        <v>72</v>
      </c>
      <c r="B732" t="s">
        <v>4719</v>
      </c>
      <c r="F732" t="s">
        <v>4720</v>
      </c>
      <c r="I732" t="s">
        <v>4721</v>
      </c>
      <c r="J732" t="s">
        <v>561</v>
      </c>
      <c r="AA732" t="s">
        <v>562</v>
      </c>
      <c r="AB732" t="s">
        <v>4722</v>
      </c>
      <c r="AO732" t="s">
        <v>564</v>
      </c>
      <c r="AP732" t="s">
        <v>565</v>
      </c>
      <c r="AT732" t="s">
        <v>171</v>
      </c>
      <c r="AU732">
        <v>2021</v>
      </c>
      <c r="AV732">
        <v>28</v>
      </c>
      <c r="AW732">
        <v>2</v>
      </c>
      <c r="BB732">
        <v>281</v>
      </c>
      <c r="BC732">
        <v>290</v>
      </c>
      <c r="BE732" t="s">
        <v>4723</v>
      </c>
      <c r="BF732" t="str">
        <f>HYPERLINK("http://dx.doi.org/10.1134/S0869864321020116","http://dx.doi.org/10.1134/S0869864321020116")</f>
        <v>http://dx.doi.org/10.1134/S0869864321020116</v>
      </c>
      <c r="BS732" t="s">
        <v>4724</v>
      </c>
      <c r="BT732" t="str">
        <f>HYPERLINK("https%3A%2F%2Fwww.webofscience.com%2Fwos%2Fwoscc%2Ffull-record%2FWOS:000675572800011","View Full Record in Web of Science")</f>
        <v>View Full Record in Web of Science</v>
      </c>
    </row>
    <row r="733" spans="1:72" ht="12.75" customHeight="1" x14ac:dyDescent="0.2">
      <c r="A733" t="s">
        <v>72</v>
      </c>
      <c r="B733" t="s">
        <v>4725</v>
      </c>
      <c r="F733" t="s">
        <v>4726</v>
      </c>
      <c r="I733" t="s">
        <v>4727</v>
      </c>
      <c r="J733" t="s">
        <v>95</v>
      </c>
      <c r="AB733" t="s">
        <v>4728</v>
      </c>
      <c r="AO733" t="s">
        <v>98</v>
      </c>
      <c r="AP733" t="s">
        <v>99</v>
      </c>
      <c r="AU733">
        <v>2021</v>
      </c>
      <c r="AW733">
        <v>1</v>
      </c>
      <c r="BB733">
        <v>172</v>
      </c>
      <c r="BC733">
        <v>180</v>
      </c>
      <c r="BE733" t="s">
        <v>4729</v>
      </c>
      <c r="BF733" t="str">
        <f>HYPERLINK("http://dx.doi.org/10.25750/1995-4301-2021-1-172-180","http://dx.doi.org/10.25750/1995-4301-2021-1-172-180")</f>
        <v>http://dx.doi.org/10.25750/1995-4301-2021-1-172-180</v>
      </c>
      <c r="BS733" t="s">
        <v>4730</v>
      </c>
      <c r="BT733" t="str">
        <f>HYPERLINK("https%3A%2F%2Fwww.webofscience.com%2Fwos%2Fwoscc%2Ffull-record%2FWOS:000632219100033","View Full Record in Web of Science")</f>
        <v>View Full Record in Web of Science</v>
      </c>
    </row>
    <row r="734" spans="1:72" ht="12.75" customHeight="1" x14ac:dyDescent="0.2">
      <c r="A734" t="s">
        <v>72</v>
      </c>
      <c r="B734" t="s">
        <v>4731</v>
      </c>
      <c r="F734" t="s">
        <v>4732</v>
      </c>
      <c r="I734" t="s">
        <v>4733</v>
      </c>
      <c r="J734" t="s">
        <v>940</v>
      </c>
      <c r="AO734" t="s">
        <v>943</v>
      </c>
      <c r="AP734" t="s">
        <v>944</v>
      </c>
      <c r="AT734" t="s">
        <v>319</v>
      </c>
      <c r="AU734">
        <v>2017</v>
      </c>
      <c r="AV734">
        <v>59</v>
      </c>
      <c r="AW734" t="s">
        <v>3862</v>
      </c>
      <c r="BB734">
        <v>504</v>
      </c>
      <c r="BC734">
        <v>508</v>
      </c>
      <c r="BE734" t="s">
        <v>4734</v>
      </c>
      <c r="BF734" t="str">
        <f>HYPERLINK("http://dx.doi.org/10.1007/s11041-017-0179-9","http://dx.doi.org/10.1007/s11041-017-0179-9")</f>
        <v>http://dx.doi.org/10.1007/s11041-017-0179-9</v>
      </c>
      <c r="BS734" t="s">
        <v>4735</v>
      </c>
      <c r="BT734" t="str">
        <f>HYPERLINK("https%3A%2F%2Fwww.webofscience.com%2Fwos%2Fwoscc%2Ffull-record%2FWOS:000415952700018","View Full Record in Web of Science")</f>
        <v>View Full Record in Web of Science</v>
      </c>
    </row>
    <row r="735" spans="1:72" ht="12.75" customHeight="1" x14ac:dyDescent="0.2">
      <c r="A735" t="s">
        <v>147</v>
      </c>
      <c r="B735" t="s">
        <v>4736</v>
      </c>
      <c r="E735" t="s">
        <v>210</v>
      </c>
      <c r="F735" t="s">
        <v>4737</v>
      </c>
      <c r="I735" t="s">
        <v>4738</v>
      </c>
      <c r="J735" t="s">
        <v>730</v>
      </c>
      <c r="O735" t="s">
        <v>421</v>
      </c>
      <c r="P735" t="s">
        <v>731</v>
      </c>
      <c r="Q735" t="s">
        <v>732</v>
      </c>
      <c r="R735" t="s">
        <v>733</v>
      </c>
      <c r="AA735" t="s">
        <v>4739</v>
      </c>
      <c r="AB735" t="s">
        <v>4740</v>
      </c>
      <c r="AQ735" t="s">
        <v>736</v>
      </c>
      <c r="AU735">
        <v>2016</v>
      </c>
      <c r="BS735" t="s">
        <v>4741</v>
      </c>
      <c r="BT735" t="str">
        <f>HYPERLINK("https%3A%2F%2Fwww.webofscience.com%2Fwos%2Fwoscc%2Ffull-record%2FWOS:000400700700060","View Full Record in Web of Science")</f>
        <v>View Full Record in Web of Science</v>
      </c>
    </row>
    <row r="736" spans="1:72" ht="12.75" customHeight="1" x14ac:dyDescent="0.2">
      <c r="A736" t="s">
        <v>72</v>
      </c>
      <c r="B736" t="s">
        <v>4742</v>
      </c>
      <c r="F736" t="s">
        <v>4743</v>
      </c>
      <c r="I736" t="s">
        <v>4744</v>
      </c>
      <c r="J736" t="s">
        <v>194</v>
      </c>
      <c r="AO736" t="s">
        <v>196</v>
      </c>
      <c r="AP736" t="s">
        <v>197</v>
      </c>
      <c r="AT736" t="s">
        <v>403</v>
      </c>
      <c r="AU736">
        <v>2022</v>
      </c>
      <c r="AV736">
        <v>30</v>
      </c>
      <c r="BB736">
        <v>95</v>
      </c>
      <c r="BC736">
        <v>112</v>
      </c>
      <c r="BE736" t="s">
        <v>4745</v>
      </c>
      <c r="BF736" t="str">
        <f>HYPERLINK("http://dx.doi.org/10.17223/23062061/30/6","http://dx.doi.org/10.17223/23062061/30/6")</f>
        <v>http://dx.doi.org/10.17223/23062061/30/6</v>
      </c>
      <c r="BS736" t="s">
        <v>4746</v>
      </c>
      <c r="BT736" t="str">
        <f>HYPERLINK("https%3A%2F%2Fwww.webofscience.com%2Fwos%2Fwoscc%2Ffull-record%2FWOS:000906501300006","View Full Record in Web of Science")</f>
        <v>View Full Record in Web of Science</v>
      </c>
    </row>
    <row r="737" spans="1:72" ht="12.75" customHeight="1" x14ac:dyDescent="0.2">
      <c r="A737" t="s">
        <v>72</v>
      </c>
      <c r="B737" t="s">
        <v>4747</v>
      </c>
      <c r="F737" t="s">
        <v>4748</v>
      </c>
      <c r="I737" t="s">
        <v>4749</v>
      </c>
      <c r="J737" t="s">
        <v>141</v>
      </c>
      <c r="AA737" t="s">
        <v>4750</v>
      </c>
      <c r="AB737" t="s">
        <v>4751</v>
      </c>
      <c r="AO737" t="s">
        <v>144</v>
      </c>
      <c r="AU737">
        <v>2020</v>
      </c>
      <c r="AW737">
        <v>2</v>
      </c>
      <c r="BB737">
        <v>108</v>
      </c>
      <c r="BC737">
        <v>122</v>
      </c>
      <c r="BE737" t="s">
        <v>4752</v>
      </c>
      <c r="BF737" t="str">
        <f>HYPERLINK("http://dx.doi.org/10.5281/zenodo.3898322","http://dx.doi.org/10.5281/zenodo.3898322")</f>
        <v>http://dx.doi.org/10.5281/zenodo.3898322</v>
      </c>
      <c r="BS737" t="s">
        <v>4753</v>
      </c>
      <c r="BT737" t="str">
        <f>HYPERLINK("https%3A%2F%2Fwww.webofscience.com%2Fwos%2Fwoscc%2Ffull-record%2FWOS:000543394200010","View Full Record in Web of Science")</f>
        <v>View Full Record in Web of Science</v>
      </c>
    </row>
    <row r="738" spans="1:72" ht="12.75" customHeight="1" x14ac:dyDescent="0.2">
      <c r="A738" t="s">
        <v>147</v>
      </c>
      <c r="B738" t="s">
        <v>4754</v>
      </c>
      <c r="D738" t="s">
        <v>2517</v>
      </c>
      <c r="F738" t="s">
        <v>4755</v>
      </c>
      <c r="I738" t="s">
        <v>4756</v>
      </c>
      <c r="J738" t="s">
        <v>4757</v>
      </c>
      <c r="K738" t="s">
        <v>2521</v>
      </c>
      <c r="O738" t="s">
        <v>4758</v>
      </c>
      <c r="P738" t="s">
        <v>4759</v>
      </c>
      <c r="Q738" t="s">
        <v>2524</v>
      </c>
      <c r="R738" t="s">
        <v>4760</v>
      </c>
      <c r="AA738" t="s">
        <v>4761</v>
      </c>
      <c r="AB738" t="s">
        <v>4762</v>
      </c>
      <c r="AO738" t="s">
        <v>2527</v>
      </c>
      <c r="AP738" t="s">
        <v>2528</v>
      </c>
      <c r="AU738">
        <v>2019</v>
      </c>
      <c r="BB738">
        <v>66</v>
      </c>
      <c r="BC738">
        <v>71</v>
      </c>
      <c r="BE738" t="s">
        <v>4763</v>
      </c>
      <c r="BF738" t="str">
        <f>HYPERLINK("http://dx.doi.org/10.22616/ERDev2019.18.N053","http://dx.doi.org/10.22616/ERDev2019.18.N053")</f>
        <v>http://dx.doi.org/10.22616/ERDev2019.18.N053</v>
      </c>
      <c r="BS738" t="s">
        <v>4764</v>
      </c>
      <c r="BT738" t="str">
        <f>HYPERLINK("https%3A%2F%2Fwww.webofscience.com%2Fwos%2Fwoscc%2Ffull-record%2FWOS:000482103500009","View Full Record in Web of Science")</f>
        <v>View Full Record in Web of Science</v>
      </c>
    </row>
    <row r="739" spans="1:72" ht="12.75" customHeight="1" x14ac:dyDescent="0.2">
      <c r="A739" t="s">
        <v>72</v>
      </c>
      <c r="B739" t="s">
        <v>4765</v>
      </c>
      <c r="F739" t="s">
        <v>4766</v>
      </c>
      <c r="I739" t="s">
        <v>4767</v>
      </c>
      <c r="J739" t="s">
        <v>4382</v>
      </c>
      <c r="AA739" t="s">
        <v>4768</v>
      </c>
      <c r="AB739" t="s">
        <v>4769</v>
      </c>
      <c r="AO739" t="s">
        <v>4383</v>
      </c>
      <c r="AP739" t="s">
        <v>4384</v>
      </c>
      <c r="AT739" t="s">
        <v>1167</v>
      </c>
      <c r="AU739">
        <v>2013</v>
      </c>
      <c r="AV739">
        <v>6</v>
      </c>
      <c r="AW739">
        <v>4</v>
      </c>
      <c r="BB739">
        <v>322</v>
      </c>
      <c r="BC739">
        <v>330</v>
      </c>
      <c r="BE739" t="s">
        <v>4770</v>
      </c>
      <c r="BF739" t="str">
        <f>HYPERLINK("http://dx.doi.org/10.1134/S199508291304010X","http://dx.doi.org/10.1134/S199508291304010X")</f>
        <v>http://dx.doi.org/10.1134/S199508291304010X</v>
      </c>
      <c r="BS739" t="s">
        <v>4771</v>
      </c>
      <c r="BT739" t="str">
        <f>HYPERLINK("https%3A%2F%2Fwww.webofscience.com%2Fwos%2Fwoscc%2Ffull-record%2FWOS:000330971500009","View Full Record in Web of Science")</f>
        <v>View Full Record in Web of Science</v>
      </c>
    </row>
    <row r="740" spans="1:72" ht="12.75" customHeight="1" x14ac:dyDescent="0.2">
      <c r="A740" t="s">
        <v>72</v>
      </c>
      <c r="B740" t="s">
        <v>4772</v>
      </c>
      <c r="F740" t="s">
        <v>4773</v>
      </c>
      <c r="I740" t="s">
        <v>4774</v>
      </c>
      <c r="J740" t="s">
        <v>4775</v>
      </c>
      <c r="AA740" t="s">
        <v>238</v>
      </c>
      <c r="AB740" t="s">
        <v>4776</v>
      </c>
      <c r="AP740" t="s">
        <v>4777</v>
      </c>
      <c r="AT740" t="s">
        <v>655</v>
      </c>
      <c r="AU740">
        <v>2023</v>
      </c>
      <c r="AV740">
        <v>11</v>
      </c>
      <c r="AW740">
        <v>2</v>
      </c>
      <c r="BD740">
        <v>37</v>
      </c>
      <c r="BE740" t="s">
        <v>4778</v>
      </c>
      <c r="BF740" t="str">
        <f>HYPERLINK("http://dx.doi.org/10.3390/risks11020037","http://dx.doi.org/10.3390/risks11020037")</f>
        <v>http://dx.doi.org/10.3390/risks11020037</v>
      </c>
      <c r="BS740" t="s">
        <v>4779</v>
      </c>
      <c r="BT740" t="str">
        <f>HYPERLINK("https%3A%2F%2Fwww.webofscience.com%2Fwos%2Fwoscc%2Ffull-record%2FWOS:000940113100001","View Full Record in Web of Science")</f>
        <v>View Full Record in Web of Science</v>
      </c>
    </row>
    <row r="741" spans="1:72" ht="12.75" customHeight="1" x14ac:dyDescent="0.2">
      <c r="A741" t="s">
        <v>72</v>
      </c>
      <c r="B741" t="s">
        <v>4780</v>
      </c>
      <c r="F741" t="s">
        <v>4781</v>
      </c>
      <c r="I741" t="s">
        <v>4782</v>
      </c>
      <c r="J741" t="s">
        <v>409</v>
      </c>
      <c r="AA741" t="s">
        <v>4783</v>
      </c>
      <c r="AO741" t="s">
        <v>412</v>
      </c>
      <c r="AP741" t="s">
        <v>413</v>
      </c>
      <c r="AT741" t="s">
        <v>403</v>
      </c>
      <c r="AU741">
        <v>2021</v>
      </c>
      <c r="AV741">
        <v>94</v>
      </c>
      <c r="AW741">
        <v>12</v>
      </c>
      <c r="BB741">
        <v>1602</v>
      </c>
      <c r="BC741">
        <v>1607</v>
      </c>
      <c r="BE741" t="s">
        <v>4784</v>
      </c>
      <c r="BF741" t="str">
        <f>HYPERLINK("http://dx.doi.org/10.1134/S1070427221120053","http://dx.doi.org/10.1134/S1070427221120053")</f>
        <v>http://dx.doi.org/10.1134/S1070427221120053</v>
      </c>
      <c r="BS741" t="s">
        <v>4785</v>
      </c>
      <c r="BT741" t="str">
        <f>HYPERLINK("https%3A%2F%2Fwww.webofscience.com%2Fwos%2Fwoscc%2Ffull-record%2FWOS:000770333700005","View Full Record in Web of Science")</f>
        <v>View Full Record in Web of Science</v>
      </c>
    </row>
    <row r="742" spans="1:72" ht="12.75" customHeight="1" x14ac:dyDescent="0.2">
      <c r="A742" t="s">
        <v>72</v>
      </c>
      <c r="B742" t="s">
        <v>4786</v>
      </c>
      <c r="F742" t="s">
        <v>4787</v>
      </c>
      <c r="I742" t="s">
        <v>4788</v>
      </c>
      <c r="J742" t="s">
        <v>131</v>
      </c>
      <c r="AA742" t="s">
        <v>4789</v>
      </c>
      <c r="AB742" t="s">
        <v>4790</v>
      </c>
      <c r="AO742" t="s">
        <v>134</v>
      </c>
      <c r="AP742" t="s">
        <v>135</v>
      </c>
      <c r="AU742">
        <v>2020</v>
      </c>
      <c r="AV742">
        <v>20</v>
      </c>
      <c r="AW742">
        <v>1</v>
      </c>
      <c r="BB742">
        <v>13</v>
      </c>
      <c r="BC742">
        <v>20</v>
      </c>
      <c r="BE742" t="s">
        <v>4791</v>
      </c>
      <c r="BF742" t="str">
        <f>HYPERLINK("http://dx.doi.org/10.14529/hsm200102","http://dx.doi.org/10.14529/hsm200102")</f>
        <v>http://dx.doi.org/10.14529/hsm200102</v>
      </c>
      <c r="BS742" t="s">
        <v>4792</v>
      </c>
      <c r="BT742" t="str">
        <f>HYPERLINK("https%3A%2F%2Fwww.webofscience.com%2Fwos%2Fwoscc%2Ffull-record%2FWOS:000539044700002","View Full Record in Web of Science")</f>
        <v>View Full Record in Web of Science</v>
      </c>
    </row>
    <row r="743" spans="1:72" ht="12.75" customHeight="1" x14ac:dyDescent="0.2">
      <c r="A743" t="s">
        <v>72</v>
      </c>
      <c r="B743" t="s">
        <v>4793</v>
      </c>
      <c r="F743" t="s">
        <v>4794</v>
      </c>
      <c r="I743" t="s">
        <v>4795</v>
      </c>
      <c r="J743" t="s">
        <v>244</v>
      </c>
      <c r="AB743" t="s">
        <v>4796</v>
      </c>
      <c r="AO743" t="s">
        <v>245</v>
      </c>
      <c r="AP743" t="s">
        <v>246</v>
      </c>
      <c r="AU743">
        <v>2018</v>
      </c>
      <c r="AW743">
        <v>6</v>
      </c>
      <c r="BB743">
        <v>16</v>
      </c>
      <c r="BC743">
        <v>25</v>
      </c>
      <c r="BS743" t="s">
        <v>4797</v>
      </c>
      <c r="BT743" t="str">
        <f>HYPERLINK("https%3A%2F%2Fwww.webofscience.com%2Fwos%2Fwoscc%2Ffull-record%2FWOS:000438631600002","View Full Record in Web of Science")</f>
        <v>View Full Record in Web of Science</v>
      </c>
    </row>
    <row r="744" spans="1:72" ht="12.75" customHeight="1" x14ac:dyDescent="0.2">
      <c r="A744" t="s">
        <v>72</v>
      </c>
      <c r="B744" t="s">
        <v>4798</v>
      </c>
      <c r="F744" t="s">
        <v>4799</v>
      </c>
      <c r="I744" t="s">
        <v>4800</v>
      </c>
      <c r="J744" t="s">
        <v>668</v>
      </c>
      <c r="AA744" t="s">
        <v>3442</v>
      </c>
      <c r="AB744" t="s">
        <v>3443</v>
      </c>
      <c r="AO744" t="s">
        <v>669</v>
      </c>
      <c r="AP744" t="s">
        <v>670</v>
      </c>
      <c r="AU744">
        <v>2021</v>
      </c>
      <c r="AW744">
        <v>11</v>
      </c>
      <c r="BB744">
        <v>28</v>
      </c>
      <c r="BC744">
        <v>49</v>
      </c>
      <c r="BE744" t="s">
        <v>4801</v>
      </c>
      <c r="BF744" t="str">
        <f>HYPERLINK("http://dx.doi.org/10.24224/2227-1295-2021-11-28-49","http://dx.doi.org/10.24224/2227-1295-2021-11-28-49")</f>
        <v>http://dx.doi.org/10.24224/2227-1295-2021-11-28-49</v>
      </c>
      <c r="BS744" t="s">
        <v>4802</v>
      </c>
      <c r="BT744" t="str">
        <f>HYPERLINK("https%3A%2F%2Fwww.webofscience.com%2Fwos%2Fwoscc%2Ffull-record%2FWOS:000726493300002","View Full Record in Web of Science")</f>
        <v>View Full Record in Web of Science</v>
      </c>
    </row>
    <row r="745" spans="1:72" ht="12.75" customHeight="1" x14ac:dyDescent="0.2">
      <c r="A745" t="s">
        <v>72</v>
      </c>
      <c r="B745" t="s">
        <v>4803</v>
      </c>
      <c r="F745" t="s">
        <v>4804</v>
      </c>
      <c r="I745" t="s">
        <v>4805</v>
      </c>
      <c r="J745" t="s">
        <v>4806</v>
      </c>
      <c r="AA745" t="s">
        <v>4807</v>
      </c>
      <c r="AB745" t="s">
        <v>4808</v>
      </c>
      <c r="AO745" t="s">
        <v>4809</v>
      </c>
      <c r="AP745" t="s">
        <v>4810</v>
      </c>
      <c r="AU745">
        <v>2021</v>
      </c>
      <c r="AV745">
        <v>13</v>
      </c>
      <c r="AW745">
        <v>1</v>
      </c>
      <c r="BB745">
        <v>113</v>
      </c>
      <c r="BC745">
        <v>124</v>
      </c>
      <c r="BE745" t="s">
        <v>4811</v>
      </c>
      <c r="BF745" t="str">
        <f>HYPERLINK("http://dx.doi.org/10.37043/JURA.2021.13.1.7","http://dx.doi.org/10.37043/JURA.2021.13.1.7")</f>
        <v>http://dx.doi.org/10.37043/JURA.2021.13.1.7</v>
      </c>
      <c r="BS745" t="s">
        <v>4812</v>
      </c>
      <c r="BT745" t="str">
        <f>HYPERLINK("https%3A%2F%2Fwww.webofscience.com%2Fwos%2Fwoscc%2Ffull-record%2FWOS:000625366100007","View Full Record in Web of Science")</f>
        <v>View Full Record in Web of Science</v>
      </c>
    </row>
    <row r="746" spans="1:72" ht="12.75" customHeight="1" x14ac:dyDescent="0.2">
      <c r="A746" t="s">
        <v>72</v>
      </c>
      <c r="B746" t="s">
        <v>4813</v>
      </c>
      <c r="F746" t="s">
        <v>4814</v>
      </c>
      <c r="I746" t="s">
        <v>4815</v>
      </c>
      <c r="J746" t="s">
        <v>3412</v>
      </c>
      <c r="AA746" t="s">
        <v>4816</v>
      </c>
      <c r="AB746" t="s">
        <v>4817</v>
      </c>
      <c r="AO746" t="s">
        <v>3415</v>
      </c>
      <c r="AP746" t="s">
        <v>3416</v>
      </c>
      <c r="AU746">
        <v>2018</v>
      </c>
      <c r="AV746">
        <v>28</v>
      </c>
      <c r="AW746">
        <v>3</v>
      </c>
      <c r="BB746">
        <v>445</v>
      </c>
      <c r="BC746">
        <v>459</v>
      </c>
      <c r="BE746" t="s">
        <v>4818</v>
      </c>
      <c r="BF746" t="str">
        <f>HYPERLINK("http://dx.doi.org/10.15507/0236-2910.028.201803.445-459","http://dx.doi.org/10.15507/0236-2910.028.201803.445-459")</f>
        <v>http://dx.doi.org/10.15507/0236-2910.028.201803.445-459</v>
      </c>
      <c r="BS746" t="s">
        <v>4819</v>
      </c>
      <c r="BT746" t="str">
        <f>HYPERLINK("https%3A%2F%2Fwww.webofscience.com%2Fwos%2Fwoscc%2Ffull-record%2FWOS:000444121400012","View Full Record in Web of Science")</f>
        <v>View Full Record in Web of Science</v>
      </c>
    </row>
    <row r="747" spans="1:72" ht="12.75" customHeight="1" x14ac:dyDescent="0.2">
      <c r="A747" t="s">
        <v>72</v>
      </c>
      <c r="B747" t="s">
        <v>4820</v>
      </c>
      <c r="F747" t="s">
        <v>4821</v>
      </c>
      <c r="I747" t="s">
        <v>4822</v>
      </c>
      <c r="J747" t="s">
        <v>4823</v>
      </c>
      <c r="AA747" t="s">
        <v>4824</v>
      </c>
      <c r="AB747" t="s">
        <v>4825</v>
      </c>
      <c r="AO747" t="s">
        <v>4826</v>
      </c>
      <c r="AT747" t="s">
        <v>3420</v>
      </c>
      <c r="AU747">
        <v>2018</v>
      </c>
      <c r="AV747">
        <v>18</v>
      </c>
      <c r="AW747">
        <v>1</v>
      </c>
      <c r="BB747">
        <v>73</v>
      </c>
      <c r="BC747">
        <v>78</v>
      </c>
      <c r="BE747" t="s">
        <v>4827</v>
      </c>
      <c r="BF747" t="str">
        <f>HYPERLINK("http://dx.doi.org/10.18083/LCAppl.2018.1.73","http://dx.doi.org/10.18083/LCAppl.2018.1.73")</f>
        <v>http://dx.doi.org/10.18083/LCAppl.2018.1.73</v>
      </c>
      <c r="BS747" t="s">
        <v>4828</v>
      </c>
      <c r="BT747" t="str">
        <f>HYPERLINK("https%3A%2F%2Fwww.webofscience.com%2Fwos%2Fwoscc%2Ffull-record%2FWOS:000428106400009","View Full Record in Web of Science")</f>
        <v>View Full Record in Web of Science</v>
      </c>
    </row>
    <row r="748" spans="1:72" ht="12.75" customHeight="1" x14ac:dyDescent="0.2">
      <c r="A748" t="s">
        <v>72</v>
      </c>
      <c r="B748" t="s">
        <v>4829</v>
      </c>
      <c r="F748" t="s">
        <v>4830</v>
      </c>
      <c r="I748" t="s">
        <v>4831</v>
      </c>
      <c r="J748" t="s">
        <v>4832</v>
      </c>
      <c r="AA748" t="s">
        <v>758</v>
      </c>
      <c r="AB748" t="s">
        <v>759</v>
      </c>
      <c r="AO748" t="s">
        <v>4833</v>
      </c>
      <c r="AP748" t="s">
        <v>4834</v>
      </c>
      <c r="AT748" t="s">
        <v>88</v>
      </c>
      <c r="AU748">
        <v>2012</v>
      </c>
      <c r="AV748">
        <v>82</v>
      </c>
      <c r="AW748">
        <v>5</v>
      </c>
      <c r="BB748">
        <v>977</v>
      </c>
      <c r="BC748">
        <v>984</v>
      </c>
      <c r="BE748" t="s">
        <v>4835</v>
      </c>
      <c r="BF748" t="str">
        <f>HYPERLINK("http://dx.doi.org/10.1134/S1070363212050313","http://dx.doi.org/10.1134/S1070363212050313")</f>
        <v>http://dx.doi.org/10.1134/S1070363212050313</v>
      </c>
      <c r="BS748" t="s">
        <v>4836</v>
      </c>
      <c r="BT748" t="str">
        <f>HYPERLINK("https%3A%2F%2Fwww.webofscience.com%2Fwos%2Fwoscc%2Ffull-record%2FWOS:000305479400031","View Full Record in Web of Science")</f>
        <v>View Full Record in Web of Science</v>
      </c>
    </row>
    <row r="749" spans="1:72" ht="12.75" customHeight="1" x14ac:dyDescent="0.2">
      <c r="A749" t="s">
        <v>72</v>
      </c>
      <c r="B749" t="s">
        <v>4837</v>
      </c>
      <c r="F749" t="s">
        <v>4838</v>
      </c>
      <c r="I749" t="s">
        <v>4839</v>
      </c>
      <c r="J749" t="s">
        <v>4840</v>
      </c>
      <c r="AB749" t="s">
        <v>4841</v>
      </c>
      <c r="AO749" t="s">
        <v>4842</v>
      </c>
      <c r="AP749" t="s">
        <v>4843</v>
      </c>
      <c r="AU749">
        <v>2023</v>
      </c>
      <c r="AV749">
        <v>22</v>
      </c>
      <c r="AW749">
        <v>1</v>
      </c>
      <c r="BB749">
        <v>162</v>
      </c>
      <c r="BC749">
        <v>172</v>
      </c>
      <c r="BE749" t="s">
        <v>4844</v>
      </c>
      <c r="BF749" t="str">
        <f>HYPERLINK("http://dx.doi.org/10.15688/jvolsu2.2023.1.13","http://dx.doi.org/10.15688/jvolsu2.2023.1.13")</f>
        <v>http://dx.doi.org/10.15688/jvolsu2.2023.1.13</v>
      </c>
      <c r="BS749" t="s">
        <v>4845</v>
      </c>
      <c r="BT749" t="str">
        <f>HYPERLINK("https%3A%2F%2Fwww.webofscience.com%2Fwos%2Fwoscc%2Ffull-record%2FWOS:000961036800002","View Full Record in Web of Science")</f>
        <v>View Full Record in Web of Science</v>
      </c>
    </row>
    <row r="750" spans="1:72" ht="12.75" customHeight="1" x14ac:dyDescent="0.2">
      <c r="A750" t="s">
        <v>72</v>
      </c>
      <c r="B750" t="s">
        <v>4846</v>
      </c>
      <c r="F750" t="s">
        <v>4847</v>
      </c>
      <c r="I750" t="s">
        <v>4848</v>
      </c>
      <c r="J750" t="s">
        <v>4849</v>
      </c>
      <c r="AA750" t="s">
        <v>4850</v>
      </c>
      <c r="AB750" t="s">
        <v>4851</v>
      </c>
      <c r="AO750" t="s">
        <v>4852</v>
      </c>
      <c r="AP750" t="s">
        <v>4853</v>
      </c>
      <c r="AT750" t="s">
        <v>830</v>
      </c>
      <c r="AU750">
        <v>2022</v>
      </c>
      <c r="AV750">
        <v>100</v>
      </c>
      <c r="AW750">
        <v>3</v>
      </c>
      <c r="BB750">
        <v>297</v>
      </c>
      <c r="BC750">
        <v>298</v>
      </c>
      <c r="BE750" t="s">
        <v>4854</v>
      </c>
      <c r="BF750" t="str">
        <f>HYPERLINK("http://dx.doi.org/10.1111/tan.14644","http://dx.doi.org/10.1111/tan.14644")</f>
        <v>http://dx.doi.org/10.1111/tan.14644</v>
      </c>
      <c r="BH750" t="s">
        <v>4855</v>
      </c>
      <c r="BN750">
        <v>35470968</v>
      </c>
      <c r="BS750" t="s">
        <v>4856</v>
      </c>
      <c r="BT750" t="str">
        <f>HYPERLINK("https%3A%2F%2Fwww.webofscience.com%2Fwos%2Fwoscc%2Ffull-record%2FWOS:000791529900001","View Full Record in Web of Science")</f>
        <v>View Full Record in Web of Science</v>
      </c>
    </row>
    <row r="751" spans="1:72" ht="12.75" customHeight="1" x14ac:dyDescent="0.2">
      <c r="A751" t="s">
        <v>72</v>
      </c>
      <c r="B751" t="s">
        <v>4857</v>
      </c>
      <c r="F751" t="s">
        <v>4858</v>
      </c>
      <c r="I751" t="s">
        <v>4859</v>
      </c>
      <c r="J751" t="s">
        <v>4860</v>
      </c>
      <c r="AA751" t="s">
        <v>4073</v>
      </c>
      <c r="AB751" t="s">
        <v>4074</v>
      </c>
      <c r="AO751" t="s">
        <v>4861</v>
      </c>
      <c r="AT751" t="s">
        <v>78</v>
      </c>
      <c r="AU751">
        <v>2021</v>
      </c>
      <c r="AW751">
        <v>3</v>
      </c>
      <c r="BB751">
        <v>102</v>
      </c>
      <c r="BC751">
        <v>120</v>
      </c>
      <c r="BE751" t="s">
        <v>4862</v>
      </c>
      <c r="BF751" t="str">
        <f>HYPERLINK("http://dx.doi.org/10.30547/vestnik.journ.3.2021.102120","http://dx.doi.org/10.30547/vestnik.journ.3.2021.102120")</f>
        <v>http://dx.doi.org/10.30547/vestnik.journ.3.2021.102120</v>
      </c>
      <c r="BS751" t="s">
        <v>4863</v>
      </c>
      <c r="BT751" t="str">
        <f>HYPERLINK("https%3A%2F%2Fwww.webofscience.com%2Fwos%2Fwoscc%2Ffull-record%2FWOS:000670636000005","View Full Record in Web of Science")</f>
        <v>View Full Record in Web of Science</v>
      </c>
    </row>
    <row r="752" spans="1:72" ht="12.75" customHeight="1" x14ac:dyDescent="0.2">
      <c r="A752" t="s">
        <v>72</v>
      </c>
      <c r="B752" t="s">
        <v>4703</v>
      </c>
      <c r="F752" t="s">
        <v>4704</v>
      </c>
      <c r="I752" t="s">
        <v>4864</v>
      </c>
      <c r="J752" t="s">
        <v>2211</v>
      </c>
      <c r="AO752" t="s">
        <v>2214</v>
      </c>
      <c r="AP752" t="s">
        <v>2215</v>
      </c>
      <c r="AT752" t="s">
        <v>198</v>
      </c>
      <c r="AU752">
        <v>2021</v>
      </c>
      <c r="AV752">
        <v>68</v>
      </c>
      <c r="AW752">
        <v>4</v>
      </c>
      <c r="BB752">
        <v>310</v>
      </c>
      <c r="BC752">
        <v>323</v>
      </c>
      <c r="BE752" t="s">
        <v>4865</v>
      </c>
      <c r="BF752" t="str">
        <f>HYPERLINK("http://dx.doi.org/10.1134/S0040601521040066","http://dx.doi.org/10.1134/S0040601521040066")</f>
        <v>http://dx.doi.org/10.1134/S0040601521040066</v>
      </c>
      <c r="BS752" t="s">
        <v>4866</v>
      </c>
      <c r="BT752" t="str">
        <f>HYPERLINK("https%3A%2F%2Fwww.webofscience.com%2Fwos%2Fwoscc%2Ffull-record%2FWOS:000755789400007","View Full Record in Web of Science")</f>
        <v>View Full Record in Web of Science</v>
      </c>
    </row>
    <row r="753" spans="1:72" ht="12.75" customHeight="1" x14ac:dyDescent="0.2">
      <c r="A753" t="s">
        <v>72</v>
      </c>
      <c r="B753" t="s">
        <v>4867</v>
      </c>
      <c r="F753" t="s">
        <v>4868</v>
      </c>
      <c r="I753" t="s">
        <v>4869</v>
      </c>
      <c r="J753" t="s">
        <v>3310</v>
      </c>
      <c r="AA753" t="s">
        <v>4870</v>
      </c>
      <c r="AB753" t="s">
        <v>4871</v>
      </c>
      <c r="AO753" t="s">
        <v>3313</v>
      </c>
      <c r="AT753" t="s">
        <v>307</v>
      </c>
      <c r="AU753">
        <v>2016</v>
      </c>
      <c r="AV753">
        <v>37</v>
      </c>
      <c r="AW753">
        <v>1</v>
      </c>
      <c r="BB753">
        <v>142</v>
      </c>
      <c r="BC753">
        <v>144</v>
      </c>
      <c r="BS753" t="s">
        <v>4872</v>
      </c>
      <c r="BT753" t="str">
        <f>HYPERLINK("https%3A%2F%2Fwww.webofscience.com%2Fwos%2Fwoscc%2Ffull-record%2FWOS:000372373900016","View Full Record in Web of Science")</f>
        <v>View Full Record in Web of Science</v>
      </c>
    </row>
    <row r="754" spans="1:72" ht="12.75" customHeight="1" x14ac:dyDescent="0.2">
      <c r="A754" t="s">
        <v>72</v>
      </c>
      <c r="B754" t="s">
        <v>4873</v>
      </c>
      <c r="F754" t="s">
        <v>4874</v>
      </c>
      <c r="I754" t="s">
        <v>4875</v>
      </c>
      <c r="J754" t="s">
        <v>4849</v>
      </c>
      <c r="AA754" t="s">
        <v>4850</v>
      </c>
      <c r="AB754" t="s">
        <v>4851</v>
      </c>
      <c r="AO754" t="s">
        <v>4852</v>
      </c>
      <c r="AP754" t="s">
        <v>4853</v>
      </c>
      <c r="AT754" t="s">
        <v>541</v>
      </c>
      <c r="AU754">
        <v>2023</v>
      </c>
      <c r="AV754">
        <v>101</v>
      </c>
      <c r="AW754">
        <v>1</v>
      </c>
      <c r="BB754">
        <v>91</v>
      </c>
      <c r="BC754">
        <v>92</v>
      </c>
      <c r="BE754" t="s">
        <v>4876</v>
      </c>
      <c r="BF754" t="str">
        <f>HYPERLINK("http://dx.doi.org/10.1111/tan.14799","http://dx.doi.org/10.1111/tan.14799")</f>
        <v>http://dx.doi.org/10.1111/tan.14799</v>
      </c>
      <c r="BH754" t="s">
        <v>4877</v>
      </c>
      <c r="BN754">
        <v>36056767</v>
      </c>
      <c r="BS754" t="s">
        <v>4878</v>
      </c>
      <c r="BT754" t="str">
        <f>HYPERLINK("https%3A%2F%2Fwww.webofscience.com%2Fwos%2Fwoscc%2Ffull-record%2FWOS:000853294700001","View Full Record in Web of Science")</f>
        <v>View Full Record in Web of Science</v>
      </c>
    </row>
    <row r="755" spans="1:72" ht="12.75" customHeight="1" x14ac:dyDescent="0.2">
      <c r="A755" t="s">
        <v>72</v>
      </c>
      <c r="B755" t="s">
        <v>4879</v>
      </c>
      <c r="F755" t="s">
        <v>4880</v>
      </c>
      <c r="I755" t="s">
        <v>4881</v>
      </c>
      <c r="J755" t="s">
        <v>3618</v>
      </c>
      <c r="AO755" t="s">
        <v>3620</v>
      </c>
      <c r="AT755" t="s">
        <v>655</v>
      </c>
      <c r="AU755">
        <v>2021</v>
      </c>
      <c r="AV755">
        <v>65</v>
      </c>
      <c r="AW755">
        <v>2</v>
      </c>
      <c r="BB755">
        <v>37</v>
      </c>
      <c r="BC755">
        <v>44</v>
      </c>
      <c r="BE755" t="s">
        <v>4882</v>
      </c>
      <c r="BF755" t="str">
        <f>HYPERLINK("http://dx.doi.org/10.20542/0131-2227-2021-65-2-37-44","http://dx.doi.org/10.20542/0131-2227-2021-65-2-37-44")</f>
        <v>http://dx.doi.org/10.20542/0131-2227-2021-65-2-37-44</v>
      </c>
      <c r="BS755" t="s">
        <v>4883</v>
      </c>
      <c r="BT755" t="str">
        <f>HYPERLINK("https%3A%2F%2Fwww.webofscience.com%2Fwos%2Fwoscc%2Ffull-record%2FWOS:000628793100004","View Full Record in Web of Science")</f>
        <v>View Full Record in Web of Science</v>
      </c>
    </row>
    <row r="756" spans="1:72" ht="12.75" customHeight="1" x14ac:dyDescent="0.2">
      <c r="A756" t="s">
        <v>72</v>
      </c>
      <c r="B756" t="s">
        <v>2877</v>
      </c>
      <c r="F756" t="s">
        <v>2878</v>
      </c>
      <c r="I756" t="s">
        <v>4884</v>
      </c>
      <c r="J756" t="s">
        <v>2880</v>
      </c>
      <c r="AO756" t="s">
        <v>2881</v>
      </c>
      <c r="AP756" t="s">
        <v>2882</v>
      </c>
      <c r="AT756" t="s">
        <v>541</v>
      </c>
      <c r="AU756">
        <v>2021</v>
      </c>
      <c r="AV756">
        <v>54</v>
      </c>
      <c r="AW756">
        <v>5</v>
      </c>
      <c r="BB756">
        <v>308</v>
      </c>
      <c r="BC756">
        <v>311</v>
      </c>
      <c r="BE756" t="s">
        <v>4885</v>
      </c>
      <c r="BF756" t="str">
        <f>HYPERLINK("http://dx.doi.org/10.1007/s10527-021-10028-8","http://dx.doi.org/10.1007/s10527-021-10028-8")</f>
        <v>http://dx.doi.org/10.1007/s10527-021-10028-8</v>
      </c>
      <c r="BS756" t="s">
        <v>4886</v>
      </c>
      <c r="BT756" t="str">
        <f>HYPERLINK("https%3A%2F%2Fwww.webofscience.com%2Fwos%2Fwoscc%2Ffull-record%2FWOS:000748264500003","View Full Record in Web of Science")</f>
        <v>View Full Record in Web of Science</v>
      </c>
    </row>
    <row r="757" spans="1:72" ht="12.75" customHeight="1" x14ac:dyDescent="0.2">
      <c r="A757" t="s">
        <v>72</v>
      </c>
      <c r="B757" t="s">
        <v>4887</v>
      </c>
      <c r="F757" t="s">
        <v>4888</v>
      </c>
      <c r="I757" t="s">
        <v>4889</v>
      </c>
      <c r="J757" t="s">
        <v>95</v>
      </c>
      <c r="AO757" t="s">
        <v>98</v>
      </c>
      <c r="AP757" t="s">
        <v>99</v>
      </c>
      <c r="AU757">
        <v>2020</v>
      </c>
      <c r="AW757">
        <v>4</v>
      </c>
      <c r="BB757">
        <v>55</v>
      </c>
      <c r="BC757">
        <v>60</v>
      </c>
      <c r="BE757" t="s">
        <v>4890</v>
      </c>
      <c r="BF757" t="str">
        <f>HYPERLINK("http://dx.doi.org/10.25750/1995-4301-2020-4-055-060","http://dx.doi.org/10.25750/1995-4301-2020-4-055-060")</f>
        <v>http://dx.doi.org/10.25750/1995-4301-2020-4-055-060</v>
      </c>
      <c r="BS757" t="s">
        <v>4891</v>
      </c>
      <c r="BT757" t="str">
        <f>HYPERLINK("https%3A%2F%2Fwww.webofscience.com%2Fwos%2Fwoscc%2Ffull-record%2FWOS:000597810500008","View Full Record in Web of Science")</f>
        <v>View Full Record in Web of Science</v>
      </c>
    </row>
    <row r="758" spans="1:72" ht="12.75" customHeight="1" x14ac:dyDescent="0.2">
      <c r="A758" t="s">
        <v>72</v>
      </c>
      <c r="B758" t="s">
        <v>4892</v>
      </c>
      <c r="F758" t="s">
        <v>4893</v>
      </c>
      <c r="I758" t="s">
        <v>4894</v>
      </c>
      <c r="J758" t="s">
        <v>131</v>
      </c>
      <c r="AO758" t="s">
        <v>134</v>
      </c>
      <c r="AP758" t="s">
        <v>135</v>
      </c>
      <c r="AU758">
        <v>2020</v>
      </c>
      <c r="AV758">
        <v>20</v>
      </c>
      <c r="AY758">
        <v>1</v>
      </c>
      <c r="BB758">
        <v>46</v>
      </c>
      <c r="BC758">
        <v>54</v>
      </c>
      <c r="BE758" t="s">
        <v>4895</v>
      </c>
      <c r="BF758" t="str">
        <f>HYPERLINK("http://dx.doi.org/10.14529/hsm20s106","http://dx.doi.org/10.14529/hsm20s106")</f>
        <v>http://dx.doi.org/10.14529/hsm20s106</v>
      </c>
      <c r="BS758" t="s">
        <v>4896</v>
      </c>
      <c r="BT758" t="str">
        <f>HYPERLINK("https%3A%2F%2Fwww.webofscience.com%2Fwos%2Fwoscc%2Ffull-record%2FWOS:000581820600006","View Full Record in Web of Science")</f>
        <v>View Full Record in Web of Science</v>
      </c>
    </row>
    <row r="759" spans="1:72" ht="12.75" customHeight="1" x14ac:dyDescent="0.2">
      <c r="A759" t="s">
        <v>72</v>
      </c>
      <c r="B759" t="s">
        <v>4897</v>
      </c>
      <c r="F759" t="s">
        <v>4898</v>
      </c>
      <c r="I759" t="s">
        <v>4899</v>
      </c>
      <c r="J759" t="s">
        <v>95</v>
      </c>
      <c r="AA759" t="s">
        <v>4900</v>
      </c>
      <c r="AB759" t="s">
        <v>4901</v>
      </c>
      <c r="AO759" t="s">
        <v>98</v>
      </c>
      <c r="AP759" t="s">
        <v>99</v>
      </c>
      <c r="AU759">
        <v>2018</v>
      </c>
      <c r="AW759">
        <v>4</v>
      </c>
      <c r="BB759">
        <v>24</v>
      </c>
      <c r="BC759">
        <v>29</v>
      </c>
      <c r="BE759" t="s">
        <v>4902</v>
      </c>
      <c r="BF759" t="str">
        <f>HYPERLINK("http://dx.doi.org/10.25750/1995-4301-2018-4-024-030","http://dx.doi.org/10.25750/1995-4301-2018-4-024-030")</f>
        <v>http://dx.doi.org/10.25750/1995-4301-2018-4-024-030</v>
      </c>
      <c r="BS759" t="s">
        <v>4903</v>
      </c>
      <c r="BT759" t="str">
        <f>HYPERLINK("https%3A%2F%2Fwww.webofscience.com%2Fwos%2Fwoscc%2Ffull-record%2FWOS:000468565300003","View Full Record in Web of Science")</f>
        <v>View Full Record in Web of Science</v>
      </c>
    </row>
    <row r="760" spans="1:72" ht="12.75" customHeight="1" x14ac:dyDescent="0.2">
      <c r="A760" t="s">
        <v>72</v>
      </c>
      <c r="B760" t="s">
        <v>4904</v>
      </c>
      <c r="F760" t="s">
        <v>4905</v>
      </c>
      <c r="I760" t="s">
        <v>4906</v>
      </c>
      <c r="J760" t="s">
        <v>95</v>
      </c>
      <c r="AA760" t="s">
        <v>4907</v>
      </c>
      <c r="AB760" t="s">
        <v>4908</v>
      </c>
      <c r="AO760" t="s">
        <v>98</v>
      </c>
      <c r="AP760" t="s">
        <v>99</v>
      </c>
      <c r="AU760">
        <v>2022</v>
      </c>
      <c r="AW760">
        <v>1</v>
      </c>
      <c r="BB760">
        <v>167</v>
      </c>
      <c r="BC760">
        <v>174</v>
      </c>
      <c r="BE760" t="s">
        <v>4909</v>
      </c>
      <c r="BF760" t="str">
        <f>HYPERLINK("http://dx.doi.org/10.25750/1995-4301-2022-1-167-174","http://dx.doi.org/10.25750/1995-4301-2022-1-167-174")</f>
        <v>http://dx.doi.org/10.25750/1995-4301-2022-1-167-174</v>
      </c>
      <c r="BS760" t="s">
        <v>4910</v>
      </c>
      <c r="BT760" t="str">
        <f>HYPERLINK("https%3A%2F%2Fwww.webofscience.com%2Fwos%2Fwoscc%2Ffull-record%2FWOS:000819811100024","View Full Record in Web of Science")</f>
        <v>View Full Record in Web of Science</v>
      </c>
    </row>
    <row r="761" spans="1:72" ht="12.75" customHeight="1" x14ac:dyDescent="0.2">
      <c r="A761" t="s">
        <v>147</v>
      </c>
      <c r="B761" t="s">
        <v>4911</v>
      </c>
      <c r="E761" t="s">
        <v>210</v>
      </c>
      <c r="F761" t="s">
        <v>4912</v>
      </c>
      <c r="I761" t="s">
        <v>4913</v>
      </c>
      <c r="J761" t="s">
        <v>2844</v>
      </c>
      <c r="O761" t="s">
        <v>421</v>
      </c>
      <c r="P761" t="s">
        <v>2845</v>
      </c>
      <c r="Q761" t="s">
        <v>2846</v>
      </c>
      <c r="R761" t="s">
        <v>2847</v>
      </c>
      <c r="AA761" t="s">
        <v>2017</v>
      </c>
      <c r="AB761" t="s">
        <v>2018</v>
      </c>
      <c r="AQ761" t="s">
        <v>2850</v>
      </c>
      <c r="AU761">
        <v>2013</v>
      </c>
      <c r="BS761" t="s">
        <v>4914</v>
      </c>
      <c r="BT761" t="str">
        <f>HYPERLINK("https%3A%2F%2Fwww.webofscience.com%2Fwos%2Fwoscc%2Ffull-record%2FWOS:000332042400121","View Full Record in Web of Science")</f>
        <v>View Full Record in Web of Science</v>
      </c>
    </row>
    <row r="762" spans="1:72" ht="12.75" customHeight="1" x14ac:dyDescent="0.2">
      <c r="A762" t="s">
        <v>147</v>
      </c>
      <c r="B762" t="s">
        <v>4911</v>
      </c>
      <c r="E762" t="s">
        <v>210</v>
      </c>
      <c r="F762" t="s">
        <v>4912</v>
      </c>
      <c r="I762" t="s">
        <v>4915</v>
      </c>
      <c r="J762" t="s">
        <v>2844</v>
      </c>
      <c r="O762" t="s">
        <v>421</v>
      </c>
      <c r="P762" t="s">
        <v>2845</v>
      </c>
      <c r="Q762" t="s">
        <v>2846</v>
      </c>
      <c r="R762" t="s">
        <v>2847</v>
      </c>
      <c r="AA762" t="s">
        <v>2723</v>
      </c>
      <c r="AB762" t="s">
        <v>2724</v>
      </c>
      <c r="AQ762" t="s">
        <v>2850</v>
      </c>
      <c r="AU762">
        <v>2013</v>
      </c>
      <c r="BS762" t="s">
        <v>4916</v>
      </c>
      <c r="BT762" t="str">
        <f>HYPERLINK("https%3A%2F%2Fwww.webofscience.com%2Fwos%2Fwoscc%2Ffull-record%2FWOS:000332042400065","View Full Record in Web of Science")</f>
        <v>View Full Record in Web of Science</v>
      </c>
    </row>
    <row r="763" spans="1:72" ht="12.75" customHeight="1" x14ac:dyDescent="0.2">
      <c r="A763" t="s">
        <v>72</v>
      </c>
      <c r="B763" t="s">
        <v>4917</v>
      </c>
      <c r="F763" t="s">
        <v>4918</v>
      </c>
      <c r="I763" t="s">
        <v>4919</v>
      </c>
      <c r="J763" t="s">
        <v>325</v>
      </c>
      <c r="AA763" t="s">
        <v>4920</v>
      </c>
      <c r="AB763" t="s">
        <v>239</v>
      </c>
      <c r="AO763" t="s">
        <v>328</v>
      </c>
      <c r="AP763" t="s">
        <v>329</v>
      </c>
      <c r="AU763">
        <v>2022</v>
      </c>
      <c r="AV763">
        <v>16</v>
      </c>
      <c r="AW763">
        <v>3</v>
      </c>
      <c r="BB763">
        <v>877</v>
      </c>
      <c r="BC763">
        <v>890</v>
      </c>
      <c r="BE763" t="s">
        <v>4921</v>
      </c>
      <c r="BF763" t="str">
        <f>HYPERLINK("http://dx.doi.org/10.24874/IJQR16.03-15","http://dx.doi.org/10.24874/IJQR16.03-15")</f>
        <v>http://dx.doi.org/10.24874/IJQR16.03-15</v>
      </c>
      <c r="BS763" t="s">
        <v>4922</v>
      </c>
      <c r="BT763" t="str">
        <f>HYPERLINK("https%3A%2F%2Fwww.webofscience.com%2Fwos%2Fwoscc%2Ffull-record%2FWOS:000885425500001","View Full Record in Web of Science")</f>
        <v>View Full Record in Web of Science</v>
      </c>
    </row>
    <row r="764" spans="1:72" ht="12.75" customHeight="1" x14ac:dyDescent="0.2">
      <c r="A764" t="s">
        <v>72</v>
      </c>
      <c r="B764" t="s">
        <v>4923</v>
      </c>
      <c r="F764" t="s">
        <v>4924</v>
      </c>
      <c r="I764" t="s">
        <v>4925</v>
      </c>
      <c r="J764" t="s">
        <v>95</v>
      </c>
      <c r="AA764" t="s">
        <v>4926</v>
      </c>
      <c r="AB764" t="s">
        <v>4927</v>
      </c>
      <c r="AO764" t="s">
        <v>98</v>
      </c>
      <c r="AP764" t="s">
        <v>99</v>
      </c>
      <c r="AU764">
        <v>2021</v>
      </c>
      <c r="AW764">
        <v>4</v>
      </c>
      <c r="BB764">
        <v>50</v>
      </c>
      <c r="BC764">
        <v>57</v>
      </c>
      <c r="BE764" t="s">
        <v>4928</v>
      </c>
      <c r="BF764" t="str">
        <f>HYPERLINK("http://dx.doi.org/10.25750/1995-4301-2021-4-050-057","http://dx.doi.org/10.25750/1995-4301-2021-4-050-057")</f>
        <v>http://dx.doi.org/10.25750/1995-4301-2021-4-050-057</v>
      </c>
      <c r="BS764" t="s">
        <v>4929</v>
      </c>
      <c r="BT764" t="str">
        <f>HYPERLINK("https%3A%2F%2Fwww.webofscience.com%2Fwos%2Fwoscc%2Ffull-record%2FWOS:000755154100007","View Full Record in Web of Science")</f>
        <v>View Full Record in Web of Science</v>
      </c>
    </row>
    <row r="765" spans="1:72" ht="12.75" customHeight="1" x14ac:dyDescent="0.2">
      <c r="A765" t="s">
        <v>72</v>
      </c>
      <c r="B765" t="s">
        <v>4930</v>
      </c>
      <c r="F765" t="s">
        <v>4931</v>
      </c>
      <c r="I765" t="s">
        <v>4932</v>
      </c>
      <c r="J765" t="s">
        <v>594</v>
      </c>
      <c r="AA765" t="s">
        <v>4933</v>
      </c>
      <c r="AB765" t="s">
        <v>4934</v>
      </c>
      <c r="AO765" t="s">
        <v>597</v>
      </c>
      <c r="AT765" t="s">
        <v>1167</v>
      </c>
      <c r="AU765">
        <v>2018</v>
      </c>
      <c r="AV765">
        <v>8</v>
      </c>
      <c r="AW765">
        <v>10</v>
      </c>
      <c r="BB765">
        <v>56</v>
      </c>
      <c r="BC765">
        <v>63</v>
      </c>
      <c r="BS765" t="s">
        <v>4935</v>
      </c>
      <c r="BT765" t="str">
        <f>HYPERLINK("https%3A%2F%2Fwww.webofscience.com%2Fwos%2Fwoscc%2Ffull-record%2FWOS:000451687200005","View Full Record in Web of Science")</f>
        <v>View Full Record in Web of Science</v>
      </c>
    </row>
    <row r="766" spans="1:72" ht="12.75" customHeight="1" x14ac:dyDescent="0.2">
      <c r="A766" t="s">
        <v>72</v>
      </c>
      <c r="B766" t="s">
        <v>4936</v>
      </c>
      <c r="F766" t="s">
        <v>4937</v>
      </c>
      <c r="I766" t="s">
        <v>4938</v>
      </c>
      <c r="J766" t="s">
        <v>95</v>
      </c>
      <c r="AB766" t="s">
        <v>4939</v>
      </c>
      <c r="AO766" t="s">
        <v>98</v>
      </c>
      <c r="AP766" t="s">
        <v>99</v>
      </c>
      <c r="AU766">
        <v>2022</v>
      </c>
      <c r="AW766">
        <v>2</v>
      </c>
      <c r="BB766">
        <v>173</v>
      </c>
      <c r="BC766">
        <v>182</v>
      </c>
      <c r="BE766" t="s">
        <v>4940</v>
      </c>
      <c r="BF766" t="str">
        <f>HYPERLINK("http://dx.doi.org/10.25750/1995-4301-2022-2-173-182","http://dx.doi.org/10.25750/1995-4301-2022-2-173-182")</f>
        <v>http://dx.doi.org/10.25750/1995-4301-2022-2-173-182</v>
      </c>
      <c r="BS766" t="s">
        <v>4941</v>
      </c>
      <c r="BT766" t="str">
        <f>HYPERLINK("https%3A%2F%2Fwww.webofscience.com%2Fwos%2Fwoscc%2Ffull-record%2FWOS:000820802000022","View Full Record in Web of Science")</f>
        <v>View Full Record in Web of Science</v>
      </c>
    </row>
    <row r="767" spans="1:72" ht="12.75" customHeight="1" x14ac:dyDescent="0.2">
      <c r="A767" t="s">
        <v>72</v>
      </c>
      <c r="B767" t="s">
        <v>4942</v>
      </c>
      <c r="F767" t="s">
        <v>4943</v>
      </c>
      <c r="I767" t="s">
        <v>4944</v>
      </c>
      <c r="J767" t="s">
        <v>2640</v>
      </c>
      <c r="AB767" t="s">
        <v>4945</v>
      </c>
      <c r="AO767" t="s">
        <v>2643</v>
      </c>
      <c r="AU767">
        <v>2022</v>
      </c>
      <c r="AV767">
        <v>27</v>
      </c>
      <c r="AW767">
        <v>3</v>
      </c>
      <c r="BB767">
        <v>135</v>
      </c>
      <c r="BC767">
        <v>144</v>
      </c>
      <c r="BE767" t="s">
        <v>4946</v>
      </c>
      <c r="BF767" t="str">
        <f>HYPERLINK("http://dx.doi.org/10.51762/1FK-2022-27-03-12","http://dx.doi.org/10.51762/1FK-2022-27-03-12")</f>
        <v>http://dx.doi.org/10.51762/1FK-2022-27-03-12</v>
      </c>
      <c r="BS767" t="s">
        <v>4947</v>
      </c>
      <c r="BT767" t="str">
        <f>HYPERLINK("https%3A%2F%2Fwww.webofscience.com%2Fwos%2Fwoscc%2Ffull-record%2FWOS:000899445600012","View Full Record in Web of Science")</f>
        <v>View Full Record in Web of Science</v>
      </c>
    </row>
    <row r="768" spans="1:72" ht="12.75" customHeight="1" x14ac:dyDescent="0.2">
      <c r="A768" t="s">
        <v>72</v>
      </c>
      <c r="B768" t="s">
        <v>4948</v>
      </c>
      <c r="F768" t="s">
        <v>4949</v>
      </c>
      <c r="I768" t="s">
        <v>4950</v>
      </c>
      <c r="J768" t="s">
        <v>95</v>
      </c>
      <c r="AA768" t="s">
        <v>4951</v>
      </c>
      <c r="AB768" t="s">
        <v>4952</v>
      </c>
      <c r="AO768" t="s">
        <v>98</v>
      </c>
      <c r="AP768" t="s">
        <v>99</v>
      </c>
      <c r="AU768">
        <v>2021</v>
      </c>
      <c r="AW768">
        <v>1</v>
      </c>
      <c r="BB768">
        <v>40</v>
      </c>
      <c r="BC768">
        <v>52</v>
      </c>
      <c r="BE768" t="s">
        <v>4953</v>
      </c>
      <c r="BF768" t="str">
        <f>HYPERLINK("http://dx.doi.org/10.25750/1995-4301-2021-1-040-052","http://dx.doi.org/10.25750/1995-4301-2021-1-040-052")</f>
        <v>http://dx.doi.org/10.25750/1995-4301-2021-1-040-052</v>
      </c>
      <c r="BS768" t="s">
        <v>4954</v>
      </c>
      <c r="BT768" t="str">
        <f>HYPERLINK("https%3A%2F%2Fwww.webofscience.com%2Fwos%2Fwoscc%2Ffull-record%2FWOS:000632219100005","View Full Record in Web of Science")</f>
        <v>View Full Record in Web of Science</v>
      </c>
    </row>
    <row r="769" spans="1:72" ht="12.75" customHeight="1" x14ac:dyDescent="0.2">
      <c r="A769" t="s">
        <v>147</v>
      </c>
      <c r="B769" t="s">
        <v>4955</v>
      </c>
      <c r="D769" t="s">
        <v>1801</v>
      </c>
      <c r="F769" t="s">
        <v>4956</v>
      </c>
      <c r="I769" t="s">
        <v>4957</v>
      </c>
      <c r="J769" t="s">
        <v>1804</v>
      </c>
      <c r="K769" t="s">
        <v>1805</v>
      </c>
      <c r="O769" t="s">
        <v>1806</v>
      </c>
      <c r="P769" t="s">
        <v>1807</v>
      </c>
      <c r="Q769" t="s">
        <v>1808</v>
      </c>
      <c r="S769" t="s">
        <v>257</v>
      </c>
      <c r="AA769" t="s">
        <v>269</v>
      </c>
      <c r="AB769" t="s">
        <v>270</v>
      </c>
      <c r="AO769" t="s">
        <v>1809</v>
      </c>
      <c r="AQ769" t="s">
        <v>1810</v>
      </c>
      <c r="AU769">
        <v>2020</v>
      </c>
      <c r="BB769">
        <v>661</v>
      </c>
      <c r="BC769">
        <v>668</v>
      </c>
      <c r="BE769" t="s">
        <v>4958</v>
      </c>
      <c r="BF769" t="str">
        <f>HYPERLINK("http://dx.doi.org/10.3897/ap.2.e0661","http://dx.doi.org/10.3897/ap.2.e0661")</f>
        <v>http://dx.doi.org/10.3897/ap.2.e0661</v>
      </c>
      <c r="BS769" t="s">
        <v>4959</v>
      </c>
      <c r="BT769" t="str">
        <f>HYPERLINK("https%3A%2F%2Fwww.webofscience.com%2Fwos%2Fwoscc%2Ffull-record%2FWOS:000671896200051","View Full Record in Web of Science")</f>
        <v>View Full Record in Web of Science</v>
      </c>
    </row>
    <row r="770" spans="1:72" ht="12.75" customHeight="1" x14ac:dyDescent="0.2">
      <c r="A770" t="s">
        <v>72</v>
      </c>
      <c r="B770" t="s">
        <v>4960</v>
      </c>
      <c r="F770" t="s">
        <v>4961</v>
      </c>
      <c r="I770" t="s">
        <v>4962</v>
      </c>
      <c r="J770" t="s">
        <v>141</v>
      </c>
      <c r="AA770" t="s">
        <v>4750</v>
      </c>
      <c r="AB770" t="s">
        <v>4751</v>
      </c>
      <c r="AO770" t="s">
        <v>144</v>
      </c>
      <c r="AU770">
        <v>2020</v>
      </c>
      <c r="AW770">
        <v>1</v>
      </c>
      <c r="BB770">
        <v>81</v>
      </c>
      <c r="BC770">
        <v>93</v>
      </c>
      <c r="BE770" t="s">
        <v>4963</v>
      </c>
      <c r="BF770" t="str">
        <f>HYPERLINK("http://dx.doi.org/10.5281/zenodo.3713430","http://dx.doi.org/10.5281/zenodo.3713430")</f>
        <v>http://dx.doi.org/10.5281/zenodo.3713430</v>
      </c>
      <c r="BS770" t="s">
        <v>4964</v>
      </c>
      <c r="BT770" t="str">
        <f>HYPERLINK("https%3A%2F%2Fwww.webofscience.com%2Fwos%2Fwoscc%2Ffull-record%2FWOS:000521937900008","View Full Record in Web of Science")</f>
        <v>View Full Record in Web of Science</v>
      </c>
    </row>
    <row r="771" spans="1:72" ht="12.75" customHeight="1" x14ac:dyDescent="0.2">
      <c r="A771" t="s">
        <v>147</v>
      </c>
      <c r="B771" t="s">
        <v>4965</v>
      </c>
      <c r="D771" t="s">
        <v>249</v>
      </c>
      <c r="F771" t="s">
        <v>4966</v>
      </c>
      <c r="I771" t="s">
        <v>4967</v>
      </c>
      <c r="J771" t="s">
        <v>1371</v>
      </c>
      <c r="O771" t="s">
        <v>1372</v>
      </c>
      <c r="P771" t="s">
        <v>1373</v>
      </c>
      <c r="Q771" t="s">
        <v>256</v>
      </c>
      <c r="S771" t="s">
        <v>257</v>
      </c>
      <c r="AQ771" t="s">
        <v>1374</v>
      </c>
      <c r="AU771">
        <v>2019</v>
      </c>
      <c r="BB771">
        <v>45</v>
      </c>
      <c r="BC771">
        <v>55</v>
      </c>
      <c r="BE771" t="s">
        <v>4968</v>
      </c>
      <c r="BF771" t="str">
        <f>HYPERLINK("http://dx.doi.org/10.3897/ap.1.e0040","http://dx.doi.org/10.3897/ap.1.e0040")</f>
        <v>http://dx.doi.org/10.3897/ap.1.e0040</v>
      </c>
      <c r="BS771" t="s">
        <v>4969</v>
      </c>
      <c r="BT771" t="str">
        <f>HYPERLINK("https%3A%2F%2Fwww.webofscience.com%2Fwos%2Fwoscc%2Ffull-record%2FWOS:000520005200005","View Full Record in Web of Science")</f>
        <v>View Full Record in Web of Science</v>
      </c>
    </row>
    <row r="772" spans="1:72" ht="12.75" customHeight="1" x14ac:dyDescent="0.2">
      <c r="A772" t="s">
        <v>72</v>
      </c>
      <c r="B772" t="s">
        <v>4970</v>
      </c>
      <c r="F772" t="s">
        <v>4971</v>
      </c>
      <c r="I772" t="s">
        <v>4972</v>
      </c>
      <c r="J772" t="s">
        <v>940</v>
      </c>
      <c r="AA772" t="s">
        <v>2449</v>
      </c>
      <c r="AB772" t="s">
        <v>3628</v>
      </c>
      <c r="AO772" t="s">
        <v>943</v>
      </c>
      <c r="AT772" t="s">
        <v>1173</v>
      </c>
      <c r="AU772">
        <v>2011</v>
      </c>
      <c r="AV772">
        <v>53</v>
      </c>
      <c r="AW772" t="s">
        <v>994</v>
      </c>
      <c r="BB772">
        <v>285</v>
      </c>
      <c r="BC772">
        <v>292</v>
      </c>
      <c r="BE772" t="s">
        <v>4973</v>
      </c>
      <c r="BF772" t="str">
        <f>HYPERLINK("http://dx.doi.org/10.1007/s11041-011-9384-0","http://dx.doi.org/10.1007/s11041-011-9384-0")</f>
        <v>http://dx.doi.org/10.1007/s11041-011-9384-0</v>
      </c>
      <c r="BS772" t="s">
        <v>4974</v>
      </c>
      <c r="BT772" t="str">
        <f>HYPERLINK("https%3A%2F%2Fwww.webofscience.com%2Fwos%2Fwoscc%2Ffull-record%2FWOS:000296795300017","View Full Record in Web of Science")</f>
        <v>View Full Record in Web of Science</v>
      </c>
    </row>
    <row r="773" spans="1:72" ht="12.75" customHeight="1" x14ac:dyDescent="0.2">
      <c r="A773" t="s">
        <v>72</v>
      </c>
      <c r="B773" t="s">
        <v>4975</v>
      </c>
      <c r="F773" t="s">
        <v>4976</v>
      </c>
      <c r="I773" t="s">
        <v>4977</v>
      </c>
      <c r="J773" t="s">
        <v>4978</v>
      </c>
      <c r="AA773" t="s">
        <v>4979</v>
      </c>
      <c r="AB773" t="s">
        <v>4980</v>
      </c>
      <c r="AO773" t="s">
        <v>4981</v>
      </c>
      <c r="AU773">
        <v>2008</v>
      </c>
      <c r="AV773">
        <v>7</v>
      </c>
      <c r="AW773">
        <v>2</v>
      </c>
      <c r="BB773">
        <v>16</v>
      </c>
      <c r="BC773">
        <v>22</v>
      </c>
      <c r="BS773" t="s">
        <v>4982</v>
      </c>
      <c r="BT773" t="str">
        <f>HYPERLINK("https%3A%2F%2Fwww.webofscience.com%2Fwos%2Fwoscc%2Ffull-record%2FWOS:000254501900003","View Full Record in Web of Science")</f>
        <v>View Full Record in Web of Science</v>
      </c>
    </row>
    <row r="774" spans="1:72" ht="12.75" customHeight="1" x14ac:dyDescent="0.2">
      <c r="A774" t="s">
        <v>72</v>
      </c>
      <c r="B774" t="s">
        <v>4983</v>
      </c>
      <c r="F774" t="s">
        <v>4984</v>
      </c>
      <c r="I774" t="s">
        <v>4985</v>
      </c>
      <c r="J774" t="s">
        <v>1114</v>
      </c>
      <c r="AA774" t="s">
        <v>4986</v>
      </c>
      <c r="AB774" t="s">
        <v>1533</v>
      </c>
      <c r="AP774" t="s">
        <v>1117</v>
      </c>
      <c r="AT774" t="s">
        <v>171</v>
      </c>
      <c r="AU774">
        <v>2020</v>
      </c>
      <c r="AV774">
        <v>9</v>
      </c>
      <c r="AW774">
        <v>27</v>
      </c>
      <c r="BB774">
        <v>268</v>
      </c>
      <c r="BC774">
        <v>275</v>
      </c>
      <c r="BE774" t="s">
        <v>4987</v>
      </c>
      <c r="BF774" t="str">
        <f>HYPERLINK("http://dx.doi.org/10.34069/AI/2020.27.03.29","http://dx.doi.org/10.34069/AI/2020.27.03.29")</f>
        <v>http://dx.doi.org/10.34069/AI/2020.27.03.29</v>
      </c>
      <c r="BS774" t="s">
        <v>4988</v>
      </c>
      <c r="BT774" t="str">
        <f>HYPERLINK("https%3A%2F%2Fwww.webofscience.com%2Fwos%2Fwoscc%2Ffull-record%2FWOS:000521637500030","View Full Record in Web of Science")</f>
        <v>View Full Record in Web of Science</v>
      </c>
    </row>
    <row r="775" spans="1:72" ht="12.75" customHeight="1" x14ac:dyDescent="0.2">
      <c r="A775" t="s">
        <v>72</v>
      </c>
      <c r="B775" t="s">
        <v>4989</v>
      </c>
      <c r="F775" t="s">
        <v>4989</v>
      </c>
      <c r="I775" t="s">
        <v>4990</v>
      </c>
      <c r="J775" t="s">
        <v>409</v>
      </c>
      <c r="AO775" t="s">
        <v>412</v>
      </c>
      <c r="AT775" t="s">
        <v>198</v>
      </c>
      <c r="AU775">
        <v>2002</v>
      </c>
      <c r="AV775">
        <v>75</v>
      </c>
      <c r="AW775">
        <v>4</v>
      </c>
      <c r="BB775">
        <v>579</v>
      </c>
      <c r="BC775">
        <v>581</v>
      </c>
      <c r="BE775" t="s">
        <v>4991</v>
      </c>
      <c r="BF775" t="str">
        <f>HYPERLINK("http://dx.doi.org/10.1023/A:1019513029761","http://dx.doi.org/10.1023/A:1019513029761")</f>
        <v>http://dx.doi.org/10.1023/A:1019513029761</v>
      </c>
      <c r="BS775" t="s">
        <v>4992</v>
      </c>
      <c r="BT775" t="str">
        <f>HYPERLINK("https%3A%2F%2Fwww.webofscience.com%2Fwos%2Fwoscc%2Ffull-record%2FWOS:000177753100015","View Full Record in Web of Science")</f>
        <v>View Full Record in Web of Science</v>
      </c>
    </row>
    <row r="776" spans="1:72" ht="12.75" customHeight="1" x14ac:dyDescent="0.2">
      <c r="A776" t="s">
        <v>72</v>
      </c>
      <c r="B776" t="s">
        <v>4993</v>
      </c>
      <c r="F776" t="s">
        <v>4994</v>
      </c>
      <c r="I776" t="s">
        <v>4995</v>
      </c>
      <c r="J776" t="s">
        <v>4996</v>
      </c>
      <c r="AA776" t="s">
        <v>4997</v>
      </c>
      <c r="AB776" t="s">
        <v>4998</v>
      </c>
      <c r="AO776" t="s">
        <v>4999</v>
      </c>
      <c r="AP776" t="s">
        <v>5000</v>
      </c>
      <c r="AU776">
        <v>2022</v>
      </c>
      <c r="AV776">
        <v>50</v>
      </c>
      <c r="AW776">
        <v>2</v>
      </c>
      <c r="BB776">
        <v>355</v>
      </c>
      <c r="BC776">
        <v>363</v>
      </c>
      <c r="BE776" t="s">
        <v>5001</v>
      </c>
      <c r="BF776" t="str">
        <f>HYPERLINK("http://dx.doi.org/10.18149/MPM.5022022_14","http://dx.doi.org/10.18149/MPM.5022022_14")</f>
        <v>http://dx.doi.org/10.18149/MPM.5022022_14</v>
      </c>
      <c r="BS776" t="s">
        <v>5002</v>
      </c>
      <c r="BT776" t="str">
        <f>HYPERLINK("https%3A%2F%2Fwww.webofscience.com%2Fwos%2Fwoscc%2Ffull-record%2FWOS:000915249500014","View Full Record in Web of Science")</f>
        <v>View Full Record in Web of Science</v>
      </c>
    </row>
    <row r="777" spans="1:72" ht="12.75" customHeight="1" x14ac:dyDescent="0.2">
      <c r="A777" t="s">
        <v>72</v>
      </c>
      <c r="B777" t="s">
        <v>5003</v>
      </c>
      <c r="F777" t="s">
        <v>5004</v>
      </c>
      <c r="I777" t="s">
        <v>5005</v>
      </c>
      <c r="J777" t="s">
        <v>5006</v>
      </c>
      <c r="AA777" t="s">
        <v>5007</v>
      </c>
      <c r="AB777" t="s">
        <v>5008</v>
      </c>
      <c r="AO777" t="s">
        <v>5009</v>
      </c>
      <c r="AP777" t="s">
        <v>5010</v>
      </c>
      <c r="AU777">
        <v>2022</v>
      </c>
      <c r="AV777">
        <v>31</v>
      </c>
      <c r="AW777">
        <v>1</v>
      </c>
      <c r="BB777">
        <v>985</v>
      </c>
      <c r="BC777">
        <v>988</v>
      </c>
      <c r="BE777" t="s">
        <v>5011</v>
      </c>
      <c r="BF777" t="str">
        <f>HYPERLINK("http://dx.doi.org/10.15244/pjoes/139375","http://dx.doi.org/10.15244/pjoes/139375")</f>
        <v>http://dx.doi.org/10.15244/pjoes/139375</v>
      </c>
      <c r="BS777" t="s">
        <v>5012</v>
      </c>
      <c r="BT777" t="str">
        <f>HYPERLINK("https%3A%2F%2Fwww.webofscience.com%2Fwos%2Fwoscc%2Ffull-record%2FWOS:000799779000042","View Full Record in Web of Science")</f>
        <v>View Full Record in Web of Science</v>
      </c>
    </row>
    <row r="778" spans="1:72" ht="12.75" customHeight="1" x14ac:dyDescent="0.2">
      <c r="A778" t="s">
        <v>72</v>
      </c>
      <c r="B778" t="s">
        <v>5013</v>
      </c>
      <c r="F778" t="s">
        <v>5014</v>
      </c>
      <c r="I778" t="s">
        <v>5015</v>
      </c>
      <c r="J778" t="s">
        <v>95</v>
      </c>
      <c r="AA778" t="s">
        <v>5016</v>
      </c>
      <c r="AB778" t="s">
        <v>5017</v>
      </c>
      <c r="AO778" t="s">
        <v>98</v>
      </c>
      <c r="AP778" t="s">
        <v>99</v>
      </c>
      <c r="AU778">
        <v>2020</v>
      </c>
      <c r="AW778">
        <v>2</v>
      </c>
      <c r="BB778">
        <v>111</v>
      </c>
      <c r="BC778">
        <v>116</v>
      </c>
      <c r="BE778" t="s">
        <v>5018</v>
      </c>
      <c r="BF778" t="str">
        <f>HYPERLINK("http://dx.doi.org/10.25750/1995-4301-2020-2-111-116","http://dx.doi.org/10.25750/1995-4301-2020-2-111-116")</f>
        <v>http://dx.doi.org/10.25750/1995-4301-2020-2-111-116</v>
      </c>
      <c r="BS778" t="s">
        <v>5019</v>
      </c>
      <c r="BT778" t="str">
        <f>HYPERLINK("https%3A%2F%2Fwww.webofscience.com%2Fwos%2Fwoscc%2Ffull-record%2FWOS:000545295600015","View Full Record in Web of Science")</f>
        <v>View Full Record in Web of Science</v>
      </c>
    </row>
    <row r="779" spans="1:72" ht="12.75" customHeight="1" x14ac:dyDescent="0.2">
      <c r="A779" t="s">
        <v>72</v>
      </c>
      <c r="B779" t="s">
        <v>5020</v>
      </c>
      <c r="F779" t="s">
        <v>5021</v>
      </c>
      <c r="I779" t="s">
        <v>5022</v>
      </c>
      <c r="J779" t="s">
        <v>409</v>
      </c>
      <c r="AA779" t="s">
        <v>480</v>
      </c>
      <c r="AB779" t="s">
        <v>481</v>
      </c>
      <c r="AO779" t="s">
        <v>412</v>
      </c>
      <c r="AT779" t="s">
        <v>541</v>
      </c>
      <c r="AU779">
        <v>2011</v>
      </c>
      <c r="AV779">
        <v>84</v>
      </c>
      <c r="AW779">
        <v>1</v>
      </c>
      <c r="BB779">
        <v>147</v>
      </c>
      <c r="BC779">
        <v>150</v>
      </c>
      <c r="BE779" t="s">
        <v>5023</v>
      </c>
      <c r="BF779" t="str">
        <f>HYPERLINK("http://dx.doi.org/10.1134/S1070427211010265","http://dx.doi.org/10.1134/S1070427211010265")</f>
        <v>http://dx.doi.org/10.1134/S1070427211010265</v>
      </c>
      <c r="BS779" t="s">
        <v>5024</v>
      </c>
      <c r="BT779" t="str">
        <f>HYPERLINK("https%3A%2F%2Fwww.webofscience.com%2Fwos%2Fwoscc%2Ffull-record%2FWOS:000287500700026","View Full Record in Web of Science")</f>
        <v>View Full Record in Web of Science</v>
      </c>
    </row>
    <row r="780" spans="1:72" ht="12.75" customHeight="1" x14ac:dyDescent="0.2">
      <c r="A780" t="s">
        <v>147</v>
      </c>
      <c r="B780" t="s">
        <v>5025</v>
      </c>
      <c r="D780" t="s">
        <v>2517</v>
      </c>
      <c r="F780" t="s">
        <v>5026</v>
      </c>
      <c r="I780" t="s">
        <v>5027</v>
      </c>
      <c r="J780" t="s">
        <v>5028</v>
      </c>
      <c r="K780" t="s">
        <v>2521</v>
      </c>
      <c r="O780" t="s">
        <v>5029</v>
      </c>
      <c r="P780" t="s">
        <v>5030</v>
      </c>
      <c r="Q780" t="s">
        <v>2524</v>
      </c>
      <c r="R780" t="s">
        <v>2525</v>
      </c>
      <c r="AA780" t="s">
        <v>4761</v>
      </c>
      <c r="AB780" t="s">
        <v>4762</v>
      </c>
      <c r="AO780" t="s">
        <v>2527</v>
      </c>
      <c r="AP780" t="s">
        <v>2528</v>
      </c>
      <c r="AU780">
        <v>2020</v>
      </c>
      <c r="BB780">
        <v>692</v>
      </c>
      <c r="BC780">
        <v>696</v>
      </c>
      <c r="BE780" t="s">
        <v>5031</v>
      </c>
      <c r="BF780" t="str">
        <f>HYPERLINK("http://dx.doi.org/10.22616/ERDev.2020.19.TF157","http://dx.doi.org/10.22616/ERDev.2020.19.TF157")</f>
        <v>http://dx.doi.org/10.22616/ERDev.2020.19.TF157</v>
      </c>
      <c r="BS780" t="s">
        <v>5032</v>
      </c>
      <c r="BT780" t="str">
        <f>HYPERLINK("https%3A%2F%2Fwww.webofscience.com%2Fwos%2Fwoscc%2Ffull-record%2FWOS:000815085500095","View Full Record in Web of Science")</f>
        <v>View Full Record in Web of Science</v>
      </c>
    </row>
    <row r="781" spans="1:72" ht="12.75" customHeight="1" x14ac:dyDescent="0.2">
      <c r="A781" t="s">
        <v>72</v>
      </c>
      <c r="B781" t="s">
        <v>5033</v>
      </c>
      <c r="F781" t="s">
        <v>5034</v>
      </c>
      <c r="I781" t="s">
        <v>5035</v>
      </c>
      <c r="J781" t="s">
        <v>2211</v>
      </c>
      <c r="AA781" t="s">
        <v>5036</v>
      </c>
      <c r="AB781" t="s">
        <v>5037</v>
      </c>
      <c r="AO781" t="s">
        <v>2214</v>
      </c>
      <c r="AP781" t="s">
        <v>2215</v>
      </c>
      <c r="AT781" t="s">
        <v>655</v>
      </c>
      <c r="AU781">
        <v>2019</v>
      </c>
      <c r="AV781">
        <v>66</v>
      </c>
      <c r="AW781">
        <v>2</v>
      </c>
      <c r="BB781">
        <v>108</v>
      </c>
      <c r="BC781">
        <v>115</v>
      </c>
      <c r="BE781" t="s">
        <v>5038</v>
      </c>
      <c r="BF781" t="str">
        <f>HYPERLINK("http://dx.doi.org/10.1134/S0040601519020071","http://dx.doi.org/10.1134/S0040601519020071")</f>
        <v>http://dx.doi.org/10.1134/S0040601519020071</v>
      </c>
      <c r="BS781" t="s">
        <v>5039</v>
      </c>
      <c r="BT781" t="str">
        <f>HYPERLINK("https%3A%2F%2Fwww.webofscience.com%2Fwos%2Fwoscc%2Ffull-record%2FWOS:000755490600005","View Full Record in Web of Science")</f>
        <v>View Full Record in Web of Science</v>
      </c>
    </row>
    <row r="782" spans="1:72" ht="12.75" customHeight="1" x14ac:dyDescent="0.2">
      <c r="A782" t="s">
        <v>72</v>
      </c>
      <c r="B782" t="s">
        <v>5040</v>
      </c>
      <c r="F782" t="s">
        <v>5041</v>
      </c>
      <c r="I782" t="s">
        <v>5042</v>
      </c>
      <c r="J782" t="s">
        <v>95</v>
      </c>
      <c r="AA782" t="s">
        <v>2408</v>
      </c>
      <c r="AB782" t="s">
        <v>2409</v>
      </c>
      <c r="AO782" t="s">
        <v>98</v>
      </c>
      <c r="AP782" t="s">
        <v>99</v>
      </c>
      <c r="AU782">
        <v>2021</v>
      </c>
      <c r="AW782">
        <v>4</v>
      </c>
      <c r="BB782">
        <v>133</v>
      </c>
      <c r="BC782">
        <v>139</v>
      </c>
      <c r="BE782" t="s">
        <v>5043</v>
      </c>
      <c r="BF782" t="str">
        <f>HYPERLINK("http://dx.doi.org/10.25750/1995-4301-2021-4-133-139","http://dx.doi.org/10.25750/1995-4301-2021-4-133-139")</f>
        <v>http://dx.doi.org/10.25750/1995-4301-2021-4-133-139</v>
      </c>
      <c r="BS782" t="s">
        <v>5044</v>
      </c>
      <c r="BT782" t="str">
        <f>HYPERLINK("https%3A%2F%2Fwww.webofscience.com%2Fwos%2Fwoscc%2Ffull-record%2FWOS:000755154100019","View Full Record in Web of Science")</f>
        <v>View Full Record in Web of Science</v>
      </c>
    </row>
    <row r="783" spans="1:72" ht="12.75" customHeight="1" x14ac:dyDescent="0.2">
      <c r="A783" t="s">
        <v>72</v>
      </c>
      <c r="B783" t="s">
        <v>5045</v>
      </c>
      <c r="F783" t="s">
        <v>5046</v>
      </c>
      <c r="I783" t="s">
        <v>5047</v>
      </c>
      <c r="J783" t="s">
        <v>940</v>
      </c>
      <c r="AA783" t="s">
        <v>2449</v>
      </c>
      <c r="AB783" t="s">
        <v>3628</v>
      </c>
      <c r="AO783" t="s">
        <v>943</v>
      </c>
      <c r="AP783" t="s">
        <v>944</v>
      </c>
      <c r="AT783" t="s">
        <v>125</v>
      </c>
      <c r="AU783">
        <v>2012</v>
      </c>
      <c r="AV783">
        <v>54</v>
      </c>
      <c r="AW783" t="s">
        <v>1639</v>
      </c>
      <c r="BB783">
        <v>178</v>
      </c>
      <c r="BC783">
        <v>183</v>
      </c>
      <c r="BE783" t="s">
        <v>5048</v>
      </c>
      <c r="BF783" t="str">
        <f>HYPERLINK("http://dx.doi.org/10.1007/s11041-012-9478-3","http://dx.doi.org/10.1007/s11041-012-9478-3")</f>
        <v>http://dx.doi.org/10.1007/s11041-012-9478-3</v>
      </c>
      <c r="BS783" t="s">
        <v>5049</v>
      </c>
      <c r="BT783" t="str">
        <f>HYPERLINK("https%3A%2F%2Fwww.webofscience.com%2Fwos%2Fwoscc%2Ffull-record%2FWOS:000312342200016","View Full Record in Web of Science")</f>
        <v>View Full Record in Web of Science</v>
      </c>
    </row>
    <row r="784" spans="1:72" ht="12.75" customHeight="1" x14ac:dyDescent="0.2">
      <c r="A784" t="s">
        <v>72</v>
      </c>
      <c r="B784" t="s">
        <v>5050</v>
      </c>
      <c r="F784" t="s">
        <v>5051</v>
      </c>
      <c r="I784" t="s">
        <v>5052</v>
      </c>
      <c r="J784" t="s">
        <v>325</v>
      </c>
      <c r="AA784" t="s">
        <v>1885</v>
      </c>
      <c r="AB784" t="s">
        <v>3257</v>
      </c>
      <c r="AO784" t="s">
        <v>328</v>
      </c>
      <c r="AP784" t="s">
        <v>329</v>
      </c>
      <c r="AU784">
        <v>2021</v>
      </c>
      <c r="AV784">
        <v>15</v>
      </c>
      <c r="AW784">
        <v>3</v>
      </c>
      <c r="BB784">
        <v>941</v>
      </c>
      <c r="BC784">
        <v>959</v>
      </c>
      <c r="BE784" t="s">
        <v>5053</v>
      </c>
      <c r="BF784" t="str">
        <f>HYPERLINK("http://dx.doi.org/10.24874/IJQR15.03-16","http://dx.doi.org/10.24874/IJQR15.03-16")</f>
        <v>http://dx.doi.org/10.24874/IJQR15.03-16</v>
      </c>
      <c r="BS784" t="s">
        <v>5054</v>
      </c>
      <c r="BT784" t="str">
        <f>HYPERLINK("https%3A%2F%2Fwww.webofscience.com%2Fwos%2Fwoscc%2Ffull-record%2FWOS:000686366800016","View Full Record in Web of Science")</f>
        <v>View Full Record in Web of Science</v>
      </c>
    </row>
    <row r="785" spans="1:72" ht="12.75" customHeight="1" x14ac:dyDescent="0.2">
      <c r="A785" t="s">
        <v>72</v>
      </c>
      <c r="B785" t="s">
        <v>5055</v>
      </c>
      <c r="F785" t="s">
        <v>5056</v>
      </c>
      <c r="I785" t="s">
        <v>5057</v>
      </c>
      <c r="J785" t="s">
        <v>95</v>
      </c>
      <c r="AO785" t="s">
        <v>98</v>
      </c>
      <c r="AP785" t="s">
        <v>99</v>
      </c>
      <c r="AU785">
        <v>2020</v>
      </c>
      <c r="AW785">
        <v>3</v>
      </c>
      <c r="BB785">
        <v>46</v>
      </c>
      <c r="BC785">
        <v>51</v>
      </c>
      <c r="BE785" t="s">
        <v>5058</v>
      </c>
      <c r="BF785" t="str">
        <f>HYPERLINK("http://dx.doi.org/10.25750/1995-4301-2020-3-046-051","http://dx.doi.org/10.25750/1995-4301-2020-3-046-051")</f>
        <v>http://dx.doi.org/10.25750/1995-4301-2020-3-046-051</v>
      </c>
      <c r="BS785" t="s">
        <v>5059</v>
      </c>
      <c r="BT785" t="str">
        <f>HYPERLINK("https%3A%2F%2Fwww.webofscience.com%2Fwos%2Fwoscc%2Ffull-record%2FWOS:000580337700007","View Full Record in Web of Science")</f>
        <v>View Full Record in Web of Science</v>
      </c>
    </row>
    <row r="786" spans="1:72" ht="12.75" customHeight="1" x14ac:dyDescent="0.2">
      <c r="A786" t="s">
        <v>72</v>
      </c>
      <c r="B786" t="s">
        <v>4873</v>
      </c>
      <c r="F786" t="s">
        <v>4874</v>
      </c>
      <c r="I786" t="s">
        <v>5060</v>
      </c>
      <c r="J786" t="s">
        <v>4849</v>
      </c>
      <c r="AA786" t="s">
        <v>4850</v>
      </c>
      <c r="AB786" t="s">
        <v>4851</v>
      </c>
      <c r="AO786" t="s">
        <v>4852</v>
      </c>
      <c r="AP786" t="s">
        <v>4853</v>
      </c>
      <c r="AT786" t="s">
        <v>655</v>
      </c>
      <c r="AU786">
        <v>2023</v>
      </c>
      <c r="AV786">
        <v>101</v>
      </c>
      <c r="AW786">
        <v>2</v>
      </c>
      <c r="BB786">
        <v>181</v>
      </c>
      <c r="BC786">
        <v>182</v>
      </c>
      <c r="BE786" t="s">
        <v>5061</v>
      </c>
      <c r="BF786" t="str">
        <f>HYPERLINK("http://dx.doi.org/10.1111/tan.14848","http://dx.doi.org/10.1111/tan.14848")</f>
        <v>http://dx.doi.org/10.1111/tan.14848</v>
      </c>
      <c r="BH786" t="s">
        <v>5062</v>
      </c>
      <c r="BN786">
        <v>36222333</v>
      </c>
      <c r="BS786" t="s">
        <v>5063</v>
      </c>
      <c r="BT786" t="str">
        <f>HYPERLINK("https%3A%2F%2Fwww.webofscience.com%2Fwos%2Fwoscc%2Ffull-record%2FWOS:000869708600001","View Full Record in Web of Science")</f>
        <v>View Full Record in Web of Science</v>
      </c>
    </row>
    <row r="787" spans="1:72" ht="12.75" customHeight="1" x14ac:dyDescent="0.2">
      <c r="A787" t="s">
        <v>72</v>
      </c>
      <c r="B787" t="s">
        <v>5064</v>
      </c>
      <c r="F787" t="s">
        <v>5064</v>
      </c>
      <c r="I787" t="s">
        <v>5065</v>
      </c>
      <c r="J787" t="s">
        <v>3996</v>
      </c>
      <c r="AA787" t="s">
        <v>5066</v>
      </c>
      <c r="AB787" t="s">
        <v>5067</v>
      </c>
      <c r="AO787" t="s">
        <v>3999</v>
      </c>
      <c r="AP787" t="s">
        <v>4000</v>
      </c>
      <c r="AT787" t="s">
        <v>125</v>
      </c>
      <c r="AU787">
        <v>2003</v>
      </c>
      <c r="AV787">
        <v>136</v>
      </c>
      <c r="AW787">
        <v>1</v>
      </c>
      <c r="BB787">
        <v>14</v>
      </c>
      <c r="BC787">
        <v>18</v>
      </c>
      <c r="BE787" t="s">
        <v>5068</v>
      </c>
      <c r="BF787" t="str">
        <f>HYPERLINK("http://dx.doi.org/10.1023/A:1026068208764","http://dx.doi.org/10.1023/A:1026068208764")</f>
        <v>http://dx.doi.org/10.1023/A:1026068208764</v>
      </c>
      <c r="BN787">
        <v>14534600</v>
      </c>
      <c r="BS787" t="s">
        <v>5069</v>
      </c>
      <c r="BT787" t="str">
        <f>HYPERLINK("https%3A%2F%2Fwww.webofscience.com%2Fwos%2Fwoscc%2Ffull-record%2FWOS:000187861200004","View Full Record in Web of Science")</f>
        <v>View Full Record in Web of Science</v>
      </c>
    </row>
    <row r="788" spans="1:72" ht="12.75" customHeight="1" x14ac:dyDescent="0.2">
      <c r="A788" t="s">
        <v>72</v>
      </c>
      <c r="B788" t="s">
        <v>5070</v>
      </c>
      <c r="F788" t="s">
        <v>5071</v>
      </c>
      <c r="I788" t="s">
        <v>5072</v>
      </c>
      <c r="J788" t="s">
        <v>3996</v>
      </c>
      <c r="AA788" t="s">
        <v>3997</v>
      </c>
      <c r="AB788" t="s">
        <v>3998</v>
      </c>
      <c r="AO788" t="s">
        <v>3999</v>
      </c>
      <c r="AP788" t="s">
        <v>4000</v>
      </c>
      <c r="AT788" t="s">
        <v>403</v>
      </c>
      <c r="AU788">
        <v>2012</v>
      </c>
      <c r="AV788">
        <v>154</v>
      </c>
      <c r="AW788">
        <v>2</v>
      </c>
      <c r="BB788">
        <v>180</v>
      </c>
      <c r="BC788">
        <v>183</v>
      </c>
      <c r="BE788" t="s">
        <v>5073</v>
      </c>
      <c r="BF788" t="str">
        <f>HYPERLINK("http://dx.doi.org/10.1007/s10517-012-1905-3","http://dx.doi.org/10.1007/s10517-012-1905-3")</f>
        <v>http://dx.doi.org/10.1007/s10517-012-1905-3</v>
      </c>
      <c r="BN788">
        <v>23330118</v>
      </c>
      <c r="BS788" t="s">
        <v>5074</v>
      </c>
      <c r="BT788" t="str">
        <f>HYPERLINK("https%3A%2F%2Fwww.webofscience.com%2Fwos%2Fwoscc%2Ffull-record%2FWOS:000312334000002","View Full Record in Web of Science")</f>
        <v>View Full Record in Web of Science</v>
      </c>
    </row>
    <row r="789" spans="1:72" ht="12.75" customHeight="1" x14ac:dyDescent="0.2">
      <c r="A789" t="s">
        <v>72</v>
      </c>
      <c r="B789" t="s">
        <v>5075</v>
      </c>
      <c r="F789" t="s">
        <v>5076</v>
      </c>
      <c r="I789" t="s">
        <v>5077</v>
      </c>
      <c r="J789" t="s">
        <v>940</v>
      </c>
      <c r="AA789" t="s">
        <v>5078</v>
      </c>
      <c r="AB789" t="s">
        <v>5079</v>
      </c>
      <c r="AO789" t="s">
        <v>943</v>
      </c>
      <c r="AT789" t="s">
        <v>88</v>
      </c>
      <c r="AU789">
        <v>2007</v>
      </c>
      <c r="AV789">
        <v>49</v>
      </c>
      <c r="AW789" t="s">
        <v>994</v>
      </c>
      <c r="BB789">
        <v>232</v>
      </c>
      <c r="BC789">
        <v>235</v>
      </c>
      <c r="BE789" t="s">
        <v>5080</v>
      </c>
      <c r="BF789" t="str">
        <f>HYPERLINK("http://dx.doi.org/10.1007/s11041-007-0041-6","http://dx.doi.org/10.1007/s11041-007-0041-6")</f>
        <v>http://dx.doi.org/10.1007/s11041-007-0041-6</v>
      </c>
      <c r="BS789" t="s">
        <v>5081</v>
      </c>
      <c r="BT789" t="str">
        <f>HYPERLINK("https%3A%2F%2Fwww.webofscience.com%2Fwos%2Fwoscc%2Ffull-record%2FWOS:000251500300004","View Full Record in Web of Science")</f>
        <v>View Full Record in Web of Science</v>
      </c>
    </row>
    <row r="790" spans="1:72" ht="12.75" customHeight="1" x14ac:dyDescent="0.2">
      <c r="A790" t="s">
        <v>72</v>
      </c>
      <c r="B790" t="s">
        <v>2877</v>
      </c>
      <c r="F790" t="s">
        <v>2878</v>
      </c>
      <c r="I790" t="s">
        <v>5082</v>
      </c>
      <c r="J790" t="s">
        <v>2880</v>
      </c>
      <c r="AO790" t="s">
        <v>2881</v>
      </c>
      <c r="AP790" t="s">
        <v>2882</v>
      </c>
      <c r="AT790" t="s">
        <v>541</v>
      </c>
      <c r="AU790">
        <v>2019</v>
      </c>
      <c r="AV790">
        <v>52</v>
      </c>
      <c r="AW790">
        <v>5</v>
      </c>
      <c r="BB790">
        <v>361</v>
      </c>
      <c r="BC790">
        <v>364</v>
      </c>
      <c r="BE790" t="s">
        <v>5083</v>
      </c>
      <c r="BF790" t="str">
        <f>HYPERLINK("http://dx.doi.org/10.1007/s10527-019-09848-6","http://dx.doi.org/10.1007/s10527-019-09848-6")</f>
        <v>http://dx.doi.org/10.1007/s10527-019-09848-6</v>
      </c>
      <c r="BS790" t="s">
        <v>5084</v>
      </c>
      <c r="BT790" t="str">
        <f>HYPERLINK("https%3A%2F%2Fwww.webofscience.com%2Fwos%2Fwoscc%2Ffull-record%2FWOS:000748252900016","View Full Record in Web of Science")</f>
        <v>View Full Record in Web of Science</v>
      </c>
    </row>
    <row r="791" spans="1:72" ht="12.75" customHeight="1" x14ac:dyDescent="0.2">
      <c r="A791" t="s">
        <v>72</v>
      </c>
      <c r="B791" t="s">
        <v>378</v>
      </c>
      <c r="F791" t="s">
        <v>2100</v>
      </c>
      <c r="I791" t="s">
        <v>5085</v>
      </c>
      <c r="J791" t="s">
        <v>5086</v>
      </c>
      <c r="AA791" t="s">
        <v>553</v>
      </c>
      <c r="AB791" t="s">
        <v>554</v>
      </c>
      <c r="AO791" t="s">
        <v>5087</v>
      </c>
      <c r="AP791" t="s">
        <v>5088</v>
      </c>
      <c r="AT791" t="s">
        <v>88</v>
      </c>
      <c r="AU791">
        <v>2021</v>
      </c>
      <c r="AV791">
        <v>9</v>
      </c>
      <c r="AW791">
        <v>5</v>
      </c>
      <c r="BB791">
        <v>13533</v>
      </c>
      <c r="BC791">
        <v>13538</v>
      </c>
      <c r="BE791" t="s">
        <v>5089</v>
      </c>
      <c r="BF791" t="str">
        <f>HYPERLINK("http://dx.doi.org/10.22038/ijp.2021.57107.4477","http://dx.doi.org/10.22038/ijp.2021.57107.4477")</f>
        <v>http://dx.doi.org/10.22038/ijp.2021.57107.4477</v>
      </c>
      <c r="BS791" t="s">
        <v>5090</v>
      </c>
      <c r="BT791" t="str">
        <f>HYPERLINK("https%3A%2F%2Fwww.webofscience.com%2Fwos%2Fwoscc%2Ffull-record%2FWOS:000643937900010","View Full Record in Web of Science")</f>
        <v>View Full Record in Web of Science</v>
      </c>
    </row>
    <row r="792" spans="1:72" ht="12.75" customHeight="1" x14ac:dyDescent="0.2">
      <c r="A792" t="s">
        <v>72</v>
      </c>
      <c r="B792" t="s">
        <v>4719</v>
      </c>
      <c r="F792" t="s">
        <v>4720</v>
      </c>
      <c r="I792" t="s">
        <v>5091</v>
      </c>
      <c r="J792" t="s">
        <v>95</v>
      </c>
      <c r="AA792" t="s">
        <v>562</v>
      </c>
      <c r="AB792" t="s">
        <v>4722</v>
      </c>
      <c r="AO792" t="s">
        <v>98</v>
      </c>
      <c r="AP792" t="s">
        <v>99</v>
      </c>
      <c r="AU792">
        <v>2021</v>
      </c>
      <c r="AW792">
        <v>3</v>
      </c>
      <c r="BB792">
        <v>126</v>
      </c>
      <c r="BC792">
        <v>132</v>
      </c>
      <c r="BE792" t="s">
        <v>5092</v>
      </c>
      <c r="BF792" t="str">
        <f>HYPERLINK("http://dx.doi.org/10.25750/1995-4301-2021-3-126-132","http://dx.doi.org/10.25750/1995-4301-2021-3-126-132")</f>
        <v>http://dx.doi.org/10.25750/1995-4301-2021-3-126-132</v>
      </c>
      <c r="BS792" t="s">
        <v>5093</v>
      </c>
      <c r="BT792" t="str">
        <f>HYPERLINK("https%3A%2F%2Fwww.webofscience.com%2Fwos%2Fwoscc%2Ffull-record%2FWOS:000700413300017","View Full Record in Web of Science")</f>
        <v>View Full Record in Web of Science</v>
      </c>
    </row>
    <row r="793" spans="1:72" ht="12.75" customHeight="1" x14ac:dyDescent="0.2">
      <c r="A793" t="s">
        <v>72</v>
      </c>
      <c r="B793" t="s">
        <v>4970</v>
      </c>
      <c r="F793" t="s">
        <v>4971</v>
      </c>
      <c r="I793" t="s">
        <v>5094</v>
      </c>
      <c r="J793" t="s">
        <v>940</v>
      </c>
      <c r="AA793" t="s">
        <v>2449</v>
      </c>
      <c r="AB793" t="s">
        <v>3628</v>
      </c>
      <c r="AO793" t="s">
        <v>943</v>
      </c>
      <c r="AP793" t="s">
        <v>944</v>
      </c>
      <c r="AT793" t="s">
        <v>319</v>
      </c>
      <c r="AU793">
        <v>2020</v>
      </c>
      <c r="AV793">
        <v>62</v>
      </c>
      <c r="AW793" t="s">
        <v>3862</v>
      </c>
      <c r="BB793">
        <v>534</v>
      </c>
      <c r="BC793">
        <v>539</v>
      </c>
      <c r="BE793" t="s">
        <v>5095</v>
      </c>
      <c r="BF793" t="str">
        <f>HYPERLINK("http://dx.doi.org/10.1007/s11041-020-00598-x","http://dx.doi.org/10.1007/s11041-020-00598-x")</f>
        <v>http://dx.doi.org/10.1007/s11041-020-00598-x</v>
      </c>
      <c r="BH793" t="s">
        <v>5096</v>
      </c>
      <c r="BS793" t="s">
        <v>5097</v>
      </c>
      <c r="BT793" t="str">
        <f>HYPERLINK("https%3A%2F%2Fwww.webofscience.com%2Fwos%2Fwoscc%2Ffull-record%2FWOS:000591585000003","View Full Record in Web of Science")</f>
        <v>View Full Record in Web of Science</v>
      </c>
    </row>
    <row r="794" spans="1:72" ht="12.75" customHeight="1" x14ac:dyDescent="0.2">
      <c r="A794" t="s">
        <v>72</v>
      </c>
      <c r="B794" t="s">
        <v>5098</v>
      </c>
      <c r="F794" t="s">
        <v>5099</v>
      </c>
      <c r="I794" t="s">
        <v>5100</v>
      </c>
      <c r="J794" t="s">
        <v>1608</v>
      </c>
      <c r="AA794" t="s">
        <v>1609</v>
      </c>
      <c r="AB794" t="s">
        <v>1610</v>
      </c>
      <c r="AO794" t="s">
        <v>1611</v>
      </c>
      <c r="AP794" t="s">
        <v>1612</v>
      </c>
      <c r="AU794">
        <v>2023</v>
      </c>
      <c r="AV794">
        <v>33</v>
      </c>
      <c r="AW794">
        <v>1</v>
      </c>
      <c r="BE794" t="s">
        <v>5101</v>
      </c>
      <c r="BF794" t="str">
        <f>HYPERLINK("http://dx.doi.org/10.15507/2658-4123.033.202301.100-113","http://dx.doi.org/10.15507/2658-4123.033.202301.100-113")</f>
        <v>http://dx.doi.org/10.15507/2658-4123.033.202301.100-113</v>
      </c>
      <c r="BS794" t="s">
        <v>5102</v>
      </c>
      <c r="BT794" t="str">
        <f>HYPERLINK("https%3A%2F%2Fwww.webofscience.com%2Fwos%2Fwoscc%2Ffull-record%2FWOS:000994427200005","View Full Record in Web of Science")</f>
        <v>View Full Record in Web of Science</v>
      </c>
    </row>
    <row r="795" spans="1:72" ht="12.75" customHeight="1" x14ac:dyDescent="0.2">
      <c r="A795" t="s">
        <v>72</v>
      </c>
      <c r="B795" t="s">
        <v>5103</v>
      </c>
      <c r="F795" t="s">
        <v>5104</v>
      </c>
      <c r="I795" t="s">
        <v>5105</v>
      </c>
      <c r="J795" t="s">
        <v>5106</v>
      </c>
      <c r="AA795" t="s">
        <v>5107</v>
      </c>
      <c r="AB795" t="s">
        <v>5108</v>
      </c>
      <c r="AO795" t="s">
        <v>5109</v>
      </c>
      <c r="AP795" t="s">
        <v>5110</v>
      </c>
      <c r="AT795" t="s">
        <v>171</v>
      </c>
      <c r="AU795">
        <v>2023</v>
      </c>
      <c r="AV795">
        <v>52</v>
      </c>
      <c r="AW795">
        <v>3</v>
      </c>
      <c r="BB795">
        <v>727</v>
      </c>
      <c r="BC795">
        <v>749</v>
      </c>
      <c r="BE795" t="s">
        <v>5111</v>
      </c>
      <c r="BF795" t="str">
        <f>HYPERLINK("http://dx.doi.org/10.1002/eqe.3785","http://dx.doi.org/10.1002/eqe.3785")</f>
        <v>http://dx.doi.org/10.1002/eqe.3785</v>
      </c>
      <c r="BH795" t="s">
        <v>4345</v>
      </c>
      <c r="BS795" t="s">
        <v>5112</v>
      </c>
      <c r="BT795" t="str">
        <f>HYPERLINK("https%3A%2F%2Fwww.webofscience.com%2Fwos%2Fwoscc%2Ffull-record%2FWOS:000892774100001","View Full Record in Web of Science")</f>
        <v>View Full Record in Web of Science</v>
      </c>
    </row>
    <row r="796" spans="1:72" ht="12.75" customHeight="1" x14ac:dyDescent="0.2">
      <c r="A796" t="s">
        <v>72</v>
      </c>
      <c r="B796" t="s">
        <v>5113</v>
      </c>
      <c r="F796" t="s">
        <v>5114</v>
      </c>
      <c r="I796" t="s">
        <v>5115</v>
      </c>
      <c r="J796" t="s">
        <v>1114</v>
      </c>
      <c r="AA796" t="s">
        <v>5116</v>
      </c>
      <c r="AB796" t="s">
        <v>4268</v>
      </c>
      <c r="AO796" t="s">
        <v>1117</v>
      </c>
      <c r="AT796" t="s">
        <v>3477</v>
      </c>
      <c r="AU796">
        <v>2019</v>
      </c>
      <c r="AV796">
        <v>8</v>
      </c>
      <c r="AW796">
        <v>23</v>
      </c>
      <c r="BB796">
        <v>299</v>
      </c>
      <c r="BC796">
        <v>307</v>
      </c>
      <c r="BS796" t="s">
        <v>5117</v>
      </c>
      <c r="BT796" t="str">
        <f>HYPERLINK("https%3A%2F%2Fwww.webofscience.com%2Fwos%2Fwoscc%2Ffull-record%2FWOS:000493331800025","View Full Record in Web of Science")</f>
        <v>View Full Record in Web of Science</v>
      </c>
    </row>
    <row r="797" spans="1:72" ht="12.75" customHeight="1" x14ac:dyDescent="0.2">
      <c r="A797" t="s">
        <v>72</v>
      </c>
      <c r="B797" t="s">
        <v>5118</v>
      </c>
      <c r="F797" t="s">
        <v>5119</v>
      </c>
      <c r="I797" t="s">
        <v>5120</v>
      </c>
      <c r="J797" t="s">
        <v>131</v>
      </c>
      <c r="AA797" t="s">
        <v>5121</v>
      </c>
      <c r="AB797" t="s">
        <v>5122</v>
      </c>
      <c r="AO797" t="s">
        <v>134</v>
      </c>
      <c r="AP797" t="s">
        <v>135</v>
      </c>
      <c r="AU797">
        <v>2019</v>
      </c>
      <c r="AV797">
        <v>19</v>
      </c>
      <c r="AW797">
        <v>2</v>
      </c>
      <c r="BB797">
        <v>55</v>
      </c>
      <c r="BC797">
        <v>62</v>
      </c>
      <c r="BE797" t="s">
        <v>5123</v>
      </c>
      <c r="BF797" t="str">
        <f>HYPERLINK("http://dx.doi.org/10.14529/hsm190207","http://dx.doi.org/10.14529/hsm190207")</f>
        <v>http://dx.doi.org/10.14529/hsm190207</v>
      </c>
      <c r="BS797" t="s">
        <v>5124</v>
      </c>
      <c r="BT797" t="str">
        <f>HYPERLINK("https%3A%2F%2Fwww.webofscience.com%2Fwos%2Fwoscc%2Ffull-record%2FWOS:000475456800007","View Full Record in Web of Science")</f>
        <v>View Full Record in Web of Science</v>
      </c>
    </row>
    <row r="798" spans="1:72" ht="12.75" customHeight="1" x14ac:dyDescent="0.2">
      <c r="A798" t="s">
        <v>147</v>
      </c>
      <c r="B798" t="s">
        <v>5125</v>
      </c>
      <c r="D798" t="s">
        <v>5126</v>
      </c>
      <c r="F798" t="s">
        <v>5127</v>
      </c>
      <c r="I798" t="s">
        <v>5128</v>
      </c>
      <c r="J798" t="s">
        <v>5129</v>
      </c>
      <c r="K798" t="s">
        <v>2504</v>
      </c>
      <c r="O798" t="s">
        <v>5130</v>
      </c>
      <c r="P798" t="s">
        <v>5131</v>
      </c>
      <c r="Q798" t="s">
        <v>5132</v>
      </c>
      <c r="S798" t="s">
        <v>5133</v>
      </c>
      <c r="AO798" t="s">
        <v>2509</v>
      </c>
      <c r="AQ798" t="s">
        <v>5134</v>
      </c>
      <c r="AU798">
        <v>2018</v>
      </c>
      <c r="AV798">
        <v>39</v>
      </c>
      <c r="BB798">
        <v>385</v>
      </c>
      <c r="BC798">
        <v>389</v>
      </c>
      <c r="BS798" t="s">
        <v>5135</v>
      </c>
      <c r="BT798" t="str">
        <f>HYPERLINK("https%3A%2F%2Fwww.webofscience.com%2Fwos%2Fwoscc%2Ffull-record%2FWOS:000515721900080","View Full Record in Web of Science")</f>
        <v>View Full Record in Web of Science</v>
      </c>
    </row>
    <row r="799" spans="1:72" ht="12.75" customHeight="1" x14ac:dyDescent="0.2">
      <c r="A799" t="s">
        <v>72</v>
      </c>
      <c r="B799" t="s">
        <v>5136</v>
      </c>
      <c r="F799" t="s">
        <v>5137</v>
      </c>
      <c r="I799" t="s">
        <v>5138</v>
      </c>
      <c r="J799" t="s">
        <v>5139</v>
      </c>
      <c r="AA799" t="s">
        <v>5140</v>
      </c>
      <c r="AB799" t="s">
        <v>5141</v>
      </c>
      <c r="AO799" t="s">
        <v>5142</v>
      </c>
      <c r="AP799" t="s">
        <v>5143</v>
      </c>
      <c r="AT799" t="s">
        <v>1173</v>
      </c>
      <c r="AU799">
        <v>2017</v>
      </c>
      <c r="AV799">
        <v>13</v>
      </c>
      <c r="AW799">
        <v>8</v>
      </c>
      <c r="BB799">
        <v>4725</v>
      </c>
      <c r="BC799">
        <v>4738</v>
      </c>
      <c r="BE799" t="s">
        <v>5144</v>
      </c>
      <c r="BF799" t="str">
        <f>HYPERLINK("http://dx.doi.org/10.12973/eurasia.2017.00960a","http://dx.doi.org/10.12973/eurasia.2017.00960a")</f>
        <v>http://dx.doi.org/10.12973/eurasia.2017.00960a</v>
      </c>
      <c r="BS799" t="s">
        <v>5145</v>
      </c>
      <c r="BT799" t="str">
        <f>HYPERLINK("https%3A%2F%2Fwww.webofscience.com%2Fwos%2Fwoscc%2Ffull-record%2FWOS:000409067500025","View Full Record in Web of Science")</f>
        <v>View Full Record in Web of Science</v>
      </c>
    </row>
    <row r="800" spans="1:72" ht="12.75" customHeight="1" x14ac:dyDescent="0.2">
      <c r="A800" t="s">
        <v>72</v>
      </c>
      <c r="B800" t="s">
        <v>698</v>
      </c>
      <c r="F800" t="s">
        <v>699</v>
      </c>
      <c r="I800" t="s">
        <v>5146</v>
      </c>
      <c r="J800" t="s">
        <v>5147</v>
      </c>
      <c r="AA800" t="s">
        <v>5148</v>
      </c>
      <c r="AO800" t="s">
        <v>5149</v>
      </c>
      <c r="AP800" t="s">
        <v>5150</v>
      </c>
      <c r="AT800" t="s">
        <v>198</v>
      </c>
      <c r="AU800">
        <v>2023</v>
      </c>
      <c r="AV800">
        <v>27</v>
      </c>
      <c r="AW800">
        <v>134</v>
      </c>
      <c r="BE800" t="s">
        <v>5151</v>
      </c>
      <c r="BF800" t="str">
        <f>HYPERLINK("http://dx.doi.org/10.54905/disssi/v27i134/e200ms3017","http://dx.doi.org/10.54905/disssi/v27i134/e200ms3017")</f>
        <v>http://dx.doi.org/10.54905/disssi/v27i134/e200ms3017</v>
      </c>
      <c r="BS800" t="s">
        <v>5152</v>
      </c>
      <c r="BT800" t="str">
        <f>HYPERLINK("https%3A%2F%2Fwww.webofscience.com%2Fwos%2Fwoscc%2Ffull-record%2FWOS:000994185800011","View Full Record in Web of Science")</f>
        <v>View Full Record in Web of Science</v>
      </c>
    </row>
    <row r="801" spans="1:72" ht="12.75" customHeight="1" x14ac:dyDescent="0.2">
      <c r="A801" t="s">
        <v>147</v>
      </c>
      <c r="B801" t="s">
        <v>5153</v>
      </c>
      <c r="D801" t="s">
        <v>4271</v>
      </c>
      <c r="F801" t="s">
        <v>5154</v>
      </c>
      <c r="I801" t="s">
        <v>5155</v>
      </c>
      <c r="J801" t="s">
        <v>4273</v>
      </c>
      <c r="K801" t="s">
        <v>1276</v>
      </c>
      <c r="O801" t="s">
        <v>1237</v>
      </c>
      <c r="P801" t="s">
        <v>4274</v>
      </c>
      <c r="Q801" t="s">
        <v>4275</v>
      </c>
      <c r="S801" t="s">
        <v>4276</v>
      </c>
      <c r="AA801" t="s">
        <v>5156</v>
      </c>
      <c r="AB801" t="s">
        <v>5157</v>
      </c>
      <c r="AO801" t="s">
        <v>1282</v>
      </c>
      <c r="AU801">
        <v>2018</v>
      </c>
      <c r="AV801">
        <v>170</v>
      </c>
      <c r="BD801">
        <v>1044</v>
      </c>
      <c r="BE801" t="s">
        <v>5158</v>
      </c>
      <c r="BF801" t="str">
        <f>HYPERLINK("http://dx.doi.org/10.1051/matecconf/201817001044","http://dx.doi.org/10.1051/matecconf/201817001044")</f>
        <v>http://dx.doi.org/10.1051/matecconf/201817001044</v>
      </c>
      <c r="BS801" t="s">
        <v>5159</v>
      </c>
      <c r="BT801" t="str">
        <f>HYPERLINK("https%3A%2F%2Fwww.webofscience.com%2Fwos%2Fwoscc%2Ffull-record%2FWOS:000449660800044","View Full Record in Web of Science")</f>
        <v>View Full Record in Web of Science</v>
      </c>
    </row>
    <row r="802" spans="1:72" ht="12.75" customHeight="1" x14ac:dyDescent="0.2">
      <c r="A802" t="s">
        <v>147</v>
      </c>
      <c r="B802" t="s">
        <v>5160</v>
      </c>
      <c r="D802" t="s">
        <v>1876</v>
      </c>
      <c r="F802" t="s">
        <v>5161</v>
      </c>
      <c r="I802" t="s">
        <v>5162</v>
      </c>
      <c r="J802" t="s">
        <v>1879</v>
      </c>
      <c r="K802" t="s">
        <v>1276</v>
      </c>
      <c r="O802" t="s">
        <v>1880</v>
      </c>
      <c r="P802" t="s">
        <v>1881</v>
      </c>
      <c r="Q802" t="s">
        <v>1882</v>
      </c>
      <c r="R802" t="s">
        <v>1883</v>
      </c>
      <c r="S802" t="s">
        <v>1884</v>
      </c>
      <c r="AA802" t="s">
        <v>1823</v>
      </c>
      <c r="AB802" t="s">
        <v>1824</v>
      </c>
      <c r="AO802" t="s">
        <v>1282</v>
      </c>
      <c r="AU802">
        <v>2017</v>
      </c>
      <c r="AV802">
        <v>106</v>
      </c>
      <c r="BD802">
        <v>8084</v>
      </c>
      <c r="BE802" t="s">
        <v>5163</v>
      </c>
      <c r="BF802" t="str">
        <f>HYPERLINK("http://dx.doi.org/10.1051/matecconf/201710608084","http://dx.doi.org/10.1051/matecconf/201710608084")</f>
        <v>http://dx.doi.org/10.1051/matecconf/201710608084</v>
      </c>
      <c r="BS802" t="s">
        <v>5164</v>
      </c>
      <c r="BT802" t="str">
        <f>HYPERLINK("https%3A%2F%2Fwww.webofscience.com%2Fwos%2Fwoscc%2Ffull-record%2FWOS:000426426600269","View Full Record in Web of Science")</f>
        <v>View Full Record in Web of Science</v>
      </c>
    </row>
    <row r="803" spans="1:72" ht="12.75" customHeight="1" x14ac:dyDescent="0.2">
      <c r="A803" t="s">
        <v>72</v>
      </c>
      <c r="B803" t="s">
        <v>5165</v>
      </c>
      <c r="F803" t="s">
        <v>5166</v>
      </c>
      <c r="I803" t="s">
        <v>5167</v>
      </c>
      <c r="J803" t="s">
        <v>244</v>
      </c>
      <c r="AO803" t="s">
        <v>245</v>
      </c>
      <c r="AP803" t="s">
        <v>246</v>
      </c>
      <c r="AU803">
        <v>2020</v>
      </c>
      <c r="AW803">
        <v>12</v>
      </c>
      <c r="AX803">
        <v>3</v>
      </c>
      <c r="BB803">
        <v>242</v>
      </c>
      <c r="BC803">
        <v>249</v>
      </c>
      <c r="BE803" t="s">
        <v>5168</v>
      </c>
      <c r="BF803" t="str">
        <f>HYPERLINK("http://dx.doi.org/10.31166/VoprosyIstorii202012Statyi70","http://dx.doi.org/10.31166/VoprosyIstorii202012Statyi70")</f>
        <v>http://dx.doi.org/10.31166/VoprosyIstorii202012Statyi70</v>
      </c>
      <c r="BS803" t="s">
        <v>5169</v>
      </c>
      <c r="BT803" t="str">
        <f>HYPERLINK("https%3A%2F%2Fwww.webofscience.com%2Fwos%2Fwoscc%2Ffull-record%2FWOS:000611219500022","View Full Record in Web of Science")</f>
        <v>View Full Record in Web of Science</v>
      </c>
    </row>
    <row r="804" spans="1:72" ht="12.75" customHeight="1" x14ac:dyDescent="0.2">
      <c r="A804" t="s">
        <v>72</v>
      </c>
      <c r="B804" t="s">
        <v>5170</v>
      </c>
      <c r="F804" t="s">
        <v>5171</v>
      </c>
      <c r="I804" t="s">
        <v>5172</v>
      </c>
      <c r="J804" t="s">
        <v>4823</v>
      </c>
      <c r="AA804" t="s">
        <v>5173</v>
      </c>
      <c r="AB804" t="s">
        <v>5174</v>
      </c>
      <c r="AO804" t="s">
        <v>4826</v>
      </c>
      <c r="AT804" t="s">
        <v>2368</v>
      </c>
      <c r="AU804">
        <v>2019</v>
      </c>
      <c r="AV804">
        <v>19</v>
      </c>
      <c r="AW804">
        <v>2</v>
      </c>
      <c r="BB804">
        <v>85</v>
      </c>
      <c r="BC804">
        <v>90</v>
      </c>
      <c r="BE804" t="s">
        <v>5175</v>
      </c>
      <c r="BF804" t="str">
        <f>HYPERLINK("http://dx.doi.org/10.18083/LCAppl.2019.2.85","http://dx.doi.org/10.18083/LCAppl.2019.2.85")</f>
        <v>http://dx.doi.org/10.18083/LCAppl.2019.2.85</v>
      </c>
      <c r="BS804" t="s">
        <v>5176</v>
      </c>
      <c r="BT804" t="str">
        <f>HYPERLINK("https%3A%2F%2Fwww.webofscience.com%2Fwos%2Fwoscc%2Ffull-record%2FWOS:000472958800010","View Full Record in Web of Science")</f>
        <v>View Full Record in Web of Science</v>
      </c>
    </row>
    <row r="805" spans="1:72" ht="12.75" customHeight="1" x14ac:dyDescent="0.2">
      <c r="A805" t="s">
        <v>72</v>
      </c>
      <c r="B805" t="s">
        <v>5177</v>
      </c>
      <c r="F805" t="s">
        <v>5178</v>
      </c>
      <c r="I805" t="s">
        <v>5179</v>
      </c>
      <c r="J805" t="s">
        <v>95</v>
      </c>
      <c r="AB805" t="s">
        <v>5180</v>
      </c>
      <c r="AO805" t="s">
        <v>98</v>
      </c>
      <c r="AP805" t="s">
        <v>99</v>
      </c>
      <c r="AU805">
        <v>2019</v>
      </c>
      <c r="AW805">
        <v>1</v>
      </c>
      <c r="BB805">
        <v>122</v>
      </c>
      <c r="BC805">
        <v>128</v>
      </c>
      <c r="BE805" t="s">
        <v>5181</v>
      </c>
      <c r="BF805" t="str">
        <f>HYPERLINK("http://dx.doi.org/10.25750/1995-4301-2019-1-122-128","http://dx.doi.org/10.25750/1995-4301-2019-1-122-128")</f>
        <v>http://dx.doi.org/10.25750/1995-4301-2019-1-122-128</v>
      </c>
      <c r="BS805" t="s">
        <v>5182</v>
      </c>
      <c r="BT805" t="str">
        <f>HYPERLINK("https%3A%2F%2Fwww.webofscience.com%2Fwos%2Fwoscc%2Ffull-record%2FWOS:000468565900018","View Full Record in Web of Science")</f>
        <v>View Full Record in Web of Science</v>
      </c>
    </row>
    <row r="806" spans="1:72" ht="12.75" customHeight="1" x14ac:dyDescent="0.2">
      <c r="A806" t="s">
        <v>72</v>
      </c>
      <c r="B806" t="s">
        <v>5183</v>
      </c>
      <c r="F806" t="s">
        <v>5184</v>
      </c>
      <c r="I806" t="s">
        <v>5185</v>
      </c>
      <c r="J806" t="s">
        <v>1608</v>
      </c>
      <c r="AA806" t="s">
        <v>5186</v>
      </c>
      <c r="AB806" t="s">
        <v>5187</v>
      </c>
      <c r="AO806" t="s">
        <v>1611</v>
      </c>
      <c r="AP806" t="s">
        <v>1612</v>
      </c>
      <c r="AU806">
        <v>2019</v>
      </c>
      <c r="AV806">
        <v>29</v>
      </c>
      <c r="AW806">
        <v>2</v>
      </c>
      <c r="BB806">
        <v>187</v>
      </c>
      <c r="BC806">
        <v>204</v>
      </c>
      <c r="BE806" t="s">
        <v>5188</v>
      </c>
      <c r="BF806" t="str">
        <f>HYPERLINK("http://dx.doi.org/10.15507/2658-4123.029.201902.187-204","http://dx.doi.org/10.15507/2658-4123.029.201902.187-204")</f>
        <v>http://dx.doi.org/10.15507/2658-4123.029.201902.187-204</v>
      </c>
      <c r="BS806" t="s">
        <v>5189</v>
      </c>
      <c r="BT806" t="str">
        <f>HYPERLINK("https%3A%2F%2Fwww.webofscience.com%2Fwos%2Fwoscc%2Ffull-record%2FWOS:000487855200003","View Full Record in Web of Science")</f>
        <v>View Full Record in Web of Science</v>
      </c>
    </row>
    <row r="807" spans="1:72" ht="12.75" customHeight="1" x14ac:dyDescent="0.2">
      <c r="A807" t="s">
        <v>147</v>
      </c>
      <c r="B807" t="s">
        <v>5190</v>
      </c>
      <c r="C807" t="s">
        <v>1232</v>
      </c>
      <c r="F807" t="s">
        <v>5191</v>
      </c>
      <c r="G807" t="s">
        <v>1232</v>
      </c>
      <c r="I807" t="s">
        <v>5192</v>
      </c>
      <c r="J807" t="s">
        <v>1235</v>
      </c>
      <c r="K807" t="s">
        <v>1236</v>
      </c>
      <c r="O807" t="s">
        <v>1237</v>
      </c>
      <c r="P807" t="s">
        <v>1238</v>
      </c>
      <c r="Q807" t="s">
        <v>910</v>
      </c>
      <c r="R807" t="s">
        <v>1239</v>
      </c>
      <c r="AA807" t="s">
        <v>5193</v>
      </c>
      <c r="AO807" t="s">
        <v>1240</v>
      </c>
      <c r="AU807">
        <v>2019</v>
      </c>
      <c r="AV807">
        <v>110</v>
      </c>
      <c r="BD807">
        <v>2151</v>
      </c>
      <c r="BE807" t="s">
        <v>5194</v>
      </c>
      <c r="BF807" t="str">
        <f>HYPERLINK("http://dx.doi.org/10.1051/e3sconf/201911002151","http://dx.doi.org/10.1051/e3sconf/201911002151")</f>
        <v>http://dx.doi.org/10.1051/e3sconf/201911002151</v>
      </c>
      <c r="BS807" t="s">
        <v>5195</v>
      </c>
      <c r="BT807" t="str">
        <f>HYPERLINK("https%3A%2F%2Fwww.webofscience.com%2Fwos%2Fwoscc%2Ffull-record%2FWOS:000569050000240","View Full Record in Web of Science")</f>
        <v>View Full Record in Web of Science</v>
      </c>
    </row>
    <row r="808" spans="1:72" ht="12.75" customHeight="1" x14ac:dyDescent="0.2">
      <c r="A808" t="s">
        <v>147</v>
      </c>
      <c r="B808" t="s">
        <v>5196</v>
      </c>
      <c r="F808" t="s">
        <v>5197</v>
      </c>
      <c r="I808" t="s">
        <v>5198</v>
      </c>
      <c r="J808" t="s">
        <v>769</v>
      </c>
      <c r="O808" t="s">
        <v>1277</v>
      </c>
      <c r="P808" t="s">
        <v>5199</v>
      </c>
      <c r="Q808" t="s">
        <v>772</v>
      </c>
      <c r="R808" t="s">
        <v>773</v>
      </c>
      <c r="AB808" t="s">
        <v>5200</v>
      </c>
      <c r="AO808" t="s">
        <v>775</v>
      </c>
      <c r="AU808">
        <v>2019</v>
      </c>
      <c r="AV808">
        <v>19</v>
      </c>
      <c r="AX808">
        <v>5</v>
      </c>
      <c r="BB808">
        <v>2034</v>
      </c>
      <c r="BC808">
        <v>2036</v>
      </c>
      <c r="BE808" t="s">
        <v>5201</v>
      </c>
      <c r="BF808" t="str">
        <f>HYPERLINK("http://dx.doi.org/10.1016/j.matpr.2019.07.068","http://dx.doi.org/10.1016/j.matpr.2019.07.068")</f>
        <v>http://dx.doi.org/10.1016/j.matpr.2019.07.068</v>
      </c>
      <c r="BS808" t="s">
        <v>5202</v>
      </c>
      <c r="BT808" t="str">
        <f>HYPERLINK("https%3A%2F%2Fwww.webofscience.com%2Fwos%2Fwoscc%2Ffull-record%2FWOS:000507473500050","View Full Record in Web of Science")</f>
        <v>View Full Record in Web of Science</v>
      </c>
    </row>
    <row r="809" spans="1:72" ht="12.75" customHeight="1" x14ac:dyDescent="0.2">
      <c r="A809" t="s">
        <v>72</v>
      </c>
      <c r="B809" t="s">
        <v>5203</v>
      </c>
      <c r="F809" t="s">
        <v>5203</v>
      </c>
      <c r="I809" t="s">
        <v>5204</v>
      </c>
      <c r="J809" t="s">
        <v>614</v>
      </c>
      <c r="AO809" t="s">
        <v>617</v>
      </c>
      <c r="AP809" t="s">
        <v>1720</v>
      </c>
      <c r="AT809" t="s">
        <v>491</v>
      </c>
      <c r="AU809">
        <v>2005</v>
      </c>
      <c r="AV809">
        <v>41</v>
      </c>
      <c r="AW809">
        <v>6</v>
      </c>
      <c r="BB809">
        <v>646</v>
      </c>
      <c r="BC809">
        <v>652</v>
      </c>
      <c r="BE809" t="s">
        <v>5205</v>
      </c>
      <c r="BF809" t="str">
        <f>HYPERLINK("http://dx.doi.org/10.1007/s11175-005-0118-8","http://dx.doi.org/10.1007/s11175-005-0118-8")</f>
        <v>http://dx.doi.org/10.1007/s11175-005-0118-8</v>
      </c>
      <c r="BS809" t="s">
        <v>5206</v>
      </c>
      <c r="BT809" t="str">
        <f>HYPERLINK("https%3A%2F%2Fwww.webofscience.com%2Fwos%2Fwoscc%2Ffull-record%2FWOS:000230551900008","View Full Record in Web of Science")</f>
        <v>View Full Record in Web of Science</v>
      </c>
    </row>
    <row r="810" spans="1:72" ht="12.75" customHeight="1" x14ac:dyDescent="0.2">
      <c r="A810" t="s">
        <v>72</v>
      </c>
      <c r="B810" t="s">
        <v>5207</v>
      </c>
      <c r="F810" t="s">
        <v>5208</v>
      </c>
      <c r="I810" t="s">
        <v>5209</v>
      </c>
      <c r="J810" t="s">
        <v>4849</v>
      </c>
      <c r="AA810" t="s">
        <v>4850</v>
      </c>
      <c r="AB810" t="s">
        <v>4851</v>
      </c>
      <c r="AO810" t="s">
        <v>4852</v>
      </c>
      <c r="AP810" t="s">
        <v>4853</v>
      </c>
      <c r="AT810" t="s">
        <v>1173</v>
      </c>
      <c r="AU810">
        <v>2022</v>
      </c>
      <c r="AV810">
        <v>100</v>
      </c>
      <c r="AW810">
        <v>2</v>
      </c>
      <c r="BB810">
        <v>160</v>
      </c>
      <c r="BC810">
        <v>161</v>
      </c>
      <c r="BD810">
        <v>14615</v>
      </c>
      <c r="BE810" t="s">
        <v>5210</v>
      </c>
      <c r="BF810" t="str">
        <f>HYPERLINK("http://dx.doi.org/10.1111/tan.14615","http://dx.doi.org/10.1111/tan.14615")</f>
        <v>http://dx.doi.org/10.1111/tan.14615</v>
      </c>
      <c r="BH810" t="s">
        <v>2052</v>
      </c>
      <c r="BN810">
        <v>35343103</v>
      </c>
      <c r="BS810" t="s">
        <v>5211</v>
      </c>
      <c r="BT810" t="str">
        <f>HYPERLINK("https%3A%2F%2Fwww.webofscience.com%2Fwos%2Fwoscc%2Ffull-record%2FWOS:000776605400001","View Full Record in Web of Science")</f>
        <v>View Full Record in Web of Science</v>
      </c>
    </row>
    <row r="811" spans="1:72" ht="12.75" customHeight="1" x14ac:dyDescent="0.2">
      <c r="A811" t="s">
        <v>72</v>
      </c>
      <c r="B811" t="s">
        <v>5212</v>
      </c>
      <c r="F811" t="s">
        <v>5213</v>
      </c>
      <c r="I811" t="s">
        <v>5214</v>
      </c>
      <c r="J811" t="s">
        <v>4849</v>
      </c>
      <c r="AA811" t="s">
        <v>4850</v>
      </c>
      <c r="AB811" t="s">
        <v>5215</v>
      </c>
      <c r="AO811" t="s">
        <v>4852</v>
      </c>
      <c r="AP811" t="s">
        <v>4853</v>
      </c>
      <c r="AT811" t="s">
        <v>125</v>
      </c>
      <c r="AU811">
        <v>2022</v>
      </c>
      <c r="AV811">
        <v>100</v>
      </c>
      <c r="AW811">
        <v>1</v>
      </c>
      <c r="BB811">
        <v>96</v>
      </c>
      <c r="BC811">
        <v>97</v>
      </c>
      <c r="BE811" t="s">
        <v>5216</v>
      </c>
      <c r="BF811" t="str">
        <f>HYPERLINK("http://dx.doi.org/10.1111/tan.14610","http://dx.doi.org/10.1111/tan.14610")</f>
        <v>http://dx.doi.org/10.1111/tan.14610</v>
      </c>
      <c r="BH811" t="s">
        <v>90</v>
      </c>
      <c r="BN811">
        <v>35318831</v>
      </c>
      <c r="BS811" t="s">
        <v>5217</v>
      </c>
      <c r="BT811" t="str">
        <f>HYPERLINK("https%3A%2F%2Fwww.webofscience.com%2Fwos%2Fwoscc%2Ffull-record%2FWOS:000780680000001","View Full Record in Web of Science")</f>
        <v>View Full Record in Web of Science</v>
      </c>
    </row>
    <row r="812" spans="1:72" ht="12.75" customHeight="1" x14ac:dyDescent="0.2">
      <c r="A812" t="s">
        <v>72</v>
      </c>
      <c r="B812" t="s">
        <v>5218</v>
      </c>
      <c r="F812" t="s">
        <v>5219</v>
      </c>
      <c r="I812" t="s">
        <v>5220</v>
      </c>
      <c r="J812" t="s">
        <v>5221</v>
      </c>
      <c r="AO812" t="s">
        <v>5222</v>
      </c>
      <c r="AP812" t="s">
        <v>5223</v>
      </c>
      <c r="AT812" t="s">
        <v>5224</v>
      </c>
      <c r="AU812">
        <v>2021</v>
      </c>
      <c r="AV812">
        <v>872</v>
      </c>
      <c r="BD812">
        <v>159692</v>
      </c>
      <c r="BE812" t="s">
        <v>5225</v>
      </c>
      <c r="BF812" t="str">
        <f>HYPERLINK("http://dx.doi.org/10.1016/j.jallcom.2021.159692","http://dx.doi.org/10.1016/j.jallcom.2021.159692")</f>
        <v>http://dx.doi.org/10.1016/j.jallcom.2021.159692</v>
      </c>
      <c r="BH812" t="s">
        <v>5226</v>
      </c>
      <c r="BS812" t="s">
        <v>5227</v>
      </c>
      <c r="BT812" t="str">
        <f>HYPERLINK("https%3A%2F%2Fwww.webofscience.com%2Fwos%2Fwoscc%2Ffull-record%2FWOS:000647674900002","View Full Record in Web of Science")</f>
        <v>View Full Record in Web of Science</v>
      </c>
    </row>
    <row r="813" spans="1:72" ht="12.75" customHeight="1" x14ac:dyDescent="0.2">
      <c r="A813" t="s">
        <v>147</v>
      </c>
      <c r="B813" t="s">
        <v>5228</v>
      </c>
      <c r="C813" t="s">
        <v>1232</v>
      </c>
      <c r="F813" t="s">
        <v>5229</v>
      </c>
      <c r="G813" t="s">
        <v>1232</v>
      </c>
      <c r="I813" t="s">
        <v>5230</v>
      </c>
      <c r="J813" t="s">
        <v>1235</v>
      </c>
      <c r="K813" t="s">
        <v>1236</v>
      </c>
      <c r="O813" t="s">
        <v>1237</v>
      </c>
      <c r="P813" t="s">
        <v>1238</v>
      </c>
      <c r="Q813" t="s">
        <v>910</v>
      </c>
      <c r="R813" t="s">
        <v>1239</v>
      </c>
      <c r="AA813" t="s">
        <v>5231</v>
      </c>
      <c r="AB813" t="s">
        <v>5232</v>
      </c>
      <c r="AO813" t="s">
        <v>1240</v>
      </c>
      <c r="AU813">
        <v>2019</v>
      </c>
      <c r="AV813">
        <v>110</v>
      </c>
      <c r="BD813">
        <v>2155</v>
      </c>
      <c r="BE813" t="s">
        <v>5233</v>
      </c>
      <c r="BF813" t="str">
        <f>HYPERLINK("http://dx.doi.org/10.1051/e3sconf/201911002155","http://dx.doi.org/10.1051/e3sconf/201911002155")</f>
        <v>http://dx.doi.org/10.1051/e3sconf/201911002155</v>
      </c>
      <c r="BS813" t="s">
        <v>5234</v>
      </c>
      <c r="BT813" t="str">
        <f>HYPERLINK("https%3A%2F%2Fwww.webofscience.com%2Fwos%2Fwoscc%2Ffull-record%2FWOS:000569050000244","View Full Record in Web of Science")</f>
        <v>View Full Record in Web of Science</v>
      </c>
    </row>
    <row r="814" spans="1:72" ht="12.75" customHeight="1" x14ac:dyDescent="0.2">
      <c r="A814" t="s">
        <v>72</v>
      </c>
      <c r="B814" t="s">
        <v>5235</v>
      </c>
      <c r="F814" t="s">
        <v>5236</v>
      </c>
      <c r="I814" t="s">
        <v>5237</v>
      </c>
      <c r="J814" t="s">
        <v>2640</v>
      </c>
      <c r="AA814" t="s">
        <v>4073</v>
      </c>
      <c r="AB814" t="s">
        <v>4074</v>
      </c>
      <c r="AO814" t="s">
        <v>2643</v>
      </c>
      <c r="AU814">
        <v>2019</v>
      </c>
      <c r="AV814">
        <v>56</v>
      </c>
      <c r="AW814">
        <v>2</v>
      </c>
      <c r="BB814">
        <v>116</v>
      </c>
      <c r="BC814">
        <v>125</v>
      </c>
      <c r="BE814" t="s">
        <v>5238</v>
      </c>
      <c r="BF814" t="str">
        <f>HYPERLINK("http://dx.doi.org/10.26170/FK19-02-15","http://dx.doi.org/10.26170/FK19-02-15")</f>
        <v>http://dx.doi.org/10.26170/FK19-02-15</v>
      </c>
      <c r="BS814" t="s">
        <v>5239</v>
      </c>
      <c r="BT814" t="str">
        <f>HYPERLINK("https%3A%2F%2Fwww.webofscience.com%2Fwos%2Fwoscc%2Ffull-record%2FWOS:000489097600015","View Full Record in Web of Science")</f>
        <v>View Full Record in Web of Science</v>
      </c>
    </row>
    <row r="815" spans="1:72" ht="12.75" customHeight="1" x14ac:dyDescent="0.2">
      <c r="A815" t="s">
        <v>72</v>
      </c>
      <c r="B815" t="s">
        <v>5240</v>
      </c>
      <c r="F815" t="s">
        <v>5241</v>
      </c>
      <c r="I815" t="s">
        <v>5242</v>
      </c>
      <c r="J815" t="s">
        <v>1206</v>
      </c>
      <c r="O815" t="s">
        <v>3165</v>
      </c>
      <c r="P815" t="s">
        <v>3166</v>
      </c>
      <c r="Q815" t="s">
        <v>746</v>
      </c>
      <c r="R815" t="s">
        <v>3167</v>
      </c>
      <c r="AO815" t="s">
        <v>624</v>
      </c>
      <c r="AT815" t="s">
        <v>319</v>
      </c>
      <c r="AU815">
        <v>2006</v>
      </c>
      <c r="AV815">
        <v>80</v>
      </c>
      <c r="AW815">
        <v>11</v>
      </c>
      <c r="BB815">
        <v>1837</v>
      </c>
      <c r="BC815">
        <v>1841</v>
      </c>
      <c r="BE815" t="s">
        <v>5243</v>
      </c>
      <c r="BF815" t="str">
        <f>HYPERLINK("http://dx.doi.org/10.1134/S0036024406110288","http://dx.doi.org/10.1134/S0036024406110288")</f>
        <v>http://dx.doi.org/10.1134/S0036024406110288</v>
      </c>
      <c r="BS815" t="s">
        <v>5244</v>
      </c>
      <c r="BT815" t="str">
        <f>HYPERLINK("https%3A%2F%2Fwww.webofscience.com%2Fwos%2Fwoscc%2Ffull-record%2FWOS:000245667100028","View Full Record in Web of Science")</f>
        <v>View Full Record in Web of Science</v>
      </c>
    </row>
    <row r="816" spans="1:72" ht="12.75" customHeight="1" x14ac:dyDescent="0.2">
      <c r="A816" t="s">
        <v>147</v>
      </c>
      <c r="B816" t="s">
        <v>5245</v>
      </c>
      <c r="F816" t="s">
        <v>5246</v>
      </c>
      <c r="I816" t="s">
        <v>5247</v>
      </c>
      <c r="J816" t="s">
        <v>769</v>
      </c>
      <c r="O816" t="s">
        <v>5248</v>
      </c>
      <c r="P816" t="s">
        <v>5249</v>
      </c>
      <c r="Q816" t="s">
        <v>772</v>
      </c>
      <c r="AB816" t="s">
        <v>5250</v>
      </c>
      <c r="AO816" t="s">
        <v>775</v>
      </c>
      <c r="AU816">
        <v>2019</v>
      </c>
      <c r="AV816">
        <v>11</v>
      </c>
      <c r="AX816">
        <v>1</v>
      </c>
      <c r="BB816">
        <v>336</v>
      </c>
      <c r="BC816">
        <v>341</v>
      </c>
      <c r="BE816" t="s">
        <v>5251</v>
      </c>
      <c r="BF816" t="str">
        <f>HYPERLINK("http://dx.doi.org/10.1016/j.matpr.2018.12.154","http://dx.doi.org/10.1016/j.matpr.2018.12.154")</f>
        <v>http://dx.doi.org/10.1016/j.matpr.2018.12.154</v>
      </c>
      <c r="BS816" t="s">
        <v>5252</v>
      </c>
      <c r="BT816" t="str">
        <f>HYPERLINK("https%3A%2F%2Fwww.webofscience.com%2Fwos%2Fwoscc%2Ffull-record%2FWOS:000463193400058","View Full Record in Web of Science")</f>
        <v>View Full Record in Web of Science</v>
      </c>
    </row>
    <row r="817" spans="1:72" ht="12.75" customHeight="1" x14ac:dyDescent="0.2">
      <c r="A817" t="s">
        <v>147</v>
      </c>
      <c r="B817" t="s">
        <v>5253</v>
      </c>
      <c r="C817" t="s">
        <v>1232</v>
      </c>
      <c r="F817" t="s">
        <v>5254</v>
      </c>
      <c r="G817" t="s">
        <v>1232</v>
      </c>
      <c r="I817" t="s">
        <v>5255</v>
      </c>
      <c r="J817" t="s">
        <v>1235</v>
      </c>
      <c r="K817" t="s">
        <v>1236</v>
      </c>
      <c r="O817" t="s">
        <v>1237</v>
      </c>
      <c r="P817" t="s">
        <v>1238</v>
      </c>
      <c r="Q817" t="s">
        <v>910</v>
      </c>
      <c r="R817" t="s">
        <v>1239</v>
      </c>
      <c r="AB817" t="s">
        <v>5256</v>
      </c>
      <c r="AO817" t="s">
        <v>1240</v>
      </c>
      <c r="AU817">
        <v>2019</v>
      </c>
      <c r="AV817">
        <v>110</v>
      </c>
      <c r="BD817">
        <v>2150</v>
      </c>
      <c r="BE817" t="s">
        <v>5257</v>
      </c>
      <c r="BF817" t="str">
        <f>HYPERLINK("http://dx.doi.org/10.1051/e3sconf/201911002150","http://dx.doi.org/10.1051/e3sconf/201911002150")</f>
        <v>http://dx.doi.org/10.1051/e3sconf/201911002150</v>
      </c>
      <c r="BS817" t="s">
        <v>5258</v>
      </c>
      <c r="BT817" t="str">
        <f>HYPERLINK("https%3A%2F%2Fwww.webofscience.com%2Fwos%2Fwoscc%2Ffull-record%2FWOS:000569050000239","View Full Record in Web of Science")</f>
        <v>View Full Record in Web of Science</v>
      </c>
    </row>
    <row r="818" spans="1:72" ht="12.75" customHeight="1" x14ac:dyDescent="0.2">
      <c r="A818" t="s">
        <v>72</v>
      </c>
      <c r="B818" t="s">
        <v>5259</v>
      </c>
      <c r="F818" t="s">
        <v>5259</v>
      </c>
      <c r="I818" t="s">
        <v>5260</v>
      </c>
      <c r="J818" t="s">
        <v>614</v>
      </c>
      <c r="O818" t="s">
        <v>5261</v>
      </c>
      <c r="P818" t="s">
        <v>5262</v>
      </c>
      <c r="Q818" t="s">
        <v>5263</v>
      </c>
      <c r="S818" t="s">
        <v>2862</v>
      </c>
      <c r="AB818" t="s">
        <v>2399</v>
      </c>
      <c r="AO818" t="s">
        <v>617</v>
      </c>
      <c r="AP818" t="s">
        <v>1720</v>
      </c>
      <c r="AT818" t="s">
        <v>88</v>
      </c>
      <c r="AU818">
        <v>2005</v>
      </c>
      <c r="AV818">
        <v>41</v>
      </c>
      <c r="AW818">
        <v>5</v>
      </c>
      <c r="BB818">
        <v>555</v>
      </c>
      <c r="BC818">
        <v>561</v>
      </c>
      <c r="BE818" t="s">
        <v>5264</v>
      </c>
      <c r="BF818" t="str">
        <f>HYPERLINK("http://dx.doi.org/10.1007/s11175-005-0105-0","http://dx.doi.org/10.1007/s11175-005-0105-0")</f>
        <v>http://dx.doi.org/10.1007/s11175-005-0105-0</v>
      </c>
      <c r="BS818" t="s">
        <v>5265</v>
      </c>
      <c r="BT818" t="str">
        <f>HYPERLINK("https%3A%2F%2Fwww.webofscience.com%2Fwos%2Fwoscc%2Ffull-record%2FWOS:000229725000018","View Full Record in Web of Science")</f>
        <v>View Full Record in Web of Science</v>
      </c>
    </row>
    <row r="819" spans="1:72" ht="12.75" customHeight="1" x14ac:dyDescent="0.2">
      <c r="A819" t="s">
        <v>72</v>
      </c>
      <c r="B819" t="s">
        <v>4873</v>
      </c>
      <c r="F819" t="s">
        <v>4874</v>
      </c>
      <c r="I819" t="s">
        <v>5266</v>
      </c>
      <c r="J819" t="s">
        <v>4849</v>
      </c>
      <c r="AA819" t="s">
        <v>4850</v>
      </c>
      <c r="AB819" t="s">
        <v>4851</v>
      </c>
      <c r="AO819" t="s">
        <v>4852</v>
      </c>
      <c r="AP819" t="s">
        <v>4853</v>
      </c>
      <c r="AT819" t="s">
        <v>491</v>
      </c>
      <c r="AU819">
        <v>2023</v>
      </c>
      <c r="AV819">
        <v>101</v>
      </c>
      <c r="AW819">
        <v>6</v>
      </c>
      <c r="BB819">
        <v>689</v>
      </c>
      <c r="BC819">
        <v>690</v>
      </c>
      <c r="BE819" t="s">
        <v>5267</v>
      </c>
      <c r="BF819" t="str">
        <f>HYPERLINK("http://dx.doi.org/10.1111/tan.14952","http://dx.doi.org/10.1111/tan.14952")</f>
        <v>http://dx.doi.org/10.1111/tan.14952</v>
      </c>
      <c r="BH819" t="s">
        <v>4345</v>
      </c>
      <c r="BN819">
        <v>36565033</v>
      </c>
      <c r="BS819" t="s">
        <v>5268</v>
      </c>
      <c r="BT819" t="str">
        <f>HYPERLINK("https%3A%2F%2Fwww.webofscience.com%2Fwos%2Fwoscc%2Ffull-record%2FWOS:000905834100001","View Full Record in Web of Science")</f>
        <v>View Full Record in Web of Science</v>
      </c>
    </row>
    <row r="820" spans="1:72" ht="12.75" customHeight="1" x14ac:dyDescent="0.2">
      <c r="A820" t="s">
        <v>72</v>
      </c>
      <c r="B820" t="s">
        <v>925</v>
      </c>
      <c r="F820" t="s">
        <v>926</v>
      </c>
      <c r="I820" t="s">
        <v>5269</v>
      </c>
      <c r="J820" t="s">
        <v>5270</v>
      </c>
      <c r="AA820" t="s">
        <v>84</v>
      </c>
      <c r="AB820" t="s">
        <v>85</v>
      </c>
      <c r="AO820" t="s">
        <v>5271</v>
      </c>
      <c r="AP820" t="s">
        <v>5272</v>
      </c>
      <c r="AT820" t="s">
        <v>830</v>
      </c>
      <c r="AU820">
        <v>2020</v>
      </c>
      <c r="AV820">
        <v>11</v>
      </c>
      <c r="AW820">
        <v>9</v>
      </c>
      <c r="BB820">
        <v>1</v>
      </c>
      <c r="BC820">
        <v>8</v>
      </c>
      <c r="BS820" t="s">
        <v>5273</v>
      </c>
      <c r="BT820" t="str">
        <f>HYPERLINK("https%3A%2F%2Fwww.webofscience.com%2Fwos%2Fwoscc%2Ffull-record%2FWOS:000592987700002","View Full Record in Web of Science")</f>
        <v>View Full Record in Web of Science</v>
      </c>
    </row>
    <row r="821" spans="1:72" ht="12.75" customHeight="1" x14ac:dyDescent="0.2">
      <c r="A821" t="s">
        <v>147</v>
      </c>
      <c r="B821" t="s">
        <v>5274</v>
      </c>
      <c r="D821" t="s">
        <v>5275</v>
      </c>
      <c r="F821" t="s">
        <v>5276</v>
      </c>
      <c r="I821" t="s">
        <v>5277</v>
      </c>
      <c r="J821" t="s">
        <v>5278</v>
      </c>
      <c r="K821" t="s">
        <v>5279</v>
      </c>
      <c r="O821" t="s">
        <v>5280</v>
      </c>
      <c r="P821" t="s">
        <v>5281</v>
      </c>
      <c r="Q821" t="s">
        <v>5132</v>
      </c>
      <c r="S821" t="s">
        <v>5133</v>
      </c>
      <c r="AO821" t="s">
        <v>5282</v>
      </c>
      <c r="AU821">
        <v>2019</v>
      </c>
      <c r="AV821">
        <v>69</v>
      </c>
      <c r="BD821">
        <v>17</v>
      </c>
      <c r="BE821" t="s">
        <v>5283</v>
      </c>
      <c r="BF821" t="str">
        <f>HYPERLINK("http://dx.doi.org/10.1051/shsconf/20196900017","http://dx.doi.org/10.1051/shsconf/20196900017")</f>
        <v>http://dx.doi.org/10.1051/shsconf/20196900017</v>
      </c>
      <c r="BS821" t="s">
        <v>5284</v>
      </c>
      <c r="BT821" t="str">
        <f>HYPERLINK("https%3A%2F%2Fwww.webofscience.com%2Fwos%2Fwoscc%2Ffull-record%2FWOS:000543686000016","View Full Record in Web of Science")</f>
        <v>View Full Record in Web of Science</v>
      </c>
    </row>
    <row r="822" spans="1:72" ht="12.75" customHeight="1" x14ac:dyDescent="0.2">
      <c r="A822" t="s">
        <v>147</v>
      </c>
      <c r="B822" t="s">
        <v>5285</v>
      </c>
      <c r="D822" t="s">
        <v>1490</v>
      </c>
      <c r="F822" t="s">
        <v>5286</v>
      </c>
      <c r="I822" t="s">
        <v>5287</v>
      </c>
      <c r="J822" t="s">
        <v>1493</v>
      </c>
      <c r="K822" t="s">
        <v>1494</v>
      </c>
      <c r="O822" t="s">
        <v>1495</v>
      </c>
      <c r="P822" t="s">
        <v>1496</v>
      </c>
      <c r="Q822" t="s">
        <v>256</v>
      </c>
      <c r="R822" t="s">
        <v>1497</v>
      </c>
      <c r="S822" t="s">
        <v>257</v>
      </c>
      <c r="AA822" t="s">
        <v>2486</v>
      </c>
      <c r="AB822" t="s">
        <v>5288</v>
      </c>
      <c r="AO822" t="s">
        <v>1500</v>
      </c>
      <c r="AP822" t="s">
        <v>1304</v>
      </c>
      <c r="AQ822" t="s">
        <v>1501</v>
      </c>
      <c r="AU822">
        <v>2019</v>
      </c>
      <c r="AV822">
        <v>11832</v>
      </c>
      <c r="BB822">
        <v>242</v>
      </c>
      <c r="BC822">
        <v>253</v>
      </c>
      <c r="BE822" t="s">
        <v>5289</v>
      </c>
      <c r="BF822" t="str">
        <f>HYPERLINK("http://dx.doi.org/10.1007/978-3-030-37334-4_22","http://dx.doi.org/10.1007/978-3-030-37334-4_22")</f>
        <v>http://dx.doi.org/10.1007/978-3-030-37334-4_22</v>
      </c>
      <c r="BS822" t="s">
        <v>5290</v>
      </c>
      <c r="BT822" t="str">
        <f>HYPERLINK("https%3A%2F%2Fwww.webofscience.com%2Fwos%2Fwoscc%2Ffull-record%2FWOS:000611787800022","View Full Record in Web of Science")</f>
        <v>View Full Record in Web of Science</v>
      </c>
    </row>
    <row r="823" spans="1:72" ht="12.75" customHeight="1" x14ac:dyDescent="0.2">
      <c r="A823" t="s">
        <v>147</v>
      </c>
      <c r="B823" t="s">
        <v>5291</v>
      </c>
      <c r="D823" t="s">
        <v>1272</v>
      </c>
      <c r="F823" t="s">
        <v>5292</v>
      </c>
      <c r="I823" t="s">
        <v>5293</v>
      </c>
      <c r="J823" t="s">
        <v>5294</v>
      </c>
      <c r="K823" t="s">
        <v>1276</v>
      </c>
      <c r="O823" t="s">
        <v>5248</v>
      </c>
      <c r="P823" t="s">
        <v>5249</v>
      </c>
      <c r="Q823" t="s">
        <v>772</v>
      </c>
      <c r="R823" t="s">
        <v>5295</v>
      </c>
      <c r="AB823" t="s">
        <v>5200</v>
      </c>
      <c r="AO823" t="s">
        <v>1282</v>
      </c>
      <c r="AU823">
        <v>2018</v>
      </c>
      <c r="AV823">
        <v>224</v>
      </c>
      <c r="BD823">
        <v>1040</v>
      </c>
      <c r="BE823" t="s">
        <v>5296</v>
      </c>
      <c r="BF823" t="str">
        <f>HYPERLINK("http://dx.doi.org/10.1051/matecconf/201822401040","http://dx.doi.org/10.1051/matecconf/201822401040")</f>
        <v>http://dx.doi.org/10.1051/matecconf/201822401040</v>
      </c>
      <c r="BS823" t="s">
        <v>5297</v>
      </c>
      <c r="BT823" t="str">
        <f>HYPERLINK("https%3A%2F%2Fwww.webofscience.com%2Fwos%2Fwoscc%2Ffull-record%2FWOS:000476933600040","View Full Record in Web of Science")</f>
        <v>View Full Record in Web of Science</v>
      </c>
    </row>
    <row r="824" spans="1:72" ht="12.75" customHeight="1" x14ac:dyDescent="0.2">
      <c r="A824" t="s">
        <v>72</v>
      </c>
      <c r="B824" t="s">
        <v>5298</v>
      </c>
      <c r="F824" t="s">
        <v>5299</v>
      </c>
      <c r="I824" t="s">
        <v>5300</v>
      </c>
      <c r="J824" t="s">
        <v>5301</v>
      </c>
      <c r="AO824" t="s">
        <v>5302</v>
      </c>
      <c r="AU824">
        <v>2017</v>
      </c>
      <c r="AV824">
        <v>24</v>
      </c>
      <c r="BB824">
        <v>258</v>
      </c>
      <c r="BC824">
        <v>266</v>
      </c>
      <c r="BS824" t="s">
        <v>5303</v>
      </c>
      <c r="BT824" t="str">
        <f>HYPERLINK("https%3A%2F%2Fwww.webofscience.com%2Fwos%2Fwoscc%2Ffull-record%2FWOS:000417887400021","View Full Record in Web of Science")</f>
        <v>View Full Record in Web of Science</v>
      </c>
    </row>
    <row r="825" spans="1:72" ht="12.75" customHeight="1" x14ac:dyDescent="0.2">
      <c r="A825" t="s">
        <v>72</v>
      </c>
      <c r="B825" t="s">
        <v>5304</v>
      </c>
      <c r="F825" t="s">
        <v>5304</v>
      </c>
      <c r="I825" t="s">
        <v>5305</v>
      </c>
      <c r="J825" t="s">
        <v>940</v>
      </c>
      <c r="AO825" t="s">
        <v>943</v>
      </c>
      <c r="AT825" t="s">
        <v>3477</v>
      </c>
      <c r="AU825">
        <v>2003</v>
      </c>
      <c r="AV825">
        <v>45</v>
      </c>
      <c r="AW825" t="s">
        <v>945</v>
      </c>
      <c r="BB825">
        <v>449</v>
      </c>
      <c r="BC825">
        <v>451</v>
      </c>
      <c r="BE825" t="s">
        <v>5306</v>
      </c>
      <c r="BF825" t="str">
        <f>HYPERLINK("http://dx.doi.org/10.1023/B:MSAT.0000019201.56753.34","http://dx.doi.org/10.1023/B:MSAT.0000019201.56753.34")</f>
        <v>http://dx.doi.org/10.1023/B:MSAT.0000019201.56753.34</v>
      </c>
      <c r="BS825" t="s">
        <v>5307</v>
      </c>
      <c r="BT825" t="str">
        <f>HYPERLINK("https%3A%2F%2Fwww.webofscience.com%2Fwos%2Fwoscc%2Ffull-record%2FWOS:000221016500011","View Full Record in Web of Science")</f>
        <v>View Full Record in Web of Science</v>
      </c>
    </row>
    <row r="826" spans="1:72" ht="12.75" customHeight="1" x14ac:dyDescent="0.2">
      <c r="A826" t="s">
        <v>72</v>
      </c>
      <c r="B826" t="s">
        <v>378</v>
      </c>
      <c r="F826" t="s">
        <v>1226</v>
      </c>
      <c r="I826" t="s">
        <v>5308</v>
      </c>
      <c r="J826" t="s">
        <v>5309</v>
      </c>
      <c r="AO826" t="s">
        <v>5310</v>
      </c>
      <c r="AU826">
        <v>2023</v>
      </c>
      <c r="AV826">
        <v>10</v>
      </c>
      <c r="AW826">
        <v>1</v>
      </c>
      <c r="BB826">
        <v>65</v>
      </c>
      <c r="BC826">
        <v>75</v>
      </c>
      <c r="BE826" t="s">
        <v>5311</v>
      </c>
      <c r="BF826" t="str">
        <f>HYPERLINK("http://dx.doi.org/10.51847/2GXBEcgNwL","http://dx.doi.org/10.51847/2GXBEcgNwL")</f>
        <v>http://dx.doi.org/10.51847/2GXBEcgNwL</v>
      </c>
      <c r="BS826" t="s">
        <v>5312</v>
      </c>
      <c r="BT826" t="str">
        <f>HYPERLINK("https%3A%2F%2Fwww.webofscience.com%2Fwos%2Fwoscc%2Ffull-record%2FWOS:000971992100003","View Full Record in Web of Science")</f>
        <v>View Full Record in Web of Science</v>
      </c>
    </row>
    <row r="827" spans="1:72" ht="12.75" customHeight="1" x14ac:dyDescent="0.2">
      <c r="A827" t="s">
        <v>72</v>
      </c>
      <c r="B827" t="s">
        <v>4873</v>
      </c>
      <c r="F827" t="s">
        <v>4874</v>
      </c>
      <c r="I827" t="s">
        <v>5313</v>
      </c>
      <c r="J827" t="s">
        <v>4849</v>
      </c>
      <c r="AA827" t="s">
        <v>4850</v>
      </c>
      <c r="AB827" t="s">
        <v>5314</v>
      </c>
      <c r="AO827" t="s">
        <v>4852</v>
      </c>
      <c r="AP827" t="s">
        <v>4853</v>
      </c>
      <c r="AT827" t="s">
        <v>319</v>
      </c>
      <c r="AU827">
        <v>2022</v>
      </c>
      <c r="AV827">
        <v>100</v>
      </c>
      <c r="AW827">
        <v>5</v>
      </c>
      <c r="BB827">
        <v>514</v>
      </c>
      <c r="BC827">
        <v>515</v>
      </c>
      <c r="BE827" t="s">
        <v>5315</v>
      </c>
      <c r="BF827" t="str">
        <f>HYPERLINK("http://dx.doi.org/10.1111/tan.14748","http://dx.doi.org/10.1111/tan.14748")</f>
        <v>http://dx.doi.org/10.1111/tan.14748</v>
      </c>
      <c r="BH827" t="s">
        <v>5316</v>
      </c>
      <c r="BN827">
        <v>35906815</v>
      </c>
      <c r="BS827" t="s">
        <v>5317</v>
      </c>
      <c r="BT827" t="str">
        <f>HYPERLINK("https%3A%2F%2Fwww.webofscience.com%2Fwos%2Fwoscc%2Ffull-record%2FWOS:000837478000001","View Full Record in Web of Science")</f>
        <v>View Full Record in Web of Science</v>
      </c>
    </row>
    <row r="828" spans="1:72" ht="12.75" customHeight="1" x14ac:dyDescent="0.2">
      <c r="A828" t="s">
        <v>147</v>
      </c>
      <c r="B828" t="s">
        <v>5318</v>
      </c>
      <c r="E828" t="s">
        <v>210</v>
      </c>
      <c r="F828" t="s">
        <v>5319</v>
      </c>
      <c r="I828" t="s">
        <v>5320</v>
      </c>
      <c r="J828" t="s">
        <v>5321</v>
      </c>
      <c r="O828" t="s">
        <v>5322</v>
      </c>
      <c r="P828" t="s">
        <v>5323</v>
      </c>
      <c r="Q828" t="s">
        <v>746</v>
      </c>
      <c r="AA828" t="s">
        <v>5324</v>
      </c>
      <c r="AB828" t="s">
        <v>5325</v>
      </c>
      <c r="AQ828" t="s">
        <v>5326</v>
      </c>
      <c r="AU828">
        <v>2016</v>
      </c>
      <c r="BB828">
        <v>46</v>
      </c>
      <c r="BC828">
        <v>51</v>
      </c>
      <c r="BS828" t="s">
        <v>5327</v>
      </c>
      <c r="BT828" t="str">
        <f>HYPERLINK("https%3A%2F%2Fwww.webofscience.com%2Fwos%2Fwoscc%2Ffull-record%2FWOS:000382516300009","View Full Record in Web of Science")</f>
        <v>View Full Record in Web of Science</v>
      </c>
    </row>
    <row r="829" spans="1:72" ht="12.75" customHeight="1" x14ac:dyDescent="0.2">
      <c r="A829" t="s">
        <v>147</v>
      </c>
      <c r="B829" t="s">
        <v>5328</v>
      </c>
      <c r="D829" t="s">
        <v>5329</v>
      </c>
      <c r="F829" t="s">
        <v>5330</v>
      </c>
      <c r="I829" t="s">
        <v>5331</v>
      </c>
      <c r="J829" t="s">
        <v>5332</v>
      </c>
      <c r="O829" t="s">
        <v>5333</v>
      </c>
      <c r="P829" t="s">
        <v>5334</v>
      </c>
      <c r="Q829" t="s">
        <v>5335</v>
      </c>
      <c r="AA829" t="s">
        <v>5336</v>
      </c>
      <c r="AB829" t="s">
        <v>5337</v>
      </c>
      <c r="AQ829" t="s">
        <v>5338</v>
      </c>
      <c r="AU829">
        <v>2015</v>
      </c>
      <c r="BS829" t="s">
        <v>5339</v>
      </c>
      <c r="BT829" t="str">
        <f>HYPERLINK("https%3A%2F%2Fwww.webofscience.com%2Fwos%2Fwoscc%2Ffull-record%2FWOS:000398997004110","View Full Record in Web of Science")</f>
        <v>View Full Record in Web of Science</v>
      </c>
    </row>
    <row r="830" spans="1:72" ht="12.75" customHeight="1" x14ac:dyDescent="0.2">
      <c r="A830" t="s">
        <v>72</v>
      </c>
      <c r="B830" t="s">
        <v>5340</v>
      </c>
      <c r="F830" t="s">
        <v>5341</v>
      </c>
      <c r="I830" t="s">
        <v>5342</v>
      </c>
      <c r="J830" t="s">
        <v>1905</v>
      </c>
      <c r="O830" t="s">
        <v>2703</v>
      </c>
      <c r="P830" t="s">
        <v>2704</v>
      </c>
      <c r="Q830" t="s">
        <v>2563</v>
      </c>
      <c r="R830" t="s">
        <v>2705</v>
      </c>
      <c r="AA830" t="s">
        <v>5343</v>
      </c>
      <c r="AB830" t="s">
        <v>5344</v>
      </c>
      <c r="AO830" t="s">
        <v>1906</v>
      </c>
      <c r="AT830" t="s">
        <v>1173</v>
      </c>
      <c r="AU830">
        <v>2007</v>
      </c>
      <c r="AV830">
        <v>33</v>
      </c>
      <c r="AW830">
        <v>4</v>
      </c>
      <c r="BB830">
        <v>369</v>
      </c>
      <c r="BC830">
        <v>378</v>
      </c>
      <c r="BE830" t="s">
        <v>5345</v>
      </c>
      <c r="BF830" t="str">
        <f>HYPERLINK("http://dx.doi.org/10.1134/S1087659607040116","http://dx.doi.org/10.1134/S1087659607040116")</f>
        <v>http://dx.doi.org/10.1134/S1087659607040116</v>
      </c>
      <c r="BS830" t="s">
        <v>5346</v>
      </c>
      <c r="BT830" t="str">
        <f>HYPERLINK("https%3A%2F%2Fwww.webofscience.com%2Fwos%2Fwoscc%2Ffull-record%2FWOS:000249259800011","View Full Record in Web of Science")</f>
        <v>View Full Record in Web of Science</v>
      </c>
    </row>
    <row r="831" spans="1:72" ht="12.75" customHeight="1" x14ac:dyDescent="0.2">
      <c r="A831" t="s">
        <v>72</v>
      </c>
      <c r="B831" t="s">
        <v>5347</v>
      </c>
      <c r="F831" t="s">
        <v>5348</v>
      </c>
      <c r="I831" t="s">
        <v>5349</v>
      </c>
      <c r="J831" t="s">
        <v>3527</v>
      </c>
      <c r="AO831" t="s">
        <v>3528</v>
      </c>
      <c r="AU831">
        <v>2022</v>
      </c>
      <c r="AV831">
        <v>28</v>
      </c>
      <c r="AW831">
        <v>2</v>
      </c>
      <c r="BB831">
        <v>56</v>
      </c>
      <c r="BC831">
        <v>65</v>
      </c>
      <c r="BE831" t="s">
        <v>5350</v>
      </c>
      <c r="BF831" t="str">
        <f>HYPERLINK("http://dx.doi.org/10.21538/0134-4889-2022-28-2-56-65","http://dx.doi.org/10.21538/0134-4889-2022-28-2-56-65")</f>
        <v>http://dx.doi.org/10.21538/0134-4889-2022-28-2-56-65</v>
      </c>
      <c r="BS831" t="s">
        <v>5351</v>
      </c>
      <c r="BT831" t="str">
        <f>HYPERLINK("https%3A%2F%2Fwww.webofscience.com%2Fwos%2Fwoscc%2Ffull-record%2FWOS:000905209900004","View Full Record in Web of Science")</f>
        <v>View Full Record in Web of Science</v>
      </c>
    </row>
    <row r="832" spans="1:72" ht="12.75" customHeight="1" x14ac:dyDescent="0.2">
      <c r="A832" t="s">
        <v>72</v>
      </c>
      <c r="B832" t="s">
        <v>378</v>
      </c>
      <c r="F832" t="s">
        <v>2100</v>
      </c>
      <c r="I832" t="s">
        <v>5352</v>
      </c>
      <c r="J832" t="s">
        <v>1652</v>
      </c>
      <c r="AA832" t="s">
        <v>553</v>
      </c>
      <c r="AB832" t="s">
        <v>554</v>
      </c>
      <c r="AO832" t="s">
        <v>1653</v>
      </c>
      <c r="AT832" t="s">
        <v>491</v>
      </c>
      <c r="AU832">
        <v>2021</v>
      </c>
      <c r="AV832">
        <v>15</v>
      </c>
      <c r="AW832">
        <v>6</v>
      </c>
      <c r="BB832">
        <v>2072</v>
      </c>
      <c r="BC832">
        <v>2074</v>
      </c>
      <c r="BE832" t="s">
        <v>5353</v>
      </c>
      <c r="BF832" t="str">
        <f>HYPERLINK("http://dx.doi.org/10.53350/pjmhs211562072","http://dx.doi.org/10.53350/pjmhs211562072")</f>
        <v>http://dx.doi.org/10.53350/pjmhs211562072</v>
      </c>
      <c r="BS832" t="s">
        <v>5354</v>
      </c>
      <c r="BT832" t="str">
        <f>HYPERLINK("https%3A%2F%2Fwww.webofscience.com%2Fwos%2Fwoscc%2Ffull-record%2FWOS:000691814600100","View Full Record in Web of Science")</f>
        <v>View Full Record in Web of Science</v>
      </c>
    </row>
    <row r="833" spans="1:72" ht="12.75" customHeight="1" x14ac:dyDescent="0.2">
      <c r="A833" t="s">
        <v>72</v>
      </c>
      <c r="B833" t="s">
        <v>5355</v>
      </c>
      <c r="F833" t="s">
        <v>5355</v>
      </c>
      <c r="I833" t="s">
        <v>5356</v>
      </c>
      <c r="J833" t="s">
        <v>614</v>
      </c>
      <c r="AA833" t="s">
        <v>489</v>
      </c>
      <c r="AB833" t="s">
        <v>490</v>
      </c>
      <c r="AO833" t="s">
        <v>617</v>
      </c>
      <c r="AP833" t="s">
        <v>1720</v>
      </c>
      <c r="AT833" t="s">
        <v>491</v>
      </c>
      <c r="AU833">
        <v>2005</v>
      </c>
      <c r="AV833">
        <v>41</v>
      </c>
      <c r="AW833">
        <v>6</v>
      </c>
      <c r="BB833">
        <v>625</v>
      </c>
      <c r="BC833">
        <v>631</v>
      </c>
      <c r="BE833" t="s">
        <v>5357</v>
      </c>
      <c r="BF833" t="str">
        <f>HYPERLINK("http://dx.doi.org/10.1007/s11175-005-0115-y","http://dx.doi.org/10.1007/s11175-005-0115-y")</f>
        <v>http://dx.doi.org/10.1007/s11175-005-0115-y</v>
      </c>
      <c r="BS833" t="s">
        <v>5358</v>
      </c>
      <c r="BT833" t="str">
        <f>HYPERLINK("https%3A%2F%2Fwww.webofscience.com%2Fwos%2Fwoscc%2Ffull-record%2FWOS:000230551900005","View Full Record in Web of Science")</f>
        <v>View Full Record in Web of Science</v>
      </c>
    </row>
    <row r="834" spans="1:72" ht="12.75" customHeight="1" x14ac:dyDescent="0.2">
      <c r="A834" t="s">
        <v>72</v>
      </c>
      <c r="B834" t="s">
        <v>5359</v>
      </c>
      <c r="F834" t="s">
        <v>5359</v>
      </c>
      <c r="I834" t="s">
        <v>5360</v>
      </c>
      <c r="J834" t="s">
        <v>1905</v>
      </c>
      <c r="O834" t="s">
        <v>486</v>
      </c>
      <c r="P834" t="s">
        <v>487</v>
      </c>
      <c r="Q834" t="s">
        <v>488</v>
      </c>
      <c r="AO834" t="s">
        <v>1906</v>
      </c>
      <c r="AT834" t="s">
        <v>313</v>
      </c>
      <c r="AU834">
        <v>2000</v>
      </c>
      <c r="AV834">
        <v>26</v>
      </c>
      <c r="AW834">
        <v>4</v>
      </c>
      <c r="BB834">
        <v>373</v>
      </c>
      <c r="BC834">
        <v>376</v>
      </c>
      <c r="BS834" t="s">
        <v>5361</v>
      </c>
      <c r="BT834" t="str">
        <f>HYPERLINK("https%3A%2F%2Fwww.webofscience.com%2Fwos%2Fwoscc%2Ffull-record%2FWOS:000089046200011","View Full Record in Web of Science")</f>
        <v>View Full Record in Web of Science</v>
      </c>
    </row>
    <row r="835" spans="1:72" ht="12.75" customHeight="1" x14ac:dyDescent="0.2">
      <c r="A835" t="s">
        <v>72</v>
      </c>
      <c r="B835" t="s">
        <v>5362</v>
      </c>
      <c r="F835" t="s">
        <v>5363</v>
      </c>
      <c r="I835" t="s">
        <v>5364</v>
      </c>
      <c r="J835" t="s">
        <v>1608</v>
      </c>
      <c r="AO835" t="s">
        <v>1611</v>
      </c>
      <c r="AP835" t="s">
        <v>1612</v>
      </c>
      <c r="AU835">
        <v>2023</v>
      </c>
      <c r="AV835">
        <v>33</v>
      </c>
      <c r="AW835">
        <v>1</v>
      </c>
      <c r="BE835" t="s">
        <v>5365</v>
      </c>
      <c r="BF835" t="str">
        <f>HYPERLINK("http://dx.doi.org/10.15507/2658-4123.033.202301.037-051","http://dx.doi.org/10.15507/2658-4123.033.202301.037-051")</f>
        <v>http://dx.doi.org/10.15507/2658-4123.033.202301.037-051</v>
      </c>
      <c r="BS835" t="s">
        <v>5366</v>
      </c>
      <c r="BT835" t="str">
        <f>HYPERLINK("https%3A%2F%2Fwww.webofscience.com%2Fwos%2Fwoscc%2Ffull-record%2FWOS:000994427200002","View Full Record in Web of Science")</f>
        <v>View Full Record in Web of Science</v>
      </c>
    </row>
    <row r="836" spans="1:72" ht="12.75" customHeight="1" x14ac:dyDescent="0.2">
      <c r="A836" t="s">
        <v>72</v>
      </c>
      <c r="B836" t="s">
        <v>5367</v>
      </c>
      <c r="F836" t="s">
        <v>5368</v>
      </c>
      <c r="I836" t="s">
        <v>5369</v>
      </c>
      <c r="J836" t="s">
        <v>614</v>
      </c>
      <c r="AO836" t="s">
        <v>617</v>
      </c>
      <c r="AP836" t="s">
        <v>1720</v>
      </c>
      <c r="AT836" t="s">
        <v>1173</v>
      </c>
      <c r="AU836">
        <v>2021</v>
      </c>
      <c r="AV836">
        <v>57</v>
      </c>
      <c r="AW836">
        <v>8</v>
      </c>
      <c r="BB836">
        <v>840</v>
      </c>
      <c r="BC836">
        <v>851</v>
      </c>
      <c r="BE836" t="s">
        <v>5370</v>
      </c>
      <c r="BF836" t="str">
        <f>HYPERLINK("http://dx.doi.org/10.1134/S1023193521070107","http://dx.doi.org/10.1134/S1023193521070107")</f>
        <v>http://dx.doi.org/10.1134/S1023193521070107</v>
      </c>
      <c r="BS836" t="s">
        <v>5371</v>
      </c>
      <c r="BT836" t="str">
        <f>HYPERLINK("https%3A%2F%2Fwww.webofscience.com%2Fwos%2Fwoscc%2Ffull-record%2FWOS:000694843300004","View Full Record in Web of Science")</f>
        <v>View Full Record in Web of Science</v>
      </c>
    </row>
    <row r="837" spans="1:72" ht="12.75" customHeight="1" x14ac:dyDescent="0.2">
      <c r="A837" t="s">
        <v>72</v>
      </c>
      <c r="B837" t="s">
        <v>5347</v>
      </c>
      <c r="F837" t="s">
        <v>5372</v>
      </c>
      <c r="I837" t="s">
        <v>5373</v>
      </c>
      <c r="J837" t="s">
        <v>3527</v>
      </c>
      <c r="AA837" t="s">
        <v>5374</v>
      </c>
      <c r="AO837" t="s">
        <v>3528</v>
      </c>
      <c r="AU837">
        <v>2021</v>
      </c>
      <c r="AV837">
        <v>27</v>
      </c>
      <c r="AW837">
        <v>4</v>
      </c>
      <c r="BB837">
        <v>48</v>
      </c>
      <c r="BC837">
        <v>60</v>
      </c>
      <c r="BE837" t="s">
        <v>5375</v>
      </c>
      <c r="BF837" t="str">
        <f>HYPERLINK("http://dx.doi.org/10.21538/0134-4889-2021-27-4-48-60","http://dx.doi.org/10.21538/0134-4889-2021-27-4-48-60")</f>
        <v>http://dx.doi.org/10.21538/0134-4889-2021-27-4-48-60</v>
      </c>
      <c r="BS837" t="s">
        <v>5376</v>
      </c>
      <c r="BT837" t="str">
        <f>HYPERLINK("https%3A%2F%2Fwww.webofscience.com%2Fwos%2Fwoscc%2Ffull-record%2FWOS:000756004700004","View Full Record in Web of Science")</f>
        <v>View Full Record in Web of Science</v>
      </c>
    </row>
    <row r="838" spans="1:72" ht="12.75" customHeight="1" x14ac:dyDescent="0.2">
      <c r="A838" t="s">
        <v>72</v>
      </c>
      <c r="B838" t="s">
        <v>5377</v>
      </c>
      <c r="F838" t="s">
        <v>5378</v>
      </c>
      <c r="I838" t="s">
        <v>5379</v>
      </c>
      <c r="J838" t="s">
        <v>3324</v>
      </c>
      <c r="AA838" t="s">
        <v>1402</v>
      </c>
      <c r="AB838" t="s">
        <v>2760</v>
      </c>
      <c r="AO838" t="s">
        <v>3325</v>
      </c>
      <c r="AU838">
        <v>2021</v>
      </c>
      <c r="AV838">
        <v>9</v>
      </c>
      <c r="BB838">
        <v>134899</v>
      </c>
      <c r="BC838">
        <v>134915</v>
      </c>
      <c r="BE838" t="s">
        <v>5380</v>
      </c>
      <c r="BF838" t="str">
        <f>HYPERLINK("http://dx.doi.org/10.1109/ACCESS.2021.3116657","http://dx.doi.org/10.1109/ACCESS.2021.3116657")</f>
        <v>http://dx.doi.org/10.1109/ACCESS.2021.3116657</v>
      </c>
      <c r="BS838" t="s">
        <v>5381</v>
      </c>
      <c r="BT838" t="str">
        <f>HYPERLINK("https%3A%2F%2Fwww.webofscience.com%2Fwos%2Fwoscc%2Ffull-record%2FWOS:000704104400001","View Full Record in Web of Science")</f>
        <v>View Full Record in Web of Science</v>
      </c>
    </row>
    <row r="839" spans="1:72" ht="12.75" customHeight="1" x14ac:dyDescent="0.2">
      <c r="A839" t="s">
        <v>147</v>
      </c>
      <c r="B839" t="s">
        <v>5382</v>
      </c>
      <c r="D839" t="s">
        <v>2517</v>
      </c>
      <c r="F839" t="s">
        <v>5383</v>
      </c>
      <c r="I839" t="s">
        <v>5384</v>
      </c>
      <c r="J839" t="s">
        <v>5028</v>
      </c>
      <c r="K839" t="s">
        <v>2521</v>
      </c>
      <c r="O839" t="s">
        <v>5029</v>
      </c>
      <c r="P839" t="s">
        <v>5030</v>
      </c>
      <c r="Q839" t="s">
        <v>2524</v>
      </c>
      <c r="R839" t="s">
        <v>2525</v>
      </c>
      <c r="AA839" t="s">
        <v>5385</v>
      </c>
      <c r="AB839" t="s">
        <v>5386</v>
      </c>
      <c r="AO839" t="s">
        <v>2527</v>
      </c>
      <c r="AP839" t="s">
        <v>2528</v>
      </c>
      <c r="AU839">
        <v>2020</v>
      </c>
      <c r="BB839">
        <v>1053</v>
      </c>
      <c r="BC839">
        <v>1058</v>
      </c>
      <c r="BE839" t="s">
        <v>5387</v>
      </c>
      <c r="BF839" t="str">
        <f>HYPERLINK("http://dx.doi.org/10.22616/ERDev.2020.19.TF249","http://dx.doi.org/10.22616/ERDev.2020.19.TF249")</f>
        <v>http://dx.doi.org/10.22616/ERDev.2020.19.TF249</v>
      </c>
      <c r="BS839" t="s">
        <v>5388</v>
      </c>
      <c r="BT839" t="str">
        <f>HYPERLINK("https%3A%2F%2Fwww.webofscience.com%2Fwos%2Fwoscc%2Ffull-record%2FWOS:000815085500148","View Full Record in Web of Science")</f>
        <v>View Full Record in Web of Science</v>
      </c>
    </row>
    <row r="840" spans="1:72" ht="12.75" customHeight="1" x14ac:dyDescent="0.2">
      <c r="A840" t="s">
        <v>72</v>
      </c>
      <c r="B840" t="s">
        <v>5389</v>
      </c>
      <c r="F840" t="s">
        <v>5390</v>
      </c>
      <c r="I840" t="s">
        <v>5391</v>
      </c>
      <c r="J840" t="s">
        <v>5139</v>
      </c>
      <c r="AA840" t="s">
        <v>5392</v>
      </c>
      <c r="AB840" t="s">
        <v>5393</v>
      </c>
      <c r="AO840" t="s">
        <v>5142</v>
      </c>
      <c r="AP840" t="s">
        <v>5143</v>
      </c>
      <c r="AT840" t="s">
        <v>125</v>
      </c>
      <c r="AU840">
        <v>2017</v>
      </c>
      <c r="AV840">
        <v>13</v>
      </c>
      <c r="AW840">
        <v>7</v>
      </c>
      <c r="BB840">
        <v>3919</v>
      </c>
      <c r="BC840">
        <v>3933</v>
      </c>
      <c r="BE840" t="s">
        <v>5394</v>
      </c>
      <c r="BF840" t="str">
        <f>HYPERLINK("http://dx.doi.org/10.12973/eurasia.2017.00764a","http://dx.doi.org/10.12973/eurasia.2017.00764a")</f>
        <v>http://dx.doi.org/10.12973/eurasia.2017.00764a</v>
      </c>
      <c r="BS840" t="s">
        <v>5395</v>
      </c>
      <c r="BT840" t="str">
        <f>HYPERLINK("https%3A%2F%2Fwww.webofscience.com%2Fwos%2Fwoscc%2Ffull-record%2FWOS:000404607800063","View Full Record in Web of Science")</f>
        <v>View Full Record in Web of Science</v>
      </c>
    </row>
    <row r="841" spans="1:72" ht="12.75" customHeight="1" x14ac:dyDescent="0.2">
      <c r="A841" t="s">
        <v>72</v>
      </c>
      <c r="B841" t="s">
        <v>5396</v>
      </c>
      <c r="F841" t="s">
        <v>5397</v>
      </c>
      <c r="I841" t="s">
        <v>5398</v>
      </c>
      <c r="J841" t="s">
        <v>4849</v>
      </c>
      <c r="AA841" t="s">
        <v>4850</v>
      </c>
      <c r="AB841" t="s">
        <v>4851</v>
      </c>
      <c r="AO841" t="s">
        <v>4852</v>
      </c>
      <c r="AP841" t="s">
        <v>4853</v>
      </c>
      <c r="AT841" t="s">
        <v>491</v>
      </c>
      <c r="AU841">
        <v>2022</v>
      </c>
      <c r="AV841">
        <v>99</v>
      </c>
      <c r="AW841">
        <v>6</v>
      </c>
      <c r="BB841">
        <v>627</v>
      </c>
      <c r="BC841">
        <v>628</v>
      </c>
      <c r="BE841" t="s">
        <v>5399</v>
      </c>
      <c r="BF841" t="str">
        <f>HYPERLINK("http://dx.doi.org/10.1111/tan.14552","http://dx.doi.org/10.1111/tan.14552")</f>
        <v>http://dx.doi.org/10.1111/tan.14552</v>
      </c>
      <c r="BH841" t="s">
        <v>3630</v>
      </c>
      <c r="BN841">
        <v>35048544</v>
      </c>
      <c r="BS841" t="s">
        <v>5400</v>
      </c>
      <c r="BT841" t="str">
        <f>HYPERLINK("https%3A%2F%2Fwww.webofscience.com%2Fwos%2Fwoscc%2Ffull-record%2FWOS:000762015700001","View Full Record in Web of Science")</f>
        <v>View Full Record in Web of Science</v>
      </c>
    </row>
    <row r="842" spans="1:72" ht="12.75" customHeight="1" x14ac:dyDescent="0.2">
      <c r="A842" t="s">
        <v>72</v>
      </c>
      <c r="B842" t="s">
        <v>5401</v>
      </c>
      <c r="F842" t="s">
        <v>5402</v>
      </c>
      <c r="I842" t="s">
        <v>5403</v>
      </c>
      <c r="J842" t="s">
        <v>95</v>
      </c>
      <c r="AB842" t="s">
        <v>5404</v>
      </c>
      <c r="AO842" t="s">
        <v>98</v>
      </c>
      <c r="AP842" t="s">
        <v>99</v>
      </c>
      <c r="AU842">
        <v>2022</v>
      </c>
      <c r="AW842">
        <v>2</v>
      </c>
      <c r="BB842">
        <v>70</v>
      </c>
      <c r="BC842">
        <v>76</v>
      </c>
      <c r="BE842" t="s">
        <v>5405</v>
      </c>
      <c r="BF842" t="str">
        <f>HYPERLINK("http://dx.doi.org/10.25750/1995-4301-2022-2-070-076","http://dx.doi.org/10.25750/1995-4301-2022-2-070-076")</f>
        <v>http://dx.doi.org/10.25750/1995-4301-2022-2-070-076</v>
      </c>
      <c r="BS842" t="s">
        <v>5406</v>
      </c>
      <c r="BT842" t="str">
        <f>HYPERLINK("https%3A%2F%2Fwww.webofscience.com%2Fwos%2Fwoscc%2Ffull-record%2FWOS:000820802000009","View Full Record in Web of Science")</f>
        <v>View Full Record in Web of Science</v>
      </c>
    </row>
    <row r="843" spans="1:72" ht="12.75" customHeight="1" x14ac:dyDescent="0.2">
      <c r="A843" t="s">
        <v>72</v>
      </c>
      <c r="B843" t="s">
        <v>378</v>
      </c>
      <c r="F843" t="s">
        <v>1226</v>
      </c>
      <c r="I843" t="s">
        <v>5407</v>
      </c>
      <c r="J843" t="s">
        <v>5309</v>
      </c>
      <c r="AO843" t="s">
        <v>5310</v>
      </c>
      <c r="AU843">
        <v>2022</v>
      </c>
      <c r="AV843">
        <v>9</v>
      </c>
      <c r="AW843">
        <v>3</v>
      </c>
      <c r="BB843">
        <v>60</v>
      </c>
      <c r="BC843">
        <v>65</v>
      </c>
      <c r="BE843" t="s">
        <v>5408</v>
      </c>
      <c r="BF843" t="str">
        <f>HYPERLINK("http://dx.doi.org/10.51847/zTI27OVMot","http://dx.doi.org/10.51847/zTI27OVMot")</f>
        <v>http://dx.doi.org/10.51847/zTI27OVMot</v>
      </c>
      <c r="BS843" t="s">
        <v>5409</v>
      </c>
      <c r="BT843" t="str">
        <f>HYPERLINK("https%3A%2F%2Fwww.webofscience.com%2Fwos%2Fwoscc%2Ffull-record%2FWOS:000899150500009","View Full Record in Web of Science")</f>
        <v>View Full Record in Web of Science</v>
      </c>
    </row>
    <row r="844" spans="1:72" ht="12.75" customHeight="1" x14ac:dyDescent="0.2">
      <c r="A844" t="s">
        <v>147</v>
      </c>
      <c r="B844" t="s">
        <v>5410</v>
      </c>
      <c r="E844" t="s">
        <v>210</v>
      </c>
      <c r="F844" t="s">
        <v>5411</v>
      </c>
      <c r="I844" t="s">
        <v>5412</v>
      </c>
      <c r="J844" t="s">
        <v>5413</v>
      </c>
      <c r="K844" t="s">
        <v>2114</v>
      </c>
      <c r="O844" t="s">
        <v>5414</v>
      </c>
      <c r="P844" t="s">
        <v>5415</v>
      </c>
      <c r="Q844" t="s">
        <v>5416</v>
      </c>
      <c r="R844" t="s">
        <v>210</v>
      </c>
      <c r="S844" t="s">
        <v>5417</v>
      </c>
      <c r="AA844" t="s">
        <v>5418</v>
      </c>
      <c r="AB844" t="s">
        <v>5419</v>
      </c>
      <c r="AO844" t="s">
        <v>2122</v>
      </c>
      <c r="AQ844" t="s">
        <v>5420</v>
      </c>
      <c r="AU844">
        <v>2021</v>
      </c>
      <c r="BB844">
        <v>154</v>
      </c>
      <c r="BC844">
        <v>157</v>
      </c>
      <c r="BE844" t="s">
        <v>5421</v>
      </c>
      <c r="BF844" t="str">
        <f>HYPERLINK("http://dx.doi.org/10.1109/ElConRus51938.2021.9396681","http://dx.doi.org/10.1109/ElConRus51938.2021.9396681")</f>
        <v>http://dx.doi.org/10.1109/ElConRus51938.2021.9396681</v>
      </c>
      <c r="BS844" t="s">
        <v>5422</v>
      </c>
      <c r="BT844" t="str">
        <f>HYPERLINK("https%3A%2F%2Fwww.webofscience.com%2Fwos%2Fwoscc%2Ffull-record%2FWOS:000669709800035","View Full Record in Web of Science")</f>
        <v>View Full Record in Web of Science</v>
      </c>
    </row>
    <row r="845" spans="1:72" ht="12.75" customHeight="1" x14ac:dyDescent="0.2">
      <c r="A845" t="s">
        <v>147</v>
      </c>
      <c r="B845" t="s">
        <v>5423</v>
      </c>
      <c r="D845" t="s">
        <v>2500</v>
      </c>
      <c r="F845" t="s">
        <v>5424</v>
      </c>
      <c r="I845" t="s">
        <v>5425</v>
      </c>
      <c r="J845" t="s">
        <v>5426</v>
      </c>
      <c r="K845" t="s">
        <v>2504</v>
      </c>
      <c r="O845" t="s">
        <v>5427</v>
      </c>
      <c r="P845" t="s">
        <v>5428</v>
      </c>
      <c r="Q845" t="s">
        <v>2507</v>
      </c>
      <c r="AA845" t="s">
        <v>5429</v>
      </c>
      <c r="AB845" t="s">
        <v>5430</v>
      </c>
      <c r="AO845" t="s">
        <v>2509</v>
      </c>
      <c r="AQ845" t="s">
        <v>5431</v>
      </c>
      <c r="AU845">
        <v>2020</v>
      </c>
      <c r="AV845">
        <v>128</v>
      </c>
      <c r="BB845">
        <v>348</v>
      </c>
      <c r="BC845">
        <v>354</v>
      </c>
      <c r="BS845" t="s">
        <v>5432</v>
      </c>
      <c r="BT845" t="str">
        <f>HYPERLINK("https%3A%2F%2Fwww.webofscience.com%2Fwos%2Fwoscc%2Ffull-record%2FWOS:000701397800051","View Full Record in Web of Science")</f>
        <v>View Full Record in Web of Science</v>
      </c>
    </row>
    <row r="846" spans="1:72" ht="12.75" customHeight="1" x14ac:dyDescent="0.2">
      <c r="A846" t="s">
        <v>72</v>
      </c>
      <c r="B846" t="s">
        <v>5433</v>
      </c>
      <c r="F846" t="s">
        <v>5434</v>
      </c>
      <c r="I846" t="s">
        <v>5435</v>
      </c>
      <c r="J846" t="s">
        <v>5436</v>
      </c>
      <c r="AA846" t="s">
        <v>5437</v>
      </c>
      <c r="AB846" t="s">
        <v>5438</v>
      </c>
      <c r="AO846" t="s">
        <v>5439</v>
      </c>
      <c r="AP846" t="s">
        <v>5440</v>
      </c>
      <c r="AT846" t="s">
        <v>319</v>
      </c>
      <c r="AU846">
        <v>2016</v>
      </c>
      <c r="AV846">
        <v>52</v>
      </c>
      <c r="AW846">
        <v>5</v>
      </c>
      <c r="BB846">
        <v>571</v>
      </c>
      <c r="BC846">
        <v>582</v>
      </c>
      <c r="BE846" t="s">
        <v>5441</v>
      </c>
      <c r="BF846" t="str">
        <f>HYPERLINK("http://dx.doi.org/10.1007/s11029-016-9608-x","http://dx.doi.org/10.1007/s11029-016-9608-x")</f>
        <v>http://dx.doi.org/10.1007/s11029-016-9608-x</v>
      </c>
      <c r="BS846" t="s">
        <v>5442</v>
      </c>
      <c r="BT846" t="str">
        <f>HYPERLINK("https%3A%2F%2Fwww.webofscience.com%2Fwos%2Fwoscc%2Ffull-record%2FWOS:000389992300001","View Full Record in Web of Science")</f>
        <v>View Full Record in Web of Science</v>
      </c>
    </row>
    <row r="847" spans="1:72" ht="12.75" customHeight="1" x14ac:dyDescent="0.2">
      <c r="A847" t="s">
        <v>72</v>
      </c>
      <c r="B847" t="s">
        <v>5443</v>
      </c>
      <c r="F847" t="s">
        <v>5444</v>
      </c>
      <c r="I847" t="s">
        <v>5445</v>
      </c>
      <c r="J847" t="s">
        <v>5446</v>
      </c>
      <c r="AO847" t="s">
        <v>5447</v>
      </c>
      <c r="AT847" t="s">
        <v>171</v>
      </c>
      <c r="AU847">
        <v>2010</v>
      </c>
      <c r="AV847">
        <v>46</v>
      </c>
      <c r="AW847">
        <v>3</v>
      </c>
      <c r="BB847">
        <v>269</v>
      </c>
      <c r="BC847">
        <v>275</v>
      </c>
      <c r="BE847" t="s">
        <v>5448</v>
      </c>
      <c r="BF847" t="str">
        <f>HYPERLINK("http://dx.doi.org/10.1134/S0020168510030118","http://dx.doi.org/10.1134/S0020168510030118")</f>
        <v>http://dx.doi.org/10.1134/S0020168510030118</v>
      </c>
      <c r="BS847" t="s">
        <v>5449</v>
      </c>
      <c r="BT847" t="str">
        <f>HYPERLINK("https%3A%2F%2Fwww.webofscience.com%2Fwos%2Fwoscc%2Ffull-record%2FWOS:000275748500011","View Full Record in Web of Science")</f>
        <v>View Full Record in Web of Science</v>
      </c>
    </row>
    <row r="848" spans="1:72" ht="12.75" customHeight="1" x14ac:dyDescent="0.2">
      <c r="A848" t="s">
        <v>72</v>
      </c>
      <c r="B848" t="s">
        <v>5450</v>
      </c>
      <c r="F848" t="s">
        <v>5451</v>
      </c>
      <c r="I848" t="s">
        <v>5452</v>
      </c>
      <c r="J848" t="s">
        <v>5453</v>
      </c>
      <c r="AA848" t="s">
        <v>5454</v>
      </c>
      <c r="AB848" t="s">
        <v>5455</v>
      </c>
      <c r="AO848" t="s">
        <v>5456</v>
      </c>
      <c r="AP848" t="s">
        <v>5457</v>
      </c>
      <c r="AU848">
        <v>2021</v>
      </c>
      <c r="AV848">
        <v>5</v>
      </c>
      <c r="AW848">
        <v>4</v>
      </c>
      <c r="BB848">
        <v>55</v>
      </c>
      <c r="BC848">
        <v>77</v>
      </c>
      <c r="BE848" t="s">
        <v>5458</v>
      </c>
      <c r="BF848" t="str">
        <f>HYPERLINK("http://dx.doi.org/10.52468/2542-1514.2021.5(4).55-77","http://dx.doi.org/10.52468/2542-1514.2021.5(4).55-77")</f>
        <v>http://dx.doi.org/10.52468/2542-1514.2021.5(4).55-77</v>
      </c>
      <c r="BS848" t="s">
        <v>5459</v>
      </c>
      <c r="BT848" t="str">
        <f>HYPERLINK("https%3A%2F%2Fwww.webofscience.com%2Fwos%2Fwoscc%2Ffull-record%2FWOS:000744098400005","View Full Record in Web of Science")</f>
        <v>View Full Record in Web of Science</v>
      </c>
    </row>
    <row r="849" spans="1:72" ht="12.75" customHeight="1" x14ac:dyDescent="0.2">
      <c r="A849" t="s">
        <v>72</v>
      </c>
      <c r="B849" t="s">
        <v>5460</v>
      </c>
      <c r="F849" t="s">
        <v>5461</v>
      </c>
      <c r="I849" t="s">
        <v>5462</v>
      </c>
      <c r="J849" t="s">
        <v>335</v>
      </c>
      <c r="AA849" t="s">
        <v>5463</v>
      </c>
      <c r="AB849" t="s">
        <v>5464</v>
      </c>
      <c r="AO849" t="s">
        <v>337</v>
      </c>
      <c r="AT849" t="s">
        <v>338</v>
      </c>
      <c r="AU849">
        <v>2020</v>
      </c>
      <c r="AV849">
        <v>7</v>
      </c>
      <c r="AZ849" t="s">
        <v>339</v>
      </c>
      <c r="BB849">
        <v>509</v>
      </c>
      <c r="BC849">
        <v>516</v>
      </c>
      <c r="BS849" t="s">
        <v>5465</v>
      </c>
      <c r="BT849" t="str">
        <f>HYPERLINK("https%3A%2F%2Fwww.webofscience.com%2Fwos%2Fwoscc%2Ffull-record%2FWOS:000572971200043","View Full Record in Web of Science")</f>
        <v>View Full Record in Web of Science</v>
      </c>
    </row>
    <row r="850" spans="1:72" ht="12.75" customHeight="1" x14ac:dyDescent="0.2">
      <c r="A850" t="s">
        <v>72</v>
      </c>
      <c r="B850" t="s">
        <v>5466</v>
      </c>
      <c r="F850" t="s">
        <v>5467</v>
      </c>
      <c r="I850" t="s">
        <v>5468</v>
      </c>
      <c r="J850" t="s">
        <v>335</v>
      </c>
      <c r="AA850" t="s">
        <v>5469</v>
      </c>
      <c r="AB850" t="s">
        <v>5470</v>
      </c>
      <c r="AO850" t="s">
        <v>337</v>
      </c>
      <c r="AT850" t="s">
        <v>338</v>
      </c>
      <c r="AU850">
        <v>2020</v>
      </c>
      <c r="AV850">
        <v>7</v>
      </c>
      <c r="AZ850" t="s">
        <v>339</v>
      </c>
      <c r="BB850">
        <v>9</v>
      </c>
      <c r="BC850">
        <v>19</v>
      </c>
      <c r="BS850" t="s">
        <v>5471</v>
      </c>
      <c r="BT850" t="str">
        <f>HYPERLINK("https%3A%2F%2Fwww.webofscience.com%2Fwos%2Fwoscc%2Ffull-record%2FWOS:000572971200002","View Full Record in Web of Science")</f>
        <v>View Full Record in Web of Science</v>
      </c>
    </row>
    <row r="851" spans="1:72" ht="12.75" customHeight="1" x14ac:dyDescent="0.2">
      <c r="A851" t="s">
        <v>72</v>
      </c>
      <c r="B851" t="s">
        <v>5472</v>
      </c>
      <c r="F851" t="s">
        <v>5473</v>
      </c>
      <c r="I851" t="s">
        <v>5474</v>
      </c>
      <c r="J851" t="s">
        <v>708</v>
      </c>
      <c r="AO851" t="s">
        <v>709</v>
      </c>
      <c r="AP851" t="s">
        <v>710</v>
      </c>
      <c r="AT851" t="s">
        <v>125</v>
      </c>
      <c r="AU851">
        <v>2020</v>
      </c>
      <c r="AV851">
        <v>121</v>
      </c>
      <c r="AW851">
        <v>7</v>
      </c>
      <c r="BB851">
        <v>701</v>
      </c>
      <c r="BC851">
        <v>707</v>
      </c>
      <c r="BE851" t="s">
        <v>5475</v>
      </c>
      <c r="BF851" t="str">
        <f>HYPERLINK("http://dx.doi.org/10.1134/S0031918X2007011X","http://dx.doi.org/10.1134/S0031918X2007011X")</f>
        <v>http://dx.doi.org/10.1134/S0031918X2007011X</v>
      </c>
      <c r="BS851" t="s">
        <v>5476</v>
      </c>
      <c r="BT851" t="str">
        <f>HYPERLINK("https%3A%2F%2Fwww.webofscience.com%2Fwos%2Fwoscc%2Ffull-record%2FWOS:000565173800011","View Full Record in Web of Science")</f>
        <v>View Full Record in Web of Science</v>
      </c>
    </row>
    <row r="852" spans="1:72" ht="12.75" customHeight="1" x14ac:dyDescent="0.2">
      <c r="A852" t="s">
        <v>72</v>
      </c>
      <c r="B852" t="s">
        <v>5477</v>
      </c>
      <c r="F852" t="s">
        <v>5478</v>
      </c>
      <c r="I852" t="s">
        <v>5479</v>
      </c>
      <c r="J852" t="s">
        <v>95</v>
      </c>
      <c r="AA852" t="s">
        <v>5480</v>
      </c>
      <c r="AB852" t="s">
        <v>5481</v>
      </c>
      <c r="AO852" t="s">
        <v>98</v>
      </c>
      <c r="AP852" t="s">
        <v>99</v>
      </c>
      <c r="AU852">
        <v>2019</v>
      </c>
      <c r="AW852">
        <v>4</v>
      </c>
      <c r="BB852">
        <v>37</v>
      </c>
      <c r="BC852">
        <v>44</v>
      </c>
      <c r="BE852" t="s">
        <v>5482</v>
      </c>
      <c r="BF852" t="str">
        <f>HYPERLINK("http://dx.doi.org/10.25750/1995-4301-2019-4-037-044","http://dx.doi.org/10.25750/1995-4301-2019-4-037-044")</f>
        <v>http://dx.doi.org/10.25750/1995-4301-2019-4-037-044</v>
      </c>
      <c r="BS852" t="s">
        <v>5483</v>
      </c>
      <c r="BT852" t="str">
        <f>HYPERLINK("https%3A%2F%2Fwww.webofscience.com%2Fwos%2Fwoscc%2Ffull-record%2FWOS:000504049400005","View Full Record in Web of Science")</f>
        <v>View Full Record in Web of Science</v>
      </c>
    </row>
    <row r="853" spans="1:72" ht="12.75" customHeight="1" x14ac:dyDescent="0.2">
      <c r="A853" t="s">
        <v>72</v>
      </c>
      <c r="B853" t="s">
        <v>5484</v>
      </c>
      <c r="F853" t="s">
        <v>5485</v>
      </c>
      <c r="I853" t="s">
        <v>5486</v>
      </c>
      <c r="J853" t="s">
        <v>5436</v>
      </c>
      <c r="AA853" t="s">
        <v>5487</v>
      </c>
      <c r="AB853" t="s">
        <v>5488</v>
      </c>
      <c r="AO853" t="s">
        <v>5439</v>
      </c>
      <c r="AP853" t="s">
        <v>5440</v>
      </c>
      <c r="AT853" t="s">
        <v>541</v>
      </c>
      <c r="AU853">
        <v>2016</v>
      </c>
      <c r="AV853">
        <v>51</v>
      </c>
      <c r="AW853">
        <v>6</v>
      </c>
      <c r="BB853">
        <v>771</v>
      </c>
      <c r="BC853">
        <v>788</v>
      </c>
      <c r="BE853" t="s">
        <v>5489</v>
      </c>
      <c r="BF853" t="str">
        <f>HYPERLINK("http://dx.doi.org/10.1007/s11029-016-9548-5","http://dx.doi.org/10.1007/s11029-016-9548-5")</f>
        <v>http://dx.doi.org/10.1007/s11029-016-9548-5</v>
      </c>
      <c r="BS853" t="s">
        <v>5490</v>
      </c>
      <c r="BT853" t="str">
        <f>HYPERLINK("https%3A%2F%2Fwww.webofscience.com%2Fwos%2Fwoscc%2Ffull-record%2FWOS:000368729200010","View Full Record in Web of Science")</f>
        <v>View Full Record in Web of Science</v>
      </c>
    </row>
    <row r="854" spans="1:72" ht="12.75" customHeight="1" x14ac:dyDescent="0.2">
      <c r="A854" t="s">
        <v>72</v>
      </c>
      <c r="B854" t="s">
        <v>5491</v>
      </c>
      <c r="F854" t="s">
        <v>5492</v>
      </c>
      <c r="I854" t="s">
        <v>5493</v>
      </c>
      <c r="J854" t="s">
        <v>3150</v>
      </c>
      <c r="AA854" t="s">
        <v>5494</v>
      </c>
      <c r="AB854" t="s">
        <v>5495</v>
      </c>
      <c r="AO854" t="s">
        <v>3151</v>
      </c>
      <c r="AT854" t="s">
        <v>313</v>
      </c>
      <c r="AU854">
        <v>2010</v>
      </c>
      <c r="AV854">
        <v>51</v>
      </c>
      <c r="AW854">
        <v>4</v>
      </c>
      <c r="BB854">
        <v>316</v>
      </c>
      <c r="BC854">
        <v>319</v>
      </c>
      <c r="BE854" t="s">
        <v>5496</v>
      </c>
      <c r="BF854" t="str">
        <f>HYPERLINK("http://dx.doi.org/10.3103/S1067821210040103","http://dx.doi.org/10.3103/S1067821210040103")</f>
        <v>http://dx.doi.org/10.3103/S1067821210040103</v>
      </c>
      <c r="BS854" t="s">
        <v>5497</v>
      </c>
      <c r="BT854" t="str">
        <f>HYPERLINK("https%3A%2F%2Fwww.webofscience.com%2Fwos%2Fwoscc%2Ffull-record%2FWOS:000282068400010","View Full Record in Web of Science")</f>
        <v>View Full Record in Web of Science</v>
      </c>
    </row>
    <row r="855" spans="1:72" ht="12.75" customHeight="1" x14ac:dyDescent="0.2">
      <c r="A855" t="s">
        <v>72</v>
      </c>
      <c r="B855" t="s">
        <v>698</v>
      </c>
      <c r="F855" t="s">
        <v>699</v>
      </c>
      <c r="I855" t="s">
        <v>5498</v>
      </c>
      <c r="J855" t="s">
        <v>5499</v>
      </c>
      <c r="AO855" t="s">
        <v>5500</v>
      </c>
      <c r="AT855" t="s">
        <v>541</v>
      </c>
      <c r="AU855">
        <v>2023</v>
      </c>
      <c r="AV855">
        <v>13</v>
      </c>
      <c r="AW855">
        <v>1</v>
      </c>
      <c r="BB855" t="s">
        <v>5501</v>
      </c>
      <c r="BC855" t="s">
        <v>5502</v>
      </c>
      <c r="BE855" t="s">
        <v>5503</v>
      </c>
      <c r="BF855" t="str">
        <f>HYPERLINK("http://dx.doi.org/10.22376/ijlpr.2023.13.1.L104-108","http://dx.doi.org/10.22376/ijlpr.2023.13.1.L104-108")</f>
        <v>http://dx.doi.org/10.22376/ijlpr.2023.13.1.L104-108</v>
      </c>
      <c r="BS855" t="s">
        <v>5504</v>
      </c>
      <c r="BT855" t="str">
        <f>HYPERLINK("https%3A%2F%2Fwww.webofscience.com%2Fwos%2Fwoscc%2Ffull-record%2FWOS:000912047300001","View Full Record in Web of Science")</f>
        <v>View Full Record in Web of Science</v>
      </c>
    </row>
    <row r="856" spans="1:72" ht="12.75" customHeight="1" x14ac:dyDescent="0.2">
      <c r="A856" t="s">
        <v>72</v>
      </c>
      <c r="B856" t="s">
        <v>378</v>
      </c>
      <c r="F856" t="s">
        <v>1226</v>
      </c>
      <c r="I856" t="s">
        <v>5505</v>
      </c>
      <c r="J856" t="s">
        <v>5506</v>
      </c>
      <c r="AO856" t="s">
        <v>5507</v>
      </c>
      <c r="AU856">
        <v>2022</v>
      </c>
      <c r="AV856">
        <v>11</v>
      </c>
      <c r="AW856">
        <v>4</v>
      </c>
      <c r="BB856">
        <v>134</v>
      </c>
      <c r="BC856">
        <v>139</v>
      </c>
      <c r="BE856" t="s">
        <v>5508</v>
      </c>
      <c r="BF856" t="str">
        <f>HYPERLINK("http://dx.doi.org/10.51847/bvPSNlJliW","http://dx.doi.org/10.51847/bvPSNlJliW")</f>
        <v>http://dx.doi.org/10.51847/bvPSNlJliW</v>
      </c>
      <c r="BS856" t="s">
        <v>5509</v>
      </c>
      <c r="BT856" t="str">
        <f>HYPERLINK("https%3A%2F%2Fwww.webofscience.com%2Fwos%2Fwoscc%2Ffull-record%2FWOS:000904502200001","View Full Record in Web of Science")</f>
        <v>View Full Record in Web of Science</v>
      </c>
    </row>
    <row r="857" spans="1:72" ht="12.75" customHeight="1" x14ac:dyDescent="0.2">
      <c r="A857" t="s">
        <v>72</v>
      </c>
      <c r="B857" t="s">
        <v>5510</v>
      </c>
      <c r="F857" t="s">
        <v>5511</v>
      </c>
      <c r="I857" t="s">
        <v>5512</v>
      </c>
      <c r="J857" t="s">
        <v>3488</v>
      </c>
      <c r="AA857" t="s">
        <v>5513</v>
      </c>
      <c r="AB857" t="s">
        <v>5200</v>
      </c>
      <c r="AO857" t="s">
        <v>3490</v>
      </c>
      <c r="AP857" t="s">
        <v>3491</v>
      </c>
      <c r="AT857" t="s">
        <v>338</v>
      </c>
      <c r="AU857">
        <v>2019</v>
      </c>
      <c r="AV857">
        <v>21</v>
      </c>
      <c r="AW857">
        <v>3</v>
      </c>
      <c r="BB857">
        <v>59</v>
      </c>
      <c r="BC857">
        <v>71</v>
      </c>
      <c r="BE857" t="s">
        <v>5514</v>
      </c>
      <c r="BF857" t="str">
        <f>HYPERLINK("http://dx.doi.org/10.17212/1994-6309-2019-21.3-59-71","http://dx.doi.org/10.17212/1994-6309-2019-21.3-59-71")</f>
        <v>http://dx.doi.org/10.17212/1994-6309-2019-21.3-59-71</v>
      </c>
      <c r="BS857" t="s">
        <v>5515</v>
      </c>
      <c r="BT857" t="str">
        <f>HYPERLINK("https%3A%2F%2Fwww.webofscience.com%2Fwos%2Fwoscc%2Ffull-record%2FWOS:000485750300005","View Full Record in Web of Science")</f>
        <v>View Full Record in Web of Science</v>
      </c>
    </row>
    <row r="858" spans="1:72" ht="12.75" customHeight="1" x14ac:dyDescent="0.2">
      <c r="A858" t="s">
        <v>147</v>
      </c>
      <c r="B858" t="s">
        <v>5516</v>
      </c>
      <c r="D858" t="s">
        <v>233</v>
      </c>
      <c r="F858" t="s">
        <v>5517</v>
      </c>
      <c r="I858" t="s">
        <v>5518</v>
      </c>
      <c r="J858" t="s">
        <v>444</v>
      </c>
      <c r="K858" t="s">
        <v>445</v>
      </c>
      <c r="O858" t="s">
        <v>446</v>
      </c>
      <c r="P858" t="s">
        <v>447</v>
      </c>
      <c r="Q858" t="s">
        <v>448</v>
      </c>
      <c r="AA858" t="s">
        <v>3565</v>
      </c>
      <c r="AB858" t="s">
        <v>5519</v>
      </c>
      <c r="AO858" t="s">
        <v>450</v>
      </c>
      <c r="AQ858" t="s">
        <v>451</v>
      </c>
      <c r="AU858">
        <v>2017</v>
      </c>
      <c r="BB858">
        <v>9</v>
      </c>
      <c r="BC858">
        <v>14</v>
      </c>
      <c r="BE858" t="s">
        <v>5520</v>
      </c>
      <c r="BF858" t="str">
        <f>HYPERLINK("http://dx.doi.org/10.1007/978-3-319-60696-5_2","http://dx.doi.org/10.1007/978-3-319-60696-5_2")</f>
        <v>http://dx.doi.org/10.1007/978-3-319-60696-5_2</v>
      </c>
      <c r="BS858" t="s">
        <v>5521</v>
      </c>
      <c r="BT858" t="str">
        <f>HYPERLINK("https%3A%2F%2Fwww.webofscience.com%2Fwos%2Fwoscc%2Ffull-record%2FWOS:000426114200002","View Full Record in Web of Science")</f>
        <v>View Full Record in Web of Science</v>
      </c>
    </row>
    <row r="859" spans="1:72" ht="12.75" customHeight="1" x14ac:dyDescent="0.2">
      <c r="A859" t="s">
        <v>147</v>
      </c>
      <c r="B859" t="s">
        <v>5522</v>
      </c>
      <c r="E859" t="s">
        <v>210</v>
      </c>
      <c r="F859" t="s">
        <v>5523</v>
      </c>
      <c r="I859" t="s">
        <v>5524</v>
      </c>
      <c r="J859" t="s">
        <v>1261</v>
      </c>
      <c r="O859" t="s">
        <v>214</v>
      </c>
      <c r="P859" t="s">
        <v>909</v>
      </c>
      <c r="Q859" t="s">
        <v>910</v>
      </c>
      <c r="R859" t="s">
        <v>1262</v>
      </c>
      <c r="AQ859" t="s">
        <v>1263</v>
      </c>
      <c r="AU859">
        <v>2017</v>
      </c>
      <c r="BS859" t="s">
        <v>5525</v>
      </c>
      <c r="BT859" t="str">
        <f>HYPERLINK("https%3A%2F%2Fwww.webofscience.com%2Fwos%2Fwoscc%2Ffull-record%2FWOS:000414282400059","View Full Record in Web of Science")</f>
        <v>View Full Record in Web of Science</v>
      </c>
    </row>
    <row r="860" spans="1:72" ht="12.75" customHeight="1" x14ac:dyDescent="0.2">
      <c r="A860" t="s">
        <v>72</v>
      </c>
      <c r="B860" t="s">
        <v>5526</v>
      </c>
      <c r="F860" t="s">
        <v>5527</v>
      </c>
      <c r="I860" t="s">
        <v>5528</v>
      </c>
      <c r="J860" t="s">
        <v>3610</v>
      </c>
      <c r="AA860" t="s">
        <v>5529</v>
      </c>
      <c r="AB860" t="s">
        <v>5530</v>
      </c>
      <c r="AO860" t="s">
        <v>3613</v>
      </c>
      <c r="AP860" t="s">
        <v>4602</v>
      </c>
      <c r="AT860" t="s">
        <v>403</v>
      </c>
      <c r="AU860">
        <v>2006</v>
      </c>
      <c r="AV860">
        <v>39</v>
      </c>
      <c r="AY860">
        <v>1</v>
      </c>
      <c r="BB860" t="s">
        <v>5531</v>
      </c>
      <c r="BC860" t="s">
        <v>5532</v>
      </c>
      <c r="BE860" t="s">
        <v>5533</v>
      </c>
      <c r="BF860" t="str">
        <f>HYPERLINK("http://dx.doi.org/10.1134/S1064229306130151","http://dx.doi.org/10.1134/S1064229306130151")</f>
        <v>http://dx.doi.org/10.1134/S1064229306130151</v>
      </c>
      <c r="BS860" t="s">
        <v>5534</v>
      </c>
      <c r="BT860" t="str">
        <f>HYPERLINK("https%3A%2F%2Fwww.webofscience.com%2Fwos%2Fwoscc%2Ffull-record%2FWOS:000245221500014","View Full Record in Web of Science")</f>
        <v>View Full Record in Web of Science</v>
      </c>
    </row>
    <row r="861" spans="1:72" ht="12.75" customHeight="1" x14ac:dyDescent="0.2">
      <c r="A861" t="s">
        <v>72</v>
      </c>
      <c r="B861" t="s">
        <v>5535</v>
      </c>
      <c r="F861" t="s">
        <v>5536</v>
      </c>
      <c r="I861" t="s">
        <v>5537</v>
      </c>
      <c r="J861" t="s">
        <v>4849</v>
      </c>
      <c r="AA861" t="s">
        <v>4850</v>
      </c>
      <c r="AB861" t="s">
        <v>4851</v>
      </c>
      <c r="AO861" t="s">
        <v>4852</v>
      </c>
      <c r="AP861" t="s">
        <v>4853</v>
      </c>
      <c r="AT861" t="s">
        <v>125</v>
      </c>
      <c r="AU861">
        <v>2023</v>
      </c>
      <c r="AV861">
        <v>102</v>
      </c>
      <c r="AW861">
        <v>1</v>
      </c>
      <c r="BB861">
        <v>109</v>
      </c>
      <c r="BC861">
        <v>110</v>
      </c>
      <c r="BE861" t="s">
        <v>5538</v>
      </c>
      <c r="BF861" t="str">
        <f>HYPERLINK("http://dx.doi.org/10.1111/tan.15037","http://dx.doi.org/10.1111/tan.15037")</f>
        <v>http://dx.doi.org/10.1111/tan.15037</v>
      </c>
      <c r="BH861" t="s">
        <v>5539</v>
      </c>
      <c r="BN861">
        <v>36951586</v>
      </c>
      <c r="BS861" t="s">
        <v>5540</v>
      </c>
      <c r="BT861" t="str">
        <f>HYPERLINK("https%3A%2F%2Fwww.webofscience.com%2Fwos%2Fwoscc%2Ffull-record%2FWOS:000955109100001","View Full Record in Web of Science")</f>
        <v>View Full Record in Web of Science</v>
      </c>
    </row>
    <row r="862" spans="1:72" ht="12.75" customHeight="1" x14ac:dyDescent="0.2">
      <c r="A862" t="s">
        <v>72</v>
      </c>
      <c r="B862" t="s">
        <v>378</v>
      </c>
      <c r="F862" t="s">
        <v>1226</v>
      </c>
      <c r="I862" t="s">
        <v>5541</v>
      </c>
      <c r="J862" t="s">
        <v>5542</v>
      </c>
      <c r="AO862" t="s">
        <v>5543</v>
      </c>
      <c r="AP862" t="s">
        <v>5544</v>
      </c>
      <c r="AT862" t="s">
        <v>338</v>
      </c>
      <c r="AU862">
        <v>2022</v>
      </c>
      <c r="AV862">
        <v>13</v>
      </c>
      <c r="AW862">
        <v>3</v>
      </c>
      <c r="BB862">
        <v>112</v>
      </c>
      <c r="BC862">
        <v>115</v>
      </c>
      <c r="BE862" t="s">
        <v>5545</v>
      </c>
      <c r="BF862" t="str">
        <f>HYPERLINK("http://dx.doi.org/10.51847/yDF12GeLiV","http://dx.doi.org/10.51847/yDF12GeLiV")</f>
        <v>http://dx.doi.org/10.51847/yDF12GeLiV</v>
      </c>
      <c r="BS862" t="s">
        <v>5546</v>
      </c>
      <c r="BT862" t="str">
        <f>HYPERLINK("https%3A%2F%2Fwww.webofscience.com%2Fwos%2Fwoscc%2Ffull-record%2FWOS:000906730900003","View Full Record in Web of Science")</f>
        <v>View Full Record in Web of Science</v>
      </c>
    </row>
    <row r="863" spans="1:72" ht="12.75" customHeight="1" x14ac:dyDescent="0.2">
      <c r="A863" t="s">
        <v>72</v>
      </c>
      <c r="B863" t="s">
        <v>5547</v>
      </c>
      <c r="F863" t="s">
        <v>5548</v>
      </c>
      <c r="I863" t="s">
        <v>5549</v>
      </c>
      <c r="J863" t="s">
        <v>95</v>
      </c>
      <c r="AA863" t="s">
        <v>5550</v>
      </c>
      <c r="AB863" t="s">
        <v>5551</v>
      </c>
      <c r="AO863" t="s">
        <v>98</v>
      </c>
      <c r="AP863" t="s">
        <v>99</v>
      </c>
      <c r="AU863">
        <v>2022</v>
      </c>
      <c r="AW863">
        <v>1</v>
      </c>
      <c r="BB863">
        <v>115</v>
      </c>
      <c r="BC863">
        <v>123</v>
      </c>
      <c r="BE863" t="s">
        <v>5552</v>
      </c>
      <c r="BF863" t="str">
        <f>HYPERLINK("http://dx.doi.org/10.25750/1995-4301-2022-1-115-123","http://dx.doi.org/10.25750/1995-4301-2022-1-115-123")</f>
        <v>http://dx.doi.org/10.25750/1995-4301-2022-1-115-123</v>
      </c>
      <c r="BS863" t="s">
        <v>5553</v>
      </c>
      <c r="BT863" t="str">
        <f>HYPERLINK("https%3A%2F%2Fwww.webofscience.com%2Fwos%2Fwoscc%2Ffull-record%2FWOS:000819811100016","View Full Record in Web of Science")</f>
        <v>View Full Record in Web of Science</v>
      </c>
    </row>
    <row r="864" spans="1:72" ht="12.75" customHeight="1" x14ac:dyDescent="0.2">
      <c r="A864" t="s">
        <v>72</v>
      </c>
      <c r="B864" t="s">
        <v>5554</v>
      </c>
      <c r="F864" t="s">
        <v>5555</v>
      </c>
      <c r="I864" t="s">
        <v>5556</v>
      </c>
      <c r="J864" t="s">
        <v>325</v>
      </c>
      <c r="AA864" t="s">
        <v>4064</v>
      </c>
      <c r="AO864" t="s">
        <v>328</v>
      </c>
      <c r="AP864" t="s">
        <v>329</v>
      </c>
      <c r="AU864">
        <v>2021</v>
      </c>
      <c r="AV864">
        <v>15</v>
      </c>
      <c r="AW864">
        <v>4</v>
      </c>
      <c r="BB864">
        <v>1141</v>
      </c>
      <c r="BC864">
        <v>1158</v>
      </c>
      <c r="BE864" t="s">
        <v>5557</v>
      </c>
      <c r="BF864" t="str">
        <f>HYPERLINK("http://dx.doi.org/10.24874/IJQR15.04-08","http://dx.doi.org/10.24874/IJQR15.04-08")</f>
        <v>http://dx.doi.org/10.24874/IJQR15.04-08</v>
      </c>
      <c r="BS864" t="s">
        <v>5558</v>
      </c>
      <c r="BT864" t="str">
        <f>HYPERLINK("https%3A%2F%2Fwww.webofscience.com%2Fwos%2Fwoscc%2Ffull-record%2FWOS:000720953800008","View Full Record in Web of Science")</f>
        <v>View Full Record in Web of Science</v>
      </c>
    </row>
    <row r="865" spans="1:72" ht="12.75" customHeight="1" x14ac:dyDescent="0.2">
      <c r="A865" t="s">
        <v>147</v>
      </c>
      <c r="B865" t="s">
        <v>5559</v>
      </c>
      <c r="D865" t="s">
        <v>5560</v>
      </c>
      <c r="F865" t="s">
        <v>5561</v>
      </c>
      <c r="I865" t="s">
        <v>5562</v>
      </c>
      <c r="J865" t="s">
        <v>5563</v>
      </c>
      <c r="K865" t="s">
        <v>1236</v>
      </c>
      <c r="O865" t="s">
        <v>5564</v>
      </c>
      <c r="P865" t="s">
        <v>5565</v>
      </c>
      <c r="Q865" t="s">
        <v>5566</v>
      </c>
      <c r="S865" t="s">
        <v>5567</v>
      </c>
      <c r="AO865" t="s">
        <v>1240</v>
      </c>
      <c r="AU865">
        <v>2020</v>
      </c>
      <c r="AV865">
        <v>210</v>
      </c>
      <c r="BD865">
        <v>13037</v>
      </c>
      <c r="BE865" t="s">
        <v>5568</v>
      </c>
      <c r="BF865" t="str">
        <f>HYPERLINK("http://dx.doi.org/10.1051/e3sconf/202021013037","http://dx.doi.org/10.1051/e3sconf/202021013037")</f>
        <v>http://dx.doi.org/10.1051/e3sconf/202021013037</v>
      </c>
      <c r="BS865" t="s">
        <v>5569</v>
      </c>
      <c r="BT865" t="str">
        <f>HYPERLINK("https%3A%2F%2Fwww.webofscience.com%2Fwos%2Fwoscc%2Ffull-record%2FWOS:000659867301086","View Full Record in Web of Science")</f>
        <v>View Full Record in Web of Science</v>
      </c>
    </row>
    <row r="866" spans="1:72" ht="12.75" customHeight="1" x14ac:dyDescent="0.2">
      <c r="A866" t="s">
        <v>147</v>
      </c>
      <c r="B866" t="s">
        <v>5570</v>
      </c>
      <c r="D866" t="s">
        <v>1876</v>
      </c>
      <c r="F866" t="s">
        <v>5571</v>
      </c>
      <c r="I866" t="s">
        <v>5572</v>
      </c>
      <c r="J866" t="s">
        <v>1879</v>
      </c>
      <c r="K866" t="s">
        <v>1276</v>
      </c>
      <c r="O866" t="s">
        <v>1880</v>
      </c>
      <c r="P866" t="s">
        <v>1881</v>
      </c>
      <c r="Q866" t="s">
        <v>1882</v>
      </c>
      <c r="R866" t="s">
        <v>1883</v>
      </c>
      <c r="S866" t="s">
        <v>1884</v>
      </c>
      <c r="AB866" t="s">
        <v>5573</v>
      </c>
      <c r="AO866" t="s">
        <v>1282</v>
      </c>
      <c r="AU866">
        <v>2017</v>
      </c>
      <c r="AV866">
        <v>106</v>
      </c>
      <c r="BD866">
        <v>8088</v>
      </c>
      <c r="BE866" t="s">
        <v>5574</v>
      </c>
      <c r="BF866" t="str">
        <f>HYPERLINK("http://dx.doi.org/10.1051/matecconf/201710608088","http://dx.doi.org/10.1051/matecconf/201710608088")</f>
        <v>http://dx.doi.org/10.1051/matecconf/201710608088</v>
      </c>
      <c r="BS866" t="s">
        <v>5575</v>
      </c>
      <c r="BT866" t="str">
        <f>HYPERLINK("https%3A%2F%2Fwww.webofscience.com%2Fwos%2Fwoscc%2Ffull-record%2FWOS:000426426600273","View Full Record in Web of Science")</f>
        <v>View Full Record in Web of Science</v>
      </c>
    </row>
    <row r="867" spans="1:72" ht="12.75" customHeight="1" x14ac:dyDescent="0.2">
      <c r="A867" t="s">
        <v>72</v>
      </c>
      <c r="B867" t="s">
        <v>5433</v>
      </c>
      <c r="F867" t="s">
        <v>5434</v>
      </c>
      <c r="I867" t="s">
        <v>5576</v>
      </c>
      <c r="J867" t="s">
        <v>5436</v>
      </c>
      <c r="AA867" t="s">
        <v>5487</v>
      </c>
      <c r="AB867" t="s">
        <v>5577</v>
      </c>
      <c r="AO867" t="s">
        <v>5439</v>
      </c>
      <c r="AP867" t="s">
        <v>5440</v>
      </c>
      <c r="AT867" t="s">
        <v>88</v>
      </c>
      <c r="AU867">
        <v>2016</v>
      </c>
      <c r="AV867">
        <v>52</v>
      </c>
      <c r="AW867">
        <v>2</v>
      </c>
      <c r="BB867">
        <v>133</v>
      </c>
      <c r="BC867">
        <v>142</v>
      </c>
      <c r="BE867" t="s">
        <v>5578</v>
      </c>
      <c r="BF867" t="str">
        <f>HYPERLINK("http://dx.doi.org/10.1007/s11029-016-9566-3","http://dx.doi.org/10.1007/s11029-016-9566-3")</f>
        <v>http://dx.doi.org/10.1007/s11029-016-9566-3</v>
      </c>
      <c r="BS867" t="s">
        <v>5579</v>
      </c>
      <c r="BT867" t="str">
        <f>HYPERLINK("https%3A%2F%2Fwww.webofscience.com%2Fwos%2Fwoscc%2Ffull-record%2FWOS:000376306600001","View Full Record in Web of Science")</f>
        <v>View Full Record in Web of Science</v>
      </c>
    </row>
    <row r="868" spans="1:72" ht="12.75" customHeight="1" x14ac:dyDescent="0.2">
      <c r="A868" t="s">
        <v>72</v>
      </c>
      <c r="B868" t="s">
        <v>5580</v>
      </c>
      <c r="F868" t="s">
        <v>5581</v>
      </c>
      <c r="I868" t="s">
        <v>5582</v>
      </c>
      <c r="J868" t="s">
        <v>4849</v>
      </c>
      <c r="AA868" t="s">
        <v>4850</v>
      </c>
      <c r="AB868" t="s">
        <v>4851</v>
      </c>
      <c r="AO868" t="s">
        <v>4852</v>
      </c>
      <c r="AP868" t="s">
        <v>4853</v>
      </c>
      <c r="AT868" t="s">
        <v>88</v>
      </c>
      <c r="AU868">
        <v>2023</v>
      </c>
      <c r="AV868">
        <v>101</v>
      </c>
      <c r="AW868">
        <v>5</v>
      </c>
      <c r="BB868">
        <v>517</v>
      </c>
      <c r="BC868">
        <v>519</v>
      </c>
      <c r="BE868" t="s">
        <v>5583</v>
      </c>
      <c r="BF868" t="str">
        <f>HYPERLINK("http://dx.doi.org/10.1111/tan.14944","http://dx.doi.org/10.1111/tan.14944")</f>
        <v>http://dx.doi.org/10.1111/tan.14944</v>
      </c>
      <c r="BH868" t="s">
        <v>4345</v>
      </c>
      <c r="BN868">
        <v>36540915</v>
      </c>
      <c r="BS868" t="s">
        <v>5584</v>
      </c>
      <c r="BT868" t="str">
        <f>HYPERLINK("https%3A%2F%2Fwww.webofscience.com%2Fwos%2Fwoscc%2Ffull-record%2FWOS:000903700500001","View Full Record in Web of Science")</f>
        <v>View Full Record in Web of Science</v>
      </c>
    </row>
    <row r="869" spans="1:72" ht="12.75" customHeight="1" x14ac:dyDescent="0.2">
      <c r="A869" t="s">
        <v>72</v>
      </c>
      <c r="B869" t="s">
        <v>5585</v>
      </c>
      <c r="F869" t="s">
        <v>5586</v>
      </c>
      <c r="I869" t="s">
        <v>5587</v>
      </c>
      <c r="J869" t="s">
        <v>716</v>
      </c>
      <c r="AA869" t="s">
        <v>1781</v>
      </c>
      <c r="AB869" t="s">
        <v>1782</v>
      </c>
      <c r="AO869" t="s">
        <v>719</v>
      </c>
      <c r="AP869" t="s">
        <v>720</v>
      </c>
      <c r="AT869" t="s">
        <v>171</v>
      </c>
      <c r="AU869">
        <v>2022</v>
      </c>
      <c r="AW869">
        <v>476</v>
      </c>
      <c r="BB869">
        <v>121</v>
      </c>
      <c r="BC869">
        <v>129</v>
      </c>
      <c r="BE869" t="s">
        <v>5588</v>
      </c>
      <c r="BF869" t="str">
        <f>HYPERLINK("http://dx.doi.org/10.17223/15617793/476/13","http://dx.doi.org/10.17223/15617793/476/13")</f>
        <v>http://dx.doi.org/10.17223/15617793/476/13</v>
      </c>
      <c r="BS869" t="s">
        <v>5589</v>
      </c>
      <c r="BT869" t="str">
        <f>HYPERLINK("https%3A%2F%2Fwww.webofscience.com%2Fwos%2Fwoscc%2Ffull-record%2FWOS:000868947100013","View Full Record in Web of Science")</f>
        <v>View Full Record in Web of Science</v>
      </c>
    </row>
    <row r="870" spans="1:72" ht="12.75" customHeight="1" x14ac:dyDescent="0.2">
      <c r="A870" t="s">
        <v>72</v>
      </c>
      <c r="B870" t="s">
        <v>5590</v>
      </c>
      <c r="F870" t="s">
        <v>5591</v>
      </c>
      <c r="I870" t="s">
        <v>5592</v>
      </c>
      <c r="J870" t="s">
        <v>4823</v>
      </c>
      <c r="AA870" t="s">
        <v>5593</v>
      </c>
      <c r="AB870" t="s">
        <v>5594</v>
      </c>
      <c r="AO870" t="s">
        <v>4826</v>
      </c>
      <c r="AT870" t="s">
        <v>703</v>
      </c>
      <c r="AU870">
        <v>2020</v>
      </c>
      <c r="AV870">
        <v>20</v>
      </c>
      <c r="AW870">
        <v>4</v>
      </c>
      <c r="BB870">
        <v>93</v>
      </c>
      <c r="BC870">
        <v>98</v>
      </c>
      <c r="BE870" t="s">
        <v>5595</v>
      </c>
      <c r="BF870" t="str">
        <f>HYPERLINK("http://dx.doi.org/10.18083/LCAppl.2020.4.93","http://dx.doi.org/10.18083/LCAppl.2020.4.93")</f>
        <v>http://dx.doi.org/10.18083/LCAppl.2020.4.93</v>
      </c>
      <c r="BS870" t="s">
        <v>5596</v>
      </c>
      <c r="BT870" t="str">
        <f>HYPERLINK("https%3A%2F%2Fwww.webofscience.com%2Fwos%2Fwoscc%2Ffull-record%2FWOS:000604530500010","View Full Record in Web of Science")</f>
        <v>View Full Record in Web of Science</v>
      </c>
    </row>
    <row r="871" spans="1:72" ht="12.75" customHeight="1" x14ac:dyDescent="0.2">
      <c r="A871" t="s">
        <v>72</v>
      </c>
      <c r="B871" t="s">
        <v>5597</v>
      </c>
      <c r="F871" t="s">
        <v>5598</v>
      </c>
      <c r="I871" t="s">
        <v>5599</v>
      </c>
      <c r="J871" t="s">
        <v>95</v>
      </c>
      <c r="AA871" t="s">
        <v>5550</v>
      </c>
      <c r="AB871" t="s">
        <v>5600</v>
      </c>
      <c r="AO871" t="s">
        <v>98</v>
      </c>
      <c r="AP871" t="s">
        <v>99</v>
      </c>
      <c r="AU871">
        <v>2020</v>
      </c>
      <c r="AW871">
        <v>2</v>
      </c>
      <c r="BB871">
        <v>130</v>
      </c>
      <c r="BC871">
        <v>135</v>
      </c>
      <c r="BE871" t="s">
        <v>5601</v>
      </c>
      <c r="BF871" t="str">
        <f>HYPERLINK("http://dx.doi.org/10.25750/1995-4301-2020-2-130-135","http://dx.doi.org/10.25750/1995-4301-2020-2-130-135")</f>
        <v>http://dx.doi.org/10.25750/1995-4301-2020-2-130-135</v>
      </c>
      <c r="BS871" t="s">
        <v>5602</v>
      </c>
      <c r="BT871" t="str">
        <f>HYPERLINK("https%3A%2F%2Fwww.webofscience.com%2Fwos%2Fwoscc%2Ffull-record%2FWOS:000545295600018","View Full Record in Web of Science")</f>
        <v>View Full Record in Web of Science</v>
      </c>
    </row>
    <row r="872" spans="1:72" ht="12.75" customHeight="1" x14ac:dyDescent="0.2">
      <c r="A872" t="s">
        <v>72</v>
      </c>
      <c r="B872" t="s">
        <v>5603</v>
      </c>
      <c r="F872" t="s">
        <v>5604</v>
      </c>
      <c r="I872" t="s">
        <v>5605</v>
      </c>
      <c r="J872" t="s">
        <v>668</v>
      </c>
      <c r="AA872" t="s">
        <v>5606</v>
      </c>
      <c r="AB872" t="s">
        <v>5607</v>
      </c>
      <c r="AO872" t="s">
        <v>669</v>
      </c>
      <c r="AP872" t="s">
        <v>670</v>
      </c>
      <c r="AU872">
        <v>2020</v>
      </c>
      <c r="AW872">
        <v>7</v>
      </c>
      <c r="BB872">
        <v>266</v>
      </c>
      <c r="BC872">
        <v>283</v>
      </c>
      <c r="BE872" t="s">
        <v>5608</v>
      </c>
      <c r="BF872" t="str">
        <f>HYPERLINK("http://dx.doi.org/10.24224/2227-1295-2020-7-266-283","http://dx.doi.org/10.24224/2227-1295-2020-7-266-283")</f>
        <v>http://dx.doi.org/10.24224/2227-1295-2020-7-266-283</v>
      </c>
      <c r="BS872" t="s">
        <v>5609</v>
      </c>
      <c r="BT872" t="str">
        <f>HYPERLINK("https%3A%2F%2Fwww.webofscience.com%2Fwos%2Fwoscc%2Ffull-record%2FWOS:000568419600017","View Full Record in Web of Science")</f>
        <v>View Full Record in Web of Science</v>
      </c>
    </row>
    <row r="873" spans="1:72" ht="12.75" customHeight="1" x14ac:dyDescent="0.2">
      <c r="A873" t="s">
        <v>147</v>
      </c>
      <c r="B873" t="s">
        <v>5610</v>
      </c>
      <c r="D873" t="s">
        <v>814</v>
      </c>
      <c r="F873" t="s">
        <v>5611</v>
      </c>
      <c r="I873" t="s">
        <v>5612</v>
      </c>
      <c r="J873" t="s">
        <v>5613</v>
      </c>
      <c r="K873" t="s">
        <v>818</v>
      </c>
      <c r="O873" t="s">
        <v>819</v>
      </c>
      <c r="P873" t="s">
        <v>820</v>
      </c>
      <c r="Q873" t="s">
        <v>156</v>
      </c>
      <c r="R873" t="s">
        <v>821</v>
      </c>
      <c r="AB873" t="s">
        <v>5614</v>
      </c>
      <c r="AO873" t="s">
        <v>822</v>
      </c>
      <c r="AP873" t="s">
        <v>823</v>
      </c>
      <c r="AQ873" t="s">
        <v>5615</v>
      </c>
      <c r="AU873">
        <v>2020</v>
      </c>
      <c r="BB873">
        <v>347</v>
      </c>
      <c r="BC873">
        <v>354</v>
      </c>
      <c r="BE873" t="s">
        <v>5616</v>
      </c>
      <c r="BF873" t="str">
        <f>HYPERLINK("http://dx.doi.org/10.1007/978-3-030-22063-1_37","http://dx.doi.org/10.1007/978-3-030-22063-1_37")</f>
        <v>http://dx.doi.org/10.1007/978-3-030-22063-1_37</v>
      </c>
      <c r="BS873" t="s">
        <v>5617</v>
      </c>
      <c r="BT873" t="str">
        <f>HYPERLINK("https%3A%2F%2Fwww.webofscience.com%2Fwos%2Fwoscc%2Ffull-record%2FWOS:000613005500037","View Full Record in Web of Science")</f>
        <v>View Full Record in Web of Science</v>
      </c>
    </row>
    <row r="874" spans="1:72" ht="12.75" customHeight="1" x14ac:dyDescent="0.2">
      <c r="A874" t="s">
        <v>147</v>
      </c>
      <c r="B874" t="s">
        <v>5618</v>
      </c>
      <c r="E874" t="s">
        <v>175</v>
      </c>
      <c r="F874" t="s">
        <v>5619</v>
      </c>
      <c r="I874" t="s">
        <v>5620</v>
      </c>
      <c r="J874" t="s">
        <v>5621</v>
      </c>
      <c r="K874" t="s">
        <v>1469</v>
      </c>
      <c r="O874" t="s">
        <v>5622</v>
      </c>
      <c r="P874" t="s">
        <v>5623</v>
      </c>
      <c r="Q874" t="s">
        <v>746</v>
      </c>
      <c r="R874" t="s">
        <v>5624</v>
      </c>
      <c r="AA874" t="s">
        <v>5625</v>
      </c>
      <c r="AB874" t="s">
        <v>5626</v>
      </c>
      <c r="AO874" t="s">
        <v>1472</v>
      </c>
      <c r="AU874">
        <v>2019</v>
      </c>
      <c r="AV874">
        <v>489</v>
      </c>
      <c r="BD874">
        <v>12030</v>
      </c>
      <c r="BE874" t="s">
        <v>5627</v>
      </c>
      <c r="BF874" t="str">
        <f>HYPERLINK("http://dx.doi.org/10.1088/1757-899X/489/1/012030","http://dx.doi.org/10.1088/1757-899X/489/1/012030")</f>
        <v>http://dx.doi.org/10.1088/1757-899X/489/1/012030</v>
      </c>
      <c r="BS874" t="s">
        <v>5628</v>
      </c>
      <c r="BT874" t="str">
        <f>HYPERLINK("https%3A%2F%2Fwww.webofscience.com%2Fwos%2Fwoscc%2Ffull-record%2FWOS:000471174700030","View Full Record in Web of Science")</f>
        <v>View Full Record in Web of Science</v>
      </c>
    </row>
    <row r="875" spans="1:72" ht="12.75" customHeight="1" x14ac:dyDescent="0.2">
      <c r="A875" t="s">
        <v>147</v>
      </c>
      <c r="B875" t="s">
        <v>5629</v>
      </c>
      <c r="D875" t="s">
        <v>249</v>
      </c>
      <c r="F875" t="s">
        <v>5630</v>
      </c>
      <c r="I875" t="s">
        <v>5631</v>
      </c>
      <c r="J875" t="s">
        <v>3582</v>
      </c>
      <c r="K875" t="s">
        <v>253</v>
      </c>
      <c r="O875" t="s">
        <v>3583</v>
      </c>
      <c r="P875" t="s">
        <v>3584</v>
      </c>
      <c r="Q875" t="s">
        <v>256</v>
      </c>
      <c r="S875" t="s">
        <v>257</v>
      </c>
      <c r="AA875" t="s">
        <v>5632</v>
      </c>
      <c r="AB875" t="s">
        <v>3370</v>
      </c>
      <c r="AO875" t="s">
        <v>259</v>
      </c>
      <c r="AU875">
        <v>2018</v>
      </c>
      <c r="AV875">
        <v>45</v>
      </c>
      <c r="BB875">
        <v>8</v>
      </c>
      <c r="BC875">
        <v>20</v>
      </c>
      <c r="BE875" t="s">
        <v>5633</v>
      </c>
      <c r="BF875" t="str">
        <f>HYPERLINK("http://dx.doi.org/10.15405/epsbs.2018.09.2","http://dx.doi.org/10.15405/epsbs.2018.09.2")</f>
        <v>http://dx.doi.org/10.15405/epsbs.2018.09.2</v>
      </c>
      <c r="BS875" t="s">
        <v>5634</v>
      </c>
      <c r="BT875" t="str">
        <f>HYPERLINK("https%3A%2F%2Fwww.webofscience.com%2Fwos%2Fwoscc%2Ffull-record%2FWOS:000472144400002","View Full Record in Web of Science")</f>
        <v>View Full Record in Web of Science</v>
      </c>
    </row>
    <row r="876" spans="1:72" ht="12.75" customHeight="1" x14ac:dyDescent="0.2">
      <c r="A876" t="s">
        <v>147</v>
      </c>
      <c r="B876" t="s">
        <v>5635</v>
      </c>
      <c r="D876" t="s">
        <v>5636</v>
      </c>
      <c r="F876" t="s">
        <v>5637</v>
      </c>
      <c r="I876" t="s">
        <v>5638</v>
      </c>
      <c r="J876" t="s">
        <v>5639</v>
      </c>
      <c r="O876" t="s">
        <v>5640</v>
      </c>
      <c r="P876" t="s">
        <v>5641</v>
      </c>
      <c r="Q876" t="s">
        <v>1316</v>
      </c>
      <c r="R876" t="s">
        <v>5642</v>
      </c>
      <c r="AA876" t="s">
        <v>5643</v>
      </c>
      <c r="AB876" t="s">
        <v>5644</v>
      </c>
      <c r="AQ876" t="s">
        <v>5645</v>
      </c>
      <c r="AU876">
        <v>2017</v>
      </c>
      <c r="BB876">
        <v>656</v>
      </c>
      <c r="BC876">
        <v>664</v>
      </c>
      <c r="BS876" t="s">
        <v>5646</v>
      </c>
      <c r="BT876" t="str">
        <f>HYPERLINK("https%3A%2F%2Fwww.webofscience.com%2Fwos%2Fwoscc%2Ffull-record%2FWOS:000455325300065","View Full Record in Web of Science")</f>
        <v>View Full Record in Web of Science</v>
      </c>
    </row>
    <row r="877" spans="1:72" ht="12.75" customHeight="1" x14ac:dyDescent="0.2">
      <c r="A877" t="s">
        <v>72</v>
      </c>
      <c r="B877" t="s">
        <v>5433</v>
      </c>
      <c r="F877" t="s">
        <v>5434</v>
      </c>
      <c r="I877" t="s">
        <v>5647</v>
      </c>
      <c r="J877" t="s">
        <v>5436</v>
      </c>
      <c r="AA877" t="s">
        <v>5648</v>
      </c>
      <c r="AB877" t="s">
        <v>5649</v>
      </c>
      <c r="AO877" t="s">
        <v>5439</v>
      </c>
      <c r="AP877" t="s">
        <v>5440</v>
      </c>
      <c r="AT877" t="s">
        <v>125</v>
      </c>
      <c r="AU877">
        <v>2015</v>
      </c>
      <c r="AV877">
        <v>51</v>
      </c>
      <c r="AW877">
        <v>3</v>
      </c>
      <c r="BB877">
        <v>285</v>
      </c>
      <c r="BC877">
        <v>300</v>
      </c>
      <c r="BE877" t="s">
        <v>5650</v>
      </c>
      <c r="BF877" t="str">
        <f>HYPERLINK("http://dx.doi.org/10.1007/s11029-015-9500-0","http://dx.doi.org/10.1007/s11029-015-9500-0")</f>
        <v>http://dx.doi.org/10.1007/s11029-015-9500-0</v>
      </c>
      <c r="BS877" t="s">
        <v>5651</v>
      </c>
      <c r="BT877" t="str">
        <f>HYPERLINK("https%3A%2F%2Fwww.webofscience.com%2Fwos%2Fwoscc%2Ffull-record%2FWOS:000360935200003","View Full Record in Web of Science")</f>
        <v>View Full Record in Web of Science</v>
      </c>
    </row>
    <row r="878" spans="1:72" ht="12.75" customHeight="1" x14ac:dyDescent="0.2">
      <c r="A878" t="s">
        <v>72</v>
      </c>
      <c r="B878" t="s">
        <v>5652</v>
      </c>
      <c r="F878" t="s">
        <v>5653</v>
      </c>
      <c r="I878" t="s">
        <v>5654</v>
      </c>
      <c r="J878" t="s">
        <v>614</v>
      </c>
      <c r="O878" t="s">
        <v>3604</v>
      </c>
      <c r="P878" t="s">
        <v>3605</v>
      </c>
      <c r="Q878" t="s">
        <v>3159</v>
      </c>
      <c r="AA878" t="s">
        <v>489</v>
      </c>
      <c r="AB878" t="s">
        <v>490</v>
      </c>
      <c r="AO878" t="s">
        <v>617</v>
      </c>
      <c r="AT878" t="s">
        <v>491</v>
      </c>
      <c r="AU878">
        <v>2009</v>
      </c>
      <c r="AV878">
        <v>45</v>
      </c>
      <c r="AW878">
        <v>6</v>
      </c>
      <c r="BB878">
        <v>677</v>
      </c>
      <c r="BC878">
        <v>683</v>
      </c>
      <c r="BE878" t="s">
        <v>5655</v>
      </c>
      <c r="BF878" t="str">
        <f>HYPERLINK("http://dx.doi.org/10.1134/S1023193509060093","http://dx.doi.org/10.1134/S1023193509060093")</f>
        <v>http://dx.doi.org/10.1134/S1023193509060093</v>
      </c>
      <c r="BS878" t="s">
        <v>5656</v>
      </c>
      <c r="BT878" t="str">
        <f>HYPERLINK("https%3A%2F%2Fwww.webofscience.com%2Fwos%2Fwoscc%2Ffull-record%2FWOS:000267670800009","View Full Record in Web of Science")</f>
        <v>View Full Record in Web of Science</v>
      </c>
    </row>
    <row r="879" spans="1:72" ht="12.75" customHeight="1" x14ac:dyDescent="0.2">
      <c r="A879" t="s">
        <v>72</v>
      </c>
      <c r="B879" t="s">
        <v>5657</v>
      </c>
      <c r="F879" t="s">
        <v>5657</v>
      </c>
      <c r="I879" t="s">
        <v>5658</v>
      </c>
      <c r="J879" t="s">
        <v>409</v>
      </c>
      <c r="O879" t="s">
        <v>486</v>
      </c>
      <c r="P879" t="s">
        <v>487</v>
      </c>
      <c r="Q879" t="s">
        <v>488</v>
      </c>
      <c r="AA879" t="s">
        <v>489</v>
      </c>
      <c r="AB879" t="s">
        <v>490</v>
      </c>
      <c r="AO879" t="s">
        <v>412</v>
      </c>
      <c r="AT879" t="s">
        <v>1173</v>
      </c>
      <c r="AU879">
        <v>2000</v>
      </c>
      <c r="AV879">
        <v>73</v>
      </c>
      <c r="AW879">
        <v>8</v>
      </c>
      <c r="BB879">
        <v>1396</v>
      </c>
      <c r="BC879">
        <v>1404</v>
      </c>
      <c r="BS879" t="s">
        <v>5659</v>
      </c>
      <c r="BT879" t="str">
        <f>HYPERLINK("https%3A%2F%2Fwww.webofscience.com%2Fwos%2Fwoscc%2Ffull-record%2FWOS:000166725200018","View Full Record in Web of Science")</f>
        <v>View Full Record in Web of Science</v>
      </c>
    </row>
    <row r="880" spans="1:72" ht="12.75" customHeight="1" x14ac:dyDescent="0.2">
      <c r="A880" t="s">
        <v>72</v>
      </c>
      <c r="B880" t="s">
        <v>3120</v>
      </c>
      <c r="F880" t="s">
        <v>3122</v>
      </c>
      <c r="I880" t="s">
        <v>5660</v>
      </c>
      <c r="J880" t="s">
        <v>5661</v>
      </c>
      <c r="AA880" t="s">
        <v>934</v>
      </c>
      <c r="AB880" t="s">
        <v>935</v>
      </c>
      <c r="AO880" t="s">
        <v>5662</v>
      </c>
      <c r="AP880" t="s">
        <v>5663</v>
      </c>
      <c r="AT880" t="s">
        <v>491</v>
      </c>
      <c r="AU880">
        <v>2020</v>
      </c>
      <c r="AV880">
        <v>140</v>
      </c>
      <c r="BB880">
        <v>25</v>
      </c>
      <c r="BC880">
        <v>36</v>
      </c>
      <c r="BE880" t="s">
        <v>5664</v>
      </c>
      <c r="BF880" t="str">
        <f>HYPERLINK("http://dx.doi.org/10.1016/j.jpdc.2020.02.006","http://dx.doi.org/10.1016/j.jpdc.2020.02.006")</f>
        <v>http://dx.doi.org/10.1016/j.jpdc.2020.02.006</v>
      </c>
      <c r="BS880" t="s">
        <v>5665</v>
      </c>
      <c r="BT880" t="str">
        <f>HYPERLINK("https%3A%2F%2Fwww.webofscience.com%2Fwos%2Fwoscc%2Ffull-record%2FWOS:000527288900003","View Full Record in Web of Science")</f>
        <v>View Full Record in Web of Science</v>
      </c>
    </row>
    <row r="881" spans="1:72" ht="12.75" customHeight="1" x14ac:dyDescent="0.2">
      <c r="A881" t="s">
        <v>72</v>
      </c>
      <c r="B881" t="s">
        <v>5666</v>
      </c>
      <c r="F881" t="s">
        <v>5667</v>
      </c>
      <c r="I881" t="s">
        <v>5668</v>
      </c>
      <c r="J881" t="s">
        <v>4996</v>
      </c>
      <c r="AA881" t="s">
        <v>1091</v>
      </c>
      <c r="AB881" t="s">
        <v>1092</v>
      </c>
      <c r="AO881" t="s">
        <v>4999</v>
      </c>
      <c r="AP881" t="s">
        <v>5000</v>
      </c>
      <c r="AU881">
        <v>2019</v>
      </c>
      <c r="AV881">
        <v>42</v>
      </c>
      <c r="AW881">
        <v>6</v>
      </c>
      <c r="BB881">
        <v>825</v>
      </c>
      <c r="BC881">
        <v>836</v>
      </c>
      <c r="BE881" t="s">
        <v>5669</v>
      </c>
      <c r="BF881" t="str">
        <f>HYPERLINK("http://dx.doi.org/10.18720/MPM.4262019_14","http://dx.doi.org/10.18720/MPM.4262019_14")</f>
        <v>http://dx.doi.org/10.18720/MPM.4262019_14</v>
      </c>
      <c r="BS881" t="s">
        <v>5670</v>
      </c>
      <c r="BT881" t="str">
        <f>HYPERLINK("https%3A%2F%2Fwww.webofscience.com%2Fwos%2Fwoscc%2Ffull-record%2FWOS:000504843000014","View Full Record in Web of Science")</f>
        <v>View Full Record in Web of Science</v>
      </c>
    </row>
    <row r="882" spans="1:72" ht="12.75" customHeight="1" x14ac:dyDescent="0.2">
      <c r="A882" t="s">
        <v>147</v>
      </c>
      <c r="B882" t="s">
        <v>5671</v>
      </c>
      <c r="F882" t="s">
        <v>5672</v>
      </c>
      <c r="I882" t="s">
        <v>5673</v>
      </c>
      <c r="J882" t="s">
        <v>769</v>
      </c>
      <c r="O882" t="s">
        <v>1277</v>
      </c>
      <c r="P882" t="s">
        <v>5199</v>
      </c>
      <c r="Q882" t="s">
        <v>772</v>
      </c>
      <c r="R882" t="s">
        <v>773</v>
      </c>
      <c r="AB882" t="s">
        <v>3489</v>
      </c>
      <c r="AO882" t="s">
        <v>775</v>
      </c>
      <c r="AU882">
        <v>2019</v>
      </c>
      <c r="AV882">
        <v>19</v>
      </c>
      <c r="AX882">
        <v>5</v>
      </c>
      <c r="BB882">
        <v>2323</v>
      </c>
      <c r="BC882">
        <v>2328</v>
      </c>
      <c r="BE882" t="s">
        <v>5674</v>
      </c>
      <c r="BF882" t="str">
        <f>HYPERLINK("http://dx.doi.org/10.1016/j.matpr.2019.07.680","http://dx.doi.org/10.1016/j.matpr.2019.07.680")</f>
        <v>http://dx.doi.org/10.1016/j.matpr.2019.07.680</v>
      </c>
      <c r="BS882" t="s">
        <v>5675</v>
      </c>
      <c r="BT882" t="str">
        <f>HYPERLINK("https%3A%2F%2Fwww.webofscience.com%2Fwos%2Fwoscc%2Ffull-record%2FWOS:000507473500119","View Full Record in Web of Science")</f>
        <v>View Full Record in Web of Science</v>
      </c>
    </row>
    <row r="883" spans="1:72" ht="12.75" customHeight="1" x14ac:dyDescent="0.2">
      <c r="A883" t="s">
        <v>147</v>
      </c>
      <c r="B883" t="s">
        <v>5676</v>
      </c>
      <c r="D883" t="s">
        <v>5677</v>
      </c>
      <c r="F883" t="s">
        <v>5678</v>
      </c>
      <c r="I883" t="s">
        <v>5679</v>
      </c>
      <c r="J883" t="s">
        <v>5680</v>
      </c>
      <c r="O883" t="s">
        <v>5681</v>
      </c>
      <c r="P883" t="s">
        <v>5682</v>
      </c>
      <c r="Q883" t="s">
        <v>5683</v>
      </c>
      <c r="R883" t="s">
        <v>5684</v>
      </c>
      <c r="AA883" t="s">
        <v>5685</v>
      </c>
      <c r="AB883" t="s">
        <v>5686</v>
      </c>
      <c r="AQ883" t="s">
        <v>5687</v>
      </c>
      <c r="AU883">
        <v>2016</v>
      </c>
      <c r="BB883">
        <v>675</v>
      </c>
      <c r="BC883">
        <v>680</v>
      </c>
      <c r="BE883" t="s">
        <v>5688</v>
      </c>
      <c r="BF883" t="str">
        <f>HYPERLINK("http://dx.doi.org/10.1109/IIAI-AAI.2016.92","http://dx.doi.org/10.1109/IIAI-AAI.2016.92")</f>
        <v>http://dx.doi.org/10.1109/IIAI-AAI.2016.92</v>
      </c>
      <c r="BS883" t="s">
        <v>5689</v>
      </c>
      <c r="BT883" t="str">
        <f>HYPERLINK("https%3A%2F%2Fwww.webofscience.com%2Fwos%2Fwoscc%2Ffull-record%2FWOS:000389501300131","View Full Record in Web of Science")</f>
        <v>View Full Record in Web of Science</v>
      </c>
    </row>
    <row r="884" spans="1:72" ht="12.75" customHeight="1" x14ac:dyDescent="0.2">
      <c r="A884" t="s">
        <v>72</v>
      </c>
      <c r="B884" t="s">
        <v>5690</v>
      </c>
      <c r="F884" t="s">
        <v>5690</v>
      </c>
      <c r="I884" t="s">
        <v>5691</v>
      </c>
      <c r="J884" t="s">
        <v>614</v>
      </c>
      <c r="AA884" t="s">
        <v>489</v>
      </c>
      <c r="AB884" t="s">
        <v>490</v>
      </c>
      <c r="AO884" t="s">
        <v>617</v>
      </c>
      <c r="AP884" t="s">
        <v>1720</v>
      </c>
      <c r="AT884" t="s">
        <v>491</v>
      </c>
      <c r="AU884">
        <v>2005</v>
      </c>
      <c r="AV884">
        <v>41</v>
      </c>
      <c r="AW884">
        <v>6</v>
      </c>
      <c r="BB884">
        <v>632</v>
      </c>
      <c r="BC884">
        <v>638</v>
      </c>
      <c r="BE884" t="s">
        <v>5692</v>
      </c>
      <c r="BF884" t="str">
        <f>HYPERLINK("http://dx.doi.org/10.1007/s11175-005-0116-x","http://dx.doi.org/10.1007/s11175-005-0116-x")</f>
        <v>http://dx.doi.org/10.1007/s11175-005-0116-x</v>
      </c>
      <c r="BS884" t="s">
        <v>5693</v>
      </c>
      <c r="BT884" t="str">
        <f>HYPERLINK("https%3A%2F%2Fwww.webofscience.com%2Fwos%2Fwoscc%2Ffull-record%2FWOS:000230551900006","View Full Record in Web of Science")</f>
        <v>View Full Record in Web of Science</v>
      </c>
    </row>
    <row r="885" spans="1:72" ht="12.75" customHeight="1" x14ac:dyDescent="0.2">
      <c r="A885" t="s">
        <v>72</v>
      </c>
      <c r="B885" t="s">
        <v>5694</v>
      </c>
      <c r="F885" t="s">
        <v>5694</v>
      </c>
      <c r="I885" t="s">
        <v>5695</v>
      </c>
      <c r="J885" t="s">
        <v>3317</v>
      </c>
      <c r="AA885" t="s">
        <v>5696</v>
      </c>
      <c r="AB885" t="s">
        <v>5697</v>
      </c>
      <c r="AO885" t="s">
        <v>3318</v>
      </c>
      <c r="AP885" t="s">
        <v>5698</v>
      </c>
      <c r="AT885" t="s">
        <v>830</v>
      </c>
      <c r="AU885">
        <v>2004</v>
      </c>
      <c r="AV885">
        <v>59</v>
      </c>
      <c r="AW885">
        <v>9</v>
      </c>
      <c r="BB885">
        <v>841</v>
      </c>
      <c r="BC885">
        <v>846</v>
      </c>
      <c r="BE885" t="s">
        <v>5699</v>
      </c>
      <c r="BF885" t="str">
        <f>HYPERLINK("http://dx.doi.org/10.1023/B:JANC.0000040698.44884.ad","http://dx.doi.org/10.1023/B:JANC.0000040698.44884.ad")</f>
        <v>http://dx.doi.org/10.1023/B:JANC.0000040698.44884.ad</v>
      </c>
      <c r="BS885" t="s">
        <v>5700</v>
      </c>
      <c r="BT885" t="str">
        <f>HYPERLINK("https%3A%2F%2Fwww.webofscience.com%2Fwos%2Fwoscc%2Ffull-record%2FWOS:000224141700006","View Full Record in Web of Science")</f>
        <v>View Full Record in Web of Science</v>
      </c>
    </row>
    <row r="886" spans="1:72" ht="12.75" customHeight="1" x14ac:dyDescent="0.2">
      <c r="A886" t="s">
        <v>72</v>
      </c>
      <c r="B886" t="s">
        <v>5207</v>
      </c>
      <c r="F886" t="s">
        <v>5701</v>
      </c>
      <c r="I886" t="s">
        <v>5702</v>
      </c>
      <c r="J886" t="s">
        <v>4849</v>
      </c>
      <c r="AA886" t="s">
        <v>4850</v>
      </c>
      <c r="AB886" t="s">
        <v>4851</v>
      </c>
      <c r="AO886" t="s">
        <v>4852</v>
      </c>
      <c r="AP886" t="s">
        <v>4853</v>
      </c>
      <c r="AT886" t="s">
        <v>491</v>
      </c>
      <c r="AU886">
        <v>2022</v>
      </c>
      <c r="AV886">
        <v>99</v>
      </c>
      <c r="AW886">
        <v>6</v>
      </c>
      <c r="BB886">
        <v>635</v>
      </c>
      <c r="BC886">
        <v>637</v>
      </c>
      <c r="BE886" t="s">
        <v>5703</v>
      </c>
      <c r="BF886" t="str">
        <f>HYPERLINK("http://dx.doi.org/10.1111/tan.14558","http://dx.doi.org/10.1111/tan.14558")</f>
        <v>http://dx.doi.org/10.1111/tan.14558</v>
      </c>
      <c r="BH886" t="s">
        <v>3630</v>
      </c>
      <c r="BN886">
        <v>35064637</v>
      </c>
      <c r="BS886" t="s">
        <v>5704</v>
      </c>
      <c r="BT886" t="str">
        <f>HYPERLINK("https%3A%2F%2Fwww.webofscience.com%2Fwos%2Fwoscc%2Ffull-record%2FWOS:000749250800001","View Full Record in Web of Science")</f>
        <v>View Full Record in Web of Science</v>
      </c>
    </row>
    <row r="887" spans="1:72" ht="12.75" customHeight="1" x14ac:dyDescent="0.2">
      <c r="A887" t="s">
        <v>72</v>
      </c>
      <c r="B887" t="s">
        <v>5705</v>
      </c>
      <c r="F887" t="s">
        <v>5706</v>
      </c>
      <c r="I887" t="s">
        <v>5707</v>
      </c>
      <c r="J887" t="s">
        <v>194</v>
      </c>
      <c r="AA887" t="s">
        <v>5708</v>
      </c>
      <c r="AB887" t="s">
        <v>5709</v>
      </c>
      <c r="AO887" t="s">
        <v>196</v>
      </c>
      <c r="AP887" t="s">
        <v>197</v>
      </c>
      <c r="AT887" t="s">
        <v>1173</v>
      </c>
      <c r="AU887">
        <v>2020</v>
      </c>
      <c r="AV887">
        <v>23</v>
      </c>
      <c r="BB887">
        <v>115</v>
      </c>
      <c r="BC887">
        <v>130</v>
      </c>
      <c r="BE887" t="s">
        <v>5710</v>
      </c>
      <c r="BF887" t="str">
        <f>HYPERLINK("http://dx.doi.org/10.17223/23062061/23/7","http://dx.doi.org/10.17223/23062061/23/7")</f>
        <v>http://dx.doi.org/10.17223/23062061/23/7</v>
      </c>
      <c r="BS887" t="s">
        <v>5711</v>
      </c>
      <c r="BT887" t="str">
        <f>HYPERLINK("https%3A%2F%2Fwww.webofscience.com%2Fwos%2Fwoscc%2Ffull-record%2FWOS:000574371400007","View Full Record in Web of Science")</f>
        <v>View Full Record in Web of Science</v>
      </c>
    </row>
    <row r="888" spans="1:72" ht="12.75" customHeight="1" x14ac:dyDescent="0.2">
      <c r="A888" t="s">
        <v>147</v>
      </c>
      <c r="B888" t="s">
        <v>5712</v>
      </c>
      <c r="D888" t="s">
        <v>1876</v>
      </c>
      <c r="F888" t="s">
        <v>5713</v>
      </c>
      <c r="I888" t="s">
        <v>5714</v>
      </c>
      <c r="J888" t="s">
        <v>1879</v>
      </c>
      <c r="K888" t="s">
        <v>1276</v>
      </c>
      <c r="O888" t="s">
        <v>1880</v>
      </c>
      <c r="P888" t="s">
        <v>1881</v>
      </c>
      <c r="Q888" t="s">
        <v>1882</v>
      </c>
      <c r="R888" t="s">
        <v>1883</v>
      </c>
      <c r="S888" t="s">
        <v>1884</v>
      </c>
      <c r="AA888" t="s">
        <v>5715</v>
      </c>
      <c r="AB888" t="s">
        <v>5716</v>
      </c>
      <c r="AO888" t="s">
        <v>1282</v>
      </c>
      <c r="AU888">
        <v>2017</v>
      </c>
      <c r="AV888">
        <v>106</v>
      </c>
      <c r="BD888">
        <v>8076</v>
      </c>
      <c r="BE888" t="s">
        <v>5717</v>
      </c>
      <c r="BF888" t="str">
        <f>HYPERLINK("http://dx.doi.org/10.1051/matecconf/201710608076","http://dx.doi.org/10.1051/matecconf/201710608076")</f>
        <v>http://dx.doi.org/10.1051/matecconf/201710608076</v>
      </c>
      <c r="BS888" t="s">
        <v>5718</v>
      </c>
      <c r="BT888" t="str">
        <f>HYPERLINK("https%3A%2F%2Fwww.webofscience.com%2Fwos%2Fwoscc%2Ffull-record%2FWOS:000426426600261","View Full Record in Web of Science")</f>
        <v>View Full Record in Web of Science</v>
      </c>
    </row>
    <row r="889" spans="1:72" ht="12.75" customHeight="1" x14ac:dyDescent="0.2">
      <c r="A889" t="s">
        <v>72</v>
      </c>
      <c r="B889" t="s">
        <v>5240</v>
      </c>
      <c r="F889" t="s">
        <v>5240</v>
      </c>
      <c r="I889" t="s">
        <v>5719</v>
      </c>
      <c r="J889" t="s">
        <v>5446</v>
      </c>
      <c r="AO889" t="s">
        <v>5447</v>
      </c>
      <c r="AT889" t="s">
        <v>88</v>
      </c>
      <c r="AU889">
        <v>2006</v>
      </c>
      <c r="AV889">
        <v>42</v>
      </c>
      <c r="AW889">
        <v>5</v>
      </c>
      <c r="BB889">
        <v>474</v>
      </c>
      <c r="BC889">
        <v>478</v>
      </c>
      <c r="BE889" t="s">
        <v>5720</v>
      </c>
      <c r="BF889" t="str">
        <f>HYPERLINK("http://dx.doi.org/10.1134/S0020168506050049","http://dx.doi.org/10.1134/S0020168506050049")</f>
        <v>http://dx.doi.org/10.1134/S0020168506050049</v>
      </c>
      <c r="BS889" t="s">
        <v>5721</v>
      </c>
      <c r="BT889" t="str">
        <f>HYPERLINK("https%3A%2F%2Fwww.webofscience.com%2Fwos%2Fwoscc%2Ffull-record%2FWOS:000237676000004","View Full Record in Web of Science")</f>
        <v>View Full Record in Web of Science</v>
      </c>
    </row>
    <row r="890" spans="1:72" ht="12.75" customHeight="1" x14ac:dyDescent="0.2">
      <c r="A890" t="s">
        <v>72</v>
      </c>
      <c r="B890" t="s">
        <v>378</v>
      </c>
      <c r="F890" t="s">
        <v>1226</v>
      </c>
      <c r="I890" t="s">
        <v>5722</v>
      </c>
      <c r="J890" t="s">
        <v>5309</v>
      </c>
      <c r="AO890" t="s">
        <v>5310</v>
      </c>
      <c r="AU890">
        <v>2022</v>
      </c>
      <c r="AV890">
        <v>9</v>
      </c>
      <c r="AW890">
        <v>4</v>
      </c>
      <c r="BB890">
        <v>57</v>
      </c>
      <c r="BC890">
        <v>61</v>
      </c>
      <c r="BE890" t="s">
        <v>5723</v>
      </c>
      <c r="BF890" t="str">
        <f>HYPERLINK("http://dx.doi.org/10.51847/h2jlKTkM26","http://dx.doi.org/10.51847/h2jlKTkM26")</f>
        <v>http://dx.doi.org/10.51847/h2jlKTkM26</v>
      </c>
      <c r="BS890" t="s">
        <v>5724</v>
      </c>
      <c r="BT890" t="str">
        <f>HYPERLINK("https%3A%2F%2Fwww.webofscience.com%2Fwos%2Fwoscc%2Ffull-record%2FWOS:000899154600008","View Full Record in Web of Science")</f>
        <v>View Full Record in Web of Science</v>
      </c>
    </row>
    <row r="891" spans="1:72" ht="12.75" customHeight="1" x14ac:dyDescent="0.2">
      <c r="A891" t="s">
        <v>72</v>
      </c>
      <c r="B891" t="s">
        <v>5725</v>
      </c>
      <c r="F891" t="s">
        <v>5726</v>
      </c>
      <c r="I891" t="s">
        <v>5727</v>
      </c>
      <c r="J891" t="s">
        <v>5728</v>
      </c>
      <c r="AA891" t="s">
        <v>4571</v>
      </c>
      <c r="AB891" t="s">
        <v>4572</v>
      </c>
      <c r="AO891" t="s">
        <v>5729</v>
      </c>
      <c r="AU891">
        <v>2020</v>
      </c>
      <c r="AW891">
        <v>3</v>
      </c>
      <c r="BB891">
        <v>128</v>
      </c>
      <c r="BC891">
        <v>142</v>
      </c>
      <c r="BE891" t="s">
        <v>5730</v>
      </c>
      <c r="BF891" t="str">
        <f>HYPERLINK("http://dx.doi.org/10.37482/0536-1036-2020-3-128-142","http://dx.doi.org/10.37482/0536-1036-2020-3-128-142")</f>
        <v>http://dx.doi.org/10.37482/0536-1036-2020-3-128-142</v>
      </c>
      <c r="BS891" t="s">
        <v>5731</v>
      </c>
      <c r="BT891" t="str">
        <f>HYPERLINK("https%3A%2F%2Fwww.webofscience.com%2Fwos%2Fwoscc%2Ffull-record%2FWOS:000540068900010","View Full Record in Web of Science")</f>
        <v>View Full Record in Web of Science</v>
      </c>
    </row>
    <row r="892" spans="1:72" ht="12.75" customHeight="1" x14ac:dyDescent="0.2">
      <c r="A892" t="s">
        <v>72</v>
      </c>
      <c r="B892" t="s">
        <v>5732</v>
      </c>
      <c r="F892" t="s">
        <v>5733</v>
      </c>
      <c r="I892" t="s">
        <v>5734</v>
      </c>
      <c r="J892" t="s">
        <v>95</v>
      </c>
      <c r="AA892" t="s">
        <v>5529</v>
      </c>
      <c r="AB892" t="s">
        <v>5530</v>
      </c>
      <c r="AO892" t="s">
        <v>98</v>
      </c>
      <c r="AP892" t="s">
        <v>99</v>
      </c>
      <c r="AU892">
        <v>2019</v>
      </c>
      <c r="AW892">
        <v>1</v>
      </c>
      <c r="BB892">
        <v>23</v>
      </c>
      <c r="BC892">
        <v>29</v>
      </c>
      <c r="BE892" t="s">
        <v>5735</v>
      </c>
      <c r="BF892" t="str">
        <f>HYPERLINK("http://dx.doi.org/10.25750/1995-4301-2019-1-023-029","http://dx.doi.org/10.25750/1995-4301-2019-1-023-029")</f>
        <v>http://dx.doi.org/10.25750/1995-4301-2019-1-023-029</v>
      </c>
      <c r="BS892" t="s">
        <v>5736</v>
      </c>
      <c r="BT892" t="str">
        <f>HYPERLINK("https%3A%2F%2Fwww.webofscience.com%2Fwos%2Fwoscc%2Ffull-record%2FWOS:000468565900003","View Full Record in Web of Science")</f>
        <v>View Full Record in Web of Science</v>
      </c>
    </row>
    <row r="893" spans="1:72" ht="12.75" customHeight="1" x14ac:dyDescent="0.2">
      <c r="A893" t="s">
        <v>147</v>
      </c>
      <c r="B893" t="s">
        <v>5737</v>
      </c>
      <c r="E893" t="s">
        <v>175</v>
      </c>
      <c r="F893" t="s">
        <v>5738</v>
      </c>
      <c r="I893" t="s">
        <v>5739</v>
      </c>
      <c r="J893" t="s">
        <v>1702</v>
      </c>
      <c r="K893" t="s">
        <v>1469</v>
      </c>
      <c r="O893" t="s">
        <v>1619</v>
      </c>
      <c r="P893" t="s">
        <v>1703</v>
      </c>
      <c r="Q893" t="s">
        <v>1704</v>
      </c>
      <c r="R893" t="s">
        <v>1705</v>
      </c>
      <c r="S893" t="s">
        <v>157</v>
      </c>
      <c r="AO893" t="s">
        <v>1472</v>
      </c>
      <c r="AU893">
        <v>2018</v>
      </c>
      <c r="AV893">
        <v>451</v>
      </c>
      <c r="BD893">
        <v>12205</v>
      </c>
      <c r="BE893" t="s">
        <v>5740</v>
      </c>
      <c r="BF893" t="str">
        <f>HYPERLINK("http://dx.doi.org/10.1088/1757-899X/451/1/012205","http://dx.doi.org/10.1088/1757-899X/451/1/012205")</f>
        <v>http://dx.doi.org/10.1088/1757-899X/451/1/012205</v>
      </c>
      <c r="BS893" t="s">
        <v>5741</v>
      </c>
      <c r="BT893" t="str">
        <f>HYPERLINK("https%3A%2F%2Fwww.webofscience.com%2Fwos%2Fwoscc%2Ffull-record%2FWOS:000648426900205","View Full Record in Web of Science")</f>
        <v>View Full Record in Web of Science</v>
      </c>
    </row>
    <row r="894" spans="1:72" ht="12.75" customHeight="1" x14ac:dyDescent="0.2">
      <c r="A894" t="s">
        <v>147</v>
      </c>
      <c r="B894" t="s">
        <v>5742</v>
      </c>
      <c r="D894" t="s">
        <v>1876</v>
      </c>
      <c r="F894" t="s">
        <v>5743</v>
      </c>
      <c r="I894" t="s">
        <v>5744</v>
      </c>
      <c r="J894" t="s">
        <v>1879</v>
      </c>
      <c r="K894" t="s">
        <v>1276</v>
      </c>
      <c r="O894" t="s">
        <v>1880</v>
      </c>
      <c r="P894" t="s">
        <v>1881</v>
      </c>
      <c r="Q894" t="s">
        <v>1882</v>
      </c>
      <c r="R894" t="s">
        <v>1883</v>
      </c>
      <c r="S894" t="s">
        <v>1884</v>
      </c>
      <c r="AB894" t="s">
        <v>5745</v>
      </c>
      <c r="AO894" t="s">
        <v>1282</v>
      </c>
      <c r="AU894">
        <v>2017</v>
      </c>
      <c r="AV894">
        <v>106</v>
      </c>
      <c r="BD894">
        <v>8083</v>
      </c>
      <c r="BE894" t="s">
        <v>5746</v>
      </c>
      <c r="BF894" t="str">
        <f>HYPERLINK("http://dx.doi.org/10.1051/matecconf/201710608083","http://dx.doi.org/10.1051/matecconf/201710608083")</f>
        <v>http://dx.doi.org/10.1051/matecconf/201710608083</v>
      </c>
      <c r="BS894" t="s">
        <v>5747</v>
      </c>
      <c r="BT894" t="str">
        <f>HYPERLINK("https%3A%2F%2Fwww.webofscience.com%2Fwos%2Fwoscc%2Ffull-record%2FWOS:000426426600268","View Full Record in Web of Science")</f>
        <v>View Full Record in Web of Science</v>
      </c>
    </row>
    <row r="895" spans="1:72" ht="12.75" customHeight="1" x14ac:dyDescent="0.2">
      <c r="A895" t="s">
        <v>147</v>
      </c>
      <c r="B895" t="s">
        <v>5748</v>
      </c>
      <c r="D895" t="s">
        <v>1876</v>
      </c>
      <c r="F895" t="s">
        <v>5749</v>
      </c>
      <c r="I895" t="s">
        <v>5750</v>
      </c>
      <c r="J895" t="s">
        <v>1879</v>
      </c>
      <c r="K895" t="s">
        <v>1276</v>
      </c>
      <c r="O895" t="s">
        <v>1880</v>
      </c>
      <c r="P895" t="s">
        <v>1881</v>
      </c>
      <c r="Q895" t="s">
        <v>1882</v>
      </c>
      <c r="R895" t="s">
        <v>1883</v>
      </c>
      <c r="S895" t="s">
        <v>1884</v>
      </c>
      <c r="AA895" t="s">
        <v>1823</v>
      </c>
      <c r="AB895" t="s">
        <v>5751</v>
      </c>
      <c r="AO895" t="s">
        <v>1282</v>
      </c>
      <c r="AU895">
        <v>2017</v>
      </c>
      <c r="AV895">
        <v>106</v>
      </c>
      <c r="BD895">
        <v>8086</v>
      </c>
      <c r="BE895" t="s">
        <v>5752</v>
      </c>
      <c r="BF895" t="str">
        <f>HYPERLINK("http://dx.doi.org/10.1051/matecconf/201710608086","http://dx.doi.org/10.1051/matecconf/201710608086")</f>
        <v>http://dx.doi.org/10.1051/matecconf/201710608086</v>
      </c>
      <c r="BS895" t="s">
        <v>5753</v>
      </c>
      <c r="BT895" t="str">
        <f>HYPERLINK("https%3A%2F%2Fwww.webofscience.com%2Fwos%2Fwoscc%2Ffull-record%2FWOS:000426426600271","View Full Record in Web of Science")</f>
        <v>View Full Record in Web of Science</v>
      </c>
    </row>
    <row r="896" spans="1:72" ht="12.75" customHeight="1" x14ac:dyDescent="0.2">
      <c r="A896" t="s">
        <v>147</v>
      </c>
      <c r="B896" t="s">
        <v>5754</v>
      </c>
      <c r="E896" t="s">
        <v>280</v>
      </c>
      <c r="F896" t="s">
        <v>5755</v>
      </c>
      <c r="I896" t="s">
        <v>5756</v>
      </c>
      <c r="J896" t="s">
        <v>4146</v>
      </c>
      <c r="K896" t="s">
        <v>284</v>
      </c>
      <c r="O896" t="s">
        <v>4147</v>
      </c>
      <c r="P896" t="s">
        <v>4148</v>
      </c>
      <c r="Q896" t="s">
        <v>287</v>
      </c>
      <c r="R896" t="s">
        <v>4149</v>
      </c>
      <c r="AA896" t="s">
        <v>5757</v>
      </c>
      <c r="AB896" t="s">
        <v>5758</v>
      </c>
      <c r="AO896" t="s">
        <v>289</v>
      </c>
      <c r="AQ896" t="s">
        <v>4150</v>
      </c>
      <c r="AU896">
        <v>2015</v>
      </c>
      <c r="BB896">
        <v>505</v>
      </c>
      <c r="BC896">
        <v>512</v>
      </c>
      <c r="BS896" t="s">
        <v>5759</v>
      </c>
      <c r="BT896" t="str">
        <f>HYPERLINK("https%3A%2F%2Fwww.webofscience.com%2Fwos%2Fwoscc%2Ffull-record%2FWOS:000378098500062","View Full Record in Web of Science")</f>
        <v>View Full Record in Web of Science</v>
      </c>
    </row>
    <row r="897" spans="1:72" ht="12.75" customHeight="1" x14ac:dyDescent="0.2">
      <c r="A897" t="s">
        <v>72</v>
      </c>
      <c r="B897" t="s">
        <v>5760</v>
      </c>
      <c r="F897" t="s">
        <v>5761</v>
      </c>
      <c r="I897" t="s">
        <v>5762</v>
      </c>
      <c r="J897" t="s">
        <v>3860</v>
      </c>
      <c r="AA897" t="s">
        <v>5763</v>
      </c>
      <c r="AB897" t="s">
        <v>5764</v>
      </c>
      <c r="AO897" t="s">
        <v>3861</v>
      </c>
      <c r="AP897" t="s">
        <v>5765</v>
      </c>
      <c r="AT897" t="s">
        <v>198</v>
      </c>
      <c r="AU897">
        <v>2012</v>
      </c>
      <c r="AV897">
        <v>54</v>
      </c>
      <c r="AW897" t="s">
        <v>1639</v>
      </c>
      <c r="BB897">
        <v>161</v>
      </c>
      <c r="BC897">
        <v>166</v>
      </c>
      <c r="BE897" t="s">
        <v>5766</v>
      </c>
      <c r="BF897" t="str">
        <f>HYPERLINK("http://dx.doi.org/10.1134/S1560090412030050","http://dx.doi.org/10.1134/S1560090412030050")</f>
        <v>http://dx.doi.org/10.1134/S1560090412030050</v>
      </c>
      <c r="BS897" t="s">
        <v>5767</v>
      </c>
      <c r="BT897" t="str">
        <f>HYPERLINK("https%3A%2F%2Fwww.webofscience.com%2Fwos%2Fwoscc%2Ffull-record%2FWOS:000303357200005","View Full Record in Web of Science")</f>
        <v>View Full Record in Web of Science</v>
      </c>
    </row>
    <row r="898" spans="1:72" ht="12.75" customHeight="1" x14ac:dyDescent="0.2">
      <c r="A898" t="s">
        <v>72</v>
      </c>
      <c r="B898" t="s">
        <v>5768</v>
      </c>
      <c r="F898" t="s">
        <v>5769</v>
      </c>
      <c r="I898" t="s">
        <v>5770</v>
      </c>
      <c r="J898" t="s">
        <v>4849</v>
      </c>
      <c r="AA898" t="s">
        <v>4850</v>
      </c>
      <c r="AB898" t="s">
        <v>4851</v>
      </c>
      <c r="AO898" t="s">
        <v>4852</v>
      </c>
      <c r="AP898" t="s">
        <v>4853</v>
      </c>
      <c r="AT898" t="s">
        <v>541</v>
      </c>
      <c r="AU898">
        <v>2023</v>
      </c>
      <c r="AV898">
        <v>101</v>
      </c>
      <c r="AW898">
        <v>1</v>
      </c>
      <c r="BB898">
        <v>46</v>
      </c>
      <c r="BC898">
        <v>47</v>
      </c>
      <c r="BE898" t="s">
        <v>5771</v>
      </c>
      <c r="BF898" t="str">
        <f>HYPERLINK("http://dx.doi.org/10.1111/tan.14802","http://dx.doi.org/10.1111/tan.14802")</f>
        <v>http://dx.doi.org/10.1111/tan.14802</v>
      </c>
      <c r="BH898" t="s">
        <v>4877</v>
      </c>
      <c r="BN898">
        <v>36059062</v>
      </c>
      <c r="BS898" t="s">
        <v>5772</v>
      </c>
      <c r="BT898" t="str">
        <f>HYPERLINK("https%3A%2F%2Fwww.webofscience.com%2Fwos%2Fwoscc%2Ffull-record%2FWOS:000853301800001","View Full Record in Web of Science")</f>
        <v>View Full Record in Web of Science</v>
      </c>
    </row>
    <row r="899" spans="1:72" ht="12.75" customHeight="1" x14ac:dyDescent="0.2">
      <c r="A899" t="s">
        <v>72</v>
      </c>
      <c r="B899" t="s">
        <v>4873</v>
      </c>
      <c r="F899" t="s">
        <v>4874</v>
      </c>
      <c r="I899" t="s">
        <v>5773</v>
      </c>
      <c r="J899" t="s">
        <v>4849</v>
      </c>
      <c r="AA899" t="s">
        <v>4850</v>
      </c>
      <c r="AB899" t="s">
        <v>4851</v>
      </c>
      <c r="AO899" t="s">
        <v>4852</v>
      </c>
      <c r="AP899" t="s">
        <v>4853</v>
      </c>
      <c r="AT899" t="s">
        <v>830</v>
      </c>
      <c r="AU899">
        <v>2022</v>
      </c>
      <c r="AV899">
        <v>100</v>
      </c>
      <c r="AW899">
        <v>3</v>
      </c>
      <c r="BB899">
        <v>277</v>
      </c>
      <c r="BC899">
        <v>278</v>
      </c>
      <c r="BE899" t="s">
        <v>5774</v>
      </c>
      <c r="BF899" t="str">
        <f>HYPERLINK("http://dx.doi.org/10.1111/tan.14683","http://dx.doi.org/10.1111/tan.14683")</f>
        <v>http://dx.doi.org/10.1111/tan.14683</v>
      </c>
      <c r="BH899" t="s">
        <v>5775</v>
      </c>
      <c r="BN899">
        <v>35616014</v>
      </c>
      <c r="BS899" t="s">
        <v>5776</v>
      </c>
      <c r="BT899" t="str">
        <f>HYPERLINK("https%3A%2F%2Fwww.webofscience.com%2Fwos%2Fwoscc%2Ffull-record%2FWOS:000807523600001","View Full Record in Web of Science")</f>
        <v>View Full Record in Web of Science</v>
      </c>
    </row>
    <row r="900" spans="1:72" ht="12.75" customHeight="1" x14ac:dyDescent="0.2">
      <c r="A900" t="s">
        <v>72</v>
      </c>
      <c r="B900" t="s">
        <v>378</v>
      </c>
      <c r="F900" t="s">
        <v>2100</v>
      </c>
      <c r="I900" t="s">
        <v>5777</v>
      </c>
      <c r="J900" t="s">
        <v>5086</v>
      </c>
      <c r="AA900" t="s">
        <v>553</v>
      </c>
      <c r="AB900" t="s">
        <v>554</v>
      </c>
      <c r="AO900" t="s">
        <v>5087</v>
      </c>
      <c r="AP900" t="s">
        <v>5088</v>
      </c>
      <c r="AT900" t="s">
        <v>198</v>
      </c>
      <c r="AU900">
        <v>2021</v>
      </c>
      <c r="AV900">
        <v>9</v>
      </c>
      <c r="AW900">
        <v>4</v>
      </c>
      <c r="BB900">
        <v>13343</v>
      </c>
      <c r="BC900">
        <v>13348</v>
      </c>
      <c r="BE900" t="s">
        <v>5778</v>
      </c>
      <c r="BF900" t="str">
        <f>HYPERLINK("http://dx.doi.org/10.22038/IJP.2021.56526.4442","http://dx.doi.org/10.22038/IJP.2021.56526.4442")</f>
        <v>http://dx.doi.org/10.22038/IJP.2021.56526.4442</v>
      </c>
      <c r="BS900" t="s">
        <v>5779</v>
      </c>
      <c r="BT900" t="str">
        <f>HYPERLINK("https%3A%2F%2Fwww.webofscience.com%2Fwos%2Fwoscc%2Ffull-record%2FWOS:000641158200005","View Full Record in Web of Science")</f>
        <v>View Full Record in Web of Science</v>
      </c>
    </row>
    <row r="901" spans="1:72" ht="12.75" customHeight="1" x14ac:dyDescent="0.2">
      <c r="A901" t="s">
        <v>72</v>
      </c>
      <c r="B901" t="s">
        <v>5780</v>
      </c>
      <c r="F901" t="s">
        <v>5781</v>
      </c>
      <c r="I901" t="s">
        <v>5782</v>
      </c>
      <c r="J901" t="s">
        <v>5783</v>
      </c>
      <c r="AA901" t="s">
        <v>1885</v>
      </c>
      <c r="AB901" t="s">
        <v>3257</v>
      </c>
      <c r="AO901" t="s">
        <v>5784</v>
      </c>
      <c r="AP901" t="s">
        <v>5785</v>
      </c>
      <c r="AU901">
        <v>2021</v>
      </c>
      <c r="AV901">
        <v>17</v>
      </c>
      <c r="AW901">
        <v>4</v>
      </c>
      <c r="BB901">
        <v>1361</v>
      </c>
      <c r="BC901">
        <v>1375</v>
      </c>
      <c r="BE901" t="s">
        <v>5786</v>
      </c>
      <c r="BF901" t="str">
        <f>HYPERLINK("http://dx.doi.org/10.17059/ekon.reg.2021-4-22","http://dx.doi.org/10.17059/ekon.reg.2021-4-22")</f>
        <v>http://dx.doi.org/10.17059/ekon.reg.2021-4-22</v>
      </c>
      <c r="BS901" t="s">
        <v>5787</v>
      </c>
      <c r="BT901" t="str">
        <f>HYPERLINK("https%3A%2F%2Fwww.webofscience.com%2Fwos%2Fwoscc%2Ffull-record%2FWOS:000753139500022","View Full Record in Web of Science")</f>
        <v>View Full Record in Web of Science</v>
      </c>
    </row>
    <row r="902" spans="1:72" ht="12.75" customHeight="1" x14ac:dyDescent="0.2">
      <c r="A902" t="s">
        <v>147</v>
      </c>
      <c r="B902" t="s">
        <v>5788</v>
      </c>
      <c r="E902" t="s">
        <v>1465</v>
      </c>
      <c r="F902" t="s">
        <v>5789</v>
      </c>
      <c r="I902" t="s">
        <v>5790</v>
      </c>
      <c r="J902" t="s">
        <v>5791</v>
      </c>
      <c r="K902" t="s">
        <v>1469</v>
      </c>
      <c r="O902" t="s">
        <v>5792</v>
      </c>
      <c r="P902" t="s">
        <v>5793</v>
      </c>
      <c r="Q902" t="s">
        <v>5794</v>
      </c>
      <c r="AO902" t="s">
        <v>1472</v>
      </c>
      <c r="AU902">
        <v>2020</v>
      </c>
      <c r="AV902">
        <v>940</v>
      </c>
      <c r="BD902">
        <v>12053</v>
      </c>
      <c r="BE902" t="s">
        <v>5795</v>
      </c>
      <c r="BF902" t="str">
        <f>HYPERLINK("http://dx.doi.org/10.1088/1757-899X/940/1/012053","http://dx.doi.org/10.1088/1757-899X/940/1/012053")</f>
        <v>http://dx.doi.org/10.1088/1757-899X/940/1/012053</v>
      </c>
      <c r="BS902" t="s">
        <v>5796</v>
      </c>
      <c r="BT902" t="str">
        <f>HYPERLINK("https%3A%2F%2Fwww.webofscience.com%2Fwos%2Fwoscc%2Ffull-record%2FWOS:000632620800053","View Full Record in Web of Science")</f>
        <v>View Full Record in Web of Science</v>
      </c>
    </row>
    <row r="903" spans="1:72" ht="12.75" customHeight="1" x14ac:dyDescent="0.2">
      <c r="A903" t="s">
        <v>147</v>
      </c>
      <c r="B903" t="s">
        <v>5797</v>
      </c>
      <c r="D903" t="s">
        <v>5798</v>
      </c>
      <c r="F903" t="s">
        <v>5799</v>
      </c>
      <c r="I903" t="s">
        <v>5800</v>
      </c>
      <c r="J903" t="s">
        <v>5801</v>
      </c>
      <c r="K903" t="s">
        <v>1299</v>
      </c>
      <c r="O903" t="s">
        <v>5802</v>
      </c>
      <c r="P903" t="s">
        <v>5803</v>
      </c>
      <c r="Q903" t="s">
        <v>5804</v>
      </c>
      <c r="AA903" t="s">
        <v>5805</v>
      </c>
      <c r="AB903" t="s">
        <v>5806</v>
      </c>
      <c r="AO903" t="s">
        <v>1500</v>
      </c>
      <c r="AP903" t="s">
        <v>1304</v>
      </c>
      <c r="AQ903" t="s">
        <v>5807</v>
      </c>
      <c r="AU903">
        <v>2014</v>
      </c>
      <c r="AV903">
        <v>8643</v>
      </c>
      <c r="BB903">
        <v>219</v>
      </c>
      <c r="BC903">
        <v>230</v>
      </c>
      <c r="BE903" t="s">
        <v>5808</v>
      </c>
      <c r="BF903" t="str">
        <f>HYPERLINK("http://dx.doi.org/10.1007/978-3-319-13186-3_21","http://dx.doi.org/10.1007/978-3-319-13186-3_21")</f>
        <v>http://dx.doi.org/10.1007/978-3-319-13186-3_21</v>
      </c>
      <c r="BS903" t="s">
        <v>5809</v>
      </c>
      <c r="BT903" t="str">
        <f>HYPERLINK("https%3A%2F%2Fwww.webofscience.com%2Fwos%2Fwoscc%2Ffull-record%2FWOS:000354705300021","View Full Record in Web of Science")</f>
        <v>View Full Record in Web of Science</v>
      </c>
    </row>
    <row r="904" spans="1:72" ht="12.75" customHeight="1" x14ac:dyDescent="0.2">
      <c r="A904" t="s">
        <v>72</v>
      </c>
      <c r="B904" t="s">
        <v>5810</v>
      </c>
      <c r="F904" t="s">
        <v>5811</v>
      </c>
      <c r="I904" t="s">
        <v>5812</v>
      </c>
      <c r="J904" t="s">
        <v>5813</v>
      </c>
      <c r="AO904" t="s">
        <v>5814</v>
      </c>
      <c r="AP904" t="s">
        <v>5815</v>
      </c>
      <c r="AT904" t="s">
        <v>655</v>
      </c>
      <c r="AU904">
        <v>2023</v>
      </c>
      <c r="AV904">
        <v>67</v>
      </c>
      <c r="AW904">
        <v>2</v>
      </c>
      <c r="BB904">
        <v>23</v>
      </c>
      <c r="BC904">
        <v>31</v>
      </c>
      <c r="BE904" t="s">
        <v>5816</v>
      </c>
      <c r="BF904" t="str">
        <f>HYPERLINK("http://dx.doi.org/10.3103/S1066369X2302007X","http://dx.doi.org/10.3103/S1066369X2302007X")</f>
        <v>http://dx.doi.org/10.3103/S1066369X2302007X</v>
      </c>
      <c r="BS904" t="s">
        <v>5817</v>
      </c>
      <c r="BT904" t="str">
        <f>HYPERLINK("https%3A%2F%2Fwww.webofscience.com%2Fwos%2Fwoscc%2Ffull-record%2FWOS:000998928200002","View Full Record in Web of Science")</f>
        <v>View Full Record in Web of Science</v>
      </c>
    </row>
    <row r="905" spans="1:72" ht="12.75" customHeight="1" x14ac:dyDescent="0.2">
      <c r="A905" t="s">
        <v>72</v>
      </c>
      <c r="B905" t="s">
        <v>4873</v>
      </c>
      <c r="F905" t="s">
        <v>4874</v>
      </c>
      <c r="I905" t="s">
        <v>5818</v>
      </c>
      <c r="J905" t="s">
        <v>4849</v>
      </c>
      <c r="AA905" t="s">
        <v>4850</v>
      </c>
      <c r="AB905" t="s">
        <v>5314</v>
      </c>
      <c r="AO905" t="s">
        <v>4852</v>
      </c>
      <c r="AP905" t="s">
        <v>4853</v>
      </c>
      <c r="AT905" t="s">
        <v>655</v>
      </c>
      <c r="AU905">
        <v>2023</v>
      </c>
      <c r="AV905">
        <v>101</v>
      </c>
      <c r="AW905">
        <v>2</v>
      </c>
      <c r="BB905">
        <v>171</v>
      </c>
      <c r="BC905">
        <v>172</v>
      </c>
      <c r="BE905" t="s">
        <v>5819</v>
      </c>
      <c r="BF905" t="str">
        <f>HYPERLINK("http://dx.doi.org/10.1111/tan.14838","http://dx.doi.org/10.1111/tan.14838")</f>
        <v>http://dx.doi.org/10.1111/tan.14838</v>
      </c>
      <c r="BH905" t="s">
        <v>5062</v>
      </c>
      <c r="BN905">
        <v>36181406</v>
      </c>
      <c r="BS905" t="s">
        <v>5820</v>
      </c>
      <c r="BT905" t="str">
        <f>HYPERLINK("https%3A%2F%2Fwww.webofscience.com%2Fwos%2Fwoscc%2Ffull-record%2FWOS:000865644000001","View Full Record in Web of Science")</f>
        <v>View Full Record in Web of Science</v>
      </c>
    </row>
    <row r="906" spans="1:72" ht="12.75" customHeight="1" x14ac:dyDescent="0.2">
      <c r="A906" t="s">
        <v>72</v>
      </c>
      <c r="B906" t="s">
        <v>5821</v>
      </c>
      <c r="F906" t="s">
        <v>5822</v>
      </c>
      <c r="I906" t="s">
        <v>5823</v>
      </c>
      <c r="J906" t="s">
        <v>614</v>
      </c>
      <c r="AA906" t="s">
        <v>5824</v>
      </c>
      <c r="AB906" t="s">
        <v>5825</v>
      </c>
      <c r="AO906" t="s">
        <v>617</v>
      </c>
      <c r="AP906" t="s">
        <v>1720</v>
      </c>
      <c r="AT906" t="s">
        <v>830</v>
      </c>
      <c r="AU906">
        <v>2021</v>
      </c>
      <c r="AV906">
        <v>57</v>
      </c>
      <c r="AW906">
        <v>9</v>
      </c>
      <c r="BB906">
        <v>938</v>
      </c>
      <c r="BC906">
        <v>948</v>
      </c>
      <c r="BE906" t="s">
        <v>5826</v>
      </c>
      <c r="BF906" t="str">
        <f>HYPERLINK("http://dx.doi.org/10.1134/S1023193521090056","http://dx.doi.org/10.1134/S1023193521090056")</f>
        <v>http://dx.doi.org/10.1134/S1023193521090056</v>
      </c>
      <c r="BS906" t="s">
        <v>5827</v>
      </c>
      <c r="BT906" t="str">
        <f>HYPERLINK("https%3A%2F%2Fwww.webofscience.com%2Fwos%2Fwoscc%2Ffull-record%2FWOS:000702661000003","View Full Record in Web of Science")</f>
        <v>View Full Record in Web of Science</v>
      </c>
    </row>
    <row r="907" spans="1:72" ht="12.75" customHeight="1" x14ac:dyDescent="0.2">
      <c r="A907" t="s">
        <v>72</v>
      </c>
      <c r="B907" t="s">
        <v>5828</v>
      </c>
      <c r="F907" t="s">
        <v>5829</v>
      </c>
      <c r="I907" t="s">
        <v>5830</v>
      </c>
      <c r="J907" t="s">
        <v>95</v>
      </c>
      <c r="AA907" t="s">
        <v>5831</v>
      </c>
      <c r="AB907" t="s">
        <v>5832</v>
      </c>
      <c r="AO907" t="s">
        <v>98</v>
      </c>
      <c r="AP907" t="s">
        <v>99</v>
      </c>
      <c r="AU907">
        <v>2021</v>
      </c>
      <c r="AW907">
        <v>2</v>
      </c>
      <c r="BB907">
        <v>115</v>
      </c>
      <c r="BC907">
        <v>121</v>
      </c>
      <c r="BE907" t="s">
        <v>5833</v>
      </c>
      <c r="BF907" t="str">
        <f>HYPERLINK("http://dx.doi.org/10.25750/1995-4301-2021-2-115-121","http://dx.doi.org/10.25750/1995-4301-2021-2-115-121")</f>
        <v>http://dx.doi.org/10.25750/1995-4301-2021-2-115-121</v>
      </c>
      <c r="BS907" t="s">
        <v>5834</v>
      </c>
      <c r="BT907" t="str">
        <f>HYPERLINK("https%3A%2F%2Fwww.webofscience.com%2Fwos%2Fwoscc%2Ffull-record%2FWOS:000667025400016","View Full Record in Web of Science")</f>
        <v>View Full Record in Web of Science</v>
      </c>
    </row>
    <row r="908" spans="1:72" ht="12.75" customHeight="1" x14ac:dyDescent="0.2">
      <c r="A908" t="s">
        <v>72</v>
      </c>
      <c r="B908" t="s">
        <v>5835</v>
      </c>
      <c r="F908" t="s">
        <v>5836</v>
      </c>
      <c r="I908" t="s">
        <v>5837</v>
      </c>
      <c r="J908" t="s">
        <v>95</v>
      </c>
      <c r="AA908" t="s">
        <v>5838</v>
      </c>
      <c r="AB908" t="s">
        <v>5839</v>
      </c>
      <c r="AO908" t="s">
        <v>98</v>
      </c>
      <c r="AP908" t="s">
        <v>99</v>
      </c>
      <c r="AU908">
        <v>2019</v>
      </c>
      <c r="AW908">
        <v>2</v>
      </c>
      <c r="BB908">
        <v>131</v>
      </c>
      <c r="BC908">
        <v>136</v>
      </c>
      <c r="BE908" t="s">
        <v>5840</v>
      </c>
      <c r="BF908" t="str">
        <f>HYPERLINK("http://dx.doi.org/10.25750/1995-4301-2019-2-131-136","http://dx.doi.org/10.25750/1995-4301-2019-2-131-136")</f>
        <v>http://dx.doi.org/10.25750/1995-4301-2019-2-131-136</v>
      </c>
      <c r="BS908" t="s">
        <v>5841</v>
      </c>
      <c r="BT908" t="str">
        <f>HYPERLINK("https%3A%2F%2Fwww.webofscience.com%2Fwos%2Fwoscc%2Ffull-record%2FWOS:000477826000016","View Full Record in Web of Science")</f>
        <v>View Full Record in Web of Science</v>
      </c>
    </row>
    <row r="909" spans="1:72" ht="12.75" customHeight="1" x14ac:dyDescent="0.2">
      <c r="A909" t="s">
        <v>147</v>
      </c>
      <c r="B909" t="s">
        <v>5842</v>
      </c>
      <c r="D909" t="s">
        <v>2500</v>
      </c>
      <c r="F909" t="s">
        <v>5843</v>
      </c>
      <c r="I909" t="s">
        <v>5844</v>
      </c>
      <c r="J909" t="s">
        <v>2503</v>
      </c>
      <c r="K909" t="s">
        <v>2504</v>
      </c>
      <c r="O909" t="s">
        <v>2505</v>
      </c>
      <c r="P909" t="s">
        <v>2506</v>
      </c>
      <c r="Q909" t="s">
        <v>2507</v>
      </c>
      <c r="R909" t="s">
        <v>2508</v>
      </c>
      <c r="AO909" t="s">
        <v>2509</v>
      </c>
      <c r="AQ909" t="s">
        <v>2510</v>
      </c>
      <c r="AU909">
        <v>2018</v>
      </c>
      <c r="AV909">
        <v>47</v>
      </c>
      <c r="BB909">
        <v>522</v>
      </c>
      <c r="BC909">
        <v>526</v>
      </c>
      <c r="BS909" t="s">
        <v>5845</v>
      </c>
      <c r="BT909" t="str">
        <f>HYPERLINK("https%3A%2F%2Fwww.webofscience.com%2Fwos%2Fwoscc%2Ffull-record%2FWOS:000679066800117","View Full Record in Web of Science")</f>
        <v>View Full Record in Web of Science</v>
      </c>
    </row>
    <row r="910" spans="1:72" ht="12.75" customHeight="1" x14ac:dyDescent="0.2">
      <c r="A910" t="s">
        <v>72</v>
      </c>
      <c r="B910" t="s">
        <v>5846</v>
      </c>
      <c r="F910" t="s">
        <v>5847</v>
      </c>
      <c r="I910" t="s">
        <v>5848</v>
      </c>
      <c r="J910" t="s">
        <v>5139</v>
      </c>
      <c r="AA910" t="s">
        <v>5849</v>
      </c>
      <c r="AB910" t="s">
        <v>5850</v>
      </c>
      <c r="AO910" t="s">
        <v>5142</v>
      </c>
      <c r="AP910" t="s">
        <v>5143</v>
      </c>
      <c r="AT910" t="s">
        <v>1173</v>
      </c>
      <c r="AU910">
        <v>2017</v>
      </c>
      <c r="AV910">
        <v>13</v>
      </c>
      <c r="AW910">
        <v>8</v>
      </c>
      <c r="BB910">
        <v>4351</v>
      </c>
      <c r="BC910">
        <v>4362</v>
      </c>
      <c r="BE910" t="s">
        <v>5851</v>
      </c>
      <c r="BF910" t="str">
        <f>HYPERLINK("http://dx.doi.org/10.12973/eurasia.2017.00931a","http://dx.doi.org/10.12973/eurasia.2017.00931a")</f>
        <v>http://dx.doi.org/10.12973/eurasia.2017.00931a</v>
      </c>
      <c r="BS910" t="s">
        <v>5852</v>
      </c>
      <c r="BT910" t="str">
        <f>HYPERLINK("https%3A%2F%2Fwww.webofscience.com%2Fwos%2Fwoscc%2Ffull-record%2FWOS:000409067500002","View Full Record in Web of Science")</f>
        <v>View Full Record in Web of Science</v>
      </c>
    </row>
    <row r="911" spans="1:72" ht="12.75" customHeight="1" x14ac:dyDescent="0.2">
      <c r="A911" t="s">
        <v>72</v>
      </c>
      <c r="B911" t="s">
        <v>5484</v>
      </c>
      <c r="F911" t="s">
        <v>5485</v>
      </c>
      <c r="I911" t="s">
        <v>5853</v>
      </c>
      <c r="J911" t="s">
        <v>5436</v>
      </c>
      <c r="AA911" t="s">
        <v>5487</v>
      </c>
      <c r="AB911" t="s">
        <v>5488</v>
      </c>
      <c r="AO911" t="s">
        <v>5439</v>
      </c>
      <c r="AP911" t="s">
        <v>5440</v>
      </c>
      <c r="AT911" t="s">
        <v>319</v>
      </c>
      <c r="AU911">
        <v>2015</v>
      </c>
      <c r="AV911">
        <v>51</v>
      </c>
      <c r="AW911">
        <v>5</v>
      </c>
      <c r="BB911">
        <v>609</v>
      </c>
      <c r="BC911">
        <v>628</v>
      </c>
      <c r="BE911" t="s">
        <v>5854</v>
      </c>
      <c r="BF911" t="str">
        <f>HYPERLINK("http://dx.doi.org/10.1007/s11029-015-9531-6","http://dx.doi.org/10.1007/s11029-015-9531-6")</f>
        <v>http://dx.doi.org/10.1007/s11029-015-9531-6</v>
      </c>
      <c r="BS911" t="s">
        <v>5855</v>
      </c>
      <c r="BT911" t="str">
        <f>HYPERLINK("https%3A%2F%2Fwww.webofscience.com%2Fwos%2Fwoscc%2Ffull-record%2FWOS:000365271200007","View Full Record in Web of Science")</f>
        <v>View Full Record in Web of Science</v>
      </c>
    </row>
    <row r="912" spans="1:72" ht="12.75" customHeight="1" x14ac:dyDescent="0.2">
      <c r="A912" t="s">
        <v>147</v>
      </c>
      <c r="B912" t="s">
        <v>5856</v>
      </c>
      <c r="E912" t="s">
        <v>210</v>
      </c>
      <c r="F912" t="s">
        <v>5857</v>
      </c>
      <c r="I912" t="s">
        <v>5858</v>
      </c>
      <c r="J912" t="s">
        <v>5859</v>
      </c>
      <c r="K912" t="s">
        <v>5860</v>
      </c>
      <c r="O912" t="s">
        <v>5861</v>
      </c>
      <c r="P912" t="s">
        <v>5862</v>
      </c>
      <c r="Q912" t="s">
        <v>5863</v>
      </c>
      <c r="R912" t="s">
        <v>5864</v>
      </c>
      <c r="AA912" t="s">
        <v>5805</v>
      </c>
      <c r="AB912" t="s">
        <v>5806</v>
      </c>
      <c r="AO912" t="s">
        <v>5865</v>
      </c>
      <c r="AQ912" t="s">
        <v>5866</v>
      </c>
      <c r="AU912">
        <v>2015</v>
      </c>
      <c r="BB912">
        <v>26</v>
      </c>
      <c r="BC912">
        <v>33</v>
      </c>
      <c r="BE912" t="s">
        <v>5867</v>
      </c>
      <c r="BF912" t="str">
        <f>HYPERLINK("http://dx.doi.org/10.1109/ISKE.2015.28","http://dx.doi.org/10.1109/ISKE.2015.28")</f>
        <v>http://dx.doi.org/10.1109/ISKE.2015.28</v>
      </c>
      <c r="BS912" t="s">
        <v>5868</v>
      </c>
      <c r="BT912" t="str">
        <f>HYPERLINK("https%3A%2F%2Fwww.webofscience.com%2Fwos%2Fwoscc%2Ffull-record%2FWOS:000380396100006","View Full Record in Web of Science")</f>
        <v>View Full Record in Web of Science</v>
      </c>
    </row>
    <row r="913" spans="1:72" ht="12.75" customHeight="1" x14ac:dyDescent="0.2">
      <c r="A913" t="s">
        <v>72</v>
      </c>
      <c r="B913" t="s">
        <v>5690</v>
      </c>
      <c r="F913" t="s">
        <v>5690</v>
      </c>
      <c r="I913" t="s">
        <v>5869</v>
      </c>
      <c r="J913" t="s">
        <v>1905</v>
      </c>
      <c r="O913" t="s">
        <v>5870</v>
      </c>
      <c r="P913" t="s">
        <v>5871</v>
      </c>
      <c r="Q913" t="s">
        <v>2563</v>
      </c>
      <c r="R913" t="s">
        <v>2705</v>
      </c>
      <c r="AA913" t="s">
        <v>489</v>
      </c>
      <c r="AB913" t="s">
        <v>490</v>
      </c>
      <c r="AO913" t="s">
        <v>1906</v>
      </c>
      <c r="AT913" t="s">
        <v>78</v>
      </c>
      <c r="AU913">
        <v>2005</v>
      </c>
      <c r="AV913">
        <v>31</v>
      </c>
      <c r="AW913">
        <v>3</v>
      </c>
      <c r="BB913">
        <v>346</v>
      </c>
      <c r="BC913">
        <v>351</v>
      </c>
      <c r="BE913" t="s">
        <v>5872</v>
      </c>
      <c r="BF913" t="str">
        <f>HYPERLINK("http://dx.doi.org/10.1007/s10720-005-0067-z","http://dx.doi.org/10.1007/s10720-005-0067-z")</f>
        <v>http://dx.doi.org/10.1007/s10720-005-0067-z</v>
      </c>
      <c r="BS913" t="s">
        <v>5873</v>
      </c>
      <c r="BT913" t="str">
        <f>HYPERLINK("https%3A%2F%2Fwww.webofscience.com%2Fwos%2Fwoscc%2Ffull-record%2FWOS:000230552700013","View Full Record in Web of Science")</f>
        <v>View Full Record in Web of Science</v>
      </c>
    </row>
    <row r="914" spans="1:72" ht="12.75" customHeight="1" x14ac:dyDescent="0.2">
      <c r="A914" t="s">
        <v>72</v>
      </c>
      <c r="B914" t="s">
        <v>5874</v>
      </c>
      <c r="F914" t="s">
        <v>5874</v>
      </c>
      <c r="I914" t="s">
        <v>5875</v>
      </c>
      <c r="J914" t="s">
        <v>614</v>
      </c>
      <c r="O914" t="s">
        <v>5261</v>
      </c>
      <c r="P914" t="s">
        <v>5262</v>
      </c>
      <c r="Q914" t="s">
        <v>5263</v>
      </c>
      <c r="S914" t="s">
        <v>2862</v>
      </c>
      <c r="AO914" t="s">
        <v>617</v>
      </c>
      <c r="AP914" t="s">
        <v>1720</v>
      </c>
      <c r="AT914" t="s">
        <v>88</v>
      </c>
      <c r="AU914">
        <v>2005</v>
      </c>
      <c r="AV914">
        <v>41</v>
      </c>
      <c r="AW914">
        <v>5</v>
      </c>
      <c r="BB914">
        <v>540</v>
      </c>
      <c r="BC914">
        <v>543</v>
      </c>
      <c r="BE914" t="s">
        <v>5876</v>
      </c>
      <c r="BF914" t="str">
        <f>HYPERLINK("http://dx.doi.org/10.1007/s11175-005-0102-3","http://dx.doi.org/10.1007/s11175-005-0102-3")</f>
        <v>http://dx.doi.org/10.1007/s11175-005-0102-3</v>
      </c>
      <c r="BS914" t="s">
        <v>5877</v>
      </c>
      <c r="BT914" t="str">
        <f>HYPERLINK("https%3A%2F%2Fwww.webofscience.com%2Fwos%2Fwoscc%2Ffull-record%2FWOS:000229725000015","View Full Record in Web of Science")</f>
        <v>View Full Record in Web of Science</v>
      </c>
    </row>
    <row r="915" spans="1:72" ht="12.75" customHeight="1" x14ac:dyDescent="0.2">
      <c r="A915" t="s">
        <v>72</v>
      </c>
      <c r="B915" t="s">
        <v>5878</v>
      </c>
      <c r="F915" t="s">
        <v>5879</v>
      </c>
      <c r="I915" t="s">
        <v>5880</v>
      </c>
      <c r="J915" t="s">
        <v>166</v>
      </c>
      <c r="AA915" t="s">
        <v>5881</v>
      </c>
      <c r="AB915" t="s">
        <v>5882</v>
      </c>
      <c r="AO915" t="s">
        <v>169</v>
      </c>
      <c r="AP915" t="s">
        <v>170</v>
      </c>
      <c r="AT915" t="s">
        <v>171</v>
      </c>
      <c r="AU915">
        <v>2023</v>
      </c>
      <c r="AV915">
        <v>12</v>
      </c>
      <c r="AW915">
        <v>1</v>
      </c>
      <c r="BB915">
        <v>173</v>
      </c>
      <c r="BC915">
        <v>187</v>
      </c>
      <c r="BE915" t="s">
        <v>5883</v>
      </c>
      <c r="BF915" t="str">
        <f>HYPERLINK("http://dx.doi.org/10.13187/ejced.2023.1.173","http://dx.doi.org/10.13187/ejced.2023.1.173")</f>
        <v>http://dx.doi.org/10.13187/ejced.2023.1.173</v>
      </c>
      <c r="BS915" t="s">
        <v>5884</v>
      </c>
      <c r="BT915" t="str">
        <f>HYPERLINK("https%3A%2F%2Fwww.webofscience.com%2Fwos%2Fwoscc%2Ffull-record%2FWOS:000961369300014","View Full Record in Web of Science")</f>
        <v>View Full Record in Web of Science</v>
      </c>
    </row>
    <row r="916" spans="1:72" ht="12.75" customHeight="1" x14ac:dyDescent="0.2">
      <c r="A916" t="s">
        <v>72</v>
      </c>
      <c r="B916" t="s">
        <v>5885</v>
      </c>
      <c r="F916" t="s">
        <v>5886</v>
      </c>
      <c r="I916" t="s">
        <v>5887</v>
      </c>
      <c r="J916" t="s">
        <v>95</v>
      </c>
      <c r="AB916" t="s">
        <v>5888</v>
      </c>
      <c r="AO916" t="s">
        <v>98</v>
      </c>
      <c r="AP916" t="s">
        <v>99</v>
      </c>
      <c r="AU916">
        <v>2020</v>
      </c>
      <c r="AW916">
        <v>4</v>
      </c>
      <c r="BB916">
        <v>35</v>
      </c>
      <c r="BC916">
        <v>42</v>
      </c>
      <c r="BE916" t="s">
        <v>5889</v>
      </c>
      <c r="BF916" t="str">
        <f>HYPERLINK("http://dx.doi.org/10.25750/1995-4301-2020-4-035-042","http://dx.doi.org/10.25750/1995-4301-2020-4-035-042")</f>
        <v>http://dx.doi.org/10.25750/1995-4301-2020-4-035-042</v>
      </c>
      <c r="BS916" t="s">
        <v>5890</v>
      </c>
      <c r="BT916" t="str">
        <f>HYPERLINK("https%3A%2F%2Fwww.webofscience.com%2Fwos%2Fwoscc%2Ffull-record%2FWOS:000597810500005","View Full Record in Web of Science")</f>
        <v>View Full Record in Web of Science</v>
      </c>
    </row>
    <row r="917" spans="1:72" ht="12.75" customHeight="1" x14ac:dyDescent="0.2">
      <c r="A917" t="s">
        <v>147</v>
      </c>
      <c r="B917" t="s">
        <v>5891</v>
      </c>
      <c r="D917" t="s">
        <v>5892</v>
      </c>
      <c r="F917" t="s">
        <v>5893</v>
      </c>
      <c r="I917" t="s">
        <v>5894</v>
      </c>
      <c r="J917" t="s">
        <v>5895</v>
      </c>
      <c r="K917" t="s">
        <v>2504</v>
      </c>
      <c r="O917" t="s">
        <v>5896</v>
      </c>
      <c r="P917" t="s">
        <v>5897</v>
      </c>
      <c r="Q917" t="s">
        <v>226</v>
      </c>
      <c r="S917" t="s">
        <v>227</v>
      </c>
      <c r="AA917" t="s">
        <v>5898</v>
      </c>
      <c r="AB917" t="s">
        <v>5899</v>
      </c>
      <c r="AO917" t="s">
        <v>2509</v>
      </c>
      <c r="AQ917" t="s">
        <v>5900</v>
      </c>
      <c r="AU917">
        <v>2017</v>
      </c>
      <c r="AV917">
        <v>38</v>
      </c>
      <c r="BB917">
        <v>34</v>
      </c>
      <c r="BC917">
        <v>39</v>
      </c>
      <c r="BS917" t="s">
        <v>5901</v>
      </c>
      <c r="BT917" t="str">
        <f>HYPERLINK("https%3A%2F%2Fwww.webofscience.com%2Fwos%2Fwoscc%2Ffull-record%2FWOS:000416099600006","View Full Record in Web of Science")</f>
        <v>View Full Record in Web of Science</v>
      </c>
    </row>
    <row r="918" spans="1:72" ht="12.75" customHeight="1" x14ac:dyDescent="0.2">
      <c r="A918" t="s">
        <v>147</v>
      </c>
      <c r="B918" t="s">
        <v>5902</v>
      </c>
      <c r="D918" t="s">
        <v>903</v>
      </c>
      <c r="F918" t="s">
        <v>5903</v>
      </c>
      <c r="I918" t="s">
        <v>5904</v>
      </c>
      <c r="J918" t="s">
        <v>906</v>
      </c>
      <c r="K918" t="s">
        <v>907</v>
      </c>
      <c r="O918" t="s">
        <v>908</v>
      </c>
      <c r="P918" t="s">
        <v>909</v>
      </c>
      <c r="Q918" t="s">
        <v>910</v>
      </c>
      <c r="R918" t="s">
        <v>911</v>
      </c>
      <c r="AO918" t="s">
        <v>912</v>
      </c>
      <c r="AU918">
        <v>2017</v>
      </c>
      <c r="AV918">
        <v>206</v>
      </c>
      <c r="BB918">
        <v>373</v>
      </c>
      <c r="BC918">
        <v>379</v>
      </c>
      <c r="BE918" t="s">
        <v>5905</v>
      </c>
      <c r="BF918" t="str">
        <f>HYPERLINK("http://dx.doi.org/10.1016/j.proeng.2017.10.488","http://dx.doi.org/10.1016/j.proeng.2017.10.488")</f>
        <v>http://dx.doi.org/10.1016/j.proeng.2017.10.488</v>
      </c>
      <c r="BS918" t="s">
        <v>5906</v>
      </c>
      <c r="BT918" t="str">
        <f>HYPERLINK("https%3A%2F%2Fwww.webofscience.com%2Fwos%2Fwoscc%2Ffull-record%2FWOS:000425674300061","View Full Record in Web of Science")</f>
        <v>View Full Record in Web of Science</v>
      </c>
    </row>
    <row r="919" spans="1:72" ht="12.75" customHeight="1" x14ac:dyDescent="0.2">
      <c r="A919" t="s">
        <v>72</v>
      </c>
      <c r="B919" t="s">
        <v>5907</v>
      </c>
      <c r="F919" t="s">
        <v>5908</v>
      </c>
      <c r="I919" t="s">
        <v>5909</v>
      </c>
      <c r="J919" t="s">
        <v>3310</v>
      </c>
      <c r="AA919" t="s">
        <v>5910</v>
      </c>
      <c r="AB919" t="s">
        <v>5911</v>
      </c>
      <c r="AO919" t="s">
        <v>3313</v>
      </c>
      <c r="AT919" t="s">
        <v>2803</v>
      </c>
      <c r="AU919">
        <v>2015</v>
      </c>
      <c r="AV919">
        <v>36</v>
      </c>
      <c r="AW919">
        <v>2</v>
      </c>
      <c r="BB919">
        <v>132</v>
      </c>
      <c r="BC919">
        <v>134</v>
      </c>
      <c r="BS919" t="s">
        <v>5912</v>
      </c>
      <c r="BT919" t="str">
        <f>HYPERLINK("https%3A%2F%2Fwww.webofscience.com%2Fwos%2Fwoscc%2Ffull-record%2FWOS:000357702500014","View Full Record in Web of Science")</f>
        <v>View Full Record in Web of Science</v>
      </c>
    </row>
    <row r="920" spans="1:72" ht="12.75" customHeight="1" x14ac:dyDescent="0.2">
      <c r="A920" t="s">
        <v>72</v>
      </c>
      <c r="B920" t="s">
        <v>5913</v>
      </c>
      <c r="F920" t="s">
        <v>5914</v>
      </c>
      <c r="I920" t="s">
        <v>5915</v>
      </c>
      <c r="J920" t="s">
        <v>3233</v>
      </c>
      <c r="AO920" t="s">
        <v>3236</v>
      </c>
      <c r="AP920" t="s">
        <v>3237</v>
      </c>
      <c r="AU920">
        <v>2021</v>
      </c>
      <c r="AW920">
        <v>53</v>
      </c>
      <c r="BB920">
        <v>217</v>
      </c>
      <c r="BC920">
        <v>237</v>
      </c>
      <c r="BE920" t="s">
        <v>5916</v>
      </c>
      <c r="BF920" t="str">
        <f>HYPERLINK("http://dx.doi.org/10.17223/19996195/53/14","http://dx.doi.org/10.17223/19996195/53/14")</f>
        <v>http://dx.doi.org/10.17223/19996195/53/14</v>
      </c>
      <c r="BS920" t="s">
        <v>5917</v>
      </c>
      <c r="BT920" t="str">
        <f>HYPERLINK("https%3A%2F%2Fwww.webofscience.com%2Fwos%2Fwoscc%2Ffull-record%2FWOS:000654299500014","View Full Record in Web of Science")</f>
        <v>View Full Record in Web of Science</v>
      </c>
    </row>
    <row r="921" spans="1:72" ht="12.75" customHeight="1" x14ac:dyDescent="0.2">
      <c r="A921" t="s">
        <v>72</v>
      </c>
      <c r="B921" t="s">
        <v>5918</v>
      </c>
      <c r="F921" t="s">
        <v>5919</v>
      </c>
      <c r="I921" t="s">
        <v>5920</v>
      </c>
      <c r="J921" t="s">
        <v>614</v>
      </c>
      <c r="AA921" t="s">
        <v>5921</v>
      </c>
      <c r="AB921" t="s">
        <v>5922</v>
      </c>
      <c r="AO921" t="s">
        <v>617</v>
      </c>
      <c r="AP921" t="s">
        <v>1720</v>
      </c>
      <c r="AT921" t="s">
        <v>1173</v>
      </c>
      <c r="AU921">
        <v>2017</v>
      </c>
      <c r="AV921">
        <v>53</v>
      </c>
      <c r="AW921">
        <v>8</v>
      </c>
      <c r="BB921">
        <v>799</v>
      </c>
      <c r="BC921">
        <v>807</v>
      </c>
      <c r="BE921" t="s">
        <v>5923</v>
      </c>
      <c r="BF921" t="str">
        <f>HYPERLINK("http://dx.doi.org/10.1134/S102319351708002X","http://dx.doi.org/10.1134/S102319351708002X")</f>
        <v>http://dx.doi.org/10.1134/S102319351708002X</v>
      </c>
      <c r="BS921" t="s">
        <v>5924</v>
      </c>
      <c r="BT921" t="str">
        <f>HYPERLINK("https%3A%2F%2Fwww.webofscience.com%2Fwos%2Fwoscc%2Ffull-record%2FWOS:000409010200001","View Full Record in Web of Science")</f>
        <v>View Full Record in Web of Science</v>
      </c>
    </row>
    <row r="922" spans="1:72" ht="12.75" customHeight="1" x14ac:dyDescent="0.2">
      <c r="A922" t="s">
        <v>147</v>
      </c>
      <c r="B922" t="s">
        <v>5925</v>
      </c>
      <c r="D922" t="s">
        <v>1876</v>
      </c>
      <c r="F922" t="s">
        <v>5926</v>
      </c>
      <c r="I922" t="s">
        <v>5927</v>
      </c>
      <c r="J922" t="s">
        <v>1879</v>
      </c>
      <c r="K922" t="s">
        <v>1276</v>
      </c>
      <c r="O922" t="s">
        <v>1880</v>
      </c>
      <c r="P922" t="s">
        <v>1881</v>
      </c>
      <c r="Q922" t="s">
        <v>1882</v>
      </c>
      <c r="R922" t="s">
        <v>1883</v>
      </c>
      <c r="S922" t="s">
        <v>1884</v>
      </c>
      <c r="AA922" t="s">
        <v>5928</v>
      </c>
      <c r="AB922" t="s">
        <v>5929</v>
      </c>
      <c r="AO922" t="s">
        <v>1282</v>
      </c>
      <c r="AU922">
        <v>2017</v>
      </c>
      <c r="AV922">
        <v>106</v>
      </c>
      <c r="BD922">
        <v>8079</v>
      </c>
      <c r="BE922" t="s">
        <v>5930</v>
      </c>
      <c r="BF922" t="str">
        <f>HYPERLINK("http://dx.doi.org/10.1051/matecconf/201710608079","http://dx.doi.org/10.1051/matecconf/201710608079")</f>
        <v>http://dx.doi.org/10.1051/matecconf/201710608079</v>
      </c>
      <c r="BS922" t="s">
        <v>5931</v>
      </c>
      <c r="BT922" t="str">
        <f>HYPERLINK("https%3A%2F%2Fwww.webofscience.com%2Fwos%2Fwoscc%2Ffull-record%2FWOS:000426426600264","View Full Record in Web of Science")</f>
        <v>View Full Record in Web of Science</v>
      </c>
    </row>
    <row r="923" spans="1:72" ht="12.75" customHeight="1" x14ac:dyDescent="0.2">
      <c r="A923" t="s">
        <v>72</v>
      </c>
      <c r="B923" t="s">
        <v>5932</v>
      </c>
      <c r="F923" t="s">
        <v>5933</v>
      </c>
      <c r="I923" t="s">
        <v>5934</v>
      </c>
      <c r="J923" t="s">
        <v>5935</v>
      </c>
      <c r="AA923" t="s">
        <v>5936</v>
      </c>
      <c r="AB923" t="s">
        <v>5937</v>
      </c>
      <c r="AO923" t="s">
        <v>5938</v>
      </c>
      <c r="AP923" t="s">
        <v>5939</v>
      </c>
      <c r="AT923" t="s">
        <v>125</v>
      </c>
      <c r="AU923">
        <v>2016</v>
      </c>
      <c r="AV923">
        <v>27</v>
      </c>
      <c r="AW923">
        <v>3</v>
      </c>
      <c r="AZ923" t="s">
        <v>339</v>
      </c>
      <c r="BB923">
        <v>719</v>
      </c>
      <c r="BC923">
        <v>742</v>
      </c>
      <c r="BE923" t="s">
        <v>5940</v>
      </c>
      <c r="BF923" t="str">
        <f>HYPERLINK("http://dx.doi.org/10.1007/s11045-016-0394-3","http://dx.doi.org/10.1007/s11045-016-0394-3")</f>
        <v>http://dx.doi.org/10.1007/s11045-016-0394-3</v>
      </c>
      <c r="BS923" t="s">
        <v>5941</v>
      </c>
      <c r="BT923" t="str">
        <f>HYPERLINK("https%3A%2F%2Fwww.webofscience.com%2Fwos%2Fwoscc%2Ffull-record%2FWOS:000374691700006","View Full Record in Web of Science")</f>
        <v>View Full Record in Web of Science</v>
      </c>
    </row>
    <row r="924" spans="1:72" ht="12.75" customHeight="1" x14ac:dyDescent="0.2">
      <c r="A924" t="s">
        <v>147</v>
      </c>
      <c r="B924" t="s">
        <v>5942</v>
      </c>
      <c r="E924" t="s">
        <v>210</v>
      </c>
      <c r="F924" t="s">
        <v>5943</v>
      </c>
      <c r="I924" t="s">
        <v>5944</v>
      </c>
      <c r="J924" t="s">
        <v>464</v>
      </c>
      <c r="K924" t="s">
        <v>465</v>
      </c>
      <c r="O924" t="s">
        <v>466</v>
      </c>
      <c r="P924" t="s">
        <v>467</v>
      </c>
      <c r="Q924" t="s">
        <v>468</v>
      </c>
      <c r="R924" t="s">
        <v>469</v>
      </c>
      <c r="AA924" t="s">
        <v>5945</v>
      </c>
      <c r="AB924" t="s">
        <v>5946</v>
      </c>
      <c r="AO924" t="s">
        <v>470</v>
      </c>
      <c r="AP924" t="s">
        <v>471</v>
      </c>
      <c r="AQ924" t="s">
        <v>472</v>
      </c>
      <c r="AU924">
        <v>2015</v>
      </c>
      <c r="BB924">
        <v>373</v>
      </c>
      <c r="BC924">
        <v>376</v>
      </c>
      <c r="BS924" t="s">
        <v>5947</v>
      </c>
      <c r="BT924" t="str">
        <f>HYPERLINK("https%3A%2F%2Fwww.webofscience.com%2Fwos%2Fwoscc%2Ffull-record%2FWOS:000380404000079","View Full Record in Web of Science")</f>
        <v>View Full Record in Web of Science</v>
      </c>
    </row>
    <row r="925" spans="1:72" ht="12.75" customHeight="1" x14ac:dyDescent="0.2">
      <c r="A925" t="s">
        <v>72</v>
      </c>
      <c r="B925" t="s">
        <v>5948</v>
      </c>
      <c r="F925" t="s">
        <v>5949</v>
      </c>
      <c r="I925" t="s">
        <v>5950</v>
      </c>
      <c r="J925" t="s">
        <v>614</v>
      </c>
      <c r="AA925" t="s">
        <v>489</v>
      </c>
      <c r="AB925" t="s">
        <v>490</v>
      </c>
      <c r="AO925" t="s">
        <v>617</v>
      </c>
      <c r="AP925" t="s">
        <v>1720</v>
      </c>
      <c r="AT925" t="s">
        <v>1173</v>
      </c>
      <c r="AU925">
        <v>2013</v>
      </c>
      <c r="AV925">
        <v>49</v>
      </c>
      <c r="AW925">
        <v>8</v>
      </c>
      <c r="BB925">
        <v>776</v>
      </c>
      <c r="BC925">
        <v>782</v>
      </c>
      <c r="BE925" t="s">
        <v>5951</v>
      </c>
      <c r="BF925" t="str">
        <f>HYPERLINK("http://dx.doi.org/10.1134/S1023193513080132","http://dx.doi.org/10.1134/S1023193513080132")</f>
        <v>http://dx.doi.org/10.1134/S1023193513080132</v>
      </c>
      <c r="BS925" t="s">
        <v>5952</v>
      </c>
      <c r="BT925" t="str">
        <f>HYPERLINK("https%3A%2F%2Fwww.webofscience.com%2Fwos%2Fwoscc%2Ffull-record%2FWOS:000323258500008","View Full Record in Web of Science")</f>
        <v>View Full Record in Web of Science</v>
      </c>
    </row>
    <row r="926" spans="1:72" ht="12.75" customHeight="1" x14ac:dyDescent="0.2">
      <c r="A926" t="s">
        <v>72</v>
      </c>
      <c r="B926" t="s">
        <v>4873</v>
      </c>
      <c r="F926" t="s">
        <v>4874</v>
      </c>
      <c r="I926" t="s">
        <v>5953</v>
      </c>
      <c r="J926" t="s">
        <v>4849</v>
      </c>
      <c r="AA926" t="s">
        <v>4850</v>
      </c>
      <c r="AB926" t="s">
        <v>4851</v>
      </c>
      <c r="AO926" t="s">
        <v>4852</v>
      </c>
      <c r="AP926" t="s">
        <v>4853</v>
      </c>
      <c r="AT926" t="s">
        <v>125</v>
      </c>
      <c r="AU926">
        <v>2023</v>
      </c>
      <c r="AV926">
        <v>102</v>
      </c>
      <c r="AW926">
        <v>1</v>
      </c>
      <c r="BB926">
        <v>75</v>
      </c>
      <c r="BC926">
        <v>77</v>
      </c>
      <c r="BE926" t="s">
        <v>5954</v>
      </c>
      <c r="BF926" t="str">
        <f>HYPERLINK("http://dx.doi.org/10.1111/tan.15042","http://dx.doi.org/10.1111/tan.15042")</f>
        <v>http://dx.doi.org/10.1111/tan.15042</v>
      </c>
      <c r="BH926" t="s">
        <v>5539</v>
      </c>
      <c r="BN926">
        <v>36951653</v>
      </c>
      <c r="BS926" t="s">
        <v>5955</v>
      </c>
      <c r="BT926" t="str">
        <f>HYPERLINK("https%3A%2F%2Fwww.webofscience.com%2Fwos%2Fwoscc%2Ffull-record%2FWOS:000955626700001","View Full Record in Web of Science")</f>
        <v>View Full Record in Web of Science</v>
      </c>
    </row>
    <row r="927" spans="1:72" ht="12.75" customHeight="1" x14ac:dyDescent="0.2">
      <c r="A927" t="s">
        <v>72</v>
      </c>
      <c r="B927" t="s">
        <v>5347</v>
      </c>
      <c r="F927" t="s">
        <v>5956</v>
      </c>
      <c r="I927" t="s">
        <v>5957</v>
      </c>
      <c r="J927" t="s">
        <v>989</v>
      </c>
      <c r="AA927" t="s">
        <v>5374</v>
      </c>
      <c r="AO927" t="s">
        <v>992</v>
      </c>
      <c r="AP927" t="s">
        <v>993</v>
      </c>
      <c r="AT927" t="s">
        <v>198</v>
      </c>
      <c r="AU927">
        <v>2022</v>
      </c>
      <c r="AV927">
        <v>111</v>
      </c>
      <c r="AW927" t="s">
        <v>1639</v>
      </c>
      <c r="BB927">
        <v>331</v>
      </c>
      <c r="BC927">
        <v>342</v>
      </c>
      <c r="BE927" t="s">
        <v>5958</v>
      </c>
      <c r="BF927" t="str">
        <f>HYPERLINK("http://dx.doi.org/10.1134/S0001434622030014","http://dx.doi.org/10.1134/S0001434622030014")</f>
        <v>http://dx.doi.org/10.1134/S0001434622030014</v>
      </c>
      <c r="BS927" t="s">
        <v>5959</v>
      </c>
      <c r="BT927" t="str">
        <f>HYPERLINK("https%3A%2F%2Fwww.webofscience.com%2Fwos%2Fwoscc%2Ffull-record%2FWOS:000787851100001","View Full Record in Web of Science")</f>
        <v>View Full Record in Web of Science</v>
      </c>
    </row>
    <row r="928" spans="1:72" ht="12.75" customHeight="1" x14ac:dyDescent="0.2">
      <c r="A928" t="s">
        <v>72</v>
      </c>
      <c r="B928" t="s">
        <v>5960</v>
      </c>
      <c r="F928" t="s">
        <v>5961</v>
      </c>
      <c r="I928" t="s">
        <v>5962</v>
      </c>
      <c r="J928" t="s">
        <v>5963</v>
      </c>
      <c r="AA928" t="s">
        <v>5964</v>
      </c>
      <c r="AB928" t="s">
        <v>5965</v>
      </c>
      <c r="AO928" t="s">
        <v>5966</v>
      </c>
      <c r="AP928" t="s">
        <v>5967</v>
      </c>
      <c r="AT928" t="s">
        <v>88</v>
      </c>
      <c r="AU928">
        <v>2021</v>
      </c>
      <c r="AV928">
        <v>14</v>
      </c>
      <c r="AW928">
        <v>2</v>
      </c>
      <c r="BB928">
        <v>64</v>
      </c>
      <c r="BC928">
        <v>69</v>
      </c>
      <c r="BE928" t="s">
        <v>5968</v>
      </c>
      <c r="BF928" t="str">
        <f>HYPERLINK("http://dx.doi.org/10.14529/mmp210206","http://dx.doi.org/10.14529/mmp210206")</f>
        <v>http://dx.doi.org/10.14529/mmp210206</v>
      </c>
      <c r="BS928" t="s">
        <v>5969</v>
      </c>
      <c r="BT928" t="str">
        <f>HYPERLINK("https%3A%2F%2Fwww.webofscience.com%2Fwos%2Fwoscc%2Ffull-record%2FWOS:000657624800006","View Full Record in Web of Science")</f>
        <v>View Full Record in Web of Science</v>
      </c>
    </row>
    <row r="929" spans="1:72" ht="12.75" customHeight="1" x14ac:dyDescent="0.2">
      <c r="A929" t="s">
        <v>72</v>
      </c>
      <c r="B929" t="s">
        <v>5970</v>
      </c>
      <c r="F929" t="s">
        <v>5971</v>
      </c>
      <c r="I929" t="s">
        <v>5972</v>
      </c>
      <c r="J929" t="s">
        <v>335</v>
      </c>
      <c r="AO929" t="s">
        <v>337</v>
      </c>
      <c r="AT929" t="s">
        <v>338</v>
      </c>
      <c r="AU929">
        <v>2020</v>
      </c>
      <c r="AV929">
        <v>7</v>
      </c>
      <c r="AZ929" t="s">
        <v>339</v>
      </c>
      <c r="BB929">
        <v>603</v>
      </c>
      <c r="BC929">
        <v>615</v>
      </c>
      <c r="BS929" t="s">
        <v>5973</v>
      </c>
      <c r="BT929" t="str">
        <f>HYPERLINK("https%3A%2F%2Fwww.webofscience.com%2Fwos%2Fwoscc%2Ffull-record%2FWOS:000572971200050","View Full Record in Web of Science")</f>
        <v>View Full Record in Web of Science</v>
      </c>
    </row>
    <row r="930" spans="1:72" ht="12.75" customHeight="1" x14ac:dyDescent="0.2">
      <c r="A930" t="s">
        <v>147</v>
      </c>
      <c r="B930" t="s">
        <v>5974</v>
      </c>
      <c r="F930" t="s">
        <v>5975</v>
      </c>
      <c r="I930" t="s">
        <v>5976</v>
      </c>
      <c r="J930" t="s">
        <v>769</v>
      </c>
      <c r="O930" t="s">
        <v>5248</v>
      </c>
      <c r="P930" t="s">
        <v>5249</v>
      </c>
      <c r="Q930" t="s">
        <v>772</v>
      </c>
      <c r="AB930" t="s">
        <v>5250</v>
      </c>
      <c r="AO930" t="s">
        <v>775</v>
      </c>
      <c r="AU930">
        <v>2019</v>
      </c>
      <c r="AV930">
        <v>11</v>
      </c>
      <c r="AX930">
        <v>1</v>
      </c>
      <c r="BB930">
        <v>247</v>
      </c>
      <c r="BC930">
        <v>251</v>
      </c>
      <c r="BE930" t="s">
        <v>5977</v>
      </c>
      <c r="BF930" t="str">
        <f>HYPERLINK("http://dx.doi.org/10.1016/j.matpr.2018.12.138","http://dx.doi.org/10.1016/j.matpr.2018.12.138")</f>
        <v>http://dx.doi.org/10.1016/j.matpr.2018.12.138</v>
      </c>
      <c r="BS930" t="s">
        <v>5978</v>
      </c>
      <c r="BT930" t="str">
        <f>HYPERLINK("https%3A%2F%2Fwww.webofscience.com%2Fwos%2Fwoscc%2Ffull-record%2FWOS:000463193400042","View Full Record in Web of Science")</f>
        <v>View Full Record in Web of Science</v>
      </c>
    </row>
    <row r="931" spans="1:72" ht="12.75" customHeight="1" x14ac:dyDescent="0.2">
      <c r="A931" t="s">
        <v>147</v>
      </c>
      <c r="B931" t="s">
        <v>5979</v>
      </c>
      <c r="D931" t="s">
        <v>249</v>
      </c>
      <c r="F931" t="s">
        <v>5980</v>
      </c>
      <c r="I931" t="s">
        <v>5981</v>
      </c>
      <c r="J931" t="s">
        <v>1371</v>
      </c>
      <c r="O931" t="s">
        <v>1372</v>
      </c>
      <c r="P931" t="s">
        <v>1373</v>
      </c>
      <c r="Q931" t="s">
        <v>256</v>
      </c>
      <c r="S931" t="s">
        <v>257</v>
      </c>
      <c r="AQ931" t="s">
        <v>1374</v>
      </c>
      <c r="AU931">
        <v>2019</v>
      </c>
      <c r="BB931">
        <v>473</v>
      </c>
      <c r="BC931">
        <v>485</v>
      </c>
      <c r="BE931" t="s">
        <v>5982</v>
      </c>
      <c r="BF931" t="str">
        <f>HYPERLINK("http://dx.doi.org/10.3897/ap.1.e0448","http://dx.doi.org/10.3897/ap.1.e0448")</f>
        <v>http://dx.doi.org/10.3897/ap.1.e0448</v>
      </c>
      <c r="BS931" t="s">
        <v>5983</v>
      </c>
      <c r="BT931" t="str">
        <f>HYPERLINK("https%3A%2F%2Fwww.webofscience.com%2Fwos%2Fwoscc%2Ffull-record%2FWOS:000520005200048","View Full Record in Web of Science")</f>
        <v>View Full Record in Web of Science</v>
      </c>
    </row>
    <row r="932" spans="1:72" ht="12.75" customHeight="1" x14ac:dyDescent="0.2">
      <c r="A932" t="s">
        <v>72</v>
      </c>
      <c r="B932" t="s">
        <v>5984</v>
      </c>
      <c r="F932" t="s">
        <v>5985</v>
      </c>
      <c r="I932" t="s">
        <v>5986</v>
      </c>
      <c r="J932" t="s">
        <v>1987</v>
      </c>
      <c r="AA932" t="s">
        <v>5987</v>
      </c>
      <c r="AB932" t="s">
        <v>5988</v>
      </c>
      <c r="AO932" t="s">
        <v>1990</v>
      </c>
      <c r="AP932" t="s">
        <v>1991</v>
      </c>
      <c r="AT932" t="s">
        <v>1173</v>
      </c>
      <c r="AU932">
        <v>2018</v>
      </c>
      <c r="AV932">
        <v>54</v>
      </c>
      <c r="BB932">
        <v>59</v>
      </c>
      <c r="BC932">
        <v>66</v>
      </c>
      <c r="BE932" t="s">
        <v>5989</v>
      </c>
      <c r="BF932" t="str">
        <f>HYPERLINK("http://dx.doi.org/10.17223/19986645/54/4","http://dx.doi.org/10.17223/19986645/54/4")</f>
        <v>http://dx.doi.org/10.17223/19986645/54/4</v>
      </c>
      <c r="BS932" t="s">
        <v>5990</v>
      </c>
      <c r="BT932" t="str">
        <f>HYPERLINK("https%3A%2F%2Fwww.webofscience.com%2Fwos%2Fwoscc%2Ffull-record%2FWOS:000448064100004","View Full Record in Web of Science")</f>
        <v>View Full Record in Web of Science</v>
      </c>
    </row>
    <row r="933" spans="1:72" ht="12.75" customHeight="1" x14ac:dyDescent="0.2">
      <c r="A933" t="s">
        <v>147</v>
      </c>
      <c r="B933" t="s">
        <v>5991</v>
      </c>
      <c r="E933" t="s">
        <v>175</v>
      </c>
      <c r="F933" t="s">
        <v>5992</v>
      </c>
      <c r="I933" t="s">
        <v>5993</v>
      </c>
      <c r="J933" t="s">
        <v>223</v>
      </c>
      <c r="K933" t="s">
        <v>179</v>
      </c>
      <c r="O933" t="s">
        <v>224</v>
      </c>
      <c r="P933" t="s">
        <v>225</v>
      </c>
      <c r="Q933" t="s">
        <v>226</v>
      </c>
      <c r="S933" t="s">
        <v>227</v>
      </c>
      <c r="AA933" t="s">
        <v>5994</v>
      </c>
      <c r="AB933" t="s">
        <v>5995</v>
      </c>
      <c r="AO933" t="s">
        <v>187</v>
      </c>
      <c r="AP933" t="s">
        <v>188</v>
      </c>
      <c r="AU933">
        <v>2018</v>
      </c>
      <c r="AV933">
        <v>1015</v>
      </c>
      <c r="BD933">
        <v>32068</v>
      </c>
      <c r="BE933" t="s">
        <v>5996</v>
      </c>
      <c r="BF933" t="str">
        <f>HYPERLINK("http://dx.doi.org/10.1088/1742-6596/1015/3/032068","http://dx.doi.org/10.1088/1742-6596/1015/3/032068")</f>
        <v>http://dx.doi.org/10.1088/1742-6596/1015/3/032068</v>
      </c>
      <c r="BS933" t="s">
        <v>5997</v>
      </c>
      <c r="BT933" t="str">
        <f>HYPERLINK("https%3A%2F%2Fwww.webofscience.com%2Fwos%2Fwoscc%2Ffull-record%2FWOS:000446952000087","View Full Record in Web of Science")</f>
        <v>View Full Record in Web of Science</v>
      </c>
    </row>
    <row r="934" spans="1:72" ht="12.75" customHeight="1" x14ac:dyDescent="0.2">
      <c r="A934" t="s">
        <v>147</v>
      </c>
      <c r="B934" t="s">
        <v>5998</v>
      </c>
      <c r="D934" t="s">
        <v>1876</v>
      </c>
      <c r="F934" t="s">
        <v>5999</v>
      </c>
      <c r="I934" t="s">
        <v>6000</v>
      </c>
      <c r="J934" t="s">
        <v>1879</v>
      </c>
      <c r="K934" t="s">
        <v>1276</v>
      </c>
      <c r="O934" t="s">
        <v>1880</v>
      </c>
      <c r="P934" t="s">
        <v>1881</v>
      </c>
      <c r="Q934" t="s">
        <v>1882</v>
      </c>
      <c r="R934" t="s">
        <v>1883</v>
      </c>
      <c r="S934" t="s">
        <v>1884</v>
      </c>
      <c r="AA934" t="s">
        <v>6001</v>
      </c>
      <c r="AB934" t="s">
        <v>6002</v>
      </c>
      <c r="AO934" t="s">
        <v>1282</v>
      </c>
      <c r="AU934">
        <v>2017</v>
      </c>
      <c r="AV934">
        <v>106</v>
      </c>
      <c r="BD934">
        <v>8082</v>
      </c>
      <c r="BE934" t="s">
        <v>6003</v>
      </c>
      <c r="BF934" t="str">
        <f>HYPERLINK("http://dx.doi.org/10.1051/matecconf/201710608082","http://dx.doi.org/10.1051/matecconf/201710608082")</f>
        <v>http://dx.doi.org/10.1051/matecconf/201710608082</v>
      </c>
      <c r="BS934" t="s">
        <v>6004</v>
      </c>
      <c r="BT934" t="str">
        <f>HYPERLINK("https%3A%2F%2Fwww.webofscience.com%2Fwos%2Fwoscc%2Ffull-record%2FWOS:000426426600267","View Full Record in Web of Science")</f>
        <v>View Full Record in Web of Science</v>
      </c>
    </row>
    <row r="935" spans="1:72" ht="12.75" customHeight="1" x14ac:dyDescent="0.2">
      <c r="A935" t="s">
        <v>147</v>
      </c>
      <c r="B935" t="s">
        <v>5942</v>
      </c>
      <c r="E935" t="s">
        <v>210</v>
      </c>
      <c r="F935" t="s">
        <v>5943</v>
      </c>
      <c r="I935" t="s">
        <v>6005</v>
      </c>
      <c r="J935" t="s">
        <v>2832</v>
      </c>
      <c r="O935" t="s">
        <v>744</v>
      </c>
      <c r="P935" t="s">
        <v>2833</v>
      </c>
      <c r="Q935" t="s">
        <v>888</v>
      </c>
      <c r="R935" t="s">
        <v>2834</v>
      </c>
      <c r="AA935" t="s">
        <v>6006</v>
      </c>
      <c r="AB935" t="s">
        <v>5946</v>
      </c>
      <c r="AQ935" t="s">
        <v>2835</v>
      </c>
      <c r="AU935">
        <v>2015</v>
      </c>
      <c r="BS935" t="s">
        <v>6007</v>
      </c>
      <c r="BT935" t="str">
        <f>HYPERLINK("https%3A%2F%2Fwww.webofscience.com%2Fwos%2Fwoscc%2Ffull-record%2FWOS:000380571600028","View Full Record in Web of Science")</f>
        <v>View Full Record in Web of Science</v>
      </c>
    </row>
    <row r="936" spans="1:72" ht="12.75" customHeight="1" x14ac:dyDescent="0.2">
      <c r="A936" t="s">
        <v>72</v>
      </c>
      <c r="B936" t="s">
        <v>2998</v>
      </c>
      <c r="F936" t="s">
        <v>6008</v>
      </c>
      <c r="I936" t="s">
        <v>6009</v>
      </c>
      <c r="J936" t="s">
        <v>3618</v>
      </c>
      <c r="AA936" t="s">
        <v>1781</v>
      </c>
      <c r="AB936" t="s">
        <v>1782</v>
      </c>
      <c r="AO936" t="s">
        <v>3620</v>
      </c>
      <c r="AT936" t="s">
        <v>1173</v>
      </c>
      <c r="AU936">
        <v>2020</v>
      </c>
      <c r="AV936">
        <v>64</v>
      </c>
      <c r="AW936">
        <v>8</v>
      </c>
      <c r="BB936">
        <v>91</v>
      </c>
      <c r="BC936">
        <v>100</v>
      </c>
      <c r="BE936" t="s">
        <v>6010</v>
      </c>
      <c r="BF936" t="str">
        <f>HYPERLINK("http://dx.doi.org/10.20542/0131-2227-2020-64-8-91-100","http://dx.doi.org/10.20542/0131-2227-2020-64-8-91-100")</f>
        <v>http://dx.doi.org/10.20542/0131-2227-2020-64-8-91-100</v>
      </c>
      <c r="BS936" t="s">
        <v>6011</v>
      </c>
      <c r="BT936" t="str">
        <f>HYPERLINK("https%3A%2F%2Fwww.webofscience.com%2Fwos%2Fwoscc%2Ffull-record%2FWOS:000569062500010","View Full Record in Web of Science")</f>
        <v>View Full Record in Web of Science</v>
      </c>
    </row>
    <row r="937" spans="1:72" ht="12.75" customHeight="1" x14ac:dyDescent="0.2">
      <c r="A937" t="s">
        <v>72</v>
      </c>
      <c r="B937" t="s">
        <v>6012</v>
      </c>
      <c r="F937" t="s">
        <v>6013</v>
      </c>
      <c r="I937" t="s">
        <v>6014</v>
      </c>
      <c r="J937" t="s">
        <v>6015</v>
      </c>
      <c r="O937" t="s">
        <v>6016</v>
      </c>
      <c r="P937" t="s">
        <v>6017</v>
      </c>
      <c r="Q937" t="s">
        <v>910</v>
      </c>
      <c r="AA937" t="s">
        <v>6018</v>
      </c>
      <c r="AO937" t="s">
        <v>6019</v>
      </c>
      <c r="AP937" t="s">
        <v>6020</v>
      </c>
      <c r="AT937" t="s">
        <v>6021</v>
      </c>
      <c r="AU937">
        <v>2020</v>
      </c>
      <c r="AV937">
        <v>11</v>
      </c>
      <c r="AZ937" t="s">
        <v>339</v>
      </c>
      <c r="BB937">
        <v>106</v>
      </c>
      <c r="BC937">
        <v>114</v>
      </c>
      <c r="BE937" t="s">
        <v>6022</v>
      </c>
      <c r="BF937" t="str">
        <f>HYPERLINK("http://dx.doi.org/10.22055/RALS.2020.16291","http://dx.doi.org/10.22055/RALS.2020.16291")</f>
        <v>http://dx.doi.org/10.22055/RALS.2020.16291</v>
      </c>
      <c r="BS937" t="s">
        <v>6023</v>
      </c>
      <c r="BT937" t="str">
        <f>HYPERLINK("https%3A%2F%2Fwww.webofscience.com%2Fwos%2Fwoscc%2Ffull-record%2FWOS:000611609000013","View Full Record in Web of Science")</f>
        <v>View Full Record in Web of Science</v>
      </c>
    </row>
    <row r="938" spans="1:72" ht="12.75" customHeight="1" x14ac:dyDescent="0.2">
      <c r="A938" t="s">
        <v>72</v>
      </c>
      <c r="B938" t="s">
        <v>6024</v>
      </c>
      <c r="F938" t="s">
        <v>6025</v>
      </c>
      <c r="I938" t="s">
        <v>6026</v>
      </c>
      <c r="J938" t="s">
        <v>2233</v>
      </c>
      <c r="AA938" t="s">
        <v>6027</v>
      </c>
      <c r="AB938" t="s">
        <v>6028</v>
      </c>
      <c r="AO938" t="s">
        <v>2234</v>
      </c>
      <c r="AP938" t="s">
        <v>2235</v>
      </c>
      <c r="AU938">
        <v>2019</v>
      </c>
      <c r="AV938">
        <v>13</v>
      </c>
      <c r="AW938">
        <v>3</v>
      </c>
      <c r="BB938">
        <v>489</v>
      </c>
      <c r="BC938">
        <v>497</v>
      </c>
      <c r="BE938" t="s">
        <v>6029</v>
      </c>
      <c r="BF938" t="str">
        <f>HYPERLINK("http://dx.doi.org/10.17150/2500-4255.2019.13(3).489-497","http://dx.doi.org/10.17150/2500-4255.2019.13(3).489-497")</f>
        <v>http://dx.doi.org/10.17150/2500-4255.2019.13(3).489-497</v>
      </c>
      <c r="BS938" t="s">
        <v>6030</v>
      </c>
      <c r="BT938" t="str">
        <f>HYPERLINK("https%3A%2F%2Fwww.webofscience.com%2Fwos%2Fwoscc%2Ffull-record%2FWOS:000474306700012","View Full Record in Web of Science")</f>
        <v>View Full Record in Web of Science</v>
      </c>
    </row>
    <row r="939" spans="1:72" ht="12.75" customHeight="1" x14ac:dyDescent="0.2">
      <c r="A939" t="s">
        <v>147</v>
      </c>
      <c r="B939" t="s">
        <v>5725</v>
      </c>
      <c r="E939" t="s">
        <v>175</v>
      </c>
      <c r="F939" t="s">
        <v>5726</v>
      </c>
      <c r="I939" t="s">
        <v>6031</v>
      </c>
      <c r="J939" t="s">
        <v>6032</v>
      </c>
      <c r="K939" t="s">
        <v>1469</v>
      </c>
      <c r="O939" t="s">
        <v>6033</v>
      </c>
      <c r="P939" t="s">
        <v>6034</v>
      </c>
      <c r="Q939" t="s">
        <v>6035</v>
      </c>
      <c r="R939" t="s">
        <v>6036</v>
      </c>
      <c r="AA939" t="s">
        <v>4571</v>
      </c>
      <c r="AB939" t="s">
        <v>4572</v>
      </c>
      <c r="AO939" t="s">
        <v>1472</v>
      </c>
      <c r="AU939">
        <v>2019</v>
      </c>
      <c r="AV939">
        <v>537</v>
      </c>
      <c r="BD939">
        <v>22064</v>
      </c>
      <c r="BE939" t="s">
        <v>6037</v>
      </c>
      <c r="BF939" t="str">
        <f>HYPERLINK("http://dx.doi.org/10.1088/1757-899X/537/2/022064","http://dx.doi.org/10.1088/1757-899X/537/2/022064")</f>
        <v>http://dx.doi.org/10.1088/1757-899X/537/2/022064</v>
      </c>
      <c r="BS939" t="s">
        <v>6038</v>
      </c>
      <c r="BT939" t="str">
        <f>HYPERLINK("https%3A%2F%2Fwww.webofscience.com%2Fwos%2Fwoscc%2Ffull-record%2FWOS:000561105300065","View Full Record in Web of Science")</f>
        <v>View Full Record in Web of Science</v>
      </c>
    </row>
    <row r="940" spans="1:72" ht="12.75" customHeight="1" x14ac:dyDescent="0.2">
      <c r="A940" t="s">
        <v>147</v>
      </c>
      <c r="B940" t="s">
        <v>6039</v>
      </c>
      <c r="D940" t="s">
        <v>1272</v>
      </c>
      <c r="F940" t="s">
        <v>6040</v>
      </c>
      <c r="I940" t="s">
        <v>6041</v>
      </c>
      <c r="J940" t="s">
        <v>5294</v>
      </c>
      <c r="K940" t="s">
        <v>1276</v>
      </c>
      <c r="O940" t="s">
        <v>5248</v>
      </c>
      <c r="P940" t="s">
        <v>5249</v>
      </c>
      <c r="Q940" t="s">
        <v>772</v>
      </c>
      <c r="R940" t="s">
        <v>5295</v>
      </c>
      <c r="AA940" t="s">
        <v>5513</v>
      </c>
      <c r="AB940" t="s">
        <v>3489</v>
      </c>
      <c r="AO940" t="s">
        <v>1282</v>
      </c>
      <c r="AU940">
        <v>2018</v>
      </c>
      <c r="AV940">
        <v>224</v>
      </c>
      <c r="BD940">
        <v>2008</v>
      </c>
      <c r="BE940" t="s">
        <v>6042</v>
      </c>
      <c r="BF940" t="str">
        <f>HYPERLINK("http://dx.doi.org/10.1051/matecconf/201822402008","http://dx.doi.org/10.1051/matecconf/201822402008")</f>
        <v>http://dx.doi.org/10.1051/matecconf/201822402008</v>
      </c>
      <c r="BS940" t="s">
        <v>6043</v>
      </c>
      <c r="BT940" t="str">
        <f>HYPERLINK("https%3A%2F%2Fwww.webofscience.com%2Fwos%2Fwoscc%2Ffull-record%2FWOS:000476933600146","View Full Record in Web of Science")</f>
        <v>View Full Record in Web of Science</v>
      </c>
    </row>
    <row r="941" spans="1:72" ht="12.75" customHeight="1" x14ac:dyDescent="0.2">
      <c r="A941" t="s">
        <v>72</v>
      </c>
      <c r="B941" t="s">
        <v>6044</v>
      </c>
      <c r="F941" t="s">
        <v>6045</v>
      </c>
      <c r="I941" t="s">
        <v>6046</v>
      </c>
      <c r="J941" t="s">
        <v>5139</v>
      </c>
      <c r="AA941" t="s">
        <v>6047</v>
      </c>
      <c r="AB941" t="s">
        <v>6048</v>
      </c>
      <c r="AO941" t="s">
        <v>5142</v>
      </c>
      <c r="AP941" t="s">
        <v>5143</v>
      </c>
      <c r="AT941" t="s">
        <v>1173</v>
      </c>
      <c r="AU941">
        <v>2017</v>
      </c>
      <c r="AV941">
        <v>13</v>
      </c>
      <c r="AW941">
        <v>8</v>
      </c>
      <c r="BB941">
        <v>4393</v>
      </c>
      <c r="BC941">
        <v>4404</v>
      </c>
      <c r="BE941" t="s">
        <v>6049</v>
      </c>
      <c r="BF941" t="str">
        <f>HYPERLINK("http://dx.doi.org/10.12973/eurasia.2017.00934a","http://dx.doi.org/10.12973/eurasia.2017.00934a")</f>
        <v>http://dx.doi.org/10.12973/eurasia.2017.00934a</v>
      </c>
      <c r="BS941" t="s">
        <v>6050</v>
      </c>
      <c r="BT941" t="str">
        <f>HYPERLINK("https%3A%2F%2Fwww.webofscience.com%2Fwos%2Fwoscc%2Ffull-record%2FWOS:000409067500005","View Full Record in Web of Science")</f>
        <v>View Full Record in Web of Science</v>
      </c>
    </row>
    <row r="942" spans="1:72" ht="12.75" customHeight="1" x14ac:dyDescent="0.2">
      <c r="A942" t="s">
        <v>72</v>
      </c>
      <c r="B942" t="s">
        <v>6051</v>
      </c>
      <c r="F942" t="s">
        <v>6052</v>
      </c>
      <c r="I942" t="s">
        <v>6053</v>
      </c>
      <c r="J942" t="s">
        <v>6054</v>
      </c>
      <c r="AO942" t="s">
        <v>6055</v>
      </c>
      <c r="AU942">
        <v>2021</v>
      </c>
      <c r="AV942">
        <v>25</v>
      </c>
      <c r="AZ942">
        <v>6</v>
      </c>
      <c r="BS942" t="s">
        <v>6056</v>
      </c>
      <c r="BT942" t="str">
        <f>HYPERLINK("https%3A%2F%2Fwww.webofscience.com%2Fwos%2Fwoscc%2Ffull-record%2FWOS:000759318000002","View Full Record in Web of Science")</f>
        <v>View Full Record in Web of Science</v>
      </c>
    </row>
    <row r="943" spans="1:72" ht="12.75" customHeight="1" x14ac:dyDescent="0.2">
      <c r="A943" t="s">
        <v>72</v>
      </c>
      <c r="B943" t="s">
        <v>5433</v>
      </c>
      <c r="F943" t="s">
        <v>5434</v>
      </c>
      <c r="I943" t="s">
        <v>6057</v>
      </c>
      <c r="J943" t="s">
        <v>5436</v>
      </c>
      <c r="AA943" t="s">
        <v>6058</v>
      </c>
      <c r="AB943" t="s">
        <v>6059</v>
      </c>
      <c r="AO943" t="s">
        <v>5439</v>
      </c>
      <c r="AP943" t="s">
        <v>5440</v>
      </c>
      <c r="AT943" t="s">
        <v>830</v>
      </c>
      <c r="AU943">
        <v>2016</v>
      </c>
      <c r="AV943">
        <v>52</v>
      </c>
      <c r="AW943">
        <v>4</v>
      </c>
      <c r="BB943">
        <v>435</v>
      </c>
      <c r="BC943">
        <v>454</v>
      </c>
      <c r="BE943" t="s">
        <v>6060</v>
      </c>
      <c r="BF943" t="str">
        <f>HYPERLINK("http://dx.doi.org/10.1007/s11029-016-9596-x","http://dx.doi.org/10.1007/s11029-016-9596-x")</f>
        <v>http://dx.doi.org/10.1007/s11029-016-9596-x</v>
      </c>
      <c r="BS943" t="s">
        <v>6061</v>
      </c>
      <c r="BT943" t="str">
        <f>HYPERLINK("https%3A%2F%2Fwww.webofscience.com%2Fwos%2Fwoscc%2Ffull-record%2FWOS:000384347800001","View Full Record in Web of Science")</f>
        <v>View Full Record in Web of Science</v>
      </c>
    </row>
    <row r="944" spans="1:72" ht="12.75" customHeight="1" x14ac:dyDescent="0.2">
      <c r="A944" t="s">
        <v>72</v>
      </c>
      <c r="B944" t="s">
        <v>6062</v>
      </c>
      <c r="F944" t="s">
        <v>6063</v>
      </c>
      <c r="I944" t="s">
        <v>6064</v>
      </c>
      <c r="J944" t="s">
        <v>6065</v>
      </c>
      <c r="AA944" t="s">
        <v>489</v>
      </c>
      <c r="AB944" t="s">
        <v>490</v>
      </c>
      <c r="AO944" t="s">
        <v>6066</v>
      </c>
      <c r="AT944" t="s">
        <v>541</v>
      </c>
      <c r="AU944">
        <v>2008</v>
      </c>
      <c r="AV944">
        <v>8</v>
      </c>
      <c r="AW944">
        <v>1</v>
      </c>
      <c r="BB944">
        <v>107</v>
      </c>
      <c r="BC944">
        <v>109</v>
      </c>
      <c r="BE944" t="s">
        <v>6067</v>
      </c>
      <c r="BF944" t="str">
        <f>HYPERLINK("http://dx.doi.org/10.1016/j.cap.2007.04.013","http://dx.doi.org/10.1016/j.cap.2007.04.013")</f>
        <v>http://dx.doi.org/10.1016/j.cap.2007.04.013</v>
      </c>
      <c r="BS944" t="s">
        <v>6068</v>
      </c>
      <c r="BT944" t="str">
        <f>HYPERLINK("https%3A%2F%2Fwww.webofscience.com%2Fwos%2Fwoscc%2Ffull-record%2FWOS:000251159400020","View Full Record in Web of Science")</f>
        <v>View Full Record in Web of Science</v>
      </c>
    </row>
    <row r="945" spans="1:72" ht="12.75" customHeight="1" x14ac:dyDescent="0.2">
      <c r="A945" t="s">
        <v>72</v>
      </c>
      <c r="B945" t="s">
        <v>6069</v>
      </c>
      <c r="F945" t="s">
        <v>6070</v>
      </c>
      <c r="I945" t="s">
        <v>6071</v>
      </c>
      <c r="J945" t="s">
        <v>3527</v>
      </c>
      <c r="AA945" t="s">
        <v>5374</v>
      </c>
      <c r="AO945" t="s">
        <v>3528</v>
      </c>
      <c r="AU945">
        <v>2020</v>
      </c>
      <c r="AV945">
        <v>26</v>
      </c>
      <c r="AW945">
        <v>3</v>
      </c>
      <c r="BB945">
        <v>235</v>
      </c>
      <c r="BC945" t="s">
        <v>107</v>
      </c>
      <c r="BE945" t="s">
        <v>6072</v>
      </c>
      <c r="BF945" t="str">
        <f>HYPERLINK("http://dx.doi.org/10.21538/0134-4889-2020-26-3-235-248","http://dx.doi.org/10.21538/0134-4889-2020-26-3-235-248")</f>
        <v>http://dx.doi.org/10.21538/0134-4889-2020-26-3-235-248</v>
      </c>
      <c r="BS945" t="s">
        <v>6073</v>
      </c>
      <c r="BT945" t="str">
        <f>HYPERLINK("https%3A%2F%2Fwww.webofscience.com%2Fwos%2Fwoscc%2Ffull-record%2FWOS:000592231900020","View Full Record in Web of Science")</f>
        <v>View Full Record in Web of Science</v>
      </c>
    </row>
    <row r="946" spans="1:72" ht="12.75" customHeight="1" x14ac:dyDescent="0.2">
      <c r="A946" t="s">
        <v>147</v>
      </c>
      <c r="B946" t="s">
        <v>6074</v>
      </c>
      <c r="D946" t="s">
        <v>1876</v>
      </c>
      <c r="F946" t="s">
        <v>6075</v>
      </c>
      <c r="I946" t="s">
        <v>6076</v>
      </c>
      <c r="J946" t="s">
        <v>1879</v>
      </c>
      <c r="K946" t="s">
        <v>1276</v>
      </c>
      <c r="O946" t="s">
        <v>1880</v>
      </c>
      <c r="P946" t="s">
        <v>1881</v>
      </c>
      <c r="Q946" t="s">
        <v>1882</v>
      </c>
      <c r="R946" t="s">
        <v>1883</v>
      </c>
      <c r="S946" t="s">
        <v>1884</v>
      </c>
      <c r="AO946" t="s">
        <v>1282</v>
      </c>
      <c r="AU946">
        <v>2017</v>
      </c>
      <c r="AV946">
        <v>106</v>
      </c>
      <c r="BD946">
        <v>8089</v>
      </c>
      <c r="BE946" t="s">
        <v>6077</v>
      </c>
      <c r="BF946" t="str">
        <f>HYPERLINK("http://dx.doi.org/10.1051/matecconf/201710608089","http://dx.doi.org/10.1051/matecconf/201710608089")</f>
        <v>http://dx.doi.org/10.1051/matecconf/201710608089</v>
      </c>
      <c r="BS946" t="s">
        <v>6078</v>
      </c>
      <c r="BT946" t="str">
        <f>HYPERLINK("https%3A%2F%2Fwww.webofscience.com%2Fwos%2Fwoscc%2Ffull-record%2FWOS:000426426600274","View Full Record in Web of Science")</f>
        <v>View Full Record in Web of Science</v>
      </c>
    </row>
    <row r="947" spans="1:72" ht="12.75" customHeight="1" x14ac:dyDescent="0.2">
      <c r="A947" t="s">
        <v>72</v>
      </c>
      <c r="B947" t="s">
        <v>6079</v>
      </c>
      <c r="F947" t="s">
        <v>6080</v>
      </c>
      <c r="I947" t="s">
        <v>6081</v>
      </c>
      <c r="J947" t="s">
        <v>793</v>
      </c>
      <c r="AA947" t="s">
        <v>5529</v>
      </c>
      <c r="AB947" t="s">
        <v>5530</v>
      </c>
      <c r="AO947" t="s">
        <v>795</v>
      </c>
      <c r="AT947" t="s">
        <v>830</v>
      </c>
      <c r="AU947">
        <v>2013</v>
      </c>
      <c r="AV947">
        <v>6</v>
      </c>
      <c r="AW947">
        <v>5</v>
      </c>
      <c r="BB947">
        <v>561</v>
      </c>
      <c r="BC947">
        <v>568</v>
      </c>
      <c r="BE947" t="s">
        <v>6082</v>
      </c>
      <c r="BF947" t="str">
        <f>HYPERLINK("http://dx.doi.org/10.1134/S1995425513050028","http://dx.doi.org/10.1134/S1995425513050028")</f>
        <v>http://dx.doi.org/10.1134/S1995425513050028</v>
      </c>
      <c r="BS947" t="s">
        <v>6083</v>
      </c>
      <c r="BT947" t="str">
        <f>HYPERLINK("https%3A%2F%2Fwww.webofscience.com%2Fwos%2Fwoscc%2Ffull-record%2FWOS:000325009100015","View Full Record in Web of Science")</f>
        <v>View Full Record in Web of Science</v>
      </c>
    </row>
    <row r="948" spans="1:72" ht="12.75" customHeight="1" x14ac:dyDescent="0.2">
      <c r="A948" t="s">
        <v>72</v>
      </c>
      <c r="B948" t="s">
        <v>6084</v>
      </c>
      <c r="F948" t="s">
        <v>6084</v>
      </c>
      <c r="I948" t="s">
        <v>6085</v>
      </c>
      <c r="J948" t="s">
        <v>614</v>
      </c>
      <c r="AO948" t="s">
        <v>617</v>
      </c>
      <c r="AP948" t="s">
        <v>1720</v>
      </c>
      <c r="AT948" t="s">
        <v>491</v>
      </c>
      <c r="AU948">
        <v>2005</v>
      </c>
      <c r="AV948">
        <v>41</v>
      </c>
      <c r="AW948">
        <v>6</v>
      </c>
      <c r="BB948">
        <v>639</v>
      </c>
      <c r="BC948">
        <v>645</v>
      </c>
      <c r="BE948" t="s">
        <v>6086</v>
      </c>
      <c r="BF948" t="str">
        <f>HYPERLINK("http://dx.doi.org/10.1007/s11175-005-0117-9","http://dx.doi.org/10.1007/s11175-005-0117-9")</f>
        <v>http://dx.doi.org/10.1007/s11175-005-0117-9</v>
      </c>
      <c r="BS948" t="s">
        <v>6087</v>
      </c>
      <c r="BT948" t="str">
        <f>HYPERLINK("https%3A%2F%2Fwww.webofscience.com%2Fwos%2Fwoscc%2Ffull-record%2FWOS:000230551900007","View Full Record in Web of Science")</f>
        <v>View Full Record in Web of Science</v>
      </c>
    </row>
    <row r="949" spans="1:72" ht="12.75" customHeight="1" x14ac:dyDescent="0.2">
      <c r="A949" t="s">
        <v>72</v>
      </c>
      <c r="B949" t="s">
        <v>6088</v>
      </c>
      <c r="F949" t="s">
        <v>6088</v>
      </c>
      <c r="I949" t="s">
        <v>6089</v>
      </c>
      <c r="J949" t="s">
        <v>1005</v>
      </c>
      <c r="AO949" t="s">
        <v>1006</v>
      </c>
      <c r="AT949" t="s">
        <v>3477</v>
      </c>
      <c r="AU949">
        <v>1998</v>
      </c>
      <c r="AV949">
        <v>67</v>
      </c>
      <c r="AW949">
        <v>6</v>
      </c>
      <c r="BB949">
        <v>625</v>
      </c>
      <c r="BC949">
        <v>631</v>
      </c>
      <c r="BS949" t="s">
        <v>6090</v>
      </c>
      <c r="BT949" t="str">
        <f>HYPERLINK("https%3A%2F%2Fwww.webofscience.com%2Fwos%2Fwoscc%2Ffull-record%2FWOS:000077638900005","View Full Record in Web of Science")</f>
        <v>View Full Record in Web of Science</v>
      </c>
    </row>
    <row r="950" spans="1:72" ht="12.75" customHeight="1" x14ac:dyDescent="0.2">
      <c r="A950" t="s">
        <v>72</v>
      </c>
      <c r="B950" t="s">
        <v>5768</v>
      </c>
      <c r="F950" t="s">
        <v>5769</v>
      </c>
      <c r="I950" t="s">
        <v>6091</v>
      </c>
      <c r="J950" t="s">
        <v>4849</v>
      </c>
      <c r="AA950" t="s">
        <v>4850</v>
      </c>
      <c r="AB950" t="s">
        <v>4851</v>
      </c>
      <c r="AO950" t="s">
        <v>4852</v>
      </c>
      <c r="AP950" t="s">
        <v>4853</v>
      </c>
      <c r="AT950" t="s">
        <v>491</v>
      </c>
      <c r="AU950">
        <v>2023</v>
      </c>
      <c r="AV950">
        <v>101</v>
      </c>
      <c r="AW950">
        <v>6</v>
      </c>
      <c r="BB950">
        <v>668</v>
      </c>
      <c r="BC950">
        <v>670</v>
      </c>
      <c r="BE950" t="s">
        <v>6092</v>
      </c>
      <c r="BF950" t="str">
        <f>HYPERLINK("http://dx.doi.org/10.1111/tan.14969","http://dx.doi.org/10.1111/tan.14969")</f>
        <v>http://dx.doi.org/10.1111/tan.14969</v>
      </c>
      <c r="BH950" t="s">
        <v>6093</v>
      </c>
      <c r="BN950">
        <v>36617635</v>
      </c>
      <c r="BS950" t="s">
        <v>6094</v>
      </c>
      <c r="BT950" t="str">
        <f>HYPERLINK("https%3A%2F%2Fwww.webofscience.com%2Fwos%2Fwoscc%2Ffull-record%2FWOS:000919397900001","View Full Record in Web of Science")</f>
        <v>View Full Record in Web of Science</v>
      </c>
    </row>
    <row r="951" spans="1:72" ht="12.75" customHeight="1" x14ac:dyDescent="0.2">
      <c r="A951" t="s">
        <v>147</v>
      </c>
      <c r="B951" t="s">
        <v>6095</v>
      </c>
      <c r="D951" t="s">
        <v>6096</v>
      </c>
      <c r="F951" t="s">
        <v>6097</v>
      </c>
      <c r="I951" t="s">
        <v>6098</v>
      </c>
      <c r="J951" t="s">
        <v>6099</v>
      </c>
      <c r="K951" t="s">
        <v>6100</v>
      </c>
      <c r="O951" t="s">
        <v>6101</v>
      </c>
      <c r="P951" t="s">
        <v>6102</v>
      </c>
      <c r="Q951" t="s">
        <v>6103</v>
      </c>
      <c r="R951" t="s">
        <v>6104</v>
      </c>
      <c r="S951" t="s">
        <v>6105</v>
      </c>
      <c r="AA951" t="s">
        <v>6106</v>
      </c>
      <c r="AO951" t="s">
        <v>6107</v>
      </c>
      <c r="AU951">
        <v>2020</v>
      </c>
      <c r="BB951">
        <v>67</v>
      </c>
      <c r="BC951">
        <v>76</v>
      </c>
      <c r="BE951" t="s">
        <v>6108</v>
      </c>
      <c r="BF951" t="str">
        <f>HYPERLINK("http://dx.doi.org/10.17770/sie2020vol1.5079","http://dx.doi.org/10.17770/sie2020vol1.5079")</f>
        <v>http://dx.doi.org/10.17770/sie2020vol1.5079</v>
      </c>
      <c r="BS951" t="s">
        <v>6109</v>
      </c>
      <c r="BT951" t="str">
        <f>HYPERLINK("https%3A%2F%2Fwww.webofscience.com%2Fwos%2Fwoscc%2Ffull-record%2FWOS:000835616400005","View Full Record in Web of Science")</f>
        <v>View Full Record in Web of Science</v>
      </c>
    </row>
    <row r="952" spans="1:72" ht="12.75" customHeight="1" x14ac:dyDescent="0.2">
      <c r="A952" t="s">
        <v>72</v>
      </c>
      <c r="B952" t="s">
        <v>6110</v>
      </c>
      <c r="F952" t="s">
        <v>6111</v>
      </c>
      <c r="I952" t="s">
        <v>6112</v>
      </c>
      <c r="J952" t="s">
        <v>3233</v>
      </c>
      <c r="AA952" t="s">
        <v>6113</v>
      </c>
      <c r="AO952" t="s">
        <v>3236</v>
      </c>
      <c r="AP952" t="s">
        <v>3237</v>
      </c>
      <c r="AU952">
        <v>2020</v>
      </c>
      <c r="AW952">
        <v>51</v>
      </c>
      <c r="BB952">
        <v>153</v>
      </c>
      <c r="BC952">
        <v>176</v>
      </c>
      <c r="BE952" t="s">
        <v>6114</v>
      </c>
      <c r="BF952" t="str">
        <f>HYPERLINK("http://dx.doi.org/10.17223/19996195/51/8","http://dx.doi.org/10.17223/19996195/51/8")</f>
        <v>http://dx.doi.org/10.17223/19996195/51/8</v>
      </c>
      <c r="BS952" t="s">
        <v>6115</v>
      </c>
      <c r="BT952" t="str">
        <f>HYPERLINK("https%3A%2F%2Fwww.webofscience.com%2Fwos%2Fwoscc%2Ffull-record%2FWOS:000581055000008","View Full Record in Web of Science")</f>
        <v>View Full Record in Web of Science</v>
      </c>
    </row>
    <row r="953" spans="1:72" ht="12.75" customHeight="1" x14ac:dyDescent="0.2">
      <c r="A953" t="s">
        <v>147</v>
      </c>
      <c r="B953" t="s">
        <v>6116</v>
      </c>
      <c r="D953" t="s">
        <v>3968</v>
      </c>
      <c r="F953" t="s">
        <v>6117</v>
      </c>
      <c r="I953" t="s">
        <v>6118</v>
      </c>
      <c r="J953" t="s">
        <v>6119</v>
      </c>
      <c r="K953" t="s">
        <v>1669</v>
      </c>
      <c r="O953" t="s">
        <v>6120</v>
      </c>
      <c r="P953" t="s">
        <v>6121</v>
      </c>
      <c r="Q953" t="s">
        <v>746</v>
      </c>
      <c r="R953" t="s">
        <v>6122</v>
      </c>
      <c r="AA953" t="s">
        <v>3403</v>
      </c>
      <c r="AB953" t="s">
        <v>3404</v>
      </c>
      <c r="AO953" t="s">
        <v>1675</v>
      </c>
      <c r="AP953" t="s">
        <v>1676</v>
      </c>
      <c r="AQ953" t="s">
        <v>6123</v>
      </c>
      <c r="AU953">
        <v>2019</v>
      </c>
      <c r="AV953">
        <v>1129</v>
      </c>
      <c r="BB953">
        <v>15</v>
      </c>
      <c r="BC953">
        <v>25</v>
      </c>
      <c r="BE953" t="s">
        <v>6124</v>
      </c>
      <c r="BF953" t="str">
        <f>HYPERLINK("http://dx.doi.org/10.1007/978-3-030-36592-9_2","http://dx.doi.org/10.1007/978-3-030-36592-9_2")</f>
        <v>http://dx.doi.org/10.1007/978-3-030-36592-9_2</v>
      </c>
      <c r="BS953" t="s">
        <v>6125</v>
      </c>
      <c r="BT953" t="str">
        <f>HYPERLINK("https%3A%2F%2Fwww.webofscience.com%2Fwos%2Fwoscc%2Ffull-record%2FWOS:000651202100002","View Full Record in Web of Science")</f>
        <v>View Full Record in Web of Science</v>
      </c>
    </row>
    <row r="954" spans="1:72" ht="12.75" customHeight="1" x14ac:dyDescent="0.2">
      <c r="A954" t="s">
        <v>72</v>
      </c>
      <c r="B954" t="s">
        <v>5874</v>
      </c>
      <c r="F954" t="s">
        <v>6126</v>
      </c>
      <c r="I954" t="s">
        <v>6127</v>
      </c>
      <c r="J954" t="s">
        <v>614</v>
      </c>
      <c r="O954" t="s">
        <v>6128</v>
      </c>
      <c r="P954" t="s">
        <v>2860</v>
      </c>
      <c r="Q954" t="s">
        <v>2861</v>
      </c>
      <c r="S954" t="s">
        <v>2862</v>
      </c>
      <c r="AO954" t="s">
        <v>617</v>
      </c>
      <c r="AT954" t="s">
        <v>198</v>
      </c>
      <c r="AU954">
        <v>2007</v>
      </c>
      <c r="AV954">
        <v>43</v>
      </c>
      <c r="AW954">
        <v>4</v>
      </c>
      <c r="BB954">
        <v>479</v>
      </c>
      <c r="BC954">
        <v>482</v>
      </c>
      <c r="BE954" t="s">
        <v>6129</v>
      </c>
      <c r="BF954" t="str">
        <f>HYPERLINK("http://dx.doi.org/10.1134/S1023193507040179","http://dx.doi.org/10.1134/S1023193507040179")</f>
        <v>http://dx.doi.org/10.1134/S1023193507040179</v>
      </c>
      <c r="BS954" t="s">
        <v>6130</v>
      </c>
      <c r="BT954" t="str">
        <f>HYPERLINK("https%3A%2F%2Fwww.webofscience.com%2Fwos%2Fwoscc%2Ffull-record%2FWOS:000246338500017","View Full Record in Web of Science")</f>
        <v>View Full Record in Web of Science</v>
      </c>
    </row>
    <row r="955" spans="1:72" ht="12.75" customHeight="1" x14ac:dyDescent="0.2">
      <c r="A955" t="s">
        <v>72</v>
      </c>
      <c r="B955" t="s">
        <v>6131</v>
      </c>
      <c r="F955" t="s">
        <v>6131</v>
      </c>
      <c r="I955" t="s">
        <v>6132</v>
      </c>
      <c r="J955" t="s">
        <v>1905</v>
      </c>
      <c r="O955" t="s">
        <v>5870</v>
      </c>
      <c r="P955" t="s">
        <v>5871</v>
      </c>
      <c r="Q955" t="s">
        <v>2563</v>
      </c>
      <c r="R955" t="s">
        <v>2705</v>
      </c>
      <c r="AB955" t="s">
        <v>2399</v>
      </c>
      <c r="AO955" t="s">
        <v>1906</v>
      </c>
      <c r="AT955" t="s">
        <v>78</v>
      </c>
      <c r="AU955">
        <v>2005</v>
      </c>
      <c r="AV955">
        <v>31</v>
      </c>
      <c r="AW955">
        <v>3</v>
      </c>
      <c r="BB955">
        <v>340</v>
      </c>
      <c r="BC955">
        <v>345</v>
      </c>
      <c r="BE955" t="s">
        <v>6133</v>
      </c>
      <c r="BF955" t="str">
        <f>HYPERLINK("http://dx.doi.org/10.1007/s10720-005-0066-0","http://dx.doi.org/10.1007/s10720-005-0066-0")</f>
        <v>http://dx.doi.org/10.1007/s10720-005-0066-0</v>
      </c>
      <c r="BS955" t="s">
        <v>6134</v>
      </c>
      <c r="BT955" t="str">
        <f>HYPERLINK("https%3A%2F%2Fwww.webofscience.com%2Fwos%2Fwoscc%2Ffull-record%2FWOS:000230552700012","View Full Record in Web of Science")</f>
        <v>View Full Record in Web of Science</v>
      </c>
    </row>
    <row r="956" spans="1:72" ht="12.75" customHeight="1" x14ac:dyDescent="0.2">
      <c r="A956" t="s">
        <v>72</v>
      </c>
      <c r="B956" t="s">
        <v>4873</v>
      </c>
      <c r="F956" t="s">
        <v>4874</v>
      </c>
      <c r="I956" t="s">
        <v>6135</v>
      </c>
      <c r="J956" t="s">
        <v>4849</v>
      </c>
      <c r="AA956" t="s">
        <v>4850</v>
      </c>
      <c r="AB956" t="s">
        <v>4851</v>
      </c>
      <c r="AO956" t="s">
        <v>4852</v>
      </c>
      <c r="AP956" t="s">
        <v>4853</v>
      </c>
      <c r="AT956" t="s">
        <v>125</v>
      </c>
      <c r="AU956">
        <v>2023</v>
      </c>
      <c r="AV956">
        <v>102</v>
      </c>
      <c r="AW956">
        <v>1</v>
      </c>
      <c r="BB956">
        <v>83</v>
      </c>
      <c r="BC956">
        <v>84</v>
      </c>
      <c r="BE956" t="s">
        <v>6136</v>
      </c>
      <c r="BF956" t="str">
        <f>HYPERLINK("http://dx.doi.org/10.1111/tan.15034","http://dx.doi.org/10.1111/tan.15034")</f>
        <v>http://dx.doi.org/10.1111/tan.15034</v>
      </c>
      <c r="BH956" t="s">
        <v>5539</v>
      </c>
      <c r="BN956">
        <v>36961294</v>
      </c>
      <c r="BS956" t="s">
        <v>6137</v>
      </c>
      <c r="BT956" t="str">
        <f>HYPERLINK("https%3A%2F%2Fwww.webofscience.com%2Fwos%2Fwoscc%2Ffull-record%2FWOS:000956066600001","View Full Record in Web of Science")</f>
        <v>View Full Record in Web of Science</v>
      </c>
    </row>
    <row r="957" spans="1:72" ht="12.75" customHeight="1" x14ac:dyDescent="0.2">
      <c r="A957" t="s">
        <v>72</v>
      </c>
      <c r="B957" t="s">
        <v>6138</v>
      </c>
      <c r="F957" t="s">
        <v>6139</v>
      </c>
      <c r="I957" t="s">
        <v>6140</v>
      </c>
      <c r="J957" t="s">
        <v>335</v>
      </c>
      <c r="AO957" t="s">
        <v>337</v>
      </c>
      <c r="AT957" t="s">
        <v>338</v>
      </c>
      <c r="AU957">
        <v>2020</v>
      </c>
      <c r="AV957">
        <v>7</v>
      </c>
      <c r="AZ957" t="s">
        <v>339</v>
      </c>
      <c r="BB957">
        <v>251</v>
      </c>
      <c r="BC957">
        <v>261</v>
      </c>
      <c r="BS957" t="s">
        <v>6141</v>
      </c>
      <c r="BT957" t="str">
        <f>HYPERLINK("https%3A%2F%2Fwww.webofscience.com%2Fwos%2Fwoscc%2Ffull-record%2FWOS:000583783100022","View Full Record in Web of Science")</f>
        <v>View Full Record in Web of Science</v>
      </c>
    </row>
    <row r="958" spans="1:72" ht="12.75" customHeight="1" x14ac:dyDescent="0.2">
      <c r="A958" t="s">
        <v>72</v>
      </c>
      <c r="B958" t="s">
        <v>6142</v>
      </c>
      <c r="F958" t="s">
        <v>6143</v>
      </c>
      <c r="I958" t="s">
        <v>6144</v>
      </c>
      <c r="J958" t="s">
        <v>1087</v>
      </c>
      <c r="O958" t="s">
        <v>1088</v>
      </c>
      <c r="P958" t="s">
        <v>1089</v>
      </c>
      <c r="Q958" t="s">
        <v>1090</v>
      </c>
      <c r="AA958" t="s">
        <v>1091</v>
      </c>
      <c r="AB958" t="s">
        <v>1092</v>
      </c>
      <c r="AO958" t="s">
        <v>1093</v>
      </c>
      <c r="AP958" t="s">
        <v>1094</v>
      </c>
      <c r="AT958" t="s">
        <v>171</v>
      </c>
      <c r="AU958">
        <v>2020</v>
      </c>
      <c r="AV958">
        <v>57</v>
      </c>
      <c r="AW958">
        <v>1</v>
      </c>
      <c r="BB958">
        <v>28</v>
      </c>
      <c r="BC958">
        <v>36</v>
      </c>
      <c r="BE958" t="s">
        <v>6145</v>
      </c>
      <c r="BF958" t="str">
        <f>HYPERLINK("http://dx.doi.org/10.37358/mp.20.1.5309","http://dx.doi.org/10.37358/mp.20.1.5309")</f>
        <v>http://dx.doi.org/10.37358/mp.20.1.5309</v>
      </c>
      <c r="BS958" t="s">
        <v>6146</v>
      </c>
      <c r="BT958" t="str">
        <f>HYPERLINK("https%3A%2F%2Fwww.webofscience.com%2Fwos%2Fwoscc%2Ffull-record%2FWOS:000528195000005","View Full Record in Web of Science")</f>
        <v>View Full Record in Web of Science</v>
      </c>
    </row>
    <row r="959" spans="1:72" ht="12.75" customHeight="1" x14ac:dyDescent="0.2">
      <c r="A959" t="s">
        <v>72</v>
      </c>
      <c r="B959" t="s">
        <v>6147</v>
      </c>
      <c r="F959" t="s">
        <v>6148</v>
      </c>
      <c r="I959" t="s">
        <v>6149</v>
      </c>
      <c r="J959" t="s">
        <v>1608</v>
      </c>
      <c r="AA959" t="s">
        <v>1609</v>
      </c>
      <c r="AB959" t="s">
        <v>6150</v>
      </c>
      <c r="AO959" t="s">
        <v>1611</v>
      </c>
      <c r="AP959" t="s">
        <v>1612</v>
      </c>
      <c r="AU959">
        <v>2020</v>
      </c>
      <c r="AV959">
        <v>30</v>
      </c>
      <c r="AW959">
        <v>1</v>
      </c>
      <c r="BB959">
        <v>43</v>
      </c>
      <c r="BC959">
        <v>59</v>
      </c>
      <c r="BE959" t="s">
        <v>6151</v>
      </c>
      <c r="BF959" t="str">
        <f>HYPERLINK("http://dx.doi.org/10.15507/2658-4123.030.202001.043-059","http://dx.doi.org/10.15507/2658-4123.030.202001.043-059")</f>
        <v>http://dx.doi.org/10.15507/2658-4123.030.202001.043-059</v>
      </c>
      <c r="BS959" t="s">
        <v>6152</v>
      </c>
      <c r="BT959" t="str">
        <f>HYPERLINK("https%3A%2F%2Fwww.webofscience.com%2Fwos%2Fwoscc%2Ffull-record%2FWOS:000520879000003","View Full Record in Web of Science")</f>
        <v>View Full Record in Web of Science</v>
      </c>
    </row>
    <row r="960" spans="1:72" ht="12.75" customHeight="1" x14ac:dyDescent="0.2">
      <c r="A960" t="s">
        <v>147</v>
      </c>
      <c r="B960" t="s">
        <v>6153</v>
      </c>
      <c r="E960" t="s">
        <v>175</v>
      </c>
      <c r="F960" t="s">
        <v>6154</v>
      </c>
      <c r="I960" t="s">
        <v>6155</v>
      </c>
      <c r="J960" t="s">
        <v>6156</v>
      </c>
      <c r="K960" t="s">
        <v>179</v>
      </c>
      <c r="O960" t="s">
        <v>6157</v>
      </c>
      <c r="P960" t="s">
        <v>6158</v>
      </c>
      <c r="Q960" t="s">
        <v>888</v>
      </c>
      <c r="AA960" t="s">
        <v>6159</v>
      </c>
      <c r="AB960" t="s">
        <v>5614</v>
      </c>
      <c r="AO960" t="s">
        <v>187</v>
      </c>
      <c r="AP960" t="s">
        <v>188</v>
      </c>
      <c r="AU960">
        <v>2019</v>
      </c>
      <c r="AV960">
        <v>1210</v>
      </c>
      <c r="BD960">
        <v>12150</v>
      </c>
      <c r="BE960" t="s">
        <v>6160</v>
      </c>
      <c r="BF960" t="str">
        <f>HYPERLINK("http://dx.doi.org/10.1088/1742-6596/1210/1/012150","http://dx.doi.org/10.1088/1742-6596/1210/1/012150")</f>
        <v>http://dx.doi.org/10.1088/1742-6596/1210/1/012150</v>
      </c>
      <c r="BS960" t="s">
        <v>6161</v>
      </c>
      <c r="BT960" t="str">
        <f>HYPERLINK("https%3A%2F%2Fwww.webofscience.com%2Fwos%2Fwoscc%2Ffull-record%2FWOS:000481604500150","View Full Record in Web of Science")</f>
        <v>View Full Record in Web of Science</v>
      </c>
    </row>
    <row r="961" spans="1:72" ht="12.75" customHeight="1" x14ac:dyDescent="0.2">
      <c r="A961" t="s">
        <v>72</v>
      </c>
      <c r="B961" t="s">
        <v>6162</v>
      </c>
      <c r="F961" t="s">
        <v>6163</v>
      </c>
      <c r="I961" t="s">
        <v>6164</v>
      </c>
      <c r="J961" t="s">
        <v>244</v>
      </c>
      <c r="AA961" t="s">
        <v>6165</v>
      </c>
      <c r="AB961" t="s">
        <v>4796</v>
      </c>
      <c r="AO961" t="s">
        <v>245</v>
      </c>
      <c r="AP961" t="s">
        <v>246</v>
      </c>
      <c r="AU961">
        <v>2019</v>
      </c>
      <c r="AW961">
        <v>11</v>
      </c>
      <c r="BB961">
        <v>4</v>
      </c>
      <c r="BC961">
        <v>11</v>
      </c>
      <c r="BE961" t="s">
        <v>6166</v>
      </c>
      <c r="BF961" t="str">
        <f>HYPERLINK("http://dx.doi.org/10.31166/VoprosyIstorii201911Statyi01","http://dx.doi.org/10.31166/VoprosyIstorii201911Statyi01")</f>
        <v>http://dx.doi.org/10.31166/VoprosyIstorii201911Statyi01</v>
      </c>
      <c r="BS961" t="s">
        <v>6167</v>
      </c>
      <c r="BT961" t="str">
        <f>HYPERLINK("https%3A%2F%2Fwww.webofscience.com%2Fwos%2Fwoscc%2Ffull-record%2FWOS:000504079400001","View Full Record in Web of Science")</f>
        <v>View Full Record in Web of Science</v>
      </c>
    </row>
    <row r="962" spans="1:72" ht="12.75" customHeight="1" x14ac:dyDescent="0.2">
      <c r="A962" t="s">
        <v>147</v>
      </c>
      <c r="B962" t="s">
        <v>6168</v>
      </c>
      <c r="E962" t="s">
        <v>210</v>
      </c>
      <c r="F962" t="s">
        <v>6169</v>
      </c>
      <c r="I962" t="s">
        <v>6170</v>
      </c>
      <c r="J962" t="s">
        <v>6171</v>
      </c>
      <c r="K962" t="s">
        <v>2589</v>
      </c>
      <c r="O962" t="s">
        <v>2590</v>
      </c>
      <c r="P962" t="s">
        <v>6172</v>
      </c>
      <c r="Q962" t="s">
        <v>6173</v>
      </c>
      <c r="AO962" t="s">
        <v>2593</v>
      </c>
      <c r="AQ962" t="s">
        <v>6174</v>
      </c>
      <c r="AU962">
        <v>2012</v>
      </c>
      <c r="BS962" t="s">
        <v>6175</v>
      </c>
      <c r="BT962" t="str">
        <f>HYPERLINK("https%3A%2F%2Fwww.webofscience.com%2Fwos%2Fwoscc%2Ffull-record%2FWOS:000309341303039","View Full Record in Web of Science")</f>
        <v>View Full Record in Web of Science</v>
      </c>
    </row>
    <row r="963" spans="1:72" ht="12.75" customHeight="1" x14ac:dyDescent="0.2">
      <c r="A963" t="s">
        <v>72</v>
      </c>
      <c r="B963" t="s">
        <v>698</v>
      </c>
      <c r="F963" t="s">
        <v>699</v>
      </c>
      <c r="I963" t="s">
        <v>6176</v>
      </c>
      <c r="J963" t="s">
        <v>5147</v>
      </c>
      <c r="AA963" t="s">
        <v>5148</v>
      </c>
      <c r="AO963" t="s">
        <v>5149</v>
      </c>
      <c r="AP963" t="s">
        <v>5150</v>
      </c>
      <c r="AT963" t="s">
        <v>198</v>
      </c>
      <c r="AU963">
        <v>2023</v>
      </c>
      <c r="AV963">
        <v>27</v>
      </c>
      <c r="AW963">
        <v>134</v>
      </c>
      <c r="BD963" t="s">
        <v>6177</v>
      </c>
      <c r="BE963" t="s">
        <v>6178</v>
      </c>
      <c r="BF963" t="str">
        <f>HYPERLINK("http://dx.doi.org/10.54905/disssi/v27i134/e191ms2989","http://dx.doi.org/10.54905/disssi/v27i134/e191ms2989")</f>
        <v>http://dx.doi.org/10.54905/disssi/v27i134/e191ms2989</v>
      </c>
      <c r="BS963" t="s">
        <v>6179</v>
      </c>
      <c r="BT963" t="str">
        <f>HYPERLINK("https%3A%2F%2Fwww.webofscience.com%2Fwos%2Fwoscc%2Ffull-record%2FWOS:000994185800021","View Full Record in Web of Science")</f>
        <v>View Full Record in Web of Science</v>
      </c>
    </row>
    <row r="964" spans="1:72" ht="12.75" customHeight="1" x14ac:dyDescent="0.2">
      <c r="A964" t="s">
        <v>72</v>
      </c>
      <c r="B964" t="s">
        <v>5768</v>
      </c>
      <c r="F964" t="s">
        <v>5769</v>
      </c>
      <c r="I964" t="s">
        <v>6180</v>
      </c>
      <c r="J964" t="s">
        <v>4849</v>
      </c>
      <c r="AA964" t="s">
        <v>4850</v>
      </c>
      <c r="AB964" t="s">
        <v>4851</v>
      </c>
      <c r="AO964" t="s">
        <v>4852</v>
      </c>
      <c r="AP964" t="s">
        <v>4853</v>
      </c>
      <c r="AT964" t="s">
        <v>88</v>
      </c>
      <c r="AU964">
        <v>2023</v>
      </c>
      <c r="AV964">
        <v>101</v>
      </c>
      <c r="AW964">
        <v>5</v>
      </c>
      <c r="BB964">
        <v>542</v>
      </c>
      <c r="BC964">
        <v>543</v>
      </c>
      <c r="BE964" t="s">
        <v>6181</v>
      </c>
      <c r="BF964" t="str">
        <f>HYPERLINK("http://dx.doi.org/10.1111/tan.14946","http://dx.doi.org/10.1111/tan.14946")</f>
        <v>http://dx.doi.org/10.1111/tan.14946</v>
      </c>
      <c r="BH964" t="s">
        <v>4345</v>
      </c>
      <c r="BN964">
        <v>36544248</v>
      </c>
      <c r="BS964" t="s">
        <v>6182</v>
      </c>
      <c r="BT964" t="str">
        <f>HYPERLINK("https%3A%2F%2Fwww.webofscience.com%2Fwos%2Fwoscc%2Ffull-record%2FWOS:000904767800001","View Full Record in Web of Science")</f>
        <v>View Full Record in Web of Science</v>
      </c>
    </row>
    <row r="965" spans="1:72" ht="12.75" customHeight="1" x14ac:dyDescent="0.2">
      <c r="A965" t="s">
        <v>72</v>
      </c>
      <c r="B965" t="s">
        <v>6183</v>
      </c>
      <c r="F965" t="s">
        <v>6184</v>
      </c>
      <c r="I965" t="s">
        <v>6185</v>
      </c>
      <c r="J965" t="s">
        <v>6015</v>
      </c>
      <c r="AO965" t="s">
        <v>6019</v>
      </c>
      <c r="AP965" t="s">
        <v>6020</v>
      </c>
      <c r="AT965" t="s">
        <v>6021</v>
      </c>
      <c r="AU965">
        <v>2019</v>
      </c>
      <c r="AV965">
        <v>10</v>
      </c>
      <c r="AZ965" t="s">
        <v>339</v>
      </c>
      <c r="BB965">
        <v>962</v>
      </c>
      <c r="BC965">
        <v>968</v>
      </c>
      <c r="BE965" t="s">
        <v>6186</v>
      </c>
      <c r="BF965" t="str">
        <f>HYPERLINK("http://dx.doi.org/10.22055/RALS.2019.15172","http://dx.doi.org/10.22055/RALS.2019.15172")</f>
        <v>http://dx.doi.org/10.22055/RALS.2019.15172</v>
      </c>
      <c r="BS965" t="s">
        <v>6187</v>
      </c>
      <c r="BT965" t="str">
        <f>HYPERLINK("https%3A%2F%2Fwww.webofscience.com%2Fwos%2Fwoscc%2Ffull-record%2FWOS:000520842700066","View Full Record in Web of Science")</f>
        <v>View Full Record in Web of Science</v>
      </c>
    </row>
    <row r="966" spans="1:72" ht="12.75" customHeight="1" x14ac:dyDescent="0.2">
      <c r="A966" t="s">
        <v>72</v>
      </c>
      <c r="B966" t="s">
        <v>6188</v>
      </c>
      <c r="F966" t="s">
        <v>6189</v>
      </c>
      <c r="I966" t="s">
        <v>6190</v>
      </c>
      <c r="J966" t="s">
        <v>5139</v>
      </c>
      <c r="AO966" t="s">
        <v>5142</v>
      </c>
      <c r="AP966" t="s">
        <v>5143</v>
      </c>
      <c r="AT966" t="s">
        <v>1173</v>
      </c>
      <c r="AU966">
        <v>2017</v>
      </c>
      <c r="AV966">
        <v>13</v>
      </c>
      <c r="AW966">
        <v>8</v>
      </c>
      <c r="BB966">
        <v>4379</v>
      </c>
      <c r="BC966">
        <v>4391</v>
      </c>
      <c r="BE966" t="s">
        <v>6191</v>
      </c>
      <c r="BF966" t="str">
        <f>HYPERLINK("http://dx.doi.org/10.12973/eurasia.2017.00933a","http://dx.doi.org/10.12973/eurasia.2017.00933a")</f>
        <v>http://dx.doi.org/10.12973/eurasia.2017.00933a</v>
      </c>
      <c r="BS966" t="s">
        <v>6192</v>
      </c>
      <c r="BT966" t="str">
        <f>HYPERLINK("https%3A%2F%2Fwww.webofscience.com%2Fwos%2Fwoscc%2Ffull-record%2FWOS:000409067500004","View Full Record in Web of Science")</f>
        <v>View Full Record in Web of Science</v>
      </c>
    </row>
    <row r="967" spans="1:72" ht="12.75" customHeight="1" x14ac:dyDescent="0.2">
      <c r="A967" t="s">
        <v>72</v>
      </c>
      <c r="B967" t="s">
        <v>6193</v>
      </c>
      <c r="F967" t="s">
        <v>6194</v>
      </c>
      <c r="I967" t="s">
        <v>6195</v>
      </c>
      <c r="J967" t="s">
        <v>5139</v>
      </c>
      <c r="AA967" t="s">
        <v>6196</v>
      </c>
      <c r="AB967" t="s">
        <v>6197</v>
      </c>
      <c r="AO967" t="s">
        <v>5142</v>
      </c>
      <c r="AP967" t="s">
        <v>5143</v>
      </c>
      <c r="AT967" t="s">
        <v>491</v>
      </c>
      <c r="AU967">
        <v>2017</v>
      </c>
      <c r="AV967">
        <v>13</v>
      </c>
      <c r="AW967">
        <v>6</v>
      </c>
      <c r="BB967">
        <v>2701</v>
      </c>
      <c r="BC967">
        <v>2720</v>
      </c>
      <c r="BE967" t="s">
        <v>6198</v>
      </c>
      <c r="BF967" t="str">
        <f>HYPERLINK("http://dx.doi.org/10.12973/eurasia.2017.01248a","http://dx.doi.org/10.12973/eurasia.2017.01248a")</f>
        <v>http://dx.doi.org/10.12973/eurasia.2017.01248a</v>
      </c>
      <c r="BS967" t="s">
        <v>6199</v>
      </c>
      <c r="BT967" t="str">
        <f>HYPERLINK("https%3A%2F%2Fwww.webofscience.com%2Fwos%2Fwoscc%2Ffull-record%2FWOS:000404604700062","View Full Record in Web of Science")</f>
        <v>View Full Record in Web of Science</v>
      </c>
    </row>
    <row r="968" spans="1:72" ht="12.75" customHeight="1" x14ac:dyDescent="0.2">
      <c r="A968" t="s">
        <v>147</v>
      </c>
      <c r="B968" t="s">
        <v>6200</v>
      </c>
      <c r="D968" t="s">
        <v>249</v>
      </c>
      <c r="F968" t="s">
        <v>6201</v>
      </c>
      <c r="I968" t="s">
        <v>6202</v>
      </c>
      <c r="J968" t="s">
        <v>252</v>
      </c>
      <c r="K968" t="s">
        <v>253</v>
      </c>
      <c r="O968" t="s">
        <v>254</v>
      </c>
      <c r="P968" t="s">
        <v>255</v>
      </c>
      <c r="Q968" t="s">
        <v>256</v>
      </c>
      <c r="S968" t="s">
        <v>257</v>
      </c>
      <c r="AA968" t="s">
        <v>6203</v>
      </c>
      <c r="AB968" t="s">
        <v>6204</v>
      </c>
      <c r="AO968" t="s">
        <v>259</v>
      </c>
      <c r="AU968">
        <v>2017</v>
      </c>
      <c r="AV968">
        <v>29</v>
      </c>
      <c r="BB968">
        <v>25</v>
      </c>
      <c r="BC968">
        <v>31</v>
      </c>
      <c r="BE968" t="s">
        <v>6205</v>
      </c>
      <c r="BF968" t="str">
        <f>HYPERLINK("http://dx.doi.org/10.15405/epsbs.2017.08.02.4","http://dx.doi.org/10.15405/epsbs.2017.08.02.4")</f>
        <v>http://dx.doi.org/10.15405/epsbs.2017.08.02.4</v>
      </c>
      <c r="BS968" t="s">
        <v>6206</v>
      </c>
      <c r="BT968" t="str">
        <f>HYPERLINK("https%3A%2F%2Fwww.webofscience.com%2Fwos%2Fwoscc%2Ffull-record%2FWOS:000432421300004","View Full Record in Web of Science")</f>
        <v>View Full Record in Web of Science</v>
      </c>
    </row>
    <row r="969" spans="1:72" ht="12.75" customHeight="1" x14ac:dyDescent="0.2">
      <c r="A969" t="s">
        <v>147</v>
      </c>
      <c r="B969" t="s">
        <v>6207</v>
      </c>
      <c r="E969" t="s">
        <v>175</v>
      </c>
      <c r="F969" t="s">
        <v>6208</v>
      </c>
      <c r="I969" t="s">
        <v>6209</v>
      </c>
      <c r="J969" t="s">
        <v>2405</v>
      </c>
      <c r="K969" t="s">
        <v>1469</v>
      </c>
      <c r="O969" t="s">
        <v>1619</v>
      </c>
      <c r="P969" t="s">
        <v>2406</v>
      </c>
      <c r="Q969" t="s">
        <v>1542</v>
      </c>
      <c r="R969" t="s">
        <v>2407</v>
      </c>
      <c r="AA969" t="s">
        <v>6210</v>
      </c>
      <c r="AB969" t="s">
        <v>6211</v>
      </c>
      <c r="AO969" t="s">
        <v>1472</v>
      </c>
      <c r="AU969">
        <v>2017</v>
      </c>
      <c r="AV969">
        <v>262</v>
      </c>
      <c r="BD969">
        <v>12024</v>
      </c>
      <c r="BE969" t="s">
        <v>6212</v>
      </c>
      <c r="BF969" t="str">
        <f>HYPERLINK("http://dx.doi.org/10.1088/1757-899X/262/1/012024","http://dx.doi.org/10.1088/1757-899X/262/1/012024")</f>
        <v>http://dx.doi.org/10.1088/1757-899X/262/1/012024</v>
      </c>
      <c r="BS969" t="s">
        <v>6213</v>
      </c>
      <c r="BT969" t="str">
        <f>HYPERLINK("https%3A%2F%2Fwww.webofscience.com%2Fwos%2Fwoscc%2Ffull-record%2FWOS:000423728200024","View Full Record in Web of Science")</f>
        <v>View Full Record in Web of Science</v>
      </c>
    </row>
    <row r="970" spans="1:72" ht="12.75" customHeight="1" x14ac:dyDescent="0.2">
      <c r="A970" t="s">
        <v>147</v>
      </c>
      <c r="B970" t="s">
        <v>6214</v>
      </c>
      <c r="D970" t="s">
        <v>1876</v>
      </c>
      <c r="F970" t="s">
        <v>6215</v>
      </c>
      <c r="I970" t="s">
        <v>6216</v>
      </c>
      <c r="J970" t="s">
        <v>1879</v>
      </c>
      <c r="K970" t="s">
        <v>1276</v>
      </c>
      <c r="O970" t="s">
        <v>1880</v>
      </c>
      <c r="P970" t="s">
        <v>1881</v>
      </c>
      <c r="Q970" t="s">
        <v>1882</v>
      </c>
      <c r="R970" t="s">
        <v>1883</v>
      </c>
      <c r="S970" t="s">
        <v>1884</v>
      </c>
      <c r="AA970" t="s">
        <v>6217</v>
      </c>
      <c r="AB970" t="s">
        <v>6218</v>
      </c>
      <c r="AO970" t="s">
        <v>1282</v>
      </c>
      <c r="AU970">
        <v>2017</v>
      </c>
      <c r="AV970">
        <v>106</v>
      </c>
      <c r="BD970">
        <v>8078</v>
      </c>
      <c r="BE970" t="s">
        <v>6219</v>
      </c>
      <c r="BF970" t="str">
        <f>HYPERLINK("http://dx.doi.org/10.1051/matecconf/201710608078","http://dx.doi.org/10.1051/matecconf/201710608078")</f>
        <v>http://dx.doi.org/10.1051/matecconf/201710608078</v>
      </c>
      <c r="BS970" t="s">
        <v>6220</v>
      </c>
      <c r="BT970" t="str">
        <f>HYPERLINK("https%3A%2F%2Fwww.webofscience.com%2Fwos%2Fwoscc%2Ffull-record%2FWOS:000426426600263","View Full Record in Web of Science")</f>
        <v>View Full Record in Web of Science</v>
      </c>
    </row>
    <row r="971" spans="1:72" ht="12.75" customHeight="1" x14ac:dyDescent="0.2">
      <c r="A971" t="s">
        <v>147</v>
      </c>
      <c r="B971" t="s">
        <v>5754</v>
      </c>
      <c r="E971" t="s">
        <v>280</v>
      </c>
      <c r="F971" t="s">
        <v>6221</v>
      </c>
      <c r="I971" t="s">
        <v>6222</v>
      </c>
      <c r="J971" t="s">
        <v>4146</v>
      </c>
      <c r="K971" t="s">
        <v>284</v>
      </c>
      <c r="O971" t="s">
        <v>4147</v>
      </c>
      <c r="P971" t="s">
        <v>4148</v>
      </c>
      <c r="Q971" t="s">
        <v>287</v>
      </c>
      <c r="R971" t="s">
        <v>4149</v>
      </c>
      <c r="AA971" t="s">
        <v>5757</v>
      </c>
      <c r="AB971" t="s">
        <v>5758</v>
      </c>
      <c r="AO971" t="s">
        <v>289</v>
      </c>
      <c r="AQ971" t="s">
        <v>4150</v>
      </c>
      <c r="AU971">
        <v>2015</v>
      </c>
      <c r="BB971">
        <v>639</v>
      </c>
      <c r="BC971">
        <v>646</v>
      </c>
      <c r="BS971" t="s">
        <v>6223</v>
      </c>
      <c r="BT971" t="str">
        <f>HYPERLINK("https%3A%2F%2Fwww.webofscience.com%2Fwos%2Fwoscc%2Ffull-record%2FWOS:000378098500079","View Full Record in Web of Science")</f>
        <v>View Full Record in Web of Science</v>
      </c>
    </row>
    <row r="972" spans="1:72" ht="12.75" customHeight="1" x14ac:dyDescent="0.2">
      <c r="A972" t="s">
        <v>72</v>
      </c>
      <c r="B972" t="s">
        <v>6224</v>
      </c>
      <c r="F972" t="s">
        <v>6225</v>
      </c>
      <c r="I972" t="s">
        <v>6226</v>
      </c>
      <c r="J972" t="s">
        <v>614</v>
      </c>
      <c r="AA972" t="s">
        <v>6227</v>
      </c>
      <c r="AB972" t="s">
        <v>1719</v>
      </c>
      <c r="AO972" t="s">
        <v>617</v>
      </c>
      <c r="AP972" t="s">
        <v>1720</v>
      </c>
      <c r="AT972" t="s">
        <v>1173</v>
      </c>
      <c r="AU972">
        <v>2019</v>
      </c>
      <c r="AV972">
        <v>55</v>
      </c>
      <c r="AW972">
        <v>8</v>
      </c>
      <c r="BB972">
        <v>785</v>
      </c>
      <c r="BC972">
        <v>795</v>
      </c>
      <c r="BE972" t="s">
        <v>6228</v>
      </c>
      <c r="BF972" t="str">
        <f>HYPERLINK("http://dx.doi.org/10.1134/S1023193519080111","http://dx.doi.org/10.1134/S1023193519080111")</f>
        <v>http://dx.doi.org/10.1134/S1023193519080111</v>
      </c>
      <c r="BS972" t="s">
        <v>6229</v>
      </c>
      <c r="BT972" t="str">
        <f>HYPERLINK("https%3A%2F%2Fwww.webofscience.com%2Fwos%2Fwoscc%2Ffull-record%2FWOS:000487550800008","View Full Record in Web of Science")</f>
        <v>View Full Record in Web of Science</v>
      </c>
    </row>
    <row r="973" spans="1:72" ht="12.75" customHeight="1" x14ac:dyDescent="0.2">
      <c r="A973" t="s">
        <v>72</v>
      </c>
      <c r="B973" t="s">
        <v>6230</v>
      </c>
      <c r="F973" t="s">
        <v>6231</v>
      </c>
      <c r="I973" t="s">
        <v>6232</v>
      </c>
      <c r="J973" t="s">
        <v>5139</v>
      </c>
      <c r="AA973" t="s">
        <v>6233</v>
      </c>
      <c r="AB973" t="s">
        <v>6234</v>
      </c>
      <c r="AO973" t="s">
        <v>5142</v>
      </c>
      <c r="AP973" t="s">
        <v>5143</v>
      </c>
      <c r="AT973" t="s">
        <v>1173</v>
      </c>
      <c r="AU973">
        <v>2017</v>
      </c>
      <c r="AV973">
        <v>13</v>
      </c>
      <c r="AW973">
        <v>8</v>
      </c>
      <c r="BB973">
        <v>5141</v>
      </c>
      <c r="BC973">
        <v>5155</v>
      </c>
      <c r="BE973" t="s">
        <v>6235</v>
      </c>
      <c r="BF973" t="str">
        <f>HYPERLINK("http://dx.doi.org/10.12973/eurasia.2017.00989a","http://dx.doi.org/10.12973/eurasia.2017.00989a")</f>
        <v>http://dx.doi.org/10.12973/eurasia.2017.00989a</v>
      </c>
      <c r="BS973" t="s">
        <v>6236</v>
      </c>
      <c r="BT973" t="str">
        <f>HYPERLINK("https%3A%2F%2Fwww.webofscience.com%2Fwos%2Fwoscc%2Ffull-record%2FWOS:000409067500057","View Full Record in Web of Science")</f>
        <v>View Full Record in Web of Science</v>
      </c>
    </row>
    <row r="974" spans="1:72" ht="12.75" customHeight="1" x14ac:dyDescent="0.2">
      <c r="A974" t="s">
        <v>72</v>
      </c>
      <c r="B974" t="s">
        <v>6237</v>
      </c>
      <c r="F974" t="s">
        <v>6238</v>
      </c>
      <c r="I974" t="s">
        <v>6239</v>
      </c>
      <c r="J974" t="s">
        <v>6240</v>
      </c>
      <c r="AA974" t="s">
        <v>5437</v>
      </c>
      <c r="AB974" t="s">
        <v>6241</v>
      </c>
      <c r="AO974" t="s">
        <v>6242</v>
      </c>
      <c r="AP974" t="s">
        <v>6243</v>
      </c>
      <c r="AT974" t="s">
        <v>171</v>
      </c>
      <c r="AU974">
        <v>2017</v>
      </c>
      <c r="AV974">
        <v>52</v>
      </c>
      <c r="AW974">
        <v>2</v>
      </c>
      <c r="BB974">
        <v>200</v>
      </c>
      <c r="BC974">
        <v>211</v>
      </c>
      <c r="BE974" t="s">
        <v>6244</v>
      </c>
      <c r="BF974" t="str">
        <f>HYPERLINK("http://dx.doi.org/10.3103/S0025654417020108","http://dx.doi.org/10.3103/S0025654417020108")</f>
        <v>http://dx.doi.org/10.3103/S0025654417020108</v>
      </c>
      <c r="BS974" t="s">
        <v>6245</v>
      </c>
      <c r="BT974" t="str">
        <f>HYPERLINK("https%3A%2F%2Fwww.webofscience.com%2Fwos%2Fwoscc%2Ffull-record%2FWOS:000405488900010","View Full Record in Web of Science")</f>
        <v>View Full Record in Web of Science</v>
      </c>
    </row>
    <row r="975" spans="1:72" ht="12.75" customHeight="1" x14ac:dyDescent="0.2">
      <c r="A975" t="s">
        <v>147</v>
      </c>
      <c r="B975" t="s">
        <v>6246</v>
      </c>
      <c r="D975" t="s">
        <v>1272</v>
      </c>
      <c r="F975" t="s">
        <v>6247</v>
      </c>
      <c r="I975" t="s">
        <v>6248</v>
      </c>
      <c r="J975" t="s">
        <v>1275</v>
      </c>
      <c r="K975" t="s">
        <v>1276</v>
      </c>
      <c r="O975" t="s">
        <v>1277</v>
      </c>
      <c r="P975" t="s">
        <v>1278</v>
      </c>
      <c r="Q975" t="s">
        <v>772</v>
      </c>
      <c r="R975" t="s">
        <v>1279</v>
      </c>
      <c r="AO975" t="s">
        <v>1282</v>
      </c>
      <c r="AU975">
        <v>2017</v>
      </c>
      <c r="AV975">
        <v>129</v>
      </c>
      <c r="BD975">
        <v>1023</v>
      </c>
      <c r="BE975" t="s">
        <v>6249</v>
      </c>
      <c r="BF975" t="str">
        <f>HYPERLINK("http://dx.doi.org/10.1051/matecconf/201712901023","http://dx.doi.org/10.1051/matecconf/201712901023")</f>
        <v>http://dx.doi.org/10.1051/matecconf/201712901023</v>
      </c>
      <c r="BS975" t="s">
        <v>6250</v>
      </c>
      <c r="BT975" t="str">
        <f>HYPERLINK("https%3A%2F%2Fwww.webofscience.com%2Fwos%2Fwoscc%2Ffull-record%2FWOS:000426431000023","View Full Record in Web of Science")</f>
        <v>View Full Record in Web of Science</v>
      </c>
    </row>
    <row r="976" spans="1:72" ht="12.75" customHeight="1" x14ac:dyDescent="0.2">
      <c r="A976" t="s">
        <v>147</v>
      </c>
      <c r="B976" t="s">
        <v>6251</v>
      </c>
      <c r="D976" t="s">
        <v>6252</v>
      </c>
      <c r="F976" t="s">
        <v>6253</v>
      </c>
      <c r="I976" t="s">
        <v>6254</v>
      </c>
      <c r="J976" t="s">
        <v>6255</v>
      </c>
      <c r="K976" t="s">
        <v>907</v>
      </c>
      <c r="O976" t="s">
        <v>6256</v>
      </c>
      <c r="P976" t="s">
        <v>6257</v>
      </c>
      <c r="Q976" t="s">
        <v>806</v>
      </c>
      <c r="R976" t="s">
        <v>6258</v>
      </c>
      <c r="AA976" t="s">
        <v>5648</v>
      </c>
      <c r="AB976" t="s">
        <v>6259</v>
      </c>
      <c r="AO976" t="s">
        <v>912</v>
      </c>
      <c r="AU976">
        <v>2015</v>
      </c>
      <c r="AV976">
        <v>106</v>
      </c>
      <c r="BB976">
        <v>231</v>
      </c>
      <c r="BC976">
        <v>239</v>
      </c>
      <c r="BE976" t="s">
        <v>6260</v>
      </c>
      <c r="BF976" t="str">
        <f>HYPERLINK("http://dx.doi.org/10.1016/j.proeng.2015.06.029","http://dx.doi.org/10.1016/j.proeng.2015.06.029")</f>
        <v>http://dx.doi.org/10.1016/j.proeng.2015.06.029</v>
      </c>
      <c r="BS976" t="s">
        <v>6261</v>
      </c>
      <c r="BT976" t="str">
        <f>HYPERLINK("https%3A%2F%2Fwww.webofscience.com%2Fwos%2Fwoscc%2Ffull-record%2FWOS:000381100700028","View Full Record in Web of Science")</f>
        <v>View Full Record in Web of Science</v>
      </c>
    </row>
    <row r="977" spans="1:72" ht="12.75" customHeight="1" x14ac:dyDescent="0.2">
      <c r="A977" t="s">
        <v>72</v>
      </c>
      <c r="B977" t="s">
        <v>6262</v>
      </c>
      <c r="F977" t="s">
        <v>6263</v>
      </c>
      <c r="I977" t="s">
        <v>6264</v>
      </c>
      <c r="J977" t="s">
        <v>614</v>
      </c>
      <c r="AA977" t="s">
        <v>489</v>
      </c>
      <c r="AB977" t="s">
        <v>490</v>
      </c>
      <c r="AO977" t="s">
        <v>617</v>
      </c>
      <c r="AT977" t="s">
        <v>1173</v>
      </c>
      <c r="AU977">
        <v>2013</v>
      </c>
      <c r="AV977">
        <v>49</v>
      </c>
      <c r="AW977">
        <v>8</v>
      </c>
      <c r="BB977">
        <v>769</v>
      </c>
      <c r="BC977">
        <v>775</v>
      </c>
      <c r="BE977" t="s">
        <v>6265</v>
      </c>
      <c r="BF977" t="str">
        <f>HYPERLINK("http://dx.doi.org/10.1134/S1023193513080107","http://dx.doi.org/10.1134/S1023193513080107")</f>
        <v>http://dx.doi.org/10.1134/S1023193513080107</v>
      </c>
      <c r="BS977" t="s">
        <v>6266</v>
      </c>
      <c r="BT977" t="str">
        <f>HYPERLINK("https%3A%2F%2Fwww.webofscience.com%2Fwos%2Fwoscc%2Ffull-record%2FWOS:000323258500007","View Full Record in Web of Science")</f>
        <v>View Full Record in Web of Science</v>
      </c>
    </row>
    <row r="978" spans="1:72" ht="12.75" customHeight="1" x14ac:dyDescent="0.2">
      <c r="A978" t="s">
        <v>72</v>
      </c>
      <c r="B978" t="s">
        <v>6267</v>
      </c>
      <c r="F978" t="s">
        <v>6268</v>
      </c>
      <c r="I978" t="s">
        <v>6269</v>
      </c>
      <c r="J978" t="s">
        <v>3996</v>
      </c>
      <c r="AA978" t="s">
        <v>3997</v>
      </c>
      <c r="AB978" t="s">
        <v>3998</v>
      </c>
      <c r="AO978" t="s">
        <v>3999</v>
      </c>
      <c r="AP978" t="s">
        <v>4000</v>
      </c>
      <c r="AT978" t="s">
        <v>88</v>
      </c>
      <c r="AU978">
        <v>2012</v>
      </c>
      <c r="AV978">
        <v>153</v>
      </c>
      <c r="AW978">
        <v>1</v>
      </c>
      <c r="BB978">
        <v>51</v>
      </c>
      <c r="BC978">
        <v>53</v>
      </c>
      <c r="BE978" t="s">
        <v>6270</v>
      </c>
      <c r="BF978" t="str">
        <f>HYPERLINK("http://dx.doi.org/10.1007/s10517-012-1640-9","http://dx.doi.org/10.1007/s10517-012-1640-9")</f>
        <v>http://dx.doi.org/10.1007/s10517-012-1640-9</v>
      </c>
      <c r="BN978">
        <v>22808492</v>
      </c>
      <c r="BS978" t="s">
        <v>6271</v>
      </c>
      <c r="BT978" t="str">
        <f>HYPERLINK("https%3A%2F%2Fwww.webofscience.com%2Fwos%2Fwoscc%2Ffull-record%2FWOS:000305517000014","View Full Record in Web of Science")</f>
        <v>View Full Record in Web of Science</v>
      </c>
    </row>
    <row r="979" spans="1:72" ht="12.75" customHeight="1" x14ac:dyDescent="0.2">
      <c r="A979" t="s">
        <v>72</v>
      </c>
      <c r="B979" t="s">
        <v>6272</v>
      </c>
      <c r="F979" t="s">
        <v>6273</v>
      </c>
      <c r="I979" t="s">
        <v>6274</v>
      </c>
      <c r="J979" t="s">
        <v>4849</v>
      </c>
      <c r="AA979" t="s">
        <v>4850</v>
      </c>
      <c r="AB979" t="s">
        <v>4851</v>
      </c>
      <c r="AO979" t="s">
        <v>4852</v>
      </c>
      <c r="AP979" t="s">
        <v>4853</v>
      </c>
      <c r="AT979" t="s">
        <v>125</v>
      </c>
      <c r="AU979">
        <v>2023</v>
      </c>
      <c r="AV979">
        <v>102</v>
      </c>
      <c r="AW979">
        <v>1</v>
      </c>
      <c r="BB979">
        <v>119</v>
      </c>
      <c r="BC979">
        <v>120</v>
      </c>
      <c r="BE979" t="s">
        <v>6275</v>
      </c>
      <c r="BF979" t="str">
        <f>HYPERLINK("http://dx.doi.org/10.1111/tan.15032","http://dx.doi.org/10.1111/tan.15032")</f>
        <v>http://dx.doi.org/10.1111/tan.15032</v>
      </c>
      <c r="BH979" t="s">
        <v>5539</v>
      </c>
      <c r="BN979">
        <v>36961290</v>
      </c>
      <c r="BS979" t="s">
        <v>6276</v>
      </c>
      <c r="BT979" t="str">
        <f>HYPERLINK("https%3A%2F%2Fwww.webofscience.com%2Fwos%2Fwoscc%2Ffull-record%2FWOS:000955728700001","View Full Record in Web of Science")</f>
        <v>View Full Record in Web of Science</v>
      </c>
    </row>
    <row r="980" spans="1:72" ht="12.75" customHeight="1" x14ac:dyDescent="0.2">
      <c r="A980" t="s">
        <v>72</v>
      </c>
      <c r="B980" t="s">
        <v>6277</v>
      </c>
      <c r="F980" t="s">
        <v>6278</v>
      </c>
      <c r="I980" t="s">
        <v>6279</v>
      </c>
      <c r="J980" t="s">
        <v>131</v>
      </c>
      <c r="AA980" t="s">
        <v>6280</v>
      </c>
      <c r="AB980" t="s">
        <v>6281</v>
      </c>
      <c r="AO980" t="s">
        <v>134</v>
      </c>
      <c r="AP980" t="s">
        <v>135</v>
      </c>
      <c r="AU980">
        <v>2022</v>
      </c>
      <c r="AV980">
        <v>22</v>
      </c>
      <c r="AW980">
        <v>1</v>
      </c>
      <c r="BB980">
        <v>42</v>
      </c>
      <c r="BC980">
        <v>49</v>
      </c>
      <c r="BE980" t="s">
        <v>6282</v>
      </c>
      <c r="BF980" t="str">
        <f>HYPERLINK("http://dx.doi.org/10.14529/hsm220106","http://dx.doi.org/10.14529/hsm220106")</f>
        <v>http://dx.doi.org/10.14529/hsm220106</v>
      </c>
      <c r="BS980" t="s">
        <v>6283</v>
      </c>
      <c r="BT980" t="str">
        <f>HYPERLINK("https%3A%2F%2Fwww.webofscience.com%2Fwos%2Fwoscc%2Ffull-record%2FWOS:000795506200006","View Full Record in Web of Science")</f>
        <v>View Full Record in Web of Science</v>
      </c>
    </row>
    <row r="981" spans="1:72" ht="12.75" customHeight="1" x14ac:dyDescent="0.2">
      <c r="A981" t="s">
        <v>147</v>
      </c>
      <c r="B981" t="s">
        <v>6284</v>
      </c>
      <c r="E981" t="s">
        <v>210</v>
      </c>
      <c r="F981" t="s">
        <v>6285</v>
      </c>
      <c r="I981" t="s">
        <v>6286</v>
      </c>
      <c r="J981" t="s">
        <v>571</v>
      </c>
      <c r="K981" t="s">
        <v>362</v>
      </c>
      <c r="O981" t="s">
        <v>572</v>
      </c>
      <c r="P981" t="s">
        <v>573</v>
      </c>
      <c r="Q981" t="s">
        <v>574</v>
      </c>
      <c r="R981" t="s">
        <v>575</v>
      </c>
      <c r="S981" t="s">
        <v>576</v>
      </c>
      <c r="AA981" t="s">
        <v>6287</v>
      </c>
      <c r="AB981" t="s">
        <v>6288</v>
      </c>
      <c r="AO981" t="s">
        <v>369</v>
      </c>
      <c r="AQ981" t="s">
        <v>579</v>
      </c>
      <c r="AU981">
        <v>2019</v>
      </c>
      <c r="BB981">
        <v>255</v>
      </c>
      <c r="BC981">
        <v>262</v>
      </c>
      <c r="BS981" t="s">
        <v>6289</v>
      </c>
      <c r="BT981" t="str">
        <f>HYPERLINK("https%3A%2F%2Fwww.webofscience.com%2Fwos%2Fwoscc%2Ffull-record%2FWOS:000469999300036","View Full Record in Web of Science")</f>
        <v>View Full Record in Web of Science</v>
      </c>
    </row>
    <row r="982" spans="1:72" ht="12.75" customHeight="1" x14ac:dyDescent="0.2">
      <c r="A982" t="s">
        <v>72</v>
      </c>
      <c r="B982" t="s">
        <v>6290</v>
      </c>
      <c r="F982" t="s">
        <v>6291</v>
      </c>
      <c r="I982" t="s">
        <v>6292</v>
      </c>
      <c r="J982" t="s">
        <v>6293</v>
      </c>
      <c r="AA982" t="s">
        <v>6294</v>
      </c>
      <c r="AB982" t="s">
        <v>6295</v>
      </c>
      <c r="AP982" t="s">
        <v>6296</v>
      </c>
      <c r="AT982" t="s">
        <v>125</v>
      </c>
      <c r="AU982">
        <v>2019</v>
      </c>
      <c r="AV982">
        <v>11</v>
      </c>
      <c r="AW982">
        <v>7</v>
      </c>
      <c r="BD982">
        <v>624</v>
      </c>
      <c r="BE982" t="s">
        <v>6297</v>
      </c>
      <c r="BF982" t="str">
        <f>HYPERLINK("http://dx.doi.org/10.3390/v11070624","http://dx.doi.org/10.3390/v11070624")</f>
        <v>http://dx.doi.org/10.3390/v11070624</v>
      </c>
      <c r="BN982">
        <v>31284652</v>
      </c>
      <c r="BS982" t="s">
        <v>6298</v>
      </c>
      <c r="BT982" t="str">
        <f>HYPERLINK("https%3A%2F%2Fwww.webofscience.com%2Fwos%2Fwoscc%2Ffull-record%2FWOS:000478667800002","View Full Record in Web of Science")</f>
        <v>View Full Record in Web of Science</v>
      </c>
    </row>
    <row r="983" spans="1:72" ht="12.75" customHeight="1" x14ac:dyDescent="0.2">
      <c r="A983" t="s">
        <v>72</v>
      </c>
      <c r="B983" t="s">
        <v>6299</v>
      </c>
      <c r="F983" t="s">
        <v>6300</v>
      </c>
      <c r="I983" t="s">
        <v>6301</v>
      </c>
      <c r="J983" t="s">
        <v>861</v>
      </c>
      <c r="AA983" t="s">
        <v>6302</v>
      </c>
      <c r="AB983" t="s">
        <v>6303</v>
      </c>
      <c r="AO983" t="s">
        <v>864</v>
      </c>
      <c r="AP983" t="s">
        <v>865</v>
      </c>
      <c r="AU983">
        <v>2019</v>
      </c>
      <c r="AV983">
        <v>62</v>
      </c>
      <c r="AW983">
        <v>11</v>
      </c>
      <c r="BB983">
        <v>106</v>
      </c>
      <c r="BC983">
        <v>111</v>
      </c>
      <c r="BE983" t="s">
        <v>6304</v>
      </c>
      <c r="BF983" t="str">
        <f>HYPERLINK("http://dx.doi.org/10.6060/ivkkt.20196211.5979","http://dx.doi.org/10.6060/ivkkt.20196211.5979")</f>
        <v>http://dx.doi.org/10.6060/ivkkt.20196211.5979</v>
      </c>
      <c r="BS983" t="s">
        <v>6305</v>
      </c>
      <c r="BT983" t="str">
        <f>HYPERLINK("https%3A%2F%2Fwww.webofscience.com%2Fwos%2Fwoscc%2Ffull-record%2FWOS:000497988300011","View Full Record in Web of Science")</f>
        <v>View Full Record in Web of Science</v>
      </c>
    </row>
    <row r="984" spans="1:72" ht="12.75" customHeight="1" x14ac:dyDescent="0.2">
      <c r="A984" t="s">
        <v>72</v>
      </c>
      <c r="B984" t="s">
        <v>6306</v>
      </c>
      <c r="F984" t="s">
        <v>6306</v>
      </c>
      <c r="I984" t="s">
        <v>6307</v>
      </c>
      <c r="J984" t="s">
        <v>6308</v>
      </c>
      <c r="AA984" t="s">
        <v>6309</v>
      </c>
      <c r="AB984" t="s">
        <v>6310</v>
      </c>
      <c r="AO984" t="s">
        <v>6311</v>
      </c>
      <c r="AT984" t="s">
        <v>541</v>
      </c>
      <c r="AU984">
        <v>1997</v>
      </c>
      <c r="AV984">
        <v>352</v>
      </c>
      <c r="AW984">
        <v>1</v>
      </c>
      <c r="BB984">
        <v>124</v>
      </c>
      <c r="BC984">
        <v>126</v>
      </c>
      <c r="BN984">
        <v>9102096</v>
      </c>
      <c r="BS984" t="s">
        <v>6312</v>
      </c>
      <c r="BT984" t="str">
        <f>HYPERLINK("https%3A%2F%2Fwww.webofscience.com%2Fwos%2Fwoscc%2Ffull-record%2FWOS:A1997WP64600032","View Full Record in Web of Science")</f>
        <v>View Full Record in Web of Science</v>
      </c>
    </row>
    <row r="985" spans="1:72" ht="12.75" customHeight="1" x14ac:dyDescent="0.2">
      <c r="A985" t="s">
        <v>147</v>
      </c>
      <c r="B985" t="s">
        <v>6313</v>
      </c>
      <c r="E985" t="s">
        <v>1465</v>
      </c>
      <c r="F985" t="s">
        <v>6314</v>
      </c>
      <c r="I985" t="s">
        <v>6315</v>
      </c>
      <c r="J985" t="s">
        <v>1468</v>
      </c>
      <c r="K985" t="s">
        <v>1469</v>
      </c>
      <c r="O985" t="s">
        <v>1277</v>
      </c>
      <c r="P985" t="s">
        <v>771</v>
      </c>
      <c r="Q985" t="s">
        <v>1470</v>
      </c>
      <c r="R985" t="s">
        <v>1471</v>
      </c>
      <c r="AB985" t="s">
        <v>6316</v>
      </c>
      <c r="AO985" t="s">
        <v>1472</v>
      </c>
      <c r="AU985">
        <v>2020</v>
      </c>
      <c r="AV985">
        <v>971</v>
      </c>
      <c r="BD985">
        <v>22047</v>
      </c>
      <c r="BE985" t="s">
        <v>6317</v>
      </c>
      <c r="BF985" t="str">
        <f>HYPERLINK("http://dx.doi.org/10.1088/1757-899X/971/2/022047","http://dx.doi.org/10.1088/1757-899X/971/2/022047")</f>
        <v>http://dx.doi.org/10.1088/1757-899X/971/2/022047</v>
      </c>
      <c r="BS985" t="s">
        <v>6318</v>
      </c>
      <c r="BT985" t="str">
        <f>HYPERLINK("https%3A%2F%2Fwww.webofscience.com%2Fwos%2Fwoscc%2Ffull-record%2FWOS:000646359100047","View Full Record in Web of Science")</f>
        <v>View Full Record in Web of Science</v>
      </c>
    </row>
    <row r="986" spans="1:72" ht="12.75" customHeight="1" x14ac:dyDescent="0.2">
      <c r="A986" t="s">
        <v>72</v>
      </c>
      <c r="B986" t="s">
        <v>6319</v>
      </c>
      <c r="F986" t="s">
        <v>6320</v>
      </c>
      <c r="I986" t="s">
        <v>6321</v>
      </c>
      <c r="J986" t="s">
        <v>6322</v>
      </c>
      <c r="AA986" t="s">
        <v>6323</v>
      </c>
      <c r="AB986" t="s">
        <v>6324</v>
      </c>
      <c r="AP986" t="s">
        <v>6325</v>
      </c>
      <c r="AT986" t="s">
        <v>198</v>
      </c>
      <c r="AU986">
        <v>2021</v>
      </c>
      <c r="AV986">
        <v>13</v>
      </c>
      <c r="AW986">
        <v>7</v>
      </c>
      <c r="BD986">
        <v>1101</v>
      </c>
      <c r="BE986" t="s">
        <v>6326</v>
      </c>
      <c r="BF986" t="str">
        <f>HYPERLINK("http://dx.doi.org/10.3390/polym13071101","http://dx.doi.org/10.3390/polym13071101")</f>
        <v>http://dx.doi.org/10.3390/polym13071101</v>
      </c>
      <c r="BN986">
        <v>33808356</v>
      </c>
      <c r="BS986" t="s">
        <v>6327</v>
      </c>
      <c r="BT986" t="str">
        <f>HYPERLINK("https%3A%2F%2Fwww.webofscience.com%2Fwos%2Fwoscc%2Ffull-record%2FWOS:000638769200001","View Full Record in Web of Science")</f>
        <v>View Full Record in Web of Science</v>
      </c>
    </row>
    <row r="987" spans="1:72" ht="12.75" customHeight="1" x14ac:dyDescent="0.2">
      <c r="A987" t="s">
        <v>147</v>
      </c>
      <c r="B987" t="s">
        <v>6328</v>
      </c>
      <c r="D987" t="s">
        <v>249</v>
      </c>
      <c r="F987" t="s">
        <v>6329</v>
      </c>
      <c r="I987" t="s">
        <v>6330</v>
      </c>
      <c r="J987" t="s">
        <v>1371</v>
      </c>
      <c r="O987" t="s">
        <v>1372</v>
      </c>
      <c r="P987" t="s">
        <v>1373</v>
      </c>
      <c r="Q987" t="s">
        <v>256</v>
      </c>
      <c r="S987" t="s">
        <v>257</v>
      </c>
      <c r="AQ987" t="s">
        <v>1374</v>
      </c>
      <c r="AU987">
        <v>2019</v>
      </c>
      <c r="BB987">
        <v>1069</v>
      </c>
      <c r="BC987">
        <v>1080</v>
      </c>
      <c r="BE987" t="s">
        <v>6331</v>
      </c>
      <c r="BF987" t="str">
        <f>HYPERLINK("http://dx.doi.org/10.3897/ap.1.e1014","http://dx.doi.org/10.3897/ap.1.e1014")</f>
        <v>http://dx.doi.org/10.3897/ap.1.e1014</v>
      </c>
      <c r="BS987" t="s">
        <v>6332</v>
      </c>
      <c r="BT987" t="str">
        <f>HYPERLINK("https%3A%2F%2Fwww.webofscience.com%2Fwos%2Fwoscc%2Ffull-record%2FWOS:000520005200105","View Full Record in Web of Science")</f>
        <v>View Full Record in Web of Science</v>
      </c>
    </row>
    <row r="988" spans="1:72" ht="12.75" customHeight="1" x14ac:dyDescent="0.2">
      <c r="A988" t="s">
        <v>147</v>
      </c>
      <c r="B988" t="s">
        <v>6333</v>
      </c>
      <c r="E988" t="s">
        <v>280</v>
      </c>
      <c r="F988" t="s">
        <v>6334</v>
      </c>
      <c r="I988" t="s">
        <v>6335</v>
      </c>
      <c r="J988" t="s">
        <v>6336</v>
      </c>
      <c r="K988" t="s">
        <v>284</v>
      </c>
      <c r="O988" t="s">
        <v>2575</v>
      </c>
      <c r="P988" t="s">
        <v>2576</v>
      </c>
      <c r="Q988" t="s">
        <v>287</v>
      </c>
      <c r="R988" t="s">
        <v>4476</v>
      </c>
      <c r="AA988" t="s">
        <v>6337</v>
      </c>
      <c r="AB988" t="s">
        <v>6338</v>
      </c>
      <c r="AO988" t="s">
        <v>289</v>
      </c>
      <c r="AQ988" t="s">
        <v>6339</v>
      </c>
      <c r="AU988">
        <v>2016</v>
      </c>
      <c r="BB988">
        <v>277</v>
      </c>
      <c r="BC988">
        <v>286</v>
      </c>
      <c r="BS988" t="s">
        <v>6340</v>
      </c>
      <c r="BT988" t="str">
        <f>HYPERLINK("https%3A%2F%2Fwww.webofscience.com%2Fwos%2Fwoscc%2Ffull-record%2FWOS:000395727400036","View Full Record in Web of Science")</f>
        <v>View Full Record in Web of Science</v>
      </c>
    </row>
    <row r="989" spans="1:72" ht="12.75" customHeight="1" x14ac:dyDescent="0.2">
      <c r="A989" t="s">
        <v>147</v>
      </c>
      <c r="B989" t="s">
        <v>6341</v>
      </c>
      <c r="D989" t="s">
        <v>6342</v>
      </c>
      <c r="F989" t="s">
        <v>6343</v>
      </c>
      <c r="I989" t="s">
        <v>6344</v>
      </c>
      <c r="J989" t="s">
        <v>6345</v>
      </c>
      <c r="K989" t="s">
        <v>253</v>
      </c>
      <c r="O989" t="s">
        <v>6346</v>
      </c>
      <c r="P989" t="s">
        <v>6347</v>
      </c>
      <c r="Q989" t="s">
        <v>6348</v>
      </c>
      <c r="S989" t="s">
        <v>6349</v>
      </c>
      <c r="AA989" t="s">
        <v>6350</v>
      </c>
      <c r="AB989" t="s">
        <v>5141</v>
      </c>
      <c r="AP989" t="s">
        <v>259</v>
      </c>
      <c r="AU989">
        <v>2020</v>
      </c>
      <c r="AV989">
        <v>98</v>
      </c>
      <c r="BB989">
        <v>344</v>
      </c>
      <c r="BC989">
        <v>358</v>
      </c>
      <c r="BE989" t="s">
        <v>6351</v>
      </c>
      <c r="BF989" t="str">
        <f>HYPERLINK("http://dx.doi.org/10.15405/epsbs.2020.12.03.36","http://dx.doi.org/10.15405/epsbs.2020.12.03.36")</f>
        <v>http://dx.doi.org/10.15405/epsbs.2020.12.03.36</v>
      </c>
      <c r="BS989" t="s">
        <v>6352</v>
      </c>
      <c r="BT989" t="str">
        <f>HYPERLINK("https%3A%2F%2Fwww.webofscience.com%2Fwos%2Fwoscc%2Ffull-record%2FWOS:000758194100036","View Full Record in Web of Science")</f>
        <v>View Full Record in Web of Science</v>
      </c>
    </row>
    <row r="990" spans="1:72" ht="12.75" customHeight="1" x14ac:dyDescent="0.2">
      <c r="A990" t="s">
        <v>72</v>
      </c>
      <c r="B990" t="s">
        <v>6353</v>
      </c>
      <c r="F990" t="s">
        <v>6354</v>
      </c>
      <c r="I990" t="s">
        <v>6355</v>
      </c>
      <c r="J990" t="s">
        <v>4849</v>
      </c>
      <c r="AA990" t="s">
        <v>4850</v>
      </c>
      <c r="AB990" t="s">
        <v>4851</v>
      </c>
      <c r="AO990" t="s">
        <v>4852</v>
      </c>
      <c r="AP990" t="s">
        <v>4853</v>
      </c>
      <c r="AT990" t="s">
        <v>491</v>
      </c>
      <c r="AU990">
        <v>2023</v>
      </c>
      <c r="AV990">
        <v>101</v>
      </c>
      <c r="AW990">
        <v>6</v>
      </c>
      <c r="BB990">
        <v>691</v>
      </c>
      <c r="BC990">
        <v>692</v>
      </c>
      <c r="BE990" t="s">
        <v>6356</v>
      </c>
      <c r="BF990" t="str">
        <f>HYPERLINK("http://dx.doi.org/10.1111/tan.14967","http://dx.doi.org/10.1111/tan.14967")</f>
        <v>http://dx.doi.org/10.1111/tan.14967</v>
      </c>
      <c r="BH990" t="s">
        <v>6093</v>
      </c>
      <c r="BN990">
        <v>36617676</v>
      </c>
      <c r="BS990" t="s">
        <v>6357</v>
      </c>
      <c r="BT990" t="str">
        <f>HYPERLINK("https%3A%2F%2Fwww.webofscience.com%2Fwos%2Fwoscc%2Ffull-record%2FWOS:000913829400001","View Full Record in Web of Science")</f>
        <v>View Full Record in Web of Science</v>
      </c>
    </row>
    <row r="991" spans="1:72" ht="12.75" customHeight="1" x14ac:dyDescent="0.2">
      <c r="A991" t="s">
        <v>72</v>
      </c>
      <c r="B991" t="s">
        <v>6358</v>
      </c>
      <c r="F991" t="s">
        <v>6358</v>
      </c>
      <c r="I991" t="s">
        <v>6359</v>
      </c>
      <c r="J991" t="s">
        <v>6308</v>
      </c>
      <c r="AA991" t="s">
        <v>6360</v>
      </c>
      <c r="AB991" t="s">
        <v>6361</v>
      </c>
      <c r="AO991" t="s">
        <v>6311</v>
      </c>
      <c r="AT991" t="s">
        <v>403</v>
      </c>
      <c r="AU991">
        <v>1996</v>
      </c>
      <c r="AV991">
        <v>351</v>
      </c>
      <c r="AW991">
        <v>4</v>
      </c>
      <c r="BB991">
        <v>565</v>
      </c>
      <c r="BC991">
        <v>566</v>
      </c>
      <c r="BS991" t="s">
        <v>6362</v>
      </c>
      <c r="BT991" t="str">
        <f>HYPERLINK("https%3A%2F%2Fwww.webofscience.com%2Fwos%2Fwoscc%2Ffull-record%2FWOS:A1996WM80200035","View Full Record in Web of Science")</f>
        <v>View Full Record in Web of Science</v>
      </c>
    </row>
    <row r="992" spans="1:72" ht="12.75" customHeight="1" x14ac:dyDescent="0.2">
      <c r="A992" t="s">
        <v>72</v>
      </c>
      <c r="B992" t="s">
        <v>6363</v>
      </c>
      <c r="F992" t="s">
        <v>6364</v>
      </c>
      <c r="I992" t="s">
        <v>6365</v>
      </c>
      <c r="J992" t="s">
        <v>2653</v>
      </c>
      <c r="AA992" t="s">
        <v>6366</v>
      </c>
      <c r="AB992" t="s">
        <v>6367</v>
      </c>
      <c r="AO992" t="s">
        <v>2656</v>
      </c>
      <c r="AP992" t="s">
        <v>2657</v>
      </c>
      <c r="AU992">
        <v>2020</v>
      </c>
      <c r="AV992">
        <v>22</v>
      </c>
      <c r="AW992">
        <v>2</v>
      </c>
      <c r="BB992">
        <v>288</v>
      </c>
      <c r="BC992">
        <v>300</v>
      </c>
      <c r="BE992" t="s">
        <v>6368</v>
      </c>
      <c r="BF992" t="str">
        <f>HYPERLINK("http://dx.doi.org/10.15826/izv2.2020.22.2.038","http://dx.doi.org/10.15826/izv2.2020.22.2.038")</f>
        <v>http://dx.doi.org/10.15826/izv2.2020.22.2.038</v>
      </c>
      <c r="BS992" t="s">
        <v>6369</v>
      </c>
      <c r="BT992" t="str">
        <f>HYPERLINK("https%3A%2F%2Fwww.webofscience.com%2Fwos%2Fwoscc%2Ffull-record%2FWOS:000545469200019","View Full Record in Web of Science")</f>
        <v>View Full Record in Web of Science</v>
      </c>
    </row>
    <row r="993" spans="1:75" ht="12.75" customHeight="1" x14ac:dyDescent="0.2">
      <c r="A993" t="s">
        <v>72</v>
      </c>
      <c r="B993" t="s">
        <v>6370</v>
      </c>
      <c r="F993" t="s">
        <v>6371</v>
      </c>
      <c r="I993" t="s">
        <v>6372</v>
      </c>
      <c r="J993" t="s">
        <v>6373</v>
      </c>
      <c r="AO993" t="s">
        <v>6374</v>
      </c>
      <c r="AT993" t="s">
        <v>6375</v>
      </c>
      <c r="AU993">
        <v>2022</v>
      </c>
      <c r="AV993">
        <v>10</v>
      </c>
      <c r="BD993">
        <v>943447</v>
      </c>
      <c r="BE993" t="s">
        <v>6376</v>
      </c>
      <c r="BF993" t="str">
        <f>HYPERLINK("http://dx.doi.org/10.3389/fenrg.2022.943447","http://dx.doi.org/10.3389/fenrg.2022.943447")</f>
        <v>http://dx.doi.org/10.3389/fenrg.2022.943447</v>
      </c>
      <c r="BS993" t="s">
        <v>6377</v>
      </c>
      <c r="BT993" t="str">
        <f>HYPERLINK("https%3A%2F%2Fwww.webofscience.com%2Fwos%2Fwoscc%2Ffull-record%2FWOS:000843654400001","View Full Record in Web of Science")</f>
        <v>View Full Record in Web of Science</v>
      </c>
    </row>
    <row r="994" spans="1:75" ht="12.75" customHeight="1" x14ac:dyDescent="0.2">
      <c r="A994" t="s">
        <v>72</v>
      </c>
      <c r="B994" t="s">
        <v>378</v>
      </c>
      <c r="F994" t="s">
        <v>2100</v>
      </c>
      <c r="I994" t="s">
        <v>6378</v>
      </c>
      <c r="J994" t="s">
        <v>6379</v>
      </c>
      <c r="AA994" t="s">
        <v>553</v>
      </c>
      <c r="AB994" t="s">
        <v>554</v>
      </c>
      <c r="AO994" t="s">
        <v>6380</v>
      </c>
      <c r="AP994" t="s">
        <v>6381</v>
      </c>
      <c r="AT994" t="s">
        <v>541</v>
      </c>
      <c r="AU994">
        <v>2022</v>
      </c>
      <c r="AV994">
        <v>11</v>
      </c>
      <c r="AW994">
        <v>1</v>
      </c>
      <c r="BD994">
        <v>23</v>
      </c>
      <c r="BE994" t="s">
        <v>6382</v>
      </c>
      <c r="BF994" t="str">
        <f>HYPERLINK("http://dx.doi.org/10.4103/jehp.jehp_413_21","http://dx.doi.org/10.4103/jehp.jehp_413_21")</f>
        <v>http://dx.doi.org/10.4103/jehp.jehp_413_21</v>
      </c>
      <c r="BN994">
        <v>35281404</v>
      </c>
      <c r="BS994" t="s">
        <v>6383</v>
      </c>
      <c r="BT994" t="str">
        <f>HYPERLINK("https%3A%2F%2Fwww.webofscience.com%2Fwos%2Fwoscc%2Ffull-record%2FWOS:000766948600023","View Full Record in Web of Science")</f>
        <v>View Full Record in Web of Science</v>
      </c>
    </row>
    <row r="995" spans="1:75" ht="12.75" customHeight="1" x14ac:dyDescent="0.2">
      <c r="A995" t="s">
        <v>147</v>
      </c>
      <c r="B995" t="s">
        <v>6384</v>
      </c>
      <c r="D995" t="s">
        <v>2517</v>
      </c>
      <c r="F995" t="s">
        <v>6385</v>
      </c>
      <c r="I995" t="s">
        <v>6386</v>
      </c>
      <c r="J995" t="s">
        <v>6387</v>
      </c>
      <c r="K995" t="s">
        <v>2521</v>
      </c>
      <c r="O995" t="s">
        <v>6388</v>
      </c>
      <c r="P995" t="s">
        <v>6389</v>
      </c>
      <c r="Q995" t="s">
        <v>2524</v>
      </c>
      <c r="R995" t="s">
        <v>6390</v>
      </c>
      <c r="AA995" t="s">
        <v>6391</v>
      </c>
      <c r="AB995" t="s">
        <v>6392</v>
      </c>
      <c r="AO995" t="s">
        <v>2527</v>
      </c>
      <c r="AU995">
        <v>2016</v>
      </c>
      <c r="BB995">
        <v>1072</v>
      </c>
      <c r="BC995">
        <v>1076</v>
      </c>
      <c r="BS995" t="s">
        <v>6393</v>
      </c>
      <c r="BT995" t="str">
        <f>HYPERLINK("https%3A%2F%2Fwww.webofscience.com%2Fwos%2Fwoscc%2Ffull-record%2FWOS:000390059500167","View Full Record in Web of Science")</f>
        <v>View Full Record in Web of Science</v>
      </c>
    </row>
    <row r="996" spans="1:75" ht="12.75" customHeight="1" x14ac:dyDescent="0.2">
      <c r="A996" t="s">
        <v>72</v>
      </c>
      <c r="B996" t="s">
        <v>6394</v>
      </c>
      <c r="F996" t="s">
        <v>6395</v>
      </c>
      <c r="I996" t="s">
        <v>6396</v>
      </c>
      <c r="J996" t="s">
        <v>409</v>
      </c>
      <c r="AA996" t="s">
        <v>6397</v>
      </c>
      <c r="AB996" t="s">
        <v>6398</v>
      </c>
      <c r="AO996" t="s">
        <v>412</v>
      </c>
      <c r="AP996" t="s">
        <v>413</v>
      </c>
      <c r="AT996" t="s">
        <v>655</v>
      </c>
      <c r="AU996">
        <v>2015</v>
      </c>
      <c r="AV996">
        <v>88</v>
      </c>
      <c r="AW996">
        <v>2</v>
      </c>
      <c r="BB996">
        <v>208</v>
      </c>
      <c r="BC996">
        <v>215</v>
      </c>
      <c r="BE996" t="s">
        <v>6399</v>
      </c>
      <c r="BF996" t="str">
        <f>HYPERLINK("http://dx.doi.org/10.1134/S1070427215020044","http://dx.doi.org/10.1134/S1070427215020044")</f>
        <v>http://dx.doi.org/10.1134/S1070427215020044</v>
      </c>
      <c r="BS996" t="s">
        <v>6400</v>
      </c>
      <c r="BT996" t="str">
        <f>HYPERLINK("https%3A%2F%2Fwww.webofscience.com%2Fwos%2Fwoscc%2Ffull-record%2FWOS:000355184300004","View Full Record in Web of Science")</f>
        <v>View Full Record in Web of Science</v>
      </c>
    </row>
    <row r="997" spans="1:75" ht="12.75" customHeight="1" x14ac:dyDescent="0.2">
      <c r="A997" t="s">
        <v>72</v>
      </c>
      <c r="B997" t="s">
        <v>6401</v>
      </c>
      <c r="F997" t="s">
        <v>6402</v>
      </c>
      <c r="I997" t="s">
        <v>6403</v>
      </c>
      <c r="J997" t="s">
        <v>6404</v>
      </c>
      <c r="AA997" t="s">
        <v>6405</v>
      </c>
      <c r="AB997" t="s">
        <v>6406</v>
      </c>
      <c r="AO997" t="s">
        <v>6407</v>
      </c>
      <c r="AP997" t="s">
        <v>6408</v>
      </c>
      <c r="AT997" t="s">
        <v>1167</v>
      </c>
      <c r="AU997">
        <v>2022</v>
      </c>
      <c r="AV997">
        <v>13</v>
      </c>
      <c r="AW997">
        <v>4</v>
      </c>
      <c r="BB997">
        <v>684</v>
      </c>
      <c r="BC997">
        <v>694</v>
      </c>
      <c r="BE997" t="s">
        <v>6409</v>
      </c>
      <c r="BF997" t="str">
        <f>HYPERLINK("http://dx.doi.org/10.1111/ijag.16578","http://dx.doi.org/10.1111/ijag.16578")</f>
        <v>http://dx.doi.org/10.1111/ijag.16578</v>
      </c>
      <c r="BH997" t="s">
        <v>90</v>
      </c>
      <c r="BS997" t="s">
        <v>6410</v>
      </c>
      <c r="BT997" t="str">
        <f>HYPERLINK("https%3A%2F%2Fwww.webofscience.com%2Fwos%2Fwoscc%2Ffull-record%2FWOS:000780783500001","View Full Record in Web of Science")</f>
        <v>View Full Record in Web of Science</v>
      </c>
    </row>
    <row r="998" spans="1:75" ht="12.75" customHeight="1" x14ac:dyDescent="0.2">
      <c r="A998" t="s">
        <v>147</v>
      </c>
      <c r="B998" t="s">
        <v>6411</v>
      </c>
      <c r="D998" t="s">
        <v>1062</v>
      </c>
      <c r="F998" t="s">
        <v>6412</v>
      </c>
      <c r="I998" t="s">
        <v>6413</v>
      </c>
      <c r="J998" t="s">
        <v>1065</v>
      </c>
      <c r="K998" t="s">
        <v>253</v>
      </c>
      <c r="O998" t="s">
        <v>1066</v>
      </c>
      <c r="P998" t="s">
        <v>1067</v>
      </c>
      <c r="Q998" t="s">
        <v>1068</v>
      </c>
      <c r="R998" t="s">
        <v>1069</v>
      </c>
      <c r="S998" t="s">
        <v>1070</v>
      </c>
      <c r="AP998" t="s">
        <v>259</v>
      </c>
      <c r="AQ998" t="s">
        <v>1071</v>
      </c>
      <c r="AU998">
        <v>2021</v>
      </c>
      <c r="AV998">
        <v>114</v>
      </c>
      <c r="BB998">
        <v>366</v>
      </c>
      <c r="BC998">
        <v>372</v>
      </c>
      <c r="BE998" t="s">
        <v>6414</v>
      </c>
      <c r="BF998" t="str">
        <f>HYPERLINK("http://dx.doi.org/10.15405/epsbs.2021.07.02.43","http://dx.doi.org/10.15405/epsbs.2021.07.02.43")</f>
        <v>http://dx.doi.org/10.15405/epsbs.2021.07.02.43</v>
      </c>
      <c r="BS998" t="s">
        <v>6415</v>
      </c>
      <c r="BT998" t="str">
        <f>HYPERLINK("https%3A%2F%2Fwww.webofscience.com%2Fwos%2Fwoscc%2Ffull-record%2FWOS:000771919100043","View Full Record in Web of Science")</f>
        <v>View Full Record in Web of Science</v>
      </c>
    </row>
    <row r="999" spans="1:75" ht="12.75" customHeight="1" x14ac:dyDescent="0.2">
      <c r="A999" t="s">
        <v>72</v>
      </c>
      <c r="B999" t="s">
        <v>6416</v>
      </c>
      <c r="F999" t="s">
        <v>6417</v>
      </c>
      <c r="I999" t="s">
        <v>6418</v>
      </c>
      <c r="J999" t="s">
        <v>6419</v>
      </c>
      <c r="AA999" t="s">
        <v>6420</v>
      </c>
      <c r="AB999" t="s">
        <v>6421</v>
      </c>
      <c r="AO999" t="s">
        <v>6422</v>
      </c>
      <c r="AP999" t="s">
        <v>6423</v>
      </c>
      <c r="AT999" t="s">
        <v>403</v>
      </c>
      <c r="AU999">
        <v>2012</v>
      </c>
      <c r="AV999">
        <v>38</v>
      </c>
      <c r="AW999">
        <v>7</v>
      </c>
      <c r="BB999">
        <v>697</v>
      </c>
      <c r="BC999">
        <v>701</v>
      </c>
      <c r="BE999" t="s">
        <v>6424</v>
      </c>
      <c r="BF999" t="str">
        <f>HYPERLINK("http://dx.doi.org/10.1134/S1068162012070230","http://dx.doi.org/10.1134/S1068162012070230")</f>
        <v>http://dx.doi.org/10.1134/S1068162012070230</v>
      </c>
      <c r="BS999" t="s">
        <v>6425</v>
      </c>
      <c r="BT999" t="str">
        <f>HYPERLINK("https%3A%2F%2Fwww.webofscience.com%2Fwos%2Fwoscc%2Ffull-record%2FWOS:000312062700003","View Full Record in Web of Science")</f>
        <v>View Full Record in Web of Science</v>
      </c>
    </row>
    <row r="1000" spans="1:75" ht="12.75" customHeight="1" x14ac:dyDescent="0.2">
      <c r="A1000" t="s">
        <v>72</v>
      </c>
      <c r="B1000" t="s">
        <v>6426</v>
      </c>
      <c r="F1000" t="s">
        <v>6427</v>
      </c>
      <c r="I1000" t="s">
        <v>6428</v>
      </c>
      <c r="J1000" t="s">
        <v>4849</v>
      </c>
      <c r="AA1000" t="s">
        <v>4850</v>
      </c>
      <c r="AB1000" t="s">
        <v>4851</v>
      </c>
      <c r="AO1000" t="s">
        <v>4852</v>
      </c>
      <c r="AP1000" t="s">
        <v>4853</v>
      </c>
      <c r="AT1000" t="s">
        <v>1173</v>
      </c>
      <c r="AU1000">
        <v>2022</v>
      </c>
      <c r="AV1000">
        <v>100</v>
      </c>
      <c r="AW1000">
        <v>2</v>
      </c>
      <c r="BB1000">
        <v>174</v>
      </c>
      <c r="BC1000">
        <v>176</v>
      </c>
      <c r="BE1000" t="s">
        <v>6429</v>
      </c>
      <c r="BF1000" t="str">
        <f>HYPERLINK("http://dx.doi.org/10.1111/tan.14639","http://dx.doi.org/10.1111/tan.14639")</f>
        <v>http://dx.doi.org/10.1111/tan.14639</v>
      </c>
      <c r="BH1000" t="s">
        <v>2052</v>
      </c>
      <c r="BN1000">
        <v>35437912</v>
      </c>
      <c r="BS1000" t="s">
        <v>6430</v>
      </c>
      <c r="BT1000" t="str">
        <f>HYPERLINK("https%3A%2F%2Fwww.webofscience.com%2Fwos%2Fwoscc%2Ffull-record%2FWOS:000785894900001","View Full Record in Web of Science")</f>
        <v>View Full Record in Web of Science</v>
      </c>
    </row>
    <row r="1001" spans="1:75" ht="12.75" customHeight="1" x14ac:dyDescent="0.2">
      <c r="A1001" t="s">
        <v>72</v>
      </c>
      <c r="B1001" t="s">
        <v>6431</v>
      </c>
      <c r="F1001" t="s">
        <v>6432</v>
      </c>
      <c r="I1001" t="s">
        <v>6433</v>
      </c>
      <c r="J1001" t="s">
        <v>166</v>
      </c>
      <c r="AB1001" t="s">
        <v>6434</v>
      </c>
      <c r="AO1001" t="s">
        <v>169</v>
      </c>
      <c r="AP1001" t="s">
        <v>170</v>
      </c>
      <c r="AT1001" t="s">
        <v>491</v>
      </c>
      <c r="AU1001">
        <v>2021</v>
      </c>
      <c r="AV1001">
        <v>10</v>
      </c>
      <c r="AW1001">
        <v>2</v>
      </c>
      <c r="BB1001">
        <v>358</v>
      </c>
      <c r="BC1001">
        <v>374</v>
      </c>
      <c r="BE1001" t="s">
        <v>6435</v>
      </c>
      <c r="BF1001" t="str">
        <f>HYPERLINK("http://dx.doi.org/10.13187/ejced.2021.2.358","http://dx.doi.org/10.13187/ejced.2021.2.358")</f>
        <v>http://dx.doi.org/10.13187/ejced.2021.2.358</v>
      </c>
      <c r="BS1001" t="s">
        <v>6436</v>
      </c>
      <c r="BT1001" t="str">
        <f>HYPERLINK("https%3A%2F%2Fwww.webofscience.com%2Fwos%2Fwoscc%2Ffull-record%2FWOS:000669658200007","View Full Record in Web of Science")</f>
        <v>View Full Record in Web of Science</v>
      </c>
    </row>
    <row r="1002" spans="1:75" s="2" customFormat="1" ht="12.75" customHeight="1" x14ac:dyDescent="0.2">
      <c r="A1002" s="1" t="s">
        <v>72</v>
      </c>
      <c r="B1002" s="1" t="s">
        <v>6437</v>
      </c>
      <c r="C1002" s="1"/>
      <c r="D1002" s="1"/>
      <c r="E1002" s="1"/>
      <c r="F1002" s="1" t="s">
        <v>6438</v>
      </c>
      <c r="G1002" s="1"/>
      <c r="H1002" s="1"/>
      <c r="I1002" s="1" t="s">
        <v>6439</v>
      </c>
      <c r="J1002" s="1" t="s">
        <v>409</v>
      </c>
      <c r="K1002" s="1"/>
      <c r="L1002" s="1"/>
      <c r="M1002" s="1"/>
      <c r="N1002" s="1"/>
      <c r="O1002" s="1"/>
      <c r="P1002" s="1"/>
      <c r="Q1002" s="1"/>
      <c r="R1002" s="1"/>
      <c r="S1002" s="1"/>
      <c r="T1002" s="1"/>
      <c r="U1002" s="1"/>
      <c r="V1002" s="1"/>
      <c r="W1002" s="1"/>
      <c r="X1002" s="1"/>
      <c r="Y1002" s="1"/>
      <c r="Z1002" s="1"/>
      <c r="AA1002" s="1" t="s">
        <v>6440</v>
      </c>
      <c r="AB1002" s="1" t="s">
        <v>6441</v>
      </c>
      <c r="AC1002" s="1"/>
      <c r="AD1002" s="1"/>
      <c r="AE1002" s="1"/>
      <c r="AF1002" s="1"/>
      <c r="AG1002" s="1"/>
      <c r="AH1002" s="1"/>
      <c r="AI1002" s="1"/>
      <c r="AJ1002" s="1"/>
      <c r="AK1002" s="1"/>
      <c r="AL1002" s="1"/>
      <c r="AM1002" s="1"/>
      <c r="AN1002" s="1"/>
      <c r="AO1002" s="1" t="s">
        <v>412</v>
      </c>
      <c r="AP1002" s="1" t="s">
        <v>413</v>
      </c>
      <c r="AQ1002" s="1"/>
      <c r="AR1002" s="1"/>
      <c r="AS1002" s="1"/>
      <c r="AT1002" s="1" t="s">
        <v>171</v>
      </c>
      <c r="AU1002" s="1">
        <v>2021</v>
      </c>
      <c r="AV1002" s="1">
        <v>94</v>
      </c>
      <c r="AW1002" s="1">
        <v>3</v>
      </c>
      <c r="AX1002" s="1"/>
      <c r="AY1002" s="1"/>
      <c r="AZ1002" s="1"/>
      <c r="BA1002" s="1"/>
      <c r="BB1002" s="1">
        <v>323</v>
      </c>
      <c r="BC1002" s="1">
        <v>329</v>
      </c>
      <c r="BD1002" s="1"/>
      <c r="BE1002" s="1" t="s">
        <v>6442</v>
      </c>
      <c r="BF1002" s="1" t="str">
        <f>HYPERLINK("http://dx.doi.org/10.1134/S1070427221030083","http://dx.doi.org/10.1134/S1070427221030083")</f>
        <v>http://dx.doi.org/10.1134/S1070427221030083</v>
      </c>
      <c r="BG1002" s="1"/>
      <c r="BH1002" s="1"/>
      <c r="BI1002" s="1"/>
      <c r="BJ1002" s="1"/>
      <c r="BK1002" s="1"/>
      <c r="BL1002" s="1"/>
      <c r="BM1002" s="1"/>
      <c r="BN1002" s="1"/>
      <c r="BO1002" s="1"/>
      <c r="BP1002" s="1"/>
      <c r="BQ1002" s="1"/>
      <c r="BR1002" s="1"/>
      <c r="BS1002" s="1" t="s">
        <v>6443</v>
      </c>
      <c r="BT1002" s="1" t="str">
        <f>HYPERLINK("https%3A%2F%2Fwww.webofscience.com%2Fwos%2Fwoscc%2Ffull-record%2FWOS:000653905200008","View Full Record in Web of Science")</f>
        <v>View Full Record in Web of Science</v>
      </c>
      <c r="BU1002" s="1"/>
      <c r="BV1002" s="1"/>
      <c r="BW1002" s="1"/>
    </row>
    <row r="1003" spans="1:75" ht="12.75" customHeight="1" x14ac:dyDescent="0.2">
      <c r="A1003" s="1" t="s">
        <v>147</v>
      </c>
      <c r="B1003" s="1" t="s">
        <v>6444</v>
      </c>
      <c r="C1003" s="1"/>
      <c r="D1003" s="1"/>
      <c r="E1003" s="1" t="s">
        <v>1465</v>
      </c>
      <c r="F1003" s="1" t="s">
        <v>6445</v>
      </c>
      <c r="G1003" s="1"/>
      <c r="H1003" s="1"/>
      <c r="I1003" s="1" t="s">
        <v>6446</v>
      </c>
      <c r="J1003" s="1" t="s">
        <v>1468</v>
      </c>
      <c r="K1003" s="1" t="s">
        <v>1469</v>
      </c>
      <c r="L1003" s="1"/>
      <c r="M1003" s="1"/>
      <c r="N1003" s="1"/>
      <c r="O1003" s="1" t="s">
        <v>1277</v>
      </c>
      <c r="P1003" s="1" t="s">
        <v>771</v>
      </c>
      <c r="Q1003" s="1" t="s">
        <v>1470</v>
      </c>
      <c r="R1003" s="1" t="s">
        <v>1471</v>
      </c>
      <c r="S1003" s="1"/>
      <c r="T1003" s="1"/>
      <c r="U1003" s="1"/>
      <c r="V1003" s="1"/>
      <c r="W1003" s="1"/>
      <c r="X1003" s="1"/>
      <c r="Y1003" s="1"/>
      <c r="Z1003" s="1"/>
      <c r="AA1003" s="1" t="s">
        <v>6447</v>
      </c>
      <c r="AB1003" s="1" t="s">
        <v>1533</v>
      </c>
      <c r="AC1003" s="1"/>
      <c r="AD1003" s="1"/>
      <c r="AE1003" s="1"/>
      <c r="AF1003" s="1"/>
      <c r="AG1003" s="1"/>
      <c r="AH1003" s="1"/>
      <c r="AI1003" s="1"/>
      <c r="AJ1003" s="1"/>
      <c r="AK1003" s="1"/>
      <c r="AL1003" s="1"/>
      <c r="AM1003" s="1"/>
      <c r="AN1003" s="1"/>
      <c r="AO1003" s="1" t="s">
        <v>1472</v>
      </c>
      <c r="AP1003" s="1"/>
      <c r="AQ1003" s="1"/>
      <c r="AR1003" s="1"/>
      <c r="AS1003" s="1"/>
      <c r="AT1003" s="1"/>
      <c r="AU1003" s="1">
        <v>2020</v>
      </c>
      <c r="AV1003" s="1">
        <v>971</v>
      </c>
      <c r="AW1003" s="1"/>
      <c r="AX1003" s="1"/>
      <c r="AY1003" s="1"/>
      <c r="AZ1003" s="1"/>
      <c r="BA1003" s="1"/>
      <c r="BB1003" s="1"/>
      <c r="BC1003" s="1"/>
      <c r="BD1003" s="1">
        <v>32059</v>
      </c>
      <c r="BE1003" s="1" t="s">
        <v>6448</v>
      </c>
      <c r="BF1003" s="1" t="str">
        <f>HYPERLINK("http://dx.doi.org/10.1088/1757-899X/971/3/032059","http://dx.doi.org/10.1088/1757-899X/971/3/032059")</f>
        <v>http://dx.doi.org/10.1088/1757-899X/971/3/032059</v>
      </c>
      <c r="BG1003" s="1"/>
      <c r="BH1003" s="1"/>
      <c r="BI1003" s="1"/>
      <c r="BJ1003" s="1"/>
      <c r="BK1003" s="1"/>
      <c r="BL1003" s="1"/>
      <c r="BM1003" s="1"/>
      <c r="BN1003" s="1"/>
      <c r="BO1003" s="1"/>
      <c r="BP1003" s="1"/>
      <c r="BQ1003" s="1"/>
      <c r="BR1003" s="1"/>
      <c r="BS1003" s="1" t="s">
        <v>6449</v>
      </c>
      <c r="BT1003" s="1" t="str">
        <f>HYPERLINK("https%3A%2F%2Fwww.webofscience.com%2Fwos%2Fwoscc%2Ffull-record%2FWOS:000646359100160","View Full Record in Web of Science")</f>
        <v>View Full Record in Web of Science</v>
      </c>
      <c r="BU1003" s="1"/>
      <c r="BV1003" s="1"/>
      <c r="BW1003" s="1"/>
    </row>
    <row r="1004" spans="1:75" ht="12.75" customHeight="1" x14ac:dyDescent="0.2">
      <c r="A1004" s="1" t="s">
        <v>72</v>
      </c>
      <c r="B1004" s="1" t="s">
        <v>6272</v>
      </c>
      <c r="C1004" s="1"/>
      <c r="D1004" s="1"/>
      <c r="E1004" s="1"/>
      <c r="F1004" s="1" t="s">
        <v>6273</v>
      </c>
      <c r="G1004" s="1"/>
      <c r="H1004" s="1"/>
      <c r="I1004" s="1" t="s">
        <v>6450</v>
      </c>
      <c r="J1004" s="1" t="s">
        <v>4849</v>
      </c>
      <c r="K1004" s="1"/>
      <c r="L1004" s="1"/>
      <c r="M1004" s="1"/>
      <c r="N1004" s="1"/>
      <c r="O1004" s="1"/>
      <c r="P1004" s="1"/>
      <c r="Q1004" s="1"/>
      <c r="R1004" s="1"/>
      <c r="S1004" s="1"/>
      <c r="T1004" s="1"/>
      <c r="U1004" s="1"/>
      <c r="V1004" s="1"/>
      <c r="W1004" s="1"/>
      <c r="X1004" s="1"/>
      <c r="Y1004" s="1"/>
      <c r="Z1004" s="1"/>
      <c r="AA1004" s="1" t="s">
        <v>4850</v>
      </c>
      <c r="AB1004" s="1" t="s">
        <v>4851</v>
      </c>
      <c r="AC1004" s="1"/>
      <c r="AD1004" s="1"/>
      <c r="AE1004" s="1"/>
      <c r="AF1004" s="1"/>
      <c r="AG1004" s="1"/>
      <c r="AH1004" s="1"/>
      <c r="AI1004" s="1"/>
      <c r="AJ1004" s="1"/>
      <c r="AK1004" s="1"/>
      <c r="AL1004" s="1"/>
      <c r="AM1004" s="1"/>
      <c r="AN1004" s="1"/>
      <c r="AO1004" s="1" t="s">
        <v>4852</v>
      </c>
      <c r="AP1004" s="1" t="s">
        <v>4853</v>
      </c>
      <c r="AQ1004" s="1"/>
      <c r="AR1004" s="1"/>
      <c r="AS1004" s="1"/>
      <c r="AT1004" s="1" t="s">
        <v>491</v>
      </c>
      <c r="AU1004" s="1">
        <v>2023</v>
      </c>
      <c r="AV1004" s="1">
        <v>101</v>
      </c>
      <c r="AW1004" s="1">
        <v>6</v>
      </c>
      <c r="AX1004" s="1"/>
      <c r="AY1004" s="1"/>
      <c r="AZ1004" s="1"/>
      <c r="BA1004" s="1"/>
      <c r="BB1004" s="1">
        <v>708</v>
      </c>
      <c r="BC1004" s="1">
        <v>709</v>
      </c>
      <c r="BD1004" s="1"/>
      <c r="BE1004" s="1" t="s">
        <v>6451</v>
      </c>
      <c r="BF1004" s="1" t="str">
        <f>HYPERLINK("http://dx.doi.org/10.1111/tan.14968","http://dx.doi.org/10.1111/tan.14968")</f>
        <v>http://dx.doi.org/10.1111/tan.14968</v>
      </c>
      <c r="BG1004" s="1"/>
      <c r="BH1004" s="1" t="s">
        <v>6093</v>
      </c>
      <c r="BI1004" s="1"/>
      <c r="BJ1004" s="1"/>
      <c r="BK1004" s="1"/>
      <c r="BL1004" s="1"/>
      <c r="BM1004" s="1"/>
      <c r="BN1004" s="1">
        <v>36617701</v>
      </c>
      <c r="BO1004" s="1"/>
      <c r="BP1004" s="1"/>
      <c r="BQ1004" s="1"/>
      <c r="BR1004" s="1"/>
      <c r="BS1004" s="1" t="s">
        <v>6452</v>
      </c>
      <c r="BT1004" s="1" t="str">
        <f>HYPERLINK("https%3A%2F%2Fwww.webofscience.com%2Fwos%2Fwoscc%2Ffull-record%2FWOS:000914027400001","View Full Record in Web of Science")</f>
        <v>View Full Record in Web of Science</v>
      </c>
      <c r="BU1004" s="1"/>
      <c r="BV1004" s="1"/>
      <c r="BW1004" s="1"/>
    </row>
    <row r="1005" spans="1:75" ht="12.75" customHeight="1" x14ac:dyDescent="0.2">
      <c r="A1005" s="1" t="s">
        <v>72</v>
      </c>
      <c r="B1005" s="1" t="s">
        <v>6453</v>
      </c>
      <c r="C1005" s="1"/>
      <c r="D1005" s="1"/>
      <c r="E1005" s="1"/>
      <c r="F1005" s="1" t="s">
        <v>6454</v>
      </c>
      <c r="G1005" s="1"/>
      <c r="H1005" s="1"/>
      <c r="I1005" s="1" t="s">
        <v>6455</v>
      </c>
      <c r="J1005" s="1" t="s">
        <v>95</v>
      </c>
      <c r="K1005" s="1"/>
      <c r="L1005" s="1"/>
      <c r="M1005" s="1"/>
      <c r="N1005" s="1"/>
      <c r="O1005" s="1"/>
      <c r="P1005" s="1"/>
      <c r="Q1005" s="1"/>
      <c r="R1005" s="1"/>
      <c r="S1005" s="1"/>
      <c r="T1005" s="1"/>
      <c r="U1005" s="1"/>
      <c r="V1005" s="1"/>
      <c r="W1005" s="1"/>
      <c r="X1005" s="1"/>
      <c r="Y1005" s="1"/>
      <c r="Z1005" s="1"/>
      <c r="AA1005" s="1" t="s">
        <v>6456</v>
      </c>
      <c r="AB1005" s="1" t="s">
        <v>6457</v>
      </c>
      <c r="AC1005" s="1"/>
      <c r="AD1005" s="1"/>
      <c r="AE1005" s="1"/>
      <c r="AF1005" s="1"/>
      <c r="AG1005" s="1"/>
      <c r="AH1005" s="1"/>
      <c r="AI1005" s="1"/>
      <c r="AJ1005" s="1"/>
      <c r="AK1005" s="1"/>
      <c r="AL1005" s="1"/>
      <c r="AM1005" s="1"/>
      <c r="AN1005" s="1"/>
      <c r="AO1005" s="1" t="s">
        <v>98</v>
      </c>
      <c r="AP1005" s="1" t="s">
        <v>99</v>
      </c>
      <c r="AQ1005" s="1"/>
      <c r="AR1005" s="1"/>
      <c r="AS1005" s="1"/>
      <c r="AT1005" s="1"/>
      <c r="AU1005" s="1">
        <v>2020</v>
      </c>
      <c r="AV1005" s="1"/>
      <c r="AW1005" s="1">
        <v>1</v>
      </c>
      <c r="AX1005" s="1"/>
      <c r="AY1005" s="1"/>
      <c r="AZ1005" s="1"/>
      <c r="BA1005" s="1"/>
      <c r="BB1005" s="1">
        <v>136</v>
      </c>
      <c r="BC1005" s="1">
        <v>143</v>
      </c>
      <c r="BD1005" s="1"/>
      <c r="BE1005" s="1" t="s">
        <v>6458</v>
      </c>
      <c r="BF1005" s="1" t="str">
        <f>HYPERLINK("http://dx.doi.org/10.25750/1995-4301-2020-1-136-143","http://dx.doi.org/10.25750/1995-4301-2020-1-136-143")</f>
        <v>http://dx.doi.org/10.25750/1995-4301-2020-1-136-143</v>
      </c>
      <c r="BG1005" s="1"/>
      <c r="BH1005" s="1"/>
      <c r="BI1005" s="1"/>
      <c r="BJ1005" s="1"/>
      <c r="BK1005" s="1"/>
      <c r="BL1005" s="1"/>
      <c r="BM1005" s="1"/>
      <c r="BN1005" s="1"/>
      <c r="BO1005" s="1"/>
      <c r="BP1005" s="1"/>
      <c r="BQ1005" s="1"/>
      <c r="BR1005" s="1"/>
      <c r="BS1005" s="1" t="s">
        <v>6459</v>
      </c>
      <c r="BT1005" s="1" t="str">
        <f>HYPERLINK("https%3A%2F%2Fwww.webofscience.com%2Fwos%2Fwoscc%2Ffull-record%2FWOS:000522789400020","View Full Record in Web of Science")</f>
        <v>View Full Record in Web of Science</v>
      </c>
      <c r="BU1005" s="1"/>
      <c r="BV1005" s="1"/>
      <c r="BW1005" s="1"/>
    </row>
    <row r="1006" spans="1:75" ht="12.75" customHeight="1" x14ac:dyDescent="0.2">
      <c r="A1006" s="1" t="s">
        <v>72</v>
      </c>
      <c r="B1006" s="1" t="s">
        <v>6460</v>
      </c>
      <c r="C1006" s="1"/>
      <c r="D1006" s="1"/>
      <c r="E1006" s="1"/>
      <c r="F1006" s="1" t="s">
        <v>6461</v>
      </c>
      <c r="G1006" s="1"/>
      <c r="H1006" s="1"/>
      <c r="I1006" s="1" t="s">
        <v>6462</v>
      </c>
      <c r="J1006" s="1" t="s">
        <v>6463</v>
      </c>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t="s">
        <v>6464</v>
      </c>
      <c r="AP1006" s="1"/>
      <c r="AQ1006" s="1"/>
      <c r="AR1006" s="1"/>
      <c r="AS1006" s="1"/>
      <c r="AT1006" s="1"/>
      <c r="AU1006" s="1">
        <v>2023</v>
      </c>
      <c r="AV1006" s="1">
        <v>67</v>
      </c>
      <c r="AW1006" s="1"/>
      <c r="AX1006" s="1"/>
      <c r="AY1006" s="1"/>
      <c r="AZ1006" s="1"/>
      <c r="BA1006" s="1"/>
      <c r="BB1006" s="1">
        <v>277</v>
      </c>
      <c r="BC1006" s="1">
        <v>292</v>
      </c>
      <c r="BD1006" s="1"/>
      <c r="BE1006" s="1" t="s">
        <v>6465</v>
      </c>
      <c r="BF1006" s="1" t="str">
        <f>HYPERLINK("http://dx.doi.org/10.37816/2073-9567-2023-67-277-292","http://dx.doi.org/10.37816/2073-9567-2023-67-277-292")</f>
        <v>http://dx.doi.org/10.37816/2073-9567-2023-67-277-292</v>
      </c>
      <c r="BG1006" s="1"/>
      <c r="BH1006" s="1"/>
      <c r="BI1006" s="1"/>
      <c r="BJ1006" s="1"/>
      <c r="BK1006" s="1"/>
      <c r="BL1006" s="1"/>
      <c r="BM1006" s="1"/>
      <c r="BN1006" s="1"/>
      <c r="BO1006" s="1"/>
      <c r="BP1006" s="1"/>
      <c r="BQ1006" s="1"/>
      <c r="BR1006" s="1"/>
      <c r="BS1006" s="1" t="s">
        <v>6466</v>
      </c>
      <c r="BT1006" s="1" t="str">
        <f>HYPERLINK("https%3A%2F%2Fwww.webofscience.com%2Fwos%2Fwoscc%2Ffull-record%2FWOS:000996372300018","View Full Record in Web of Science")</f>
        <v>View Full Record in Web of Science</v>
      </c>
      <c r="BU1006" s="1"/>
      <c r="BV1006" s="1"/>
      <c r="BW1006" s="1"/>
    </row>
    <row r="1007" spans="1:75" ht="12.75" customHeight="1" x14ac:dyDescent="0.2">
      <c r="A1007" s="1" t="s">
        <v>72</v>
      </c>
      <c r="B1007" s="1" t="s">
        <v>6467</v>
      </c>
      <c r="C1007" s="1"/>
      <c r="D1007" s="1"/>
      <c r="E1007" s="1"/>
      <c r="F1007" s="1" t="s">
        <v>6468</v>
      </c>
      <c r="G1007" s="1"/>
      <c r="H1007" s="1"/>
      <c r="I1007" s="1" t="s">
        <v>6469</v>
      </c>
      <c r="J1007" s="1" t="s">
        <v>95</v>
      </c>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t="s">
        <v>98</v>
      </c>
      <c r="AP1007" s="1" t="s">
        <v>99</v>
      </c>
      <c r="AQ1007" s="1"/>
      <c r="AR1007" s="1"/>
      <c r="AS1007" s="1"/>
      <c r="AT1007" s="1"/>
      <c r="AU1007" s="1">
        <v>2022</v>
      </c>
      <c r="AV1007" s="1"/>
      <c r="AW1007" s="1">
        <v>3</v>
      </c>
      <c r="AX1007" s="1"/>
      <c r="AY1007" s="1"/>
      <c r="AZ1007" s="1"/>
      <c r="BA1007" s="1"/>
      <c r="BB1007" s="1">
        <v>166</v>
      </c>
      <c r="BC1007" s="1">
        <v>174</v>
      </c>
      <c r="BD1007" s="1"/>
      <c r="BE1007" s="1" t="s">
        <v>6470</v>
      </c>
      <c r="BF1007" s="1" t="str">
        <f>HYPERLINK("http://dx.doi.org/10.25750/1995-4301-2022-3-166-174","http://dx.doi.org/10.25750/1995-4301-2022-3-166-174")</f>
        <v>http://dx.doi.org/10.25750/1995-4301-2022-3-166-174</v>
      </c>
      <c r="BG1007" s="1"/>
      <c r="BH1007" s="1"/>
      <c r="BI1007" s="1"/>
      <c r="BJ1007" s="1"/>
      <c r="BK1007" s="1"/>
      <c r="BL1007" s="1"/>
      <c r="BM1007" s="1"/>
      <c r="BN1007" s="1"/>
      <c r="BO1007" s="1"/>
      <c r="BP1007" s="1"/>
      <c r="BQ1007" s="1"/>
      <c r="BR1007" s="1"/>
      <c r="BS1007" s="1" t="s">
        <v>6471</v>
      </c>
      <c r="BT1007" s="1" t="str">
        <f>HYPERLINK("https%3A%2F%2Fwww.webofscience.com%2Fwos%2Fwoscc%2Ffull-record%2FWOS:000885393200021","View Full Record in Web of Science")</f>
        <v>View Full Record in Web of Science</v>
      </c>
      <c r="BU1007" s="1"/>
      <c r="BV1007" s="1"/>
      <c r="BW1007" s="1"/>
    </row>
    <row r="1008" spans="1:75" ht="12.75" customHeight="1" x14ac:dyDescent="0.2">
      <c r="A1008" s="1" t="s">
        <v>72</v>
      </c>
      <c r="B1008" s="1" t="s">
        <v>378</v>
      </c>
      <c r="C1008" s="1"/>
      <c r="D1008" s="1"/>
      <c r="E1008" s="1"/>
      <c r="F1008" s="1" t="s">
        <v>2100</v>
      </c>
      <c r="G1008" s="1"/>
      <c r="H1008" s="1"/>
      <c r="I1008" s="1" t="s">
        <v>6472</v>
      </c>
      <c r="J1008" s="1" t="s">
        <v>5086</v>
      </c>
      <c r="K1008" s="1"/>
      <c r="L1008" s="1"/>
      <c r="M1008" s="1"/>
      <c r="N1008" s="1"/>
      <c r="O1008" s="1"/>
      <c r="P1008" s="1"/>
      <c r="Q1008" s="1"/>
      <c r="R1008" s="1"/>
      <c r="S1008" s="1"/>
      <c r="T1008" s="1"/>
      <c r="U1008" s="1"/>
      <c r="V1008" s="1"/>
      <c r="W1008" s="1"/>
      <c r="X1008" s="1"/>
      <c r="Y1008" s="1"/>
      <c r="Z1008" s="1"/>
      <c r="AA1008" s="1" t="s">
        <v>553</v>
      </c>
      <c r="AB1008" s="1" t="s">
        <v>554</v>
      </c>
      <c r="AC1008" s="1"/>
      <c r="AD1008" s="1"/>
      <c r="AE1008" s="1"/>
      <c r="AF1008" s="1"/>
      <c r="AG1008" s="1"/>
      <c r="AH1008" s="1"/>
      <c r="AI1008" s="1"/>
      <c r="AJ1008" s="1"/>
      <c r="AK1008" s="1"/>
      <c r="AL1008" s="1"/>
      <c r="AM1008" s="1"/>
      <c r="AN1008" s="1"/>
      <c r="AO1008" s="1" t="s">
        <v>5087</v>
      </c>
      <c r="AP1008" s="1" t="s">
        <v>5088</v>
      </c>
      <c r="AQ1008" s="1"/>
      <c r="AR1008" s="1"/>
      <c r="AS1008" s="1"/>
      <c r="AT1008" s="1" t="s">
        <v>403</v>
      </c>
      <c r="AU1008" s="1">
        <v>2021</v>
      </c>
      <c r="AV1008" s="1">
        <v>9</v>
      </c>
      <c r="AW1008" s="1">
        <v>12</v>
      </c>
      <c r="AX1008" s="1"/>
      <c r="AY1008" s="1"/>
      <c r="AZ1008" s="1"/>
      <c r="BA1008" s="1"/>
      <c r="BB1008" s="1">
        <v>15054</v>
      </c>
      <c r="BC1008" s="1">
        <v>15059</v>
      </c>
      <c r="BD1008" s="1"/>
      <c r="BE1008" s="1" t="s">
        <v>6473</v>
      </c>
      <c r="BF1008" s="1" t="str">
        <f>HYPERLINK("http://dx.doi.org/10.22038/IJP.2021.58495.4571","http://dx.doi.org/10.22038/IJP.2021.58495.4571")</f>
        <v>http://dx.doi.org/10.22038/IJP.2021.58495.4571</v>
      </c>
      <c r="BG1008" s="1"/>
      <c r="BH1008" s="1"/>
      <c r="BI1008" s="1"/>
      <c r="BJ1008" s="1"/>
      <c r="BK1008" s="1"/>
      <c r="BL1008" s="1"/>
      <c r="BM1008" s="1"/>
      <c r="BN1008" s="1"/>
      <c r="BO1008" s="1"/>
      <c r="BP1008" s="1"/>
      <c r="BQ1008" s="1"/>
      <c r="BR1008" s="1"/>
      <c r="BS1008" s="1" t="s">
        <v>6474</v>
      </c>
      <c r="BT1008" s="1" t="str">
        <f>HYPERLINK("https%3A%2F%2Fwww.webofscience.com%2Fwos%2Fwoscc%2Ffull-record%2FWOS:000733418900013","View Full Record in Web of Science")</f>
        <v>View Full Record in Web of Science</v>
      </c>
      <c r="BU1008" s="1"/>
      <c r="BV1008" s="1"/>
      <c r="BW1008" s="1"/>
    </row>
    <row r="1009" spans="1:75" ht="12.75" customHeight="1" x14ac:dyDescent="0.2">
      <c r="A1009" s="1" t="s">
        <v>72</v>
      </c>
      <c r="B1009" s="1" t="s">
        <v>6475</v>
      </c>
      <c r="C1009" s="1"/>
      <c r="D1009" s="1"/>
      <c r="E1009" s="1"/>
      <c r="F1009" s="1" t="s">
        <v>6476</v>
      </c>
      <c r="G1009" s="1"/>
      <c r="H1009" s="1"/>
      <c r="I1009" s="1" t="s">
        <v>6477</v>
      </c>
      <c r="J1009" s="1" t="s">
        <v>166</v>
      </c>
      <c r="K1009" s="1"/>
      <c r="L1009" s="1"/>
      <c r="M1009" s="1"/>
      <c r="N1009" s="1"/>
      <c r="O1009" s="1"/>
      <c r="P1009" s="1"/>
      <c r="Q1009" s="1"/>
      <c r="R1009" s="1"/>
      <c r="S1009" s="1"/>
      <c r="T1009" s="1"/>
      <c r="U1009" s="1"/>
      <c r="V1009" s="1"/>
      <c r="W1009" s="1"/>
      <c r="X1009" s="1"/>
      <c r="Y1009" s="1"/>
      <c r="Z1009" s="1"/>
      <c r="AA1009" s="1" t="s">
        <v>6478</v>
      </c>
      <c r="AB1009" s="1" t="s">
        <v>6479</v>
      </c>
      <c r="AC1009" s="1"/>
      <c r="AD1009" s="1"/>
      <c r="AE1009" s="1"/>
      <c r="AF1009" s="1"/>
      <c r="AG1009" s="1"/>
      <c r="AH1009" s="1"/>
      <c r="AI1009" s="1"/>
      <c r="AJ1009" s="1"/>
      <c r="AK1009" s="1"/>
      <c r="AL1009" s="1"/>
      <c r="AM1009" s="1"/>
      <c r="AN1009" s="1"/>
      <c r="AO1009" s="1" t="s">
        <v>169</v>
      </c>
      <c r="AP1009" s="1" t="s">
        <v>170</v>
      </c>
      <c r="AQ1009" s="1"/>
      <c r="AR1009" s="1"/>
      <c r="AS1009" s="1"/>
      <c r="AT1009" s="1" t="s">
        <v>171</v>
      </c>
      <c r="AU1009" s="1">
        <v>2019</v>
      </c>
      <c r="AV1009" s="1">
        <v>8</v>
      </c>
      <c r="AW1009" s="1">
        <v>1</v>
      </c>
      <c r="AX1009" s="1"/>
      <c r="AY1009" s="1"/>
      <c r="AZ1009" s="1"/>
      <c r="BA1009" s="1"/>
      <c r="BB1009" s="1">
        <v>187</v>
      </c>
      <c r="BC1009" s="1">
        <v>200</v>
      </c>
      <c r="BD1009" s="1"/>
      <c r="BE1009" s="1" t="s">
        <v>6480</v>
      </c>
      <c r="BF1009" s="1" t="str">
        <f>HYPERLINK("http://dx.doi.org/10.13187/ejced.2019.1.187","http://dx.doi.org/10.13187/ejced.2019.1.187")</f>
        <v>http://dx.doi.org/10.13187/ejced.2019.1.187</v>
      </c>
      <c r="BG1009" s="1"/>
      <c r="BH1009" s="1"/>
      <c r="BI1009" s="1"/>
      <c r="BJ1009" s="1"/>
      <c r="BK1009" s="1"/>
      <c r="BL1009" s="1"/>
      <c r="BM1009" s="1"/>
      <c r="BN1009" s="1"/>
      <c r="BO1009" s="1"/>
      <c r="BP1009" s="1"/>
      <c r="BQ1009" s="1"/>
      <c r="BR1009" s="1"/>
      <c r="BS1009" s="1" t="s">
        <v>6481</v>
      </c>
      <c r="BT1009" s="1" t="str">
        <f>HYPERLINK("https%3A%2F%2Fwww.webofscience.com%2Fwos%2Fwoscc%2Ffull-record%2FWOS:000462498700014","View Full Record in Web of Science")</f>
        <v>View Full Record in Web of Science</v>
      </c>
      <c r="BU1009" s="1"/>
      <c r="BV1009" s="1"/>
      <c r="BW1009" s="1"/>
    </row>
    <row r="1010" spans="1:75" ht="12.75" customHeight="1" x14ac:dyDescent="0.2">
      <c r="A1010" s="1" t="s">
        <v>72</v>
      </c>
      <c r="B1010" s="1" t="s">
        <v>6482</v>
      </c>
      <c r="C1010" s="1"/>
      <c r="D1010" s="1"/>
      <c r="E1010" s="1"/>
      <c r="F1010" s="1" t="s">
        <v>6483</v>
      </c>
      <c r="G1010" s="1"/>
      <c r="H1010" s="1"/>
      <c r="I1010" s="1" t="s">
        <v>6484</v>
      </c>
      <c r="J1010" s="1" t="s">
        <v>244</v>
      </c>
      <c r="K1010" s="1"/>
      <c r="L1010" s="1"/>
      <c r="M1010" s="1"/>
      <c r="N1010" s="1"/>
      <c r="O1010" s="1"/>
      <c r="P1010" s="1"/>
      <c r="Q1010" s="1"/>
      <c r="R1010" s="1"/>
      <c r="S1010" s="1"/>
      <c r="T1010" s="1"/>
      <c r="U1010" s="1"/>
      <c r="V1010" s="1"/>
      <c r="W1010" s="1"/>
      <c r="X1010" s="1"/>
      <c r="Y1010" s="1"/>
      <c r="Z1010" s="1"/>
      <c r="AA1010" s="1" t="s">
        <v>6485</v>
      </c>
      <c r="AB1010" s="1" t="s">
        <v>6486</v>
      </c>
      <c r="AC1010" s="1"/>
      <c r="AD1010" s="1"/>
      <c r="AE1010" s="1"/>
      <c r="AF1010" s="1"/>
      <c r="AG1010" s="1"/>
      <c r="AH1010" s="1"/>
      <c r="AI1010" s="1"/>
      <c r="AJ1010" s="1"/>
      <c r="AK1010" s="1"/>
      <c r="AL1010" s="1"/>
      <c r="AM1010" s="1"/>
      <c r="AN1010" s="1"/>
      <c r="AO1010" s="1" t="s">
        <v>245</v>
      </c>
      <c r="AP1010" s="1" t="s">
        <v>246</v>
      </c>
      <c r="AQ1010" s="1"/>
      <c r="AR1010" s="1"/>
      <c r="AS1010" s="1"/>
      <c r="AT1010" s="1"/>
      <c r="AU1010" s="1">
        <v>2022</v>
      </c>
      <c r="AV1010" s="1">
        <v>6</v>
      </c>
      <c r="AW1010" s="1">
        <v>1</v>
      </c>
      <c r="AX1010" s="1"/>
      <c r="AY1010" s="1"/>
      <c r="AZ1010" s="1"/>
      <c r="BA1010" s="1"/>
      <c r="BB1010" s="1">
        <v>223</v>
      </c>
      <c r="BC1010" s="1">
        <v>230</v>
      </c>
      <c r="BD1010" s="1"/>
      <c r="BE1010" s="1" t="s">
        <v>6487</v>
      </c>
      <c r="BF1010" s="1" t="str">
        <f>HYPERLINK("http://dx.doi.org/10.31166/VoprosyIstorii202206Statyi23","http://dx.doi.org/10.31166/VoprosyIstorii202206Statyi23")</f>
        <v>http://dx.doi.org/10.31166/VoprosyIstorii202206Statyi23</v>
      </c>
      <c r="BG1010" s="1"/>
      <c r="BH1010" s="1"/>
      <c r="BI1010" s="1"/>
      <c r="BJ1010" s="1"/>
      <c r="BK1010" s="1"/>
      <c r="BL1010" s="1"/>
      <c r="BM1010" s="1"/>
      <c r="BN1010" s="1"/>
      <c r="BO1010" s="1"/>
      <c r="BP1010" s="1"/>
      <c r="BQ1010" s="1"/>
      <c r="BR1010" s="1"/>
      <c r="BS1010" s="1" t="s">
        <v>6488</v>
      </c>
      <c r="BT1010" s="1" t="str">
        <f>HYPERLINK("https%3A%2F%2Fwww.webofscience.com%2Fwos%2Fwoscc%2Ffull-record%2FWOS:000814316500021","View Full Record in Web of Science")</f>
        <v>View Full Record in Web of Science</v>
      </c>
      <c r="BU1010" s="1"/>
      <c r="BV1010" s="1"/>
      <c r="BW1010" s="1"/>
    </row>
    <row r="1011" spans="1:75" ht="12.75" customHeight="1" x14ac:dyDescent="0.2">
      <c r="A1011" s="1" t="s">
        <v>72</v>
      </c>
      <c r="B1011" s="1" t="s">
        <v>1777</v>
      </c>
      <c r="C1011" s="1"/>
      <c r="D1011" s="1"/>
      <c r="E1011" s="1"/>
      <c r="F1011" s="1" t="s">
        <v>1778</v>
      </c>
      <c r="G1011" s="1"/>
      <c r="H1011" s="1"/>
      <c r="I1011" s="1" t="s">
        <v>6489</v>
      </c>
      <c r="J1011" s="1" t="s">
        <v>1780</v>
      </c>
      <c r="K1011" s="1"/>
      <c r="L1011" s="1"/>
      <c r="M1011" s="1"/>
      <c r="N1011" s="1"/>
      <c r="O1011" s="1"/>
      <c r="P1011" s="1"/>
      <c r="Q1011" s="1"/>
      <c r="R1011" s="1"/>
      <c r="S1011" s="1"/>
      <c r="T1011" s="1"/>
      <c r="U1011" s="1"/>
      <c r="V1011" s="1"/>
      <c r="W1011" s="1"/>
      <c r="X1011" s="1"/>
      <c r="Y1011" s="1"/>
      <c r="Z1011" s="1"/>
      <c r="AA1011" s="1" t="s">
        <v>1781</v>
      </c>
      <c r="AB1011" s="1" t="s">
        <v>1782</v>
      </c>
      <c r="AC1011" s="1"/>
      <c r="AD1011" s="1"/>
      <c r="AE1011" s="1"/>
      <c r="AF1011" s="1"/>
      <c r="AG1011" s="1"/>
      <c r="AH1011" s="1"/>
      <c r="AI1011" s="1"/>
      <c r="AJ1011" s="1"/>
      <c r="AK1011" s="1"/>
      <c r="AL1011" s="1"/>
      <c r="AM1011" s="1"/>
      <c r="AN1011" s="1"/>
      <c r="AO1011" s="1" t="s">
        <v>1783</v>
      </c>
      <c r="AP1011" s="1"/>
      <c r="AQ1011" s="1"/>
      <c r="AR1011" s="1"/>
      <c r="AS1011" s="1"/>
      <c r="AT1011" s="1" t="s">
        <v>3477</v>
      </c>
      <c r="AU1011" s="1">
        <v>2019</v>
      </c>
      <c r="AV1011" s="1"/>
      <c r="AW1011" s="1">
        <v>6</v>
      </c>
      <c r="AX1011" s="1"/>
      <c r="AY1011" s="1"/>
      <c r="AZ1011" s="1"/>
      <c r="BA1011" s="1"/>
      <c r="BB1011" s="1">
        <v>161</v>
      </c>
      <c r="BC1011" s="1">
        <v>171</v>
      </c>
      <c r="BD1011" s="1"/>
      <c r="BE1011" s="1" t="s">
        <v>6490</v>
      </c>
      <c r="BF1011" s="1" t="str">
        <f>HYPERLINK("http://dx.doi.org/10.15211/soveurope62019161171","http://dx.doi.org/10.15211/soveurope62019161171")</f>
        <v>http://dx.doi.org/10.15211/soveurope62019161171</v>
      </c>
      <c r="BG1011" s="1"/>
      <c r="BH1011" s="1"/>
      <c r="BI1011" s="1"/>
      <c r="BJ1011" s="1"/>
      <c r="BK1011" s="1"/>
      <c r="BL1011" s="1"/>
      <c r="BM1011" s="1"/>
      <c r="BN1011" s="1"/>
      <c r="BO1011" s="1"/>
      <c r="BP1011" s="1"/>
      <c r="BQ1011" s="1"/>
      <c r="BR1011" s="1"/>
      <c r="BS1011" s="1" t="s">
        <v>6491</v>
      </c>
      <c r="BT1011" s="1" t="str">
        <f>HYPERLINK("https%3A%2F%2Fwww.webofscience.com%2Fwos%2Fwoscc%2Ffull-record%2FWOS:000553160200016","View Full Record in Web of Science")</f>
        <v>View Full Record in Web of Science</v>
      </c>
      <c r="BU1011" s="1"/>
      <c r="BV1011" s="1"/>
      <c r="BW1011" s="1"/>
    </row>
    <row r="1012" spans="1:75" ht="12.75" customHeight="1" x14ac:dyDescent="0.2">
      <c r="A1012" s="1" t="s">
        <v>72</v>
      </c>
      <c r="B1012" s="1" t="s">
        <v>6492</v>
      </c>
      <c r="C1012" s="1"/>
      <c r="D1012" s="1"/>
      <c r="E1012" s="1"/>
      <c r="F1012" s="1" t="s">
        <v>6493</v>
      </c>
      <c r="G1012" s="1"/>
      <c r="H1012" s="1"/>
      <c r="I1012" s="1" t="s">
        <v>6494</v>
      </c>
      <c r="J1012" s="1" t="s">
        <v>6495</v>
      </c>
      <c r="K1012" s="1"/>
      <c r="L1012" s="1"/>
      <c r="M1012" s="1"/>
      <c r="N1012" s="1"/>
      <c r="O1012" s="1"/>
      <c r="P1012" s="1"/>
      <c r="Q1012" s="1"/>
      <c r="R1012" s="1"/>
      <c r="S1012" s="1"/>
      <c r="T1012" s="1"/>
      <c r="U1012" s="1"/>
      <c r="V1012" s="1"/>
      <c r="W1012" s="1"/>
      <c r="X1012" s="1"/>
      <c r="Y1012" s="1"/>
      <c r="Z1012" s="1"/>
      <c r="AA1012" s="1" t="s">
        <v>6496</v>
      </c>
      <c r="AB1012" s="1" t="s">
        <v>6497</v>
      </c>
      <c r="AC1012" s="1"/>
      <c r="AD1012" s="1"/>
      <c r="AE1012" s="1"/>
      <c r="AF1012" s="1"/>
      <c r="AG1012" s="1"/>
      <c r="AH1012" s="1"/>
      <c r="AI1012" s="1"/>
      <c r="AJ1012" s="1"/>
      <c r="AK1012" s="1"/>
      <c r="AL1012" s="1"/>
      <c r="AM1012" s="1"/>
      <c r="AN1012" s="1"/>
      <c r="AO1012" s="1"/>
      <c r="AP1012" s="1" t="s">
        <v>6498</v>
      </c>
      <c r="AQ1012" s="1"/>
      <c r="AR1012" s="1"/>
      <c r="AS1012" s="1"/>
      <c r="AT1012" s="1" t="s">
        <v>541</v>
      </c>
      <c r="AU1012" s="1">
        <v>2023</v>
      </c>
      <c r="AV1012" s="1">
        <v>9</v>
      </c>
      <c r="AW1012" s="1">
        <v>1</v>
      </c>
      <c r="AX1012" s="1"/>
      <c r="AY1012" s="1"/>
      <c r="AZ1012" s="1"/>
      <c r="BA1012" s="1"/>
      <c r="BB1012" s="1"/>
      <c r="BC1012" s="1"/>
      <c r="BD1012" s="1">
        <v>45</v>
      </c>
      <c r="BE1012" s="1" t="s">
        <v>6499</v>
      </c>
      <c r="BF1012" s="1" t="str">
        <f>HYPERLINK("http://dx.doi.org/10.3390/gels9010045","http://dx.doi.org/10.3390/gels9010045")</f>
        <v>http://dx.doi.org/10.3390/gels9010045</v>
      </c>
      <c r="BG1012" s="1"/>
      <c r="BH1012" s="1"/>
      <c r="BI1012" s="1"/>
      <c r="BJ1012" s="1"/>
      <c r="BK1012" s="1"/>
      <c r="BL1012" s="1"/>
      <c r="BM1012" s="1"/>
      <c r="BN1012" s="1">
        <v>36661811</v>
      </c>
      <c r="BO1012" s="1"/>
      <c r="BP1012" s="1"/>
      <c r="BQ1012" s="1"/>
      <c r="BR1012" s="1"/>
      <c r="BS1012" s="1" t="s">
        <v>6500</v>
      </c>
      <c r="BT1012" s="1" t="str">
        <f>HYPERLINK("https%3A%2F%2Fwww.webofscience.com%2Fwos%2Fwoscc%2Ffull-record%2FWOS:000917468800001","View Full Record in Web of Science")</f>
        <v>View Full Record in Web of Science</v>
      </c>
      <c r="BU1012" s="1"/>
      <c r="BV1012" s="1"/>
      <c r="BW1012" s="1"/>
    </row>
    <row r="1013" spans="1:75" ht="12.75" customHeight="1" x14ac:dyDescent="0.2">
      <c r="A1013" s="1" t="s">
        <v>72</v>
      </c>
      <c r="B1013" s="1" t="s">
        <v>6501</v>
      </c>
      <c r="C1013" s="1"/>
      <c r="D1013" s="1"/>
      <c r="E1013" s="1"/>
      <c r="F1013" s="1" t="s">
        <v>6502</v>
      </c>
      <c r="G1013" s="1"/>
      <c r="H1013" s="1"/>
      <c r="I1013" s="1" t="s">
        <v>6503</v>
      </c>
      <c r="J1013" s="1" t="s">
        <v>95</v>
      </c>
      <c r="K1013" s="1"/>
      <c r="L1013" s="1"/>
      <c r="M1013" s="1"/>
      <c r="N1013" s="1"/>
      <c r="O1013" s="1"/>
      <c r="P1013" s="1"/>
      <c r="Q1013" s="1"/>
      <c r="R1013" s="1"/>
      <c r="S1013" s="1"/>
      <c r="T1013" s="1"/>
      <c r="U1013" s="1"/>
      <c r="V1013" s="1"/>
      <c r="W1013" s="1"/>
      <c r="X1013" s="1"/>
      <c r="Y1013" s="1"/>
      <c r="Z1013" s="1"/>
      <c r="AA1013" s="1" t="s">
        <v>6456</v>
      </c>
      <c r="AB1013" s="1" t="s">
        <v>6457</v>
      </c>
      <c r="AC1013" s="1"/>
      <c r="AD1013" s="1"/>
      <c r="AE1013" s="1"/>
      <c r="AF1013" s="1"/>
      <c r="AG1013" s="1"/>
      <c r="AH1013" s="1"/>
      <c r="AI1013" s="1"/>
      <c r="AJ1013" s="1"/>
      <c r="AK1013" s="1"/>
      <c r="AL1013" s="1"/>
      <c r="AM1013" s="1"/>
      <c r="AN1013" s="1"/>
      <c r="AO1013" s="1" t="s">
        <v>98</v>
      </c>
      <c r="AP1013" s="1" t="s">
        <v>99</v>
      </c>
      <c r="AQ1013" s="1"/>
      <c r="AR1013" s="1"/>
      <c r="AS1013" s="1"/>
      <c r="AT1013" s="1"/>
      <c r="AU1013" s="1">
        <v>2020</v>
      </c>
      <c r="AV1013" s="1"/>
      <c r="AW1013" s="1">
        <v>4</v>
      </c>
      <c r="AX1013" s="1"/>
      <c r="AY1013" s="1"/>
      <c r="AZ1013" s="1"/>
      <c r="BA1013" s="1"/>
      <c r="BB1013" s="1">
        <v>22</v>
      </c>
      <c r="BC1013" s="1">
        <v>29</v>
      </c>
      <c r="BD1013" s="1"/>
      <c r="BE1013" s="1" t="s">
        <v>6504</v>
      </c>
      <c r="BF1013" s="1" t="str">
        <f>HYPERLINK("http://dx.doi.org/10.25750/1995-4301-2020-4-022-029","http://dx.doi.org/10.25750/1995-4301-2020-4-022-029")</f>
        <v>http://dx.doi.org/10.25750/1995-4301-2020-4-022-029</v>
      </c>
      <c r="BG1013" s="1"/>
      <c r="BH1013" s="1"/>
      <c r="BI1013" s="1"/>
      <c r="BJ1013" s="1"/>
      <c r="BK1013" s="1"/>
      <c r="BL1013" s="1"/>
      <c r="BM1013" s="1"/>
      <c r="BN1013" s="1"/>
      <c r="BO1013" s="1"/>
      <c r="BP1013" s="1"/>
      <c r="BQ1013" s="1"/>
      <c r="BR1013" s="1"/>
      <c r="BS1013" s="1" t="s">
        <v>6505</v>
      </c>
      <c r="BT1013" s="1" t="str">
        <f>HYPERLINK("https%3A%2F%2Fwww.webofscience.com%2Fwos%2Fwoscc%2Ffull-record%2FWOS:000597810500003","View Full Record in Web of Science")</f>
        <v>View Full Record in Web of Science</v>
      </c>
      <c r="BU1013" s="1"/>
      <c r="BV1013" s="1"/>
      <c r="BW1013" s="1"/>
    </row>
    <row r="1014" spans="1:75" ht="12.75" customHeight="1" x14ac:dyDescent="0.2">
      <c r="A1014" s="1" t="s">
        <v>72</v>
      </c>
      <c r="B1014" s="1" t="s">
        <v>6506</v>
      </c>
      <c r="C1014" s="1"/>
      <c r="D1014" s="1"/>
      <c r="E1014" s="1"/>
      <c r="F1014" s="1" t="s">
        <v>6507</v>
      </c>
      <c r="G1014" s="1"/>
      <c r="H1014" s="1"/>
      <c r="I1014" s="1" t="s">
        <v>6508</v>
      </c>
      <c r="J1014" s="1" t="s">
        <v>325</v>
      </c>
      <c r="K1014" s="1"/>
      <c r="L1014" s="1"/>
      <c r="M1014" s="1"/>
      <c r="N1014" s="1"/>
      <c r="O1014" s="1"/>
      <c r="P1014" s="1"/>
      <c r="Q1014" s="1"/>
      <c r="R1014" s="1"/>
      <c r="S1014" s="1"/>
      <c r="T1014" s="1"/>
      <c r="U1014" s="1"/>
      <c r="V1014" s="1"/>
      <c r="W1014" s="1"/>
      <c r="X1014" s="1"/>
      <c r="Y1014" s="1"/>
      <c r="Z1014" s="1"/>
      <c r="AA1014" s="1" t="s">
        <v>6509</v>
      </c>
      <c r="AB1014" s="1" t="s">
        <v>6510</v>
      </c>
      <c r="AC1014" s="1"/>
      <c r="AD1014" s="1"/>
      <c r="AE1014" s="1"/>
      <c r="AF1014" s="1"/>
      <c r="AG1014" s="1"/>
      <c r="AH1014" s="1"/>
      <c r="AI1014" s="1"/>
      <c r="AJ1014" s="1"/>
      <c r="AK1014" s="1"/>
      <c r="AL1014" s="1"/>
      <c r="AM1014" s="1"/>
      <c r="AN1014" s="1"/>
      <c r="AO1014" s="1" t="s">
        <v>328</v>
      </c>
      <c r="AP1014" s="1" t="s">
        <v>329</v>
      </c>
      <c r="AQ1014" s="1"/>
      <c r="AR1014" s="1"/>
      <c r="AS1014" s="1"/>
      <c r="AT1014" s="1"/>
      <c r="AU1014" s="1">
        <v>2020</v>
      </c>
      <c r="AV1014" s="1">
        <v>14</v>
      </c>
      <c r="AW1014" s="1">
        <v>2</v>
      </c>
      <c r="AX1014" s="1"/>
      <c r="AY1014" s="1"/>
      <c r="AZ1014" s="1"/>
      <c r="BA1014" s="1"/>
      <c r="BB1014" s="1">
        <v>455</v>
      </c>
      <c r="BC1014" s="1">
        <v>470</v>
      </c>
      <c r="BD1014" s="1"/>
      <c r="BE1014" s="1" t="s">
        <v>6511</v>
      </c>
      <c r="BF1014" s="1" t="str">
        <f>HYPERLINK("http://dx.doi.org/10.24874/IJQR14.02-08","http://dx.doi.org/10.24874/IJQR14.02-08")</f>
        <v>http://dx.doi.org/10.24874/IJQR14.02-08</v>
      </c>
      <c r="BG1014" s="1"/>
      <c r="BH1014" s="1"/>
      <c r="BI1014" s="1"/>
      <c r="BJ1014" s="1"/>
      <c r="BK1014" s="1"/>
      <c r="BL1014" s="1"/>
      <c r="BM1014" s="1"/>
      <c r="BN1014" s="1"/>
      <c r="BO1014" s="1"/>
      <c r="BP1014" s="1"/>
      <c r="BQ1014" s="1"/>
      <c r="BR1014" s="1"/>
      <c r="BS1014" s="1" t="s">
        <v>6512</v>
      </c>
      <c r="BT1014" s="1" t="str">
        <f>HYPERLINK("https%3A%2F%2Fwww.webofscience.com%2Fwos%2Fwoscc%2Ffull-record%2FWOS:000531047700008","View Full Record in Web of Science")</f>
        <v>View Full Record in Web of Science</v>
      </c>
      <c r="BU1014" s="1"/>
      <c r="BV1014" s="1"/>
      <c r="BW1014" s="1"/>
    </row>
    <row r="1015" spans="1:75" ht="12.75" customHeight="1" x14ac:dyDescent="0.2">
      <c r="A1015" s="1" t="s">
        <v>72</v>
      </c>
      <c r="B1015" s="1" t="s">
        <v>6513</v>
      </c>
      <c r="C1015" s="1"/>
      <c r="D1015" s="1"/>
      <c r="E1015" s="1"/>
      <c r="F1015" s="1" t="s">
        <v>6514</v>
      </c>
      <c r="G1015" s="1"/>
      <c r="H1015" s="1"/>
      <c r="I1015" s="1" t="s">
        <v>6515</v>
      </c>
      <c r="J1015" s="1" t="s">
        <v>166</v>
      </c>
      <c r="K1015" s="1"/>
      <c r="L1015" s="1"/>
      <c r="M1015" s="1"/>
      <c r="N1015" s="1"/>
      <c r="O1015" s="1"/>
      <c r="P1015" s="1"/>
      <c r="Q1015" s="1"/>
      <c r="R1015" s="1"/>
      <c r="S1015" s="1"/>
      <c r="T1015" s="1"/>
      <c r="U1015" s="1"/>
      <c r="V1015" s="1"/>
      <c r="W1015" s="1"/>
      <c r="X1015" s="1"/>
      <c r="Y1015" s="1"/>
      <c r="Z1015" s="1"/>
      <c r="AA1015" s="1"/>
      <c r="AB1015" s="1" t="s">
        <v>6516</v>
      </c>
      <c r="AC1015" s="1"/>
      <c r="AD1015" s="1"/>
      <c r="AE1015" s="1"/>
      <c r="AF1015" s="1"/>
      <c r="AG1015" s="1"/>
      <c r="AH1015" s="1"/>
      <c r="AI1015" s="1"/>
      <c r="AJ1015" s="1"/>
      <c r="AK1015" s="1"/>
      <c r="AL1015" s="1"/>
      <c r="AM1015" s="1"/>
      <c r="AN1015" s="1"/>
      <c r="AO1015" s="1" t="s">
        <v>169</v>
      </c>
      <c r="AP1015" s="1" t="s">
        <v>170</v>
      </c>
      <c r="AQ1015" s="1"/>
      <c r="AR1015" s="1"/>
      <c r="AS1015" s="1"/>
      <c r="AT1015" s="1" t="s">
        <v>171</v>
      </c>
      <c r="AU1015" s="1">
        <v>2023</v>
      </c>
      <c r="AV1015" s="1">
        <v>12</v>
      </c>
      <c r="AW1015" s="1">
        <v>1</v>
      </c>
      <c r="AX1015" s="1"/>
      <c r="AY1015" s="1"/>
      <c r="AZ1015" s="1"/>
      <c r="BA1015" s="1"/>
      <c r="BB1015" s="1">
        <v>188</v>
      </c>
      <c r="BC1015" s="1">
        <v>203</v>
      </c>
      <c r="BD1015" s="1"/>
      <c r="BE1015" s="1" t="s">
        <v>6517</v>
      </c>
      <c r="BF1015" s="1" t="str">
        <f>HYPERLINK("http://dx.doi.org/10.13187/ejced.2023.1.188","http://dx.doi.org/10.13187/ejced.2023.1.188")</f>
        <v>http://dx.doi.org/10.13187/ejced.2023.1.188</v>
      </c>
      <c r="BG1015" s="1"/>
      <c r="BH1015" s="1"/>
      <c r="BI1015" s="1"/>
      <c r="BJ1015" s="1"/>
      <c r="BK1015" s="1"/>
      <c r="BL1015" s="1"/>
      <c r="BM1015" s="1"/>
      <c r="BN1015" s="1"/>
      <c r="BO1015" s="1"/>
      <c r="BP1015" s="1"/>
      <c r="BQ1015" s="1"/>
      <c r="BR1015" s="1"/>
      <c r="BS1015" s="1" t="s">
        <v>6518</v>
      </c>
      <c r="BT1015" s="1" t="str">
        <f>HYPERLINK("https%3A%2F%2Fwww.webofscience.com%2Fwos%2Fwoscc%2Ffull-record%2FWOS:000961369300015","View Full Record in Web of Science")</f>
        <v>View Full Record in Web of Science</v>
      </c>
      <c r="BU1015" s="1"/>
      <c r="BV1015" s="1"/>
      <c r="BW1015" s="1"/>
    </row>
    <row r="1016" spans="1:75" ht="12.75" customHeight="1" x14ac:dyDescent="0.2">
      <c r="A1016" s="1" t="s">
        <v>72</v>
      </c>
      <c r="B1016" s="1" t="s">
        <v>6519</v>
      </c>
      <c r="C1016" s="1"/>
      <c r="D1016" s="1"/>
      <c r="E1016" s="1"/>
      <c r="F1016" s="1" t="s">
        <v>6520</v>
      </c>
      <c r="G1016" s="1"/>
      <c r="H1016" s="1"/>
      <c r="I1016" s="1" t="s">
        <v>6521</v>
      </c>
      <c r="J1016" s="1" t="s">
        <v>166</v>
      </c>
      <c r="K1016" s="1"/>
      <c r="L1016" s="1"/>
      <c r="M1016" s="1"/>
      <c r="N1016" s="1"/>
      <c r="O1016" s="1"/>
      <c r="P1016" s="1"/>
      <c r="Q1016" s="1"/>
      <c r="R1016" s="1"/>
      <c r="S1016" s="1"/>
      <c r="T1016" s="1"/>
      <c r="U1016" s="1"/>
      <c r="V1016" s="1"/>
      <c r="W1016" s="1"/>
      <c r="X1016" s="1"/>
      <c r="Y1016" s="1"/>
      <c r="Z1016" s="1"/>
      <c r="AA1016" s="1" t="s">
        <v>2077</v>
      </c>
      <c r="AB1016" s="1" t="s">
        <v>6522</v>
      </c>
      <c r="AC1016" s="1"/>
      <c r="AD1016" s="1"/>
      <c r="AE1016" s="1"/>
      <c r="AF1016" s="1"/>
      <c r="AG1016" s="1"/>
      <c r="AH1016" s="1"/>
      <c r="AI1016" s="1"/>
      <c r="AJ1016" s="1"/>
      <c r="AK1016" s="1"/>
      <c r="AL1016" s="1"/>
      <c r="AM1016" s="1"/>
      <c r="AN1016" s="1"/>
      <c r="AO1016" s="1" t="s">
        <v>169</v>
      </c>
      <c r="AP1016" s="1" t="s">
        <v>170</v>
      </c>
      <c r="AQ1016" s="1"/>
      <c r="AR1016" s="1"/>
      <c r="AS1016" s="1"/>
      <c r="AT1016" s="1" t="s">
        <v>403</v>
      </c>
      <c r="AU1016" s="1">
        <v>2022</v>
      </c>
      <c r="AV1016" s="1">
        <v>11</v>
      </c>
      <c r="AW1016" s="1">
        <v>4</v>
      </c>
      <c r="AX1016" s="1"/>
      <c r="AY1016" s="1"/>
      <c r="AZ1016" s="1"/>
      <c r="BA1016" s="1"/>
      <c r="BB1016" s="1">
        <v>1147</v>
      </c>
      <c r="BC1016" s="1">
        <v>1163</v>
      </c>
      <c r="BD1016" s="1"/>
      <c r="BE1016" s="1" t="s">
        <v>6523</v>
      </c>
      <c r="BF1016" s="1" t="str">
        <f>HYPERLINK("http://dx.doi.org/10.13187/ejced.2022.4.1147","http://dx.doi.org/10.13187/ejced.2022.4.1147")</f>
        <v>http://dx.doi.org/10.13187/ejced.2022.4.1147</v>
      </c>
      <c r="BG1016" s="1"/>
      <c r="BH1016" s="1"/>
      <c r="BI1016" s="1"/>
      <c r="BJ1016" s="1"/>
      <c r="BK1016" s="1"/>
      <c r="BL1016" s="1"/>
      <c r="BM1016" s="1"/>
      <c r="BN1016" s="1"/>
      <c r="BO1016" s="1"/>
      <c r="BP1016" s="1"/>
      <c r="BQ1016" s="1"/>
      <c r="BR1016" s="1"/>
      <c r="BS1016" s="1" t="s">
        <v>6524</v>
      </c>
      <c r="BT1016" s="1" t="str">
        <f>HYPERLINK("https%3A%2F%2Fwww.webofscience.com%2Fwos%2Fwoscc%2Ffull-record%2FWOS:000914876300009","View Full Record in Web of Science")</f>
        <v>View Full Record in Web of Science</v>
      </c>
      <c r="BU1016" s="1"/>
      <c r="BV1016" s="1"/>
      <c r="BW1016" s="1"/>
    </row>
    <row r="1017" spans="1:75" ht="12.75" customHeight="1" x14ac:dyDescent="0.2">
      <c r="A1017" s="1" t="s">
        <v>72</v>
      </c>
      <c r="B1017" s="1" t="s">
        <v>6525</v>
      </c>
      <c r="C1017" s="1"/>
      <c r="D1017" s="1"/>
      <c r="E1017" s="1"/>
      <c r="F1017" s="1" t="s">
        <v>6526</v>
      </c>
      <c r="G1017" s="1"/>
      <c r="H1017" s="1"/>
      <c r="I1017" s="1" t="s">
        <v>6527</v>
      </c>
      <c r="J1017" s="1" t="s">
        <v>166</v>
      </c>
      <c r="K1017" s="1"/>
      <c r="L1017" s="1"/>
      <c r="M1017" s="1"/>
      <c r="N1017" s="1"/>
      <c r="O1017" s="1"/>
      <c r="P1017" s="1"/>
      <c r="Q1017" s="1"/>
      <c r="R1017" s="1"/>
      <c r="S1017" s="1"/>
      <c r="T1017" s="1"/>
      <c r="U1017" s="1"/>
      <c r="V1017" s="1"/>
      <c r="W1017" s="1"/>
      <c r="X1017" s="1"/>
      <c r="Y1017" s="1"/>
      <c r="Z1017" s="1"/>
      <c r="AA1017" s="1"/>
      <c r="AB1017" s="1" t="s">
        <v>6516</v>
      </c>
      <c r="AC1017" s="1"/>
      <c r="AD1017" s="1"/>
      <c r="AE1017" s="1"/>
      <c r="AF1017" s="1"/>
      <c r="AG1017" s="1"/>
      <c r="AH1017" s="1"/>
      <c r="AI1017" s="1"/>
      <c r="AJ1017" s="1"/>
      <c r="AK1017" s="1"/>
      <c r="AL1017" s="1"/>
      <c r="AM1017" s="1"/>
      <c r="AN1017" s="1"/>
      <c r="AO1017" s="1" t="s">
        <v>169</v>
      </c>
      <c r="AP1017" s="1" t="s">
        <v>170</v>
      </c>
      <c r="AQ1017" s="1"/>
      <c r="AR1017" s="1"/>
      <c r="AS1017" s="1"/>
      <c r="AT1017" s="1" t="s">
        <v>403</v>
      </c>
      <c r="AU1017" s="1">
        <v>2021</v>
      </c>
      <c r="AV1017" s="1">
        <v>10</v>
      </c>
      <c r="AW1017" s="1">
        <v>4</v>
      </c>
      <c r="AX1017" s="1"/>
      <c r="AY1017" s="1"/>
      <c r="AZ1017" s="1"/>
      <c r="BA1017" s="1"/>
      <c r="BB1017" s="1">
        <v>987</v>
      </c>
      <c r="BC1017" s="1">
        <v>1002</v>
      </c>
      <c r="BD1017" s="1"/>
      <c r="BE1017" s="1" t="s">
        <v>6528</v>
      </c>
      <c r="BF1017" s="1" t="str">
        <f>HYPERLINK("http://dx.doi.org/10.13187/ejced.2021.4.987","http://dx.doi.org/10.13187/ejced.2021.4.987")</f>
        <v>http://dx.doi.org/10.13187/ejced.2021.4.987</v>
      </c>
      <c r="BG1017" s="1"/>
      <c r="BH1017" s="1"/>
      <c r="BI1017" s="1"/>
      <c r="BJ1017" s="1"/>
      <c r="BK1017" s="1"/>
      <c r="BL1017" s="1"/>
      <c r="BM1017" s="1"/>
      <c r="BN1017" s="1"/>
      <c r="BO1017" s="1"/>
      <c r="BP1017" s="1"/>
      <c r="BQ1017" s="1"/>
      <c r="BR1017" s="1"/>
      <c r="BS1017" s="1" t="s">
        <v>6529</v>
      </c>
      <c r="BT1017" s="1" t="str">
        <f>HYPERLINK("https%3A%2F%2Fwww.webofscience.com%2Fwos%2Fwoscc%2Ffull-record%2FWOS:000739150200013","View Full Record in Web of Science")</f>
        <v>View Full Record in Web of Science</v>
      </c>
      <c r="BU1017" s="1"/>
      <c r="BV1017" s="1"/>
      <c r="BW1017" s="1"/>
    </row>
    <row r="1018" spans="1:75" ht="12.75" customHeight="1" x14ac:dyDescent="0.2">
      <c r="A1018" s="1" t="s">
        <v>72</v>
      </c>
      <c r="B1018" s="1" t="s">
        <v>6530</v>
      </c>
      <c r="C1018" s="1"/>
      <c r="D1018" s="1"/>
      <c r="E1018" s="1"/>
      <c r="F1018" s="1" t="s">
        <v>6531</v>
      </c>
      <c r="G1018" s="1"/>
      <c r="H1018" s="1"/>
      <c r="I1018" s="1" t="s">
        <v>6532</v>
      </c>
      <c r="J1018" s="1" t="s">
        <v>409</v>
      </c>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t="s">
        <v>412</v>
      </c>
      <c r="AP1018" s="1"/>
      <c r="AQ1018" s="1"/>
      <c r="AR1018" s="1"/>
      <c r="AS1018" s="1"/>
      <c r="AT1018" s="1" t="s">
        <v>1167</v>
      </c>
      <c r="AU1018" s="1">
        <v>2010</v>
      </c>
      <c r="AV1018" s="1">
        <v>83</v>
      </c>
      <c r="AW1018" s="1">
        <v>10</v>
      </c>
      <c r="AX1018" s="1"/>
      <c r="AY1018" s="1"/>
      <c r="AZ1018" s="1"/>
      <c r="BA1018" s="1"/>
      <c r="BB1018" s="1">
        <v>1886</v>
      </c>
      <c r="BC1018" s="1">
        <v>1888</v>
      </c>
      <c r="BD1018" s="1"/>
      <c r="BE1018" s="1" t="s">
        <v>6533</v>
      </c>
      <c r="BF1018" s="1" t="str">
        <f>HYPERLINK("http://dx.doi.org/10.1134/S1070427210100290","http://dx.doi.org/10.1134/S1070427210100290")</f>
        <v>http://dx.doi.org/10.1134/S1070427210100290</v>
      </c>
      <c r="BG1018" s="1"/>
      <c r="BH1018" s="1"/>
      <c r="BI1018" s="1"/>
      <c r="BJ1018" s="1"/>
      <c r="BK1018" s="1"/>
      <c r="BL1018" s="1"/>
      <c r="BM1018" s="1"/>
      <c r="BN1018" s="1"/>
      <c r="BO1018" s="1"/>
      <c r="BP1018" s="1"/>
      <c r="BQ1018" s="1"/>
      <c r="BR1018" s="1"/>
      <c r="BS1018" s="1" t="s">
        <v>6534</v>
      </c>
      <c r="BT1018" s="1" t="str">
        <f>HYPERLINK("https%3A%2F%2Fwww.webofscience.com%2Fwos%2Fwoscc%2Ffull-record%2FWOS:000284652000029","View Full Record in Web of Science")</f>
        <v>View Full Record in Web of Science</v>
      </c>
      <c r="BU1018" s="1"/>
      <c r="BV1018" s="1"/>
      <c r="BW1018" s="1"/>
    </row>
    <row r="1019" spans="1:75" ht="12.75" customHeight="1" x14ac:dyDescent="0.2">
      <c r="A1019" s="1" t="s">
        <v>72</v>
      </c>
      <c r="B1019" s="1" t="s">
        <v>6535</v>
      </c>
      <c r="C1019" s="1"/>
      <c r="D1019" s="1"/>
      <c r="E1019" s="1"/>
      <c r="F1019" s="1" t="s">
        <v>6536</v>
      </c>
      <c r="G1019" s="1"/>
      <c r="H1019" s="1"/>
      <c r="I1019" s="1" t="s">
        <v>6537</v>
      </c>
      <c r="J1019" s="1" t="s">
        <v>6538</v>
      </c>
      <c r="K1019" s="1"/>
      <c r="L1019" s="1"/>
      <c r="M1019" s="1"/>
      <c r="N1019" s="1"/>
      <c r="O1019" s="1"/>
      <c r="P1019" s="1"/>
      <c r="Q1019" s="1"/>
      <c r="R1019" s="1"/>
      <c r="S1019" s="1"/>
      <c r="T1019" s="1"/>
      <c r="U1019" s="1"/>
      <c r="V1019" s="1"/>
      <c r="W1019" s="1"/>
      <c r="X1019" s="1"/>
      <c r="Y1019" s="1"/>
      <c r="Z1019" s="1"/>
      <c r="AA1019" s="1" t="s">
        <v>6539</v>
      </c>
      <c r="AB1019" s="1" t="s">
        <v>6540</v>
      </c>
      <c r="AC1019" s="1"/>
      <c r="AD1019" s="1"/>
      <c r="AE1019" s="1"/>
      <c r="AF1019" s="1"/>
      <c r="AG1019" s="1"/>
      <c r="AH1019" s="1"/>
      <c r="AI1019" s="1"/>
      <c r="AJ1019" s="1"/>
      <c r="AK1019" s="1"/>
      <c r="AL1019" s="1"/>
      <c r="AM1019" s="1"/>
      <c r="AN1019" s="1"/>
      <c r="AO1019" s="1" t="s">
        <v>6541</v>
      </c>
      <c r="AP1019" s="1" t="s">
        <v>6542</v>
      </c>
      <c r="AQ1019" s="1"/>
      <c r="AR1019" s="1"/>
      <c r="AS1019" s="1"/>
      <c r="AT1019" s="1"/>
      <c r="AU1019" s="1">
        <v>2021</v>
      </c>
      <c r="AV1019" s="1">
        <v>7</v>
      </c>
      <c r="AW1019" s="1"/>
      <c r="AX1019" s="1"/>
      <c r="AY1019" s="1"/>
      <c r="AZ1019" s="1">
        <v>2</v>
      </c>
      <c r="BA1019" s="1"/>
      <c r="BB1019" s="1"/>
      <c r="BC1019" s="1"/>
      <c r="BD1019" s="1" t="s">
        <v>6543</v>
      </c>
      <c r="BE1019" s="1" t="s">
        <v>6544</v>
      </c>
      <c r="BF1019" s="1" t="str">
        <f>HYPERLINK("http://dx.doi.org/10.29051/el.v7iesp.2.15150","http://dx.doi.org/10.29051/el.v7iesp.2.15150")</f>
        <v>http://dx.doi.org/10.29051/el.v7iesp.2.15150</v>
      </c>
      <c r="BG1019" s="1"/>
      <c r="BH1019" s="1"/>
      <c r="BI1019" s="1"/>
      <c r="BJ1019" s="1"/>
      <c r="BK1019" s="1"/>
      <c r="BL1019" s="1"/>
      <c r="BM1019" s="1"/>
      <c r="BN1019" s="1"/>
      <c r="BO1019" s="1"/>
      <c r="BP1019" s="1"/>
      <c r="BQ1019" s="1"/>
      <c r="BR1019" s="1"/>
      <c r="BS1019" s="1" t="s">
        <v>6545</v>
      </c>
      <c r="BT1019" s="1" t="str">
        <f>HYPERLINK("https%3A%2F%2Fwww.webofscience.com%2Fwos%2Fwoscc%2Ffull-record%2FWOS:000659373500022","View Full Record in Web of Science")</f>
        <v>View Full Record in Web of Science</v>
      </c>
      <c r="BU1019" s="1"/>
      <c r="BV1019" s="1"/>
      <c r="BW1019" s="1"/>
    </row>
    <row r="1020" spans="1:75" ht="12.75" customHeight="1" x14ac:dyDescent="0.2">
      <c r="A1020" s="1" t="s">
        <v>72</v>
      </c>
      <c r="B1020" s="1" t="s">
        <v>6546</v>
      </c>
      <c r="C1020" s="1"/>
      <c r="D1020" s="1"/>
      <c r="E1020" s="1"/>
      <c r="F1020" s="1" t="s">
        <v>6547</v>
      </c>
      <c r="G1020" s="1"/>
      <c r="H1020" s="1"/>
      <c r="I1020" s="1" t="s">
        <v>6548</v>
      </c>
      <c r="J1020" s="1" t="s">
        <v>6549</v>
      </c>
      <c r="K1020" s="1"/>
      <c r="L1020" s="1"/>
      <c r="M1020" s="1"/>
      <c r="N1020" s="1"/>
      <c r="O1020" s="1"/>
      <c r="P1020" s="1"/>
      <c r="Q1020" s="1"/>
      <c r="R1020" s="1"/>
      <c r="S1020" s="1"/>
      <c r="T1020" s="1"/>
      <c r="U1020" s="1"/>
      <c r="V1020" s="1"/>
      <c r="W1020" s="1"/>
      <c r="X1020" s="1"/>
      <c r="Y1020" s="1"/>
      <c r="Z1020" s="1"/>
      <c r="AA1020" s="1" t="s">
        <v>6550</v>
      </c>
      <c r="AB1020" s="1" t="s">
        <v>6551</v>
      </c>
      <c r="AC1020" s="1"/>
      <c r="AD1020" s="1"/>
      <c r="AE1020" s="1"/>
      <c r="AF1020" s="1"/>
      <c r="AG1020" s="1"/>
      <c r="AH1020" s="1"/>
      <c r="AI1020" s="1"/>
      <c r="AJ1020" s="1"/>
      <c r="AK1020" s="1"/>
      <c r="AL1020" s="1"/>
      <c r="AM1020" s="1"/>
      <c r="AN1020" s="1"/>
      <c r="AO1020" s="1" t="s">
        <v>6552</v>
      </c>
      <c r="AP1020" s="1"/>
      <c r="AQ1020" s="1"/>
      <c r="AR1020" s="1"/>
      <c r="AS1020" s="1"/>
      <c r="AT1020" s="1"/>
      <c r="AU1020" s="1">
        <v>2008</v>
      </c>
      <c r="AV1020" s="1"/>
      <c r="AW1020" s="1">
        <v>1</v>
      </c>
      <c r="AX1020" s="1"/>
      <c r="AY1020" s="1"/>
      <c r="AZ1020" s="1"/>
      <c r="BA1020" s="1"/>
      <c r="BB1020" s="1">
        <v>65</v>
      </c>
      <c r="BC1020" s="1">
        <v>70</v>
      </c>
      <c r="BD1020" s="1"/>
      <c r="BE1020" s="1"/>
      <c r="BF1020" s="1"/>
      <c r="BG1020" s="1"/>
      <c r="BH1020" s="1"/>
      <c r="BI1020" s="1"/>
      <c r="BJ1020" s="1"/>
      <c r="BK1020" s="1"/>
      <c r="BL1020" s="1"/>
      <c r="BM1020" s="1"/>
      <c r="BN1020" s="1"/>
      <c r="BO1020" s="1"/>
      <c r="BP1020" s="1"/>
      <c r="BQ1020" s="1"/>
      <c r="BR1020" s="1"/>
      <c r="BS1020" s="1" t="s">
        <v>6553</v>
      </c>
      <c r="BT1020" s="1" t="str">
        <f>HYPERLINK("https%3A%2F%2Fwww.webofscience.com%2Fwos%2Fwoscc%2Ffull-record%2FWOS:000254496200012","View Full Record in Web of Science")</f>
        <v>View Full Record in Web of Science</v>
      </c>
      <c r="BU1020" s="1"/>
      <c r="BV1020" s="1"/>
      <c r="BW1020" s="1"/>
    </row>
    <row r="1021" spans="1:75" ht="12.75" customHeight="1" x14ac:dyDescent="0.2">
      <c r="A1021" s="1" t="s">
        <v>72</v>
      </c>
      <c r="B1021" s="1" t="s">
        <v>6554</v>
      </c>
      <c r="C1021" s="1"/>
      <c r="D1021" s="1"/>
      <c r="E1021" s="1"/>
      <c r="F1021" s="1" t="s">
        <v>6555</v>
      </c>
      <c r="G1021" s="1"/>
      <c r="H1021" s="1"/>
      <c r="I1021" s="1" t="s">
        <v>6556</v>
      </c>
      <c r="J1021" s="1" t="s">
        <v>4849</v>
      </c>
      <c r="K1021" s="1"/>
      <c r="L1021" s="1"/>
      <c r="M1021" s="1"/>
      <c r="N1021" s="1"/>
      <c r="O1021" s="1"/>
      <c r="P1021" s="1"/>
      <c r="Q1021" s="1"/>
      <c r="R1021" s="1"/>
      <c r="S1021" s="1"/>
      <c r="T1021" s="1"/>
      <c r="U1021" s="1"/>
      <c r="V1021" s="1"/>
      <c r="W1021" s="1"/>
      <c r="X1021" s="1"/>
      <c r="Y1021" s="1"/>
      <c r="Z1021" s="1"/>
      <c r="AA1021" s="1" t="s">
        <v>4850</v>
      </c>
      <c r="AB1021" s="1" t="s">
        <v>6557</v>
      </c>
      <c r="AC1021" s="1"/>
      <c r="AD1021" s="1"/>
      <c r="AE1021" s="1"/>
      <c r="AF1021" s="1"/>
      <c r="AG1021" s="1"/>
      <c r="AH1021" s="1"/>
      <c r="AI1021" s="1"/>
      <c r="AJ1021" s="1"/>
      <c r="AK1021" s="1"/>
      <c r="AL1021" s="1"/>
      <c r="AM1021" s="1"/>
      <c r="AN1021" s="1"/>
      <c r="AO1021" s="1" t="s">
        <v>4852</v>
      </c>
      <c r="AP1021" s="1" t="s">
        <v>4853</v>
      </c>
      <c r="AQ1021" s="1"/>
      <c r="AR1021" s="1"/>
      <c r="AS1021" s="1"/>
      <c r="AT1021" s="1" t="s">
        <v>491</v>
      </c>
      <c r="AU1021" s="1">
        <v>2023</v>
      </c>
      <c r="AV1021" s="1">
        <v>101</v>
      </c>
      <c r="AW1021" s="1">
        <v>6</v>
      </c>
      <c r="AX1021" s="1"/>
      <c r="AY1021" s="1"/>
      <c r="AZ1021" s="1"/>
      <c r="BA1021" s="1"/>
      <c r="BB1021" s="1">
        <v>623</v>
      </c>
      <c r="BC1021" s="1">
        <v>633</v>
      </c>
      <c r="BD1021" s="1"/>
      <c r="BE1021" s="1" t="s">
        <v>6558</v>
      </c>
      <c r="BF1021" s="1" t="str">
        <f>HYPERLINK("http://dx.doi.org/10.1111/tan.15007","http://dx.doi.org/10.1111/tan.15007")</f>
        <v>http://dx.doi.org/10.1111/tan.15007</v>
      </c>
      <c r="BG1021" s="1"/>
      <c r="BH1021" s="1" t="s">
        <v>5539</v>
      </c>
      <c r="BI1021" s="1"/>
      <c r="BJ1021" s="1"/>
      <c r="BK1021" s="1"/>
      <c r="BL1021" s="1"/>
      <c r="BM1021" s="1"/>
      <c r="BN1021" s="1">
        <v>36825428</v>
      </c>
      <c r="BO1021" s="1"/>
      <c r="BP1021" s="1"/>
      <c r="BQ1021" s="1"/>
      <c r="BR1021" s="1"/>
      <c r="BS1021" s="1" t="s">
        <v>6559</v>
      </c>
      <c r="BT1021" s="1" t="str">
        <f>HYPERLINK("https%3A%2F%2Fwww.webofscience.com%2Fwos%2Fwoscc%2Ffull-record%2FWOS:000943276600001","View Full Record in Web of Science")</f>
        <v>View Full Record in Web of Science</v>
      </c>
      <c r="BU1021" s="1"/>
      <c r="BV1021" s="1"/>
      <c r="BW1021" s="1"/>
    </row>
    <row r="1022" spans="1:75" ht="12.75" customHeight="1" x14ac:dyDescent="0.2">
      <c r="A1022" s="1" t="s">
        <v>72</v>
      </c>
      <c r="B1022" s="1" t="s">
        <v>6560</v>
      </c>
      <c r="C1022" s="1"/>
      <c r="D1022" s="1"/>
      <c r="E1022" s="1"/>
      <c r="F1022" s="1" t="s">
        <v>6561</v>
      </c>
      <c r="G1022" s="1"/>
      <c r="H1022" s="1"/>
      <c r="I1022" s="1" t="s">
        <v>6562</v>
      </c>
      <c r="J1022" s="1" t="s">
        <v>95</v>
      </c>
      <c r="K1022" s="1"/>
      <c r="L1022" s="1"/>
      <c r="M1022" s="1"/>
      <c r="N1022" s="1"/>
      <c r="O1022" s="1"/>
      <c r="P1022" s="1"/>
      <c r="Q1022" s="1"/>
      <c r="R1022" s="1"/>
      <c r="S1022" s="1"/>
      <c r="T1022" s="1"/>
      <c r="U1022" s="1"/>
      <c r="V1022" s="1"/>
      <c r="W1022" s="1"/>
      <c r="X1022" s="1"/>
      <c r="Y1022" s="1"/>
      <c r="Z1022" s="1"/>
      <c r="AA1022" s="1" t="s">
        <v>6280</v>
      </c>
      <c r="AB1022" s="1" t="s">
        <v>6281</v>
      </c>
      <c r="AC1022" s="1"/>
      <c r="AD1022" s="1"/>
      <c r="AE1022" s="1"/>
      <c r="AF1022" s="1"/>
      <c r="AG1022" s="1"/>
      <c r="AH1022" s="1"/>
      <c r="AI1022" s="1"/>
      <c r="AJ1022" s="1"/>
      <c r="AK1022" s="1"/>
      <c r="AL1022" s="1"/>
      <c r="AM1022" s="1"/>
      <c r="AN1022" s="1"/>
      <c r="AO1022" s="1" t="s">
        <v>98</v>
      </c>
      <c r="AP1022" s="1" t="s">
        <v>99</v>
      </c>
      <c r="AQ1022" s="1"/>
      <c r="AR1022" s="1"/>
      <c r="AS1022" s="1"/>
      <c r="AT1022" s="1"/>
      <c r="AU1022" s="1">
        <v>2022</v>
      </c>
      <c r="AV1022" s="1"/>
      <c r="AW1022" s="1">
        <v>4</v>
      </c>
      <c r="AX1022" s="1"/>
      <c r="AY1022" s="1"/>
      <c r="AZ1022" s="1"/>
      <c r="BA1022" s="1"/>
      <c r="BB1022" s="1">
        <v>232</v>
      </c>
      <c r="BC1022" s="1">
        <v>237</v>
      </c>
      <c r="BD1022" s="1"/>
      <c r="BE1022" s="1" t="s">
        <v>6563</v>
      </c>
      <c r="BF1022" s="1" t="str">
        <f>HYPERLINK("http://dx.doi.org/10.25750/1995-4301-2022-4-232-239","http://dx.doi.org/10.25750/1995-4301-2022-4-232-239")</f>
        <v>http://dx.doi.org/10.25750/1995-4301-2022-4-232-239</v>
      </c>
      <c r="BG1022" s="1"/>
      <c r="BH1022" s="1"/>
      <c r="BI1022" s="1"/>
      <c r="BJ1022" s="1"/>
      <c r="BK1022" s="1"/>
      <c r="BL1022" s="1"/>
      <c r="BM1022" s="1"/>
      <c r="BN1022" s="1"/>
      <c r="BO1022" s="1"/>
      <c r="BP1022" s="1"/>
      <c r="BQ1022" s="1"/>
      <c r="BR1022" s="1"/>
      <c r="BS1022" s="1" t="s">
        <v>6564</v>
      </c>
      <c r="BT1022" s="1" t="str">
        <f>HYPERLINK("https%3A%2F%2Fwww.webofscience.com%2Fwos%2Fwoscc%2Ffull-record%2FWOS:000929704700031","View Full Record in Web of Science")</f>
        <v>View Full Record in Web of Science</v>
      </c>
      <c r="BU1022" s="1"/>
      <c r="BV1022" s="1"/>
      <c r="BW1022" s="1"/>
    </row>
    <row r="1023" spans="1:75" ht="12.75" customHeight="1" x14ac:dyDescent="0.2">
      <c r="A1023" s="1" t="s">
        <v>72</v>
      </c>
      <c r="B1023" s="1" t="s">
        <v>6565</v>
      </c>
      <c r="C1023" s="1"/>
      <c r="D1023" s="1"/>
      <c r="E1023" s="1"/>
      <c r="F1023" s="1" t="s">
        <v>6566</v>
      </c>
      <c r="G1023" s="1"/>
      <c r="H1023" s="1"/>
      <c r="I1023" s="1" t="s">
        <v>6567</v>
      </c>
      <c r="J1023" s="1" t="s">
        <v>244</v>
      </c>
      <c r="K1023" s="1"/>
      <c r="L1023" s="1"/>
      <c r="M1023" s="1"/>
      <c r="N1023" s="1"/>
      <c r="O1023" s="1"/>
      <c r="P1023" s="1"/>
      <c r="Q1023" s="1"/>
      <c r="R1023" s="1"/>
      <c r="S1023" s="1"/>
      <c r="T1023" s="1"/>
      <c r="U1023" s="1"/>
      <c r="V1023" s="1"/>
      <c r="W1023" s="1"/>
      <c r="X1023" s="1"/>
      <c r="Y1023" s="1"/>
      <c r="Z1023" s="1"/>
      <c r="AA1023" s="1" t="s">
        <v>6568</v>
      </c>
      <c r="AB1023" s="1" t="s">
        <v>2966</v>
      </c>
      <c r="AC1023" s="1"/>
      <c r="AD1023" s="1"/>
      <c r="AE1023" s="1"/>
      <c r="AF1023" s="1"/>
      <c r="AG1023" s="1"/>
      <c r="AH1023" s="1"/>
      <c r="AI1023" s="1"/>
      <c r="AJ1023" s="1"/>
      <c r="AK1023" s="1"/>
      <c r="AL1023" s="1"/>
      <c r="AM1023" s="1"/>
      <c r="AN1023" s="1"/>
      <c r="AO1023" s="1" t="s">
        <v>245</v>
      </c>
      <c r="AP1023" s="1" t="s">
        <v>246</v>
      </c>
      <c r="AQ1023" s="1"/>
      <c r="AR1023" s="1"/>
      <c r="AS1023" s="1"/>
      <c r="AT1023" s="1"/>
      <c r="AU1023" s="1">
        <v>2019</v>
      </c>
      <c r="AV1023" s="1"/>
      <c r="AW1023" s="1">
        <v>11</v>
      </c>
      <c r="AX1023" s="1"/>
      <c r="AY1023" s="1"/>
      <c r="AZ1023" s="1"/>
      <c r="BA1023" s="1"/>
      <c r="BB1023" s="1">
        <v>102</v>
      </c>
      <c r="BC1023" s="1">
        <v>111</v>
      </c>
      <c r="BD1023" s="1"/>
      <c r="BE1023" s="1" t="s">
        <v>6569</v>
      </c>
      <c r="BF1023" s="1" t="str">
        <f>HYPERLINK("http://dx.doi.org/10.31166/VoprosyIstorii201911Statyi11","http://dx.doi.org/10.31166/VoprosyIstorii201911Statyi11")</f>
        <v>http://dx.doi.org/10.31166/VoprosyIstorii201911Statyi11</v>
      </c>
      <c r="BG1023" s="1"/>
      <c r="BH1023" s="1"/>
      <c r="BI1023" s="1"/>
      <c r="BJ1023" s="1"/>
      <c r="BK1023" s="1"/>
      <c r="BL1023" s="1"/>
      <c r="BM1023" s="1"/>
      <c r="BN1023" s="1"/>
      <c r="BO1023" s="1"/>
      <c r="BP1023" s="1"/>
      <c r="BQ1023" s="1"/>
      <c r="BR1023" s="1"/>
      <c r="BS1023" s="1" t="s">
        <v>6570</v>
      </c>
      <c r="BT1023" s="1" t="str">
        <f>HYPERLINK("https%3A%2F%2Fwww.webofscience.com%2Fwos%2Fwoscc%2Ffull-record%2FWOS:000504079400009","View Full Record in Web of Science")</f>
        <v>View Full Record in Web of Science</v>
      </c>
      <c r="BU1023" s="1"/>
      <c r="BV1023" s="1"/>
      <c r="BW1023" s="1"/>
    </row>
    <row r="1024" spans="1:75" ht="12.75" customHeight="1" x14ac:dyDescent="0.2">
      <c r="A1024" s="1" t="s">
        <v>72</v>
      </c>
      <c r="B1024" s="1" t="s">
        <v>6571</v>
      </c>
      <c r="C1024" s="1"/>
      <c r="D1024" s="1"/>
      <c r="E1024" s="1"/>
      <c r="F1024" s="1" t="s">
        <v>6572</v>
      </c>
      <c r="G1024" s="1"/>
      <c r="H1024" s="1"/>
      <c r="I1024" s="1" t="s">
        <v>6573</v>
      </c>
      <c r="J1024" s="1" t="s">
        <v>716</v>
      </c>
      <c r="K1024" s="1"/>
      <c r="L1024" s="1"/>
      <c r="M1024" s="1"/>
      <c r="N1024" s="1"/>
      <c r="O1024" s="1"/>
      <c r="P1024" s="1"/>
      <c r="Q1024" s="1"/>
      <c r="R1024" s="1"/>
      <c r="S1024" s="1"/>
      <c r="T1024" s="1"/>
      <c r="U1024" s="1"/>
      <c r="V1024" s="1"/>
      <c r="W1024" s="1"/>
      <c r="X1024" s="1"/>
      <c r="Y1024" s="1"/>
      <c r="Z1024" s="1"/>
      <c r="AA1024" s="1" t="s">
        <v>6574</v>
      </c>
      <c r="AB1024" s="1" t="s">
        <v>6575</v>
      </c>
      <c r="AC1024" s="1"/>
      <c r="AD1024" s="1"/>
      <c r="AE1024" s="1"/>
      <c r="AF1024" s="1"/>
      <c r="AG1024" s="1"/>
      <c r="AH1024" s="1"/>
      <c r="AI1024" s="1"/>
      <c r="AJ1024" s="1"/>
      <c r="AK1024" s="1"/>
      <c r="AL1024" s="1"/>
      <c r="AM1024" s="1"/>
      <c r="AN1024" s="1"/>
      <c r="AO1024" s="1" t="s">
        <v>719</v>
      </c>
      <c r="AP1024" s="1" t="s">
        <v>720</v>
      </c>
      <c r="AQ1024" s="1"/>
      <c r="AR1024" s="1"/>
      <c r="AS1024" s="1"/>
      <c r="AT1024" s="1" t="s">
        <v>88</v>
      </c>
      <c r="AU1024" s="1">
        <v>2018</v>
      </c>
      <c r="AV1024" s="1"/>
      <c r="AW1024" s="1">
        <v>430</v>
      </c>
      <c r="AX1024" s="1"/>
      <c r="AY1024" s="1"/>
      <c r="AZ1024" s="1"/>
      <c r="BA1024" s="1"/>
      <c r="BB1024" s="1">
        <v>213</v>
      </c>
      <c r="BC1024" s="1">
        <v>218</v>
      </c>
      <c r="BD1024" s="1"/>
      <c r="BE1024" s="1" t="s">
        <v>6576</v>
      </c>
      <c r="BF1024" s="1" t="str">
        <f>HYPERLINK("http://dx.doi.org/10.17223/15617793/430/29","http://dx.doi.org/10.17223/15617793/430/29")</f>
        <v>http://dx.doi.org/10.17223/15617793/430/29</v>
      </c>
      <c r="BG1024" s="1"/>
      <c r="BH1024" s="1"/>
      <c r="BI1024" s="1"/>
      <c r="BJ1024" s="1"/>
      <c r="BK1024" s="1"/>
      <c r="BL1024" s="1"/>
      <c r="BM1024" s="1"/>
      <c r="BN1024" s="1"/>
      <c r="BO1024" s="1"/>
      <c r="BP1024" s="1"/>
      <c r="BQ1024" s="1"/>
      <c r="BR1024" s="1"/>
      <c r="BS1024" s="1" t="s">
        <v>6577</v>
      </c>
      <c r="BT1024" s="1" t="str">
        <f>HYPERLINK("https%3A%2F%2Fwww.webofscience.com%2Fwos%2Fwoscc%2Ffull-record%2FWOS:000438858600029","View Full Record in Web of Science")</f>
        <v>View Full Record in Web of Science</v>
      </c>
      <c r="BU1024" s="1"/>
      <c r="BV1024" s="1"/>
      <c r="BW1024" s="1"/>
    </row>
    <row r="1025" spans="1:75" ht="12.75" customHeight="1" x14ac:dyDescent="0.2">
      <c r="A1025" s="1" t="s">
        <v>72</v>
      </c>
      <c r="B1025" s="1" t="s">
        <v>6578</v>
      </c>
      <c r="C1025" s="1"/>
      <c r="D1025" s="1"/>
      <c r="E1025" s="1"/>
      <c r="F1025" s="1" t="s">
        <v>6579</v>
      </c>
      <c r="G1025" s="1"/>
      <c r="H1025" s="1"/>
      <c r="I1025" s="1" t="s">
        <v>6580</v>
      </c>
      <c r="J1025" s="1" t="s">
        <v>4849</v>
      </c>
      <c r="K1025" s="1"/>
      <c r="L1025" s="1"/>
      <c r="M1025" s="1"/>
      <c r="N1025" s="1"/>
      <c r="O1025" s="1"/>
      <c r="P1025" s="1"/>
      <c r="Q1025" s="1"/>
      <c r="R1025" s="1"/>
      <c r="S1025" s="1"/>
      <c r="T1025" s="1"/>
      <c r="U1025" s="1"/>
      <c r="V1025" s="1"/>
      <c r="W1025" s="1"/>
      <c r="X1025" s="1"/>
      <c r="Y1025" s="1"/>
      <c r="Z1025" s="1"/>
      <c r="AA1025" s="1" t="s">
        <v>4850</v>
      </c>
      <c r="AB1025" s="1" t="s">
        <v>4851</v>
      </c>
      <c r="AC1025" s="1"/>
      <c r="AD1025" s="1"/>
      <c r="AE1025" s="1"/>
      <c r="AF1025" s="1"/>
      <c r="AG1025" s="1"/>
      <c r="AH1025" s="1"/>
      <c r="AI1025" s="1"/>
      <c r="AJ1025" s="1"/>
      <c r="AK1025" s="1"/>
      <c r="AL1025" s="1"/>
      <c r="AM1025" s="1"/>
      <c r="AN1025" s="1"/>
      <c r="AO1025" s="1" t="s">
        <v>4852</v>
      </c>
      <c r="AP1025" s="1" t="s">
        <v>4853</v>
      </c>
      <c r="AQ1025" s="1"/>
      <c r="AR1025" s="1"/>
      <c r="AS1025" s="1"/>
      <c r="AT1025" s="1" t="s">
        <v>491</v>
      </c>
      <c r="AU1025" s="1">
        <v>2022</v>
      </c>
      <c r="AV1025" s="1">
        <v>99</v>
      </c>
      <c r="AW1025" s="1">
        <v>6</v>
      </c>
      <c r="AX1025" s="1"/>
      <c r="AY1025" s="1"/>
      <c r="AZ1025" s="1"/>
      <c r="BA1025" s="1"/>
      <c r="BB1025" s="1">
        <v>619</v>
      </c>
      <c r="BC1025" s="1">
        <v>621</v>
      </c>
      <c r="BD1025" s="1" t="s">
        <v>6581</v>
      </c>
      <c r="BE1025" s="1" t="s">
        <v>6582</v>
      </c>
      <c r="BF1025" s="1" t="str">
        <f>HYPERLINK("http://dx.doi.org/10.1111/tan.14559","http://dx.doi.org/10.1111/tan.14559")</f>
        <v>http://dx.doi.org/10.1111/tan.14559</v>
      </c>
      <c r="BG1025" s="1"/>
      <c r="BH1025" s="1" t="s">
        <v>6583</v>
      </c>
      <c r="BI1025" s="1"/>
      <c r="BJ1025" s="1"/>
      <c r="BK1025" s="1"/>
      <c r="BL1025" s="1"/>
      <c r="BM1025" s="1"/>
      <c r="BN1025" s="1">
        <v>35064643</v>
      </c>
      <c r="BO1025" s="1"/>
      <c r="BP1025" s="1"/>
      <c r="BQ1025" s="1"/>
      <c r="BR1025" s="1"/>
      <c r="BS1025" s="1" t="s">
        <v>6584</v>
      </c>
      <c r="BT1025" s="1" t="str">
        <f>HYPERLINK("https%3A%2F%2Fwww.webofscience.com%2Fwos%2Fwoscc%2Ffull-record%2FWOS:000749651400001","View Full Record in Web of Science")</f>
        <v>View Full Record in Web of Science</v>
      </c>
      <c r="BU1025" s="1"/>
      <c r="BV1025" s="1"/>
      <c r="BW1025" s="1"/>
    </row>
    <row r="1026" spans="1:75" ht="12.75" customHeight="1" x14ac:dyDescent="0.2">
      <c r="A1026" s="1" t="s">
        <v>72</v>
      </c>
      <c r="B1026" s="1" t="s">
        <v>6585</v>
      </c>
      <c r="C1026" s="1"/>
      <c r="D1026" s="1"/>
      <c r="E1026" s="1"/>
      <c r="F1026" s="1" t="s">
        <v>6586</v>
      </c>
      <c r="G1026" s="1"/>
      <c r="H1026" s="1"/>
      <c r="I1026" s="1" t="s">
        <v>6587</v>
      </c>
      <c r="J1026" s="1" t="s">
        <v>95</v>
      </c>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t="s">
        <v>98</v>
      </c>
      <c r="AP1026" s="1" t="s">
        <v>99</v>
      </c>
      <c r="AQ1026" s="1"/>
      <c r="AR1026" s="1"/>
      <c r="AS1026" s="1"/>
      <c r="AT1026" s="1"/>
      <c r="AU1026" s="1">
        <v>2022</v>
      </c>
      <c r="AV1026" s="1"/>
      <c r="AW1026" s="1">
        <v>4</v>
      </c>
      <c r="AX1026" s="1"/>
      <c r="AY1026" s="1"/>
      <c r="AZ1026" s="1"/>
      <c r="BA1026" s="1"/>
      <c r="BB1026" s="1">
        <v>88</v>
      </c>
      <c r="BC1026" s="1">
        <v>95</v>
      </c>
      <c r="BD1026" s="1"/>
      <c r="BE1026" s="1" t="s">
        <v>6588</v>
      </c>
      <c r="BF1026" s="1" t="str">
        <f>HYPERLINK("http://dx.doi.org/10.25750/1995-4301-2022-4-088-095","http://dx.doi.org/10.25750/1995-4301-2022-4-088-095")</f>
        <v>http://dx.doi.org/10.25750/1995-4301-2022-4-088-095</v>
      </c>
      <c r="BG1026" s="1"/>
      <c r="BH1026" s="1"/>
      <c r="BI1026" s="1"/>
      <c r="BJ1026" s="1"/>
      <c r="BK1026" s="1"/>
      <c r="BL1026" s="1"/>
      <c r="BM1026" s="1"/>
      <c r="BN1026" s="1"/>
      <c r="BO1026" s="1"/>
      <c r="BP1026" s="1"/>
      <c r="BQ1026" s="1"/>
      <c r="BR1026" s="1"/>
      <c r="BS1026" s="1" t="s">
        <v>6589</v>
      </c>
      <c r="BT1026" s="1" t="str">
        <f>HYPERLINK("https%3A%2F%2Fwww.webofscience.com%2Fwos%2Fwoscc%2Ffull-record%2FWOS:000929704700012","View Full Record in Web of Science")</f>
        <v>View Full Record in Web of Science</v>
      </c>
      <c r="BU1026" s="1"/>
      <c r="BV1026" s="1"/>
      <c r="BW1026" s="1"/>
    </row>
    <row r="1027" spans="1:75" ht="12.75" customHeight="1" x14ac:dyDescent="0.2">
      <c r="A1027" s="1" t="s">
        <v>72</v>
      </c>
      <c r="B1027" s="1" t="s">
        <v>6590</v>
      </c>
      <c r="C1027" s="1"/>
      <c r="D1027" s="1"/>
      <c r="E1027" s="1"/>
      <c r="F1027" s="1" t="s">
        <v>6591</v>
      </c>
      <c r="G1027" s="1"/>
      <c r="H1027" s="1"/>
      <c r="I1027" s="1" t="s">
        <v>6592</v>
      </c>
      <c r="J1027" s="1" t="s">
        <v>166</v>
      </c>
      <c r="K1027" s="1"/>
      <c r="L1027" s="1"/>
      <c r="M1027" s="1"/>
      <c r="N1027" s="1"/>
      <c r="O1027" s="1"/>
      <c r="P1027" s="1"/>
      <c r="Q1027" s="1"/>
      <c r="R1027" s="1"/>
      <c r="S1027" s="1"/>
      <c r="T1027" s="1"/>
      <c r="U1027" s="1"/>
      <c r="V1027" s="1"/>
      <c r="W1027" s="1"/>
      <c r="X1027" s="1"/>
      <c r="Y1027" s="1"/>
      <c r="Z1027" s="1"/>
      <c r="AA1027" s="1" t="s">
        <v>6593</v>
      </c>
      <c r="AB1027" s="1" t="s">
        <v>6594</v>
      </c>
      <c r="AC1027" s="1"/>
      <c r="AD1027" s="1"/>
      <c r="AE1027" s="1"/>
      <c r="AF1027" s="1"/>
      <c r="AG1027" s="1"/>
      <c r="AH1027" s="1"/>
      <c r="AI1027" s="1"/>
      <c r="AJ1027" s="1"/>
      <c r="AK1027" s="1"/>
      <c r="AL1027" s="1"/>
      <c r="AM1027" s="1"/>
      <c r="AN1027" s="1"/>
      <c r="AO1027" s="1" t="s">
        <v>169</v>
      </c>
      <c r="AP1027" s="1" t="s">
        <v>170</v>
      </c>
      <c r="AQ1027" s="1"/>
      <c r="AR1027" s="1"/>
      <c r="AS1027" s="1"/>
      <c r="AT1027" s="1" t="s">
        <v>491</v>
      </c>
      <c r="AU1027" s="1">
        <v>2021</v>
      </c>
      <c r="AV1027" s="1">
        <v>10</v>
      </c>
      <c r="AW1027" s="1">
        <v>2</v>
      </c>
      <c r="AX1027" s="1"/>
      <c r="AY1027" s="1"/>
      <c r="AZ1027" s="1"/>
      <c r="BA1027" s="1"/>
      <c r="BB1027" s="1">
        <v>462</v>
      </c>
      <c r="BC1027" s="1">
        <v>475</v>
      </c>
      <c r="BD1027" s="1"/>
      <c r="BE1027" s="1" t="s">
        <v>6595</v>
      </c>
      <c r="BF1027" s="1" t="str">
        <f>HYPERLINK("http://dx.doi.org/10.13187/ejced.2021.2.462","http://dx.doi.org/10.13187/ejced.2021.2.462")</f>
        <v>http://dx.doi.org/10.13187/ejced.2021.2.462</v>
      </c>
      <c r="BG1027" s="1"/>
      <c r="BH1027" s="1"/>
      <c r="BI1027" s="1"/>
      <c r="BJ1027" s="1"/>
      <c r="BK1027" s="1"/>
      <c r="BL1027" s="1"/>
      <c r="BM1027" s="1"/>
      <c r="BN1027" s="1"/>
      <c r="BO1027" s="1"/>
      <c r="BP1027" s="1"/>
      <c r="BQ1027" s="1"/>
      <c r="BR1027" s="1"/>
      <c r="BS1027" s="1" t="s">
        <v>6596</v>
      </c>
      <c r="BT1027" s="1" t="str">
        <f>HYPERLINK("https%3A%2F%2Fwww.webofscience.com%2Fwos%2Fwoscc%2Ffull-record%2FWOS:000669658200014","View Full Record in Web of Science")</f>
        <v>View Full Record in Web of Science</v>
      </c>
      <c r="BU1027" s="1"/>
      <c r="BV1027" s="1"/>
      <c r="BW1027" s="1"/>
    </row>
    <row r="1028" spans="1:75" ht="12.75" customHeight="1" x14ac:dyDescent="0.2">
      <c r="A1028" s="1" t="s">
        <v>72</v>
      </c>
      <c r="B1028" s="1" t="s">
        <v>6597</v>
      </c>
      <c r="C1028" s="1"/>
      <c r="D1028" s="1"/>
      <c r="E1028" s="1"/>
      <c r="F1028" s="1" t="s">
        <v>6598</v>
      </c>
      <c r="G1028" s="1"/>
      <c r="H1028" s="1"/>
      <c r="I1028" s="1" t="s">
        <v>6599</v>
      </c>
      <c r="J1028" s="1" t="s">
        <v>6600</v>
      </c>
      <c r="K1028" s="1"/>
      <c r="L1028" s="1"/>
      <c r="M1028" s="1"/>
      <c r="N1028" s="1"/>
      <c r="O1028" s="1"/>
      <c r="P1028" s="1"/>
      <c r="Q1028" s="1"/>
      <c r="R1028" s="1"/>
      <c r="S1028" s="1"/>
      <c r="T1028" s="1"/>
      <c r="U1028" s="1"/>
      <c r="V1028" s="1"/>
      <c r="W1028" s="1"/>
      <c r="X1028" s="1"/>
      <c r="Y1028" s="1"/>
      <c r="Z1028" s="1"/>
      <c r="AA1028" s="1" t="s">
        <v>6601</v>
      </c>
      <c r="AB1028" s="1" t="s">
        <v>6602</v>
      </c>
      <c r="AC1028" s="1"/>
      <c r="AD1028" s="1"/>
      <c r="AE1028" s="1"/>
      <c r="AF1028" s="1"/>
      <c r="AG1028" s="1"/>
      <c r="AH1028" s="1"/>
      <c r="AI1028" s="1"/>
      <c r="AJ1028" s="1"/>
      <c r="AK1028" s="1"/>
      <c r="AL1028" s="1"/>
      <c r="AM1028" s="1"/>
      <c r="AN1028" s="1"/>
      <c r="AO1028" s="1" t="s">
        <v>6603</v>
      </c>
      <c r="AP1028" s="1" t="s">
        <v>6604</v>
      </c>
      <c r="AQ1028" s="1"/>
      <c r="AR1028" s="1"/>
      <c r="AS1028" s="1"/>
      <c r="AT1028" s="1" t="s">
        <v>338</v>
      </c>
      <c r="AU1028" s="1">
        <v>2019</v>
      </c>
      <c r="AV1028" s="1">
        <v>9</v>
      </c>
      <c r="AW1028" s="1" t="s">
        <v>1639</v>
      </c>
      <c r="AX1028" s="1"/>
      <c r="AY1028" s="1"/>
      <c r="AZ1028" s="1"/>
      <c r="BA1028" s="1"/>
      <c r="BB1028" s="1">
        <v>437</v>
      </c>
      <c r="BC1028" s="1">
        <v>448</v>
      </c>
      <c r="BD1028" s="1"/>
      <c r="BE1028" s="1" t="s">
        <v>6605</v>
      </c>
      <c r="BF1028" s="1" t="str">
        <f>HYPERLINK("http://dx.doi.org/10.15789/2220-7619-2019-3-4-437-448","http://dx.doi.org/10.15789/2220-7619-2019-3-4-437-448")</f>
        <v>http://dx.doi.org/10.15789/2220-7619-2019-3-4-437-448</v>
      </c>
      <c r="BG1028" s="1"/>
      <c r="BH1028" s="1"/>
      <c r="BI1028" s="1"/>
      <c r="BJ1028" s="1"/>
      <c r="BK1028" s="1"/>
      <c r="BL1028" s="1"/>
      <c r="BM1028" s="1"/>
      <c r="BN1028" s="1"/>
      <c r="BO1028" s="1"/>
      <c r="BP1028" s="1"/>
      <c r="BQ1028" s="1"/>
      <c r="BR1028" s="1"/>
      <c r="BS1028" s="1" t="s">
        <v>6606</v>
      </c>
      <c r="BT1028" s="1" t="str">
        <f>HYPERLINK("https%3A%2F%2Fwww.webofscience.com%2Fwos%2Fwoscc%2Ffull-record%2FWOS:000497425100002","View Full Record in Web of Science")</f>
        <v>View Full Record in Web of Science</v>
      </c>
      <c r="BU1028" s="1"/>
      <c r="BV1028" s="1"/>
      <c r="BW1028" s="1"/>
    </row>
    <row r="1029" spans="1:75" ht="12.75" customHeight="1" x14ac:dyDescent="0.2">
      <c r="A1029" s="1" t="s">
        <v>72</v>
      </c>
      <c r="B1029" s="1" t="s">
        <v>6607</v>
      </c>
      <c r="C1029" s="1"/>
      <c r="D1029" s="1"/>
      <c r="E1029" s="1"/>
      <c r="F1029" s="1" t="s">
        <v>6608</v>
      </c>
      <c r="G1029" s="1"/>
      <c r="H1029" s="1"/>
      <c r="I1029" s="1" t="s">
        <v>6609</v>
      </c>
      <c r="J1029" s="1" t="s">
        <v>6610</v>
      </c>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t="s">
        <v>6611</v>
      </c>
      <c r="AQ1029" s="1"/>
      <c r="AR1029" s="1"/>
      <c r="AS1029" s="1"/>
      <c r="AT1029" s="1"/>
      <c r="AU1029" s="1">
        <v>2019</v>
      </c>
      <c r="AV1029" s="1"/>
      <c r="AW1029" s="1">
        <v>1</v>
      </c>
      <c r="AX1029" s="1"/>
      <c r="AY1029" s="1"/>
      <c r="AZ1029" s="1"/>
      <c r="BA1029" s="1"/>
      <c r="BB1029" s="1">
        <v>75</v>
      </c>
      <c r="BC1029" s="1">
        <v>94</v>
      </c>
      <c r="BD1029" s="1"/>
      <c r="BE1029" s="1" t="s">
        <v>6612</v>
      </c>
      <c r="BF1029" s="1" t="str">
        <f>HYPERLINK("http://dx.doi.org/10.25178/nit.2019.1.6","http://dx.doi.org/10.25178/nit.2019.1.6")</f>
        <v>http://dx.doi.org/10.25178/nit.2019.1.6</v>
      </c>
      <c r="BG1029" s="1"/>
      <c r="BH1029" s="1"/>
      <c r="BI1029" s="1"/>
      <c r="BJ1029" s="1"/>
      <c r="BK1029" s="1"/>
      <c r="BL1029" s="1"/>
      <c r="BM1029" s="1"/>
      <c r="BN1029" s="1"/>
      <c r="BO1029" s="1"/>
      <c r="BP1029" s="1"/>
      <c r="BQ1029" s="1"/>
      <c r="BR1029" s="1"/>
      <c r="BS1029" s="1" t="s">
        <v>6613</v>
      </c>
      <c r="BT1029" s="1" t="str">
        <f>HYPERLINK("https%3A%2F%2Fwww.webofscience.com%2Fwos%2Fwoscc%2Ffull-record%2FWOS:000993913200006","View Full Record in Web of Science")</f>
        <v>View Full Record in Web of Science</v>
      </c>
      <c r="BU1029" s="1"/>
      <c r="BV1029" s="1"/>
      <c r="BW1029" s="1"/>
    </row>
    <row r="1030" spans="1:75" ht="12.75" customHeight="1" x14ac:dyDescent="0.2">
      <c r="A1030" s="1" t="s">
        <v>72</v>
      </c>
      <c r="B1030" s="1" t="s">
        <v>6614</v>
      </c>
      <c r="C1030" s="1"/>
      <c r="D1030" s="1"/>
      <c r="E1030" s="1"/>
      <c r="F1030" s="1" t="s">
        <v>6615</v>
      </c>
      <c r="G1030" s="1"/>
      <c r="H1030" s="1"/>
      <c r="I1030" s="1" t="s">
        <v>6616</v>
      </c>
      <c r="J1030" s="1" t="s">
        <v>6617</v>
      </c>
      <c r="K1030" s="1"/>
      <c r="L1030" s="1"/>
      <c r="M1030" s="1"/>
      <c r="N1030" s="1"/>
      <c r="O1030" s="1"/>
      <c r="P1030" s="1"/>
      <c r="Q1030" s="1"/>
      <c r="R1030" s="1"/>
      <c r="S1030" s="1"/>
      <c r="T1030" s="1"/>
      <c r="U1030" s="1"/>
      <c r="V1030" s="1"/>
      <c r="W1030" s="1"/>
      <c r="X1030" s="1"/>
      <c r="Y1030" s="1"/>
      <c r="Z1030" s="1"/>
      <c r="AA1030" s="1" t="s">
        <v>6618</v>
      </c>
      <c r="AB1030" s="1" t="s">
        <v>6619</v>
      </c>
      <c r="AC1030" s="1"/>
      <c r="AD1030" s="1"/>
      <c r="AE1030" s="1"/>
      <c r="AF1030" s="1"/>
      <c r="AG1030" s="1"/>
      <c r="AH1030" s="1"/>
      <c r="AI1030" s="1"/>
      <c r="AJ1030" s="1"/>
      <c r="AK1030" s="1"/>
      <c r="AL1030" s="1"/>
      <c r="AM1030" s="1"/>
      <c r="AN1030" s="1"/>
      <c r="AO1030" s="1" t="s">
        <v>6620</v>
      </c>
      <c r="AP1030" s="1" t="s">
        <v>6621</v>
      </c>
      <c r="AQ1030" s="1"/>
      <c r="AR1030" s="1"/>
      <c r="AS1030" s="1"/>
      <c r="AT1030" s="1"/>
      <c r="AU1030" s="1">
        <v>2019</v>
      </c>
      <c r="AV1030" s="1">
        <v>8</v>
      </c>
      <c r="AW1030" s="1">
        <v>2</v>
      </c>
      <c r="AX1030" s="1"/>
      <c r="AY1030" s="1"/>
      <c r="AZ1030" s="1"/>
      <c r="BA1030" s="1"/>
      <c r="BB1030" s="1">
        <v>438</v>
      </c>
      <c r="BC1030" s="1">
        <v>446</v>
      </c>
      <c r="BD1030" s="1"/>
      <c r="BE1030" s="1" t="s">
        <v>6622</v>
      </c>
      <c r="BF1030" s="1" t="str">
        <f>HYPERLINK("http://dx.doi.org/10.17150/2308-6203.2019.8(2).438-446","http://dx.doi.org/10.17150/2308-6203.2019.8(2).438-446")</f>
        <v>http://dx.doi.org/10.17150/2308-6203.2019.8(2).438-446</v>
      </c>
      <c r="BG1030" s="1"/>
      <c r="BH1030" s="1"/>
      <c r="BI1030" s="1"/>
      <c r="BJ1030" s="1"/>
      <c r="BK1030" s="1"/>
      <c r="BL1030" s="1"/>
      <c r="BM1030" s="1"/>
      <c r="BN1030" s="1"/>
      <c r="BO1030" s="1"/>
      <c r="BP1030" s="1"/>
      <c r="BQ1030" s="1"/>
      <c r="BR1030" s="1"/>
      <c r="BS1030" s="1" t="s">
        <v>6623</v>
      </c>
      <c r="BT1030" s="1" t="str">
        <f>HYPERLINK("https%3A%2F%2Fwww.webofscience.com%2Fwos%2Fwoscc%2Ffull-record%2FWOS:000468390900016","View Full Record in Web of Science")</f>
        <v>View Full Record in Web of Science</v>
      </c>
      <c r="BU1030" s="1"/>
      <c r="BV1030" s="1"/>
      <c r="BW1030" s="1"/>
    </row>
    <row r="1031" spans="1:75" ht="12.75" customHeight="1" x14ac:dyDescent="0.2">
      <c r="A1031" s="1" t="s">
        <v>72</v>
      </c>
      <c r="B1031" s="1" t="s">
        <v>6624</v>
      </c>
      <c r="C1031" s="1"/>
      <c r="D1031" s="1"/>
      <c r="E1031" s="1"/>
      <c r="F1031" s="1" t="s">
        <v>6625</v>
      </c>
      <c r="G1031" s="1"/>
      <c r="H1031" s="1"/>
      <c r="I1031" s="1" t="s">
        <v>6626</v>
      </c>
      <c r="J1031" s="1" t="s">
        <v>4849</v>
      </c>
      <c r="K1031" s="1"/>
      <c r="L1031" s="1"/>
      <c r="M1031" s="1"/>
      <c r="N1031" s="1"/>
      <c r="O1031" s="1"/>
      <c r="P1031" s="1"/>
      <c r="Q1031" s="1"/>
      <c r="R1031" s="1"/>
      <c r="S1031" s="1"/>
      <c r="T1031" s="1"/>
      <c r="U1031" s="1"/>
      <c r="V1031" s="1"/>
      <c r="W1031" s="1"/>
      <c r="X1031" s="1"/>
      <c r="Y1031" s="1"/>
      <c r="Z1031" s="1"/>
      <c r="AA1031" s="1" t="s">
        <v>4850</v>
      </c>
      <c r="AB1031" s="1" t="s">
        <v>4851</v>
      </c>
      <c r="AC1031" s="1"/>
      <c r="AD1031" s="1"/>
      <c r="AE1031" s="1"/>
      <c r="AF1031" s="1"/>
      <c r="AG1031" s="1"/>
      <c r="AH1031" s="1"/>
      <c r="AI1031" s="1"/>
      <c r="AJ1031" s="1"/>
      <c r="AK1031" s="1"/>
      <c r="AL1031" s="1"/>
      <c r="AM1031" s="1"/>
      <c r="AN1031" s="1"/>
      <c r="AO1031" s="1" t="s">
        <v>4852</v>
      </c>
      <c r="AP1031" s="1" t="s">
        <v>4853</v>
      </c>
      <c r="AQ1031" s="1"/>
      <c r="AR1031" s="1"/>
      <c r="AS1031" s="1"/>
      <c r="AT1031" s="1" t="s">
        <v>491</v>
      </c>
      <c r="AU1031" s="1">
        <v>2023</v>
      </c>
      <c r="AV1031" s="1">
        <v>101</v>
      </c>
      <c r="AW1031" s="1">
        <v>6</v>
      </c>
      <c r="AX1031" s="1"/>
      <c r="AY1031" s="1"/>
      <c r="AZ1031" s="1"/>
      <c r="BA1031" s="1"/>
      <c r="BB1031" s="1">
        <v>704</v>
      </c>
      <c r="BC1031" s="1">
        <v>705</v>
      </c>
      <c r="BD1031" s="1"/>
      <c r="BE1031" s="1" t="s">
        <v>6627</v>
      </c>
      <c r="BF1031" s="1" t="str">
        <f>HYPERLINK("http://dx.doi.org/10.1111/tan.14965","http://dx.doi.org/10.1111/tan.14965")</f>
        <v>http://dx.doi.org/10.1111/tan.14965</v>
      </c>
      <c r="BG1031" s="1"/>
      <c r="BH1031" s="1" t="s">
        <v>6093</v>
      </c>
      <c r="BI1031" s="1"/>
      <c r="BJ1031" s="1"/>
      <c r="BK1031" s="1"/>
      <c r="BL1031" s="1"/>
      <c r="BM1031" s="1"/>
      <c r="BN1031" s="1">
        <v>36604157</v>
      </c>
      <c r="BO1031" s="1"/>
      <c r="BP1031" s="1"/>
      <c r="BQ1031" s="1"/>
      <c r="BR1031" s="1"/>
      <c r="BS1031" s="1" t="s">
        <v>6628</v>
      </c>
      <c r="BT1031" s="1" t="str">
        <f>HYPERLINK("https%3A%2F%2Fwww.webofscience.com%2Fwos%2Fwoscc%2Ffull-record%2FWOS:000911908900001","View Full Record in Web of Science")</f>
        <v>View Full Record in Web of Science</v>
      </c>
      <c r="BU1031" s="1"/>
      <c r="BV1031" s="1"/>
      <c r="BW1031" s="1"/>
    </row>
    <row r="1032" spans="1:75" ht="12.75" customHeight="1" x14ac:dyDescent="0.2">
      <c r="A1032" s="1" t="s">
        <v>72</v>
      </c>
      <c r="B1032" s="1" t="s">
        <v>6629</v>
      </c>
      <c r="C1032" s="1"/>
      <c r="D1032" s="1"/>
      <c r="E1032" s="1"/>
      <c r="F1032" s="1" t="s">
        <v>6630</v>
      </c>
      <c r="G1032" s="1"/>
      <c r="H1032" s="1"/>
      <c r="I1032" s="1" t="s">
        <v>6631</v>
      </c>
      <c r="J1032" s="1" t="s">
        <v>4849</v>
      </c>
      <c r="K1032" s="1"/>
      <c r="L1032" s="1"/>
      <c r="M1032" s="1"/>
      <c r="N1032" s="1"/>
      <c r="O1032" s="1"/>
      <c r="P1032" s="1"/>
      <c r="Q1032" s="1"/>
      <c r="R1032" s="1"/>
      <c r="S1032" s="1"/>
      <c r="T1032" s="1"/>
      <c r="U1032" s="1"/>
      <c r="V1032" s="1"/>
      <c r="W1032" s="1"/>
      <c r="X1032" s="1"/>
      <c r="Y1032" s="1"/>
      <c r="Z1032" s="1"/>
      <c r="AA1032" s="1" t="s">
        <v>4850</v>
      </c>
      <c r="AB1032" s="1" t="s">
        <v>6632</v>
      </c>
      <c r="AC1032" s="1"/>
      <c r="AD1032" s="1"/>
      <c r="AE1032" s="1"/>
      <c r="AF1032" s="1"/>
      <c r="AG1032" s="1"/>
      <c r="AH1032" s="1"/>
      <c r="AI1032" s="1"/>
      <c r="AJ1032" s="1"/>
      <c r="AK1032" s="1"/>
      <c r="AL1032" s="1"/>
      <c r="AM1032" s="1"/>
      <c r="AN1032" s="1"/>
      <c r="AO1032" s="1" t="s">
        <v>4852</v>
      </c>
      <c r="AP1032" s="1" t="s">
        <v>4853</v>
      </c>
      <c r="AQ1032" s="1"/>
      <c r="AR1032" s="1"/>
      <c r="AS1032" s="1"/>
      <c r="AT1032" s="1" t="s">
        <v>491</v>
      </c>
      <c r="AU1032" s="1">
        <v>2023</v>
      </c>
      <c r="AV1032" s="1">
        <v>101</v>
      </c>
      <c r="AW1032" s="1">
        <v>6</v>
      </c>
      <c r="AX1032" s="1"/>
      <c r="AY1032" s="1"/>
      <c r="AZ1032" s="1"/>
      <c r="BA1032" s="1"/>
      <c r="BB1032" s="1">
        <v>670</v>
      </c>
      <c r="BC1032" s="1">
        <v>671</v>
      </c>
      <c r="BD1032" s="1"/>
      <c r="BE1032" s="1" t="s">
        <v>6633</v>
      </c>
      <c r="BF1032" s="1" t="str">
        <f>HYPERLINK("http://dx.doi.org/10.1111/tan.14962","http://dx.doi.org/10.1111/tan.14962")</f>
        <v>http://dx.doi.org/10.1111/tan.14962</v>
      </c>
      <c r="BG1032" s="1"/>
      <c r="BH1032" s="1" t="s">
        <v>6093</v>
      </c>
      <c r="BI1032" s="1"/>
      <c r="BJ1032" s="1"/>
      <c r="BK1032" s="1"/>
      <c r="BL1032" s="1"/>
      <c r="BM1032" s="1"/>
      <c r="BN1032" s="1">
        <v>36593647</v>
      </c>
      <c r="BO1032" s="1"/>
      <c r="BP1032" s="1"/>
      <c r="BQ1032" s="1"/>
      <c r="BR1032" s="1"/>
      <c r="BS1032" s="1" t="s">
        <v>6634</v>
      </c>
      <c r="BT1032" s="1" t="str">
        <f>HYPERLINK("https%3A%2F%2Fwww.webofscience.com%2Fwos%2Fwoscc%2Ffull-record%2FWOS:000908076200001","View Full Record in Web of Science")</f>
        <v>View Full Record in Web of Science</v>
      </c>
      <c r="BU1032" s="1"/>
      <c r="BV1032" s="1"/>
      <c r="BW1032" s="1"/>
    </row>
    <row r="1033" spans="1:75" ht="12.75" customHeight="1" x14ac:dyDescent="0.2">
      <c r="A1033" s="1" t="s">
        <v>72</v>
      </c>
      <c r="B1033" s="1" t="s">
        <v>6635</v>
      </c>
      <c r="C1033" s="1"/>
      <c r="D1033" s="1"/>
      <c r="E1033" s="1"/>
      <c r="F1033" s="1" t="s">
        <v>6636</v>
      </c>
      <c r="G1033" s="1"/>
      <c r="H1033" s="1"/>
      <c r="I1033" s="1" t="s">
        <v>6637</v>
      </c>
      <c r="J1033" s="1" t="s">
        <v>95</v>
      </c>
      <c r="K1033" s="1"/>
      <c r="L1033" s="1"/>
      <c r="M1033" s="1"/>
      <c r="N1033" s="1"/>
      <c r="O1033" s="1"/>
      <c r="P1033" s="1"/>
      <c r="Q1033" s="1"/>
      <c r="R1033" s="1"/>
      <c r="S1033" s="1"/>
      <c r="T1033" s="1"/>
      <c r="U1033" s="1"/>
      <c r="V1033" s="1"/>
      <c r="W1033" s="1"/>
      <c r="X1033" s="1"/>
      <c r="Y1033" s="1"/>
      <c r="Z1033" s="1"/>
      <c r="AA1033" s="1" t="s">
        <v>5529</v>
      </c>
      <c r="AB1033" s="1" t="s">
        <v>5530</v>
      </c>
      <c r="AC1033" s="1"/>
      <c r="AD1033" s="1"/>
      <c r="AE1033" s="1"/>
      <c r="AF1033" s="1"/>
      <c r="AG1033" s="1"/>
      <c r="AH1033" s="1"/>
      <c r="AI1033" s="1"/>
      <c r="AJ1033" s="1"/>
      <c r="AK1033" s="1"/>
      <c r="AL1033" s="1"/>
      <c r="AM1033" s="1"/>
      <c r="AN1033" s="1"/>
      <c r="AO1033" s="1" t="s">
        <v>98</v>
      </c>
      <c r="AP1033" s="1" t="s">
        <v>99</v>
      </c>
      <c r="AQ1033" s="1"/>
      <c r="AR1033" s="1"/>
      <c r="AS1033" s="1"/>
      <c r="AT1033" s="1"/>
      <c r="AU1033" s="1">
        <v>2021</v>
      </c>
      <c r="AV1033" s="1"/>
      <c r="AW1033" s="1">
        <v>4</v>
      </c>
      <c r="AX1033" s="1"/>
      <c r="AY1033" s="1"/>
      <c r="AZ1033" s="1"/>
      <c r="BA1033" s="1"/>
      <c r="BB1033" s="1">
        <v>241</v>
      </c>
      <c r="BC1033" s="1">
        <v>242</v>
      </c>
      <c r="BD1033" s="1"/>
      <c r="BE1033" s="1"/>
      <c r="BF1033" s="1"/>
      <c r="BG1033" s="1"/>
      <c r="BH1033" s="1"/>
      <c r="BI1033" s="1"/>
      <c r="BJ1033" s="1"/>
      <c r="BK1033" s="1"/>
      <c r="BL1033" s="1"/>
      <c r="BM1033" s="1"/>
      <c r="BN1033" s="1"/>
      <c r="BO1033" s="1"/>
      <c r="BP1033" s="1"/>
      <c r="BQ1033" s="1"/>
      <c r="BR1033" s="1"/>
      <c r="BS1033" s="1" t="s">
        <v>6638</v>
      </c>
      <c r="BT1033" s="1" t="str">
        <f>HYPERLINK("https%3A%2F%2Fwww.webofscience.com%2Fwos%2Fwoscc%2Ffull-record%2FWOS:000755154100036","View Full Record in Web of Science")</f>
        <v>View Full Record in Web of Science</v>
      </c>
      <c r="BU1033" s="1"/>
      <c r="BV1033" s="1"/>
      <c r="BW1033" s="1"/>
    </row>
    <row r="1034" spans="1:75" ht="12.75" customHeight="1" x14ac:dyDescent="0.2">
      <c r="A1034" s="1" t="s">
        <v>72</v>
      </c>
      <c r="B1034" s="1" t="s">
        <v>6639</v>
      </c>
      <c r="C1034" s="1"/>
      <c r="D1034" s="1"/>
      <c r="E1034" s="1"/>
      <c r="F1034" s="1" t="s">
        <v>6640</v>
      </c>
      <c r="G1034" s="1"/>
      <c r="H1034" s="1"/>
      <c r="I1034" s="1" t="s">
        <v>6641</v>
      </c>
      <c r="J1034" s="1" t="s">
        <v>793</v>
      </c>
      <c r="K1034" s="1"/>
      <c r="L1034" s="1"/>
      <c r="M1034" s="1"/>
      <c r="N1034" s="1"/>
      <c r="O1034" s="1"/>
      <c r="P1034" s="1"/>
      <c r="Q1034" s="1"/>
      <c r="R1034" s="1"/>
      <c r="S1034" s="1"/>
      <c r="T1034" s="1"/>
      <c r="U1034" s="1"/>
      <c r="V1034" s="1"/>
      <c r="W1034" s="1"/>
      <c r="X1034" s="1"/>
      <c r="Y1034" s="1"/>
      <c r="Z1034" s="1"/>
      <c r="AA1034" s="1" t="s">
        <v>6642</v>
      </c>
      <c r="AB1034" s="1" t="s">
        <v>6643</v>
      </c>
      <c r="AC1034" s="1"/>
      <c r="AD1034" s="1"/>
      <c r="AE1034" s="1"/>
      <c r="AF1034" s="1"/>
      <c r="AG1034" s="1"/>
      <c r="AH1034" s="1"/>
      <c r="AI1034" s="1"/>
      <c r="AJ1034" s="1"/>
      <c r="AK1034" s="1"/>
      <c r="AL1034" s="1"/>
      <c r="AM1034" s="1"/>
      <c r="AN1034" s="1"/>
      <c r="AO1034" s="1" t="s">
        <v>795</v>
      </c>
      <c r="AP1034" s="1" t="s">
        <v>796</v>
      </c>
      <c r="AQ1034" s="1"/>
      <c r="AR1034" s="1"/>
      <c r="AS1034" s="1"/>
      <c r="AT1034" s="1" t="s">
        <v>830</v>
      </c>
      <c r="AU1034" s="1">
        <v>2015</v>
      </c>
      <c r="AV1034" s="1">
        <v>8</v>
      </c>
      <c r="AW1034" s="1">
        <v>5</v>
      </c>
      <c r="AX1034" s="1"/>
      <c r="AY1034" s="1"/>
      <c r="AZ1034" s="1"/>
      <c r="BA1034" s="1"/>
      <c r="BB1034" s="1">
        <v>541</v>
      </c>
      <c r="BC1034" s="1">
        <v>549</v>
      </c>
      <c r="BD1034" s="1"/>
      <c r="BE1034" s="1" t="s">
        <v>6644</v>
      </c>
      <c r="BF1034" s="1" t="str">
        <f>HYPERLINK("http://dx.doi.org/10.1134/S1995425515050121","http://dx.doi.org/10.1134/S1995425515050121")</f>
        <v>http://dx.doi.org/10.1134/S1995425515050121</v>
      </c>
      <c r="BG1034" s="1"/>
      <c r="BH1034" s="1"/>
      <c r="BI1034" s="1"/>
      <c r="BJ1034" s="1"/>
      <c r="BK1034" s="1"/>
      <c r="BL1034" s="1"/>
      <c r="BM1034" s="1"/>
      <c r="BN1034" s="1"/>
      <c r="BO1034" s="1"/>
      <c r="BP1034" s="1"/>
      <c r="BQ1034" s="1"/>
      <c r="BR1034" s="1"/>
      <c r="BS1034" s="1" t="s">
        <v>6645</v>
      </c>
      <c r="BT1034" s="1" t="str">
        <f>HYPERLINK("https%3A%2F%2Fwww.webofscience.com%2Fwos%2Fwoscc%2Ffull-record%2FWOS:000363241200001","View Full Record in Web of Science")</f>
        <v>View Full Record in Web of Science</v>
      </c>
      <c r="BU1034" s="1"/>
      <c r="BV1034" s="1"/>
      <c r="BW1034" s="1"/>
    </row>
    <row r="1035" spans="1:75" ht="12.75" customHeight="1" x14ac:dyDescent="0.2">
      <c r="A1035" s="1" t="s">
        <v>72</v>
      </c>
      <c r="B1035" s="1" t="s">
        <v>378</v>
      </c>
      <c r="C1035" s="1"/>
      <c r="D1035" s="1"/>
      <c r="E1035" s="1"/>
      <c r="F1035" s="1" t="s">
        <v>2100</v>
      </c>
      <c r="G1035" s="1"/>
      <c r="H1035" s="1"/>
      <c r="I1035" s="1" t="s">
        <v>6646</v>
      </c>
      <c r="J1035" s="1" t="s">
        <v>5086</v>
      </c>
      <c r="K1035" s="1"/>
      <c r="L1035" s="1"/>
      <c r="M1035" s="1"/>
      <c r="N1035" s="1"/>
      <c r="O1035" s="1"/>
      <c r="P1035" s="1"/>
      <c r="Q1035" s="1"/>
      <c r="R1035" s="1"/>
      <c r="S1035" s="1"/>
      <c r="T1035" s="1"/>
      <c r="U1035" s="1"/>
      <c r="V1035" s="1"/>
      <c r="W1035" s="1"/>
      <c r="X1035" s="1"/>
      <c r="Y1035" s="1"/>
      <c r="Z1035" s="1"/>
      <c r="AA1035" s="1" t="s">
        <v>553</v>
      </c>
      <c r="AB1035" s="1" t="s">
        <v>554</v>
      </c>
      <c r="AC1035" s="1"/>
      <c r="AD1035" s="1"/>
      <c r="AE1035" s="1"/>
      <c r="AF1035" s="1"/>
      <c r="AG1035" s="1"/>
      <c r="AH1035" s="1"/>
      <c r="AI1035" s="1"/>
      <c r="AJ1035" s="1"/>
      <c r="AK1035" s="1"/>
      <c r="AL1035" s="1"/>
      <c r="AM1035" s="1"/>
      <c r="AN1035" s="1"/>
      <c r="AO1035" s="1" t="s">
        <v>5087</v>
      </c>
      <c r="AP1035" s="1" t="s">
        <v>5088</v>
      </c>
      <c r="AQ1035" s="1"/>
      <c r="AR1035" s="1"/>
      <c r="AS1035" s="1"/>
      <c r="AT1035" s="1" t="s">
        <v>491</v>
      </c>
      <c r="AU1035" s="1">
        <v>2021</v>
      </c>
      <c r="AV1035" s="1">
        <v>9</v>
      </c>
      <c r="AW1035" s="1">
        <v>6</v>
      </c>
      <c r="AX1035" s="1"/>
      <c r="AY1035" s="1"/>
      <c r="AZ1035" s="1"/>
      <c r="BA1035" s="1"/>
      <c r="BB1035" s="1">
        <v>13773</v>
      </c>
      <c r="BC1035" s="1">
        <v>13779</v>
      </c>
      <c r="BD1035" s="1"/>
      <c r="BE1035" s="1" t="s">
        <v>6647</v>
      </c>
      <c r="BF1035" s="1" t="str">
        <f>HYPERLINK("http://dx.doi.org/10.22038/ijp.2021.57347.4500","http://dx.doi.org/10.22038/ijp.2021.57347.4500")</f>
        <v>http://dx.doi.org/10.22038/ijp.2021.57347.4500</v>
      </c>
      <c r="BG1035" s="1"/>
      <c r="BH1035" s="1"/>
      <c r="BI1035" s="1"/>
      <c r="BJ1035" s="1"/>
      <c r="BK1035" s="1"/>
      <c r="BL1035" s="1"/>
      <c r="BM1035" s="1"/>
      <c r="BN1035" s="1"/>
      <c r="BO1035" s="1"/>
      <c r="BP1035" s="1"/>
      <c r="BQ1035" s="1"/>
      <c r="BR1035" s="1"/>
      <c r="BS1035" s="1" t="s">
        <v>6648</v>
      </c>
      <c r="BT1035" s="1" t="str">
        <f>HYPERLINK("https%3A%2F%2Fwww.webofscience.com%2Fwos%2Fwoscc%2Ffull-record%2FWOS:000652648300023","View Full Record in Web of Science")</f>
        <v>View Full Record in Web of Science</v>
      </c>
      <c r="BU1035" s="1"/>
      <c r="BV1035" s="1"/>
      <c r="BW1035" s="1"/>
    </row>
    <row r="1036" spans="1:75" ht="12.75" customHeight="1" x14ac:dyDescent="0.2">
      <c r="A1036" s="1" t="s">
        <v>72</v>
      </c>
      <c r="B1036" s="1" t="s">
        <v>6649</v>
      </c>
      <c r="C1036" s="1"/>
      <c r="D1036" s="1"/>
      <c r="E1036" s="1"/>
      <c r="F1036" s="1" t="s">
        <v>6649</v>
      </c>
      <c r="G1036" s="1"/>
      <c r="H1036" s="1"/>
      <c r="I1036" s="1" t="s">
        <v>6650</v>
      </c>
      <c r="J1036" s="1" t="s">
        <v>6308</v>
      </c>
      <c r="K1036" s="1"/>
      <c r="L1036" s="1"/>
      <c r="M1036" s="1"/>
      <c r="N1036" s="1"/>
      <c r="O1036" s="1"/>
      <c r="P1036" s="1"/>
      <c r="Q1036" s="1"/>
      <c r="R1036" s="1"/>
      <c r="S1036" s="1"/>
      <c r="T1036" s="1"/>
      <c r="U1036" s="1"/>
      <c r="V1036" s="1"/>
      <c r="W1036" s="1"/>
      <c r="X1036" s="1"/>
      <c r="Y1036" s="1"/>
      <c r="Z1036" s="1"/>
      <c r="AA1036" s="1" t="s">
        <v>5066</v>
      </c>
      <c r="AB1036" s="1" t="s">
        <v>5067</v>
      </c>
      <c r="AC1036" s="1"/>
      <c r="AD1036" s="1"/>
      <c r="AE1036" s="1"/>
      <c r="AF1036" s="1"/>
      <c r="AG1036" s="1"/>
      <c r="AH1036" s="1"/>
      <c r="AI1036" s="1"/>
      <c r="AJ1036" s="1"/>
      <c r="AK1036" s="1"/>
      <c r="AL1036" s="1"/>
      <c r="AM1036" s="1"/>
      <c r="AN1036" s="1"/>
      <c r="AO1036" s="1" t="s">
        <v>6311</v>
      </c>
      <c r="AP1036" s="1"/>
      <c r="AQ1036" s="1"/>
      <c r="AR1036" s="1"/>
      <c r="AS1036" s="1"/>
      <c r="AT1036" s="1" t="s">
        <v>655</v>
      </c>
      <c r="AU1036" s="1">
        <v>1998</v>
      </c>
      <c r="AV1036" s="1">
        <v>358</v>
      </c>
      <c r="AW1036" s="1">
        <v>5</v>
      </c>
      <c r="AX1036" s="1"/>
      <c r="AY1036" s="1"/>
      <c r="AZ1036" s="1"/>
      <c r="BA1036" s="1"/>
      <c r="BB1036" s="1">
        <v>695</v>
      </c>
      <c r="BC1036" s="1">
        <v>698</v>
      </c>
      <c r="BD1036" s="1"/>
      <c r="BE1036" s="1"/>
      <c r="BF1036" s="1"/>
      <c r="BG1036" s="1"/>
      <c r="BH1036" s="1"/>
      <c r="BI1036" s="1"/>
      <c r="BJ1036" s="1"/>
      <c r="BK1036" s="1"/>
      <c r="BL1036" s="1"/>
      <c r="BM1036" s="1"/>
      <c r="BN1036" s="1">
        <v>9541808</v>
      </c>
      <c r="BO1036" s="1"/>
      <c r="BP1036" s="1"/>
      <c r="BQ1036" s="1"/>
      <c r="BR1036" s="1"/>
      <c r="BS1036" s="1" t="s">
        <v>6651</v>
      </c>
      <c r="BT1036" s="1" t="str">
        <f>HYPERLINK("https%3A%2F%2Fwww.webofscience.com%2Fwos%2Fwoscc%2Ffull-record%2FWOS:000072655200032","View Full Record in Web of Science")</f>
        <v>View Full Record in Web of Science</v>
      </c>
      <c r="BU1036" s="1"/>
      <c r="BV1036" s="1"/>
      <c r="BW1036" s="1"/>
    </row>
    <row r="1037" spans="1:75" ht="12.75" customHeight="1" x14ac:dyDescent="0.2">
      <c r="A1037" s="1" t="s">
        <v>72</v>
      </c>
      <c r="B1037" s="1" t="s">
        <v>6652</v>
      </c>
      <c r="C1037" s="1"/>
      <c r="D1037" s="1"/>
      <c r="E1037" s="1"/>
      <c r="F1037" s="1" t="s">
        <v>6653</v>
      </c>
      <c r="G1037" s="1"/>
      <c r="H1037" s="1"/>
      <c r="I1037" s="1" t="s">
        <v>6654</v>
      </c>
      <c r="J1037" s="1" t="s">
        <v>325</v>
      </c>
      <c r="K1037" s="1"/>
      <c r="L1037" s="1"/>
      <c r="M1037" s="1"/>
      <c r="N1037" s="1"/>
      <c r="O1037" s="1"/>
      <c r="P1037" s="1"/>
      <c r="Q1037" s="1"/>
      <c r="R1037" s="1"/>
      <c r="S1037" s="1"/>
      <c r="T1037" s="1"/>
      <c r="U1037" s="1"/>
      <c r="V1037" s="1"/>
      <c r="W1037" s="1"/>
      <c r="X1037" s="1"/>
      <c r="Y1037" s="1"/>
      <c r="Z1037" s="1"/>
      <c r="AA1037" s="1" t="s">
        <v>238</v>
      </c>
      <c r="AB1037" s="1" t="s">
        <v>239</v>
      </c>
      <c r="AC1037" s="1"/>
      <c r="AD1037" s="1"/>
      <c r="AE1037" s="1"/>
      <c r="AF1037" s="1"/>
      <c r="AG1037" s="1"/>
      <c r="AH1037" s="1"/>
      <c r="AI1037" s="1"/>
      <c r="AJ1037" s="1"/>
      <c r="AK1037" s="1"/>
      <c r="AL1037" s="1"/>
      <c r="AM1037" s="1"/>
      <c r="AN1037" s="1"/>
      <c r="AO1037" s="1" t="s">
        <v>328</v>
      </c>
      <c r="AP1037" s="1" t="s">
        <v>329</v>
      </c>
      <c r="AQ1037" s="1"/>
      <c r="AR1037" s="1"/>
      <c r="AS1037" s="1"/>
      <c r="AT1037" s="1"/>
      <c r="AU1037" s="1">
        <v>2022</v>
      </c>
      <c r="AV1037" s="1">
        <v>16</v>
      </c>
      <c r="AW1037" s="1">
        <v>3</v>
      </c>
      <c r="AX1037" s="1"/>
      <c r="AY1037" s="1"/>
      <c r="AZ1037" s="1"/>
      <c r="BA1037" s="1"/>
      <c r="BB1037" s="1">
        <v>939</v>
      </c>
      <c r="BC1037" s="1">
        <v>954</v>
      </c>
      <c r="BD1037" s="1"/>
      <c r="BE1037" s="1" t="s">
        <v>6655</v>
      </c>
      <c r="BF1037" s="1" t="str">
        <f>HYPERLINK("http://dx.doi.org/10.24874/IJQR16.03-19","http://dx.doi.org/10.24874/IJQR16.03-19")</f>
        <v>http://dx.doi.org/10.24874/IJQR16.03-19</v>
      </c>
      <c r="BG1037" s="1"/>
      <c r="BH1037" s="1"/>
      <c r="BI1037" s="1"/>
      <c r="BJ1037" s="1"/>
      <c r="BK1037" s="1"/>
      <c r="BL1037" s="1"/>
      <c r="BM1037" s="1"/>
      <c r="BN1037" s="1"/>
      <c r="BO1037" s="1"/>
      <c r="BP1037" s="1"/>
      <c r="BQ1037" s="1"/>
      <c r="BR1037" s="1"/>
      <c r="BS1037" s="1" t="s">
        <v>6656</v>
      </c>
      <c r="BT1037" s="1" t="str">
        <f>HYPERLINK("https%3A%2F%2Fwww.webofscience.com%2Fwos%2Fwoscc%2Ffull-record%2FWOS:000891388900001","View Full Record in Web of Science")</f>
        <v>View Full Record in Web of Science</v>
      </c>
      <c r="BU1037" s="1"/>
      <c r="BV1037" s="1"/>
      <c r="BW1037" s="1"/>
    </row>
    <row r="1038" spans="1:75" ht="12.75" customHeight="1" x14ac:dyDescent="0.2">
      <c r="A1038" s="1" t="s">
        <v>72</v>
      </c>
      <c r="B1038" s="1" t="s">
        <v>6657</v>
      </c>
      <c r="C1038" s="1"/>
      <c r="D1038" s="1"/>
      <c r="E1038" s="1"/>
      <c r="F1038" s="1" t="s">
        <v>6658</v>
      </c>
      <c r="G1038" s="1"/>
      <c r="H1038" s="1"/>
      <c r="I1038" s="1" t="s">
        <v>6659</v>
      </c>
      <c r="J1038" s="1" t="s">
        <v>6660</v>
      </c>
      <c r="K1038" s="1"/>
      <c r="L1038" s="1"/>
      <c r="M1038" s="1"/>
      <c r="N1038" s="1"/>
      <c r="O1038" s="1"/>
      <c r="P1038" s="1"/>
      <c r="Q1038" s="1"/>
      <c r="R1038" s="1"/>
      <c r="S1038" s="1"/>
      <c r="T1038" s="1"/>
      <c r="U1038" s="1"/>
      <c r="V1038" s="1"/>
      <c r="W1038" s="1"/>
      <c r="X1038" s="1"/>
      <c r="Y1038" s="1"/>
      <c r="Z1038" s="1"/>
      <c r="AA1038" s="1" t="s">
        <v>6661</v>
      </c>
      <c r="AB1038" s="1" t="s">
        <v>6662</v>
      </c>
      <c r="AC1038" s="1"/>
      <c r="AD1038" s="1"/>
      <c r="AE1038" s="1"/>
      <c r="AF1038" s="1"/>
      <c r="AG1038" s="1"/>
      <c r="AH1038" s="1"/>
      <c r="AI1038" s="1"/>
      <c r="AJ1038" s="1"/>
      <c r="AK1038" s="1"/>
      <c r="AL1038" s="1"/>
      <c r="AM1038" s="1"/>
      <c r="AN1038" s="1"/>
      <c r="AO1038" s="1"/>
      <c r="AP1038" s="1" t="s">
        <v>6663</v>
      </c>
      <c r="AQ1038" s="1"/>
      <c r="AR1038" s="1"/>
      <c r="AS1038" s="1"/>
      <c r="AT1038" s="1" t="s">
        <v>1167</v>
      </c>
      <c r="AU1038" s="1">
        <v>2021</v>
      </c>
      <c r="AV1038" s="1">
        <v>13</v>
      </c>
      <c r="AW1038" s="1">
        <v>10</v>
      </c>
      <c r="AX1038" s="1"/>
      <c r="AY1038" s="1"/>
      <c r="AZ1038" s="1"/>
      <c r="BA1038" s="1"/>
      <c r="BB1038" s="1"/>
      <c r="BC1038" s="1"/>
      <c r="BD1038" s="1">
        <v>1869</v>
      </c>
      <c r="BE1038" s="1" t="s">
        <v>6664</v>
      </c>
      <c r="BF1038" s="1" t="str">
        <f>HYPERLINK("http://dx.doi.org/10.3390/sym13101869","http://dx.doi.org/10.3390/sym13101869")</f>
        <v>http://dx.doi.org/10.3390/sym13101869</v>
      </c>
      <c r="BG1038" s="1"/>
      <c r="BH1038" s="1"/>
      <c r="BI1038" s="1"/>
      <c r="BJ1038" s="1"/>
      <c r="BK1038" s="1"/>
      <c r="BL1038" s="1"/>
      <c r="BM1038" s="1"/>
      <c r="BN1038" s="1"/>
      <c r="BO1038" s="1"/>
      <c r="BP1038" s="1"/>
      <c r="BQ1038" s="1"/>
      <c r="BR1038" s="1"/>
      <c r="BS1038" s="1" t="s">
        <v>6665</v>
      </c>
      <c r="BT1038" s="1" t="str">
        <f>HYPERLINK("https%3A%2F%2Fwww.webofscience.com%2Fwos%2Fwoscc%2Ffull-record%2FWOS:000717100900001","View Full Record in Web of Science")</f>
        <v>View Full Record in Web of Science</v>
      </c>
      <c r="BU1038" s="1"/>
      <c r="BV1038" s="1"/>
      <c r="BW1038" s="1"/>
    </row>
    <row r="1039" spans="1:75" ht="12.75" customHeight="1" x14ac:dyDescent="0.2">
      <c r="A1039" s="1" t="s">
        <v>72</v>
      </c>
      <c r="B1039" s="1" t="s">
        <v>6590</v>
      </c>
      <c r="C1039" s="1"/>
      <c r="D1039" s="1"/>
      <c r="E1039" s="1"/>
      <c r="F1039" s="1" t="s">
        <v>6591</v>
      </c>
      <c r="G1039" s="1"/>
      <c r="H1039" s="1"/>
      <c r="I1039" s="1" t="s">
        <v>6666</v>
      </c>
      <c r="J1039" s="1" t="s">
        <v>166</v>
      </c>
      <c r="K1039" s="1"/>
      <c r="L1039" s="1"/>
      <c r="M1039" s="1"/>
      <c r="N1039" s="1"/>
      <c r="O1039" s="1"/>
      <c r="P1039" s="1"/>
      <c r="Q1039" s="1"/>
      <c r="R1039" s="1"/>
      <c r="S1039" s="1"/>
      <c r="T1039" s="1"/>
      <c r="U1039" s="1"/>
      <c r="V1039" s="1"/>
      <c r="W1039" s="1"/>
      <c r="X1039" s="1"/>
      <c r="Y1039" s="1"/>
      <c r="Z1039" s="1"/>
      <c r="AA1039" s="1" t="s">
        <v>6593</v>
      </c>
      <c r="AB1039" s="1" t="s">
        <v>6594</v>
      </c>
      <c r="AC1039" s="1"/>
      <c r="AD1039" s="1"/>
      <c r="AE1039" s="1"/>
      <c r="AF1039" s="1"/>
      <c r="AG1039" s="1"/>
      <c r="AH1039" s="1"/>
      <c r="AI1039" s="1"/>
      <c r="AJ1039" s="1"/>
      <c r="AK1039" s="1"/>
      <c r="AL1039" s="1"/>
      <c r="AM1039" s="1"/>
      <c r="AN1039" s="1"/>
      <c r="AO1039" s="1" t="s">
        <v>169</v>
      </c>
      <c r="AP1039" s="1" t="s">
        <v>170</v>
      </c>
      <c r="AQ1039" s="1"/>
      <c r="AR1039" s="1"/>
      <c r="AS1039" s="1"/>
      <c r="AT1039" s="1" t="s">
        <v>830</v>
      </c>
      <c r="AU1039" s="1">
        <v>2020</v>
      </c>
      <c r="AV1039" s="1">
        <v>9</v>
      </c>
      <c r="AW1039" s="1">
        <v>3</v>
      </c>
      <c r="AX1039" s="1"/>
      <c r="AY1039" s="1"/>
      <c r="AZ1039" s="1"/>
      <c r="BA1039" s="1"/>
      <c r="BB1039" s="1">
        <v>603</v>
      </c>
      <c r="BC1039" s="1">
        <v>620</v>
      </c>
      <c r="BD1039" s="1"/>
      <c r="BE1039" s="1" t="s">
        <v>6667</v>
      </c>
      <c r="BF1039" s="1" t="str">
        <f>HYPERLINK("http://dx.doi.org/10.13187/ejced.2020.3.603","http://dx.doi.org/10.13187/ejced.2020.3.603")</f>
        <v>http://dx.doi.org/10.13187/ejced.2020.3.603</v>
      </c>
      <c r="BG1039" s="1"/>
      <c r="BH1039" s="1"/>
      <c r="BI1039" s="1"/>
      <c r="BJ1039" s="1"/>
      <c r="BK1039" s="1"/>
      <c r="BL1039" s="1"/>
      <c r="BM1039" s="1"/>
      <c r="BN1039" s="1"/>
      <c r="BO1039" s="1"/>
      <c r="BP1039" s="1"/>
      <c r="BQ1039" s="1"/>
      <c r="BR1039" s="1"/>
      <c r="BS1039" s="1" t="s">
        <v>6668</v>
      </c>
      <c r="BT1039" s="1" t="str">
        <f>HYPERLINK("https%3A%2F%2Fwww.webofscience.com%2Fwos%2Fwoscc%2Ffull-record%2FWOS:000567722400011","View Full Record in Web of Science")</f>
        <v>View Full Record in Web of Science</v>
      </c>
      <c r="BU1039" s="1"/>
      <c r="BV1039" s="1"/>
      <c r="BW1039" s="1"/>
    </row>
    <row r="1040" spans="1:75" ht="12.75" customHeight="1" x14ac:dyDescent="0.2">
      <c r="A1040" s="1" t="s">
        <v>72</v>
      </c>
      <c r="B1040" s="1" t="s">
        <v>6669</v>
      </c>
      <c r="C1040" s="1"/>
      <c r="D1040" s="1"/>
      <c r="E1040" s="1"/>
      <c r="F1040" s="1" t="s">
        <v>6670</v>
      </c>
      <c r="G1040" s="1"/>
      <c r="H1040" s="1"/>
      <c r="I1040" s="1" t="s">
        <v>6671</v>
      </c>
      <c r="J1040" s="1" t="s">
        <v>2478</v>
      </c>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t="s">
        <v>2479</v>
      </c>
      <c r="AP1040" s="1"/>
      <c r="AQ1040" s="1"/>
      <c r="AR1040" s="1"/>
      <c r="AS1040" s="1"/>
      <c r="AT1040" s="1"/>
      <c r="AU1040" s="1">
        <v>2019</v>
      </c>
      <c r="AV1040" s="1">
        <v>16</v>
      </c>
      <c r="AW1040" s="1"/>
      <c r="AX1040" s="1"/>
      <c r="AY1040" s="1"/>
      <c r="AZ1040" s="1"/>
      <c r="BA1040" s="1"/>
      <c r="BB1040" s="1">
        <v>1547</v>
      </c>
      <c r="BC1040" s="1">
        <v>1552</v>
      </c>
      <c r="BD1040" s="1"/>
      <c r="BE1040" s="1" t="s">
        <v>6672</v>
      </c>
      <c r="BF1040" s="1" t="str">
        <f>HYPERLINK("http://dx.doi.org/10.33048/semi.2019.16.105","http://dx.doi.org/10.33048/semi.2019.16.105")</f>
        <v>http://dx.doi.org/10.33048/semi.2019.16.105</v>
      </c>
      <c r="BG1040" s="1"/>
      <c r="BH1040" s="1"/>
      <c r="BI1040" s="1"/>
      <c r="BJ1040" s="1"/>
      <c r="BK1040" s="1"/>
      <c r="BL1040" s="1"/>
      <c r="BM1040" s="1"/>
      <c r="BN1040" s="1"/>
      <c r="BO1040" s="1"/>
      <c r="BP1040" s="1"/>
      <c r="BQ1040" s="1"/>
      <c r="BR1040" s="1"/>
      <c r="BS1040" s="1" t="s">
        <v>6673</v>
      </c>
      <c r="BT1040" s="1" t="str">
        <f>HYPERLINK("https%3A%2F%2Fwww.webofscience.com%2Fwos%2Fwoscc%2Ffull-record%2FWOS:000492154000001","View Full Record in Web of Science")</f>
        <v>View Full Record in Web of Science</v>
      </c>
      <c r="BU1040" s="1"/>
      <c r="BV1040" s="1"/>
      <c r="BW1040" s="1"/>
    </row>
    <row r="1041" spans="1:75" ht="12.75" customHeight="1" x14ac:dyDescent="0.2">
      <c r="A1041" s="1" t="s">
        <v>72</v>
      </c>
      <c r="B1041" s="1" t="s">
        <v>5535</v>
      </c>
      <c r="C1041" s="1"/>
      <c r="D1041" s="1"/>
      <c r="E1041" s="1"/>
      <c r="F1041" s="1" t="s">
        <v>5536</v>
      </c>
      <c r="G1041" s="1"/>
      <c r="H1041" s="1"/>
      <c r="I1041" s="1" t="s">
        <v>6674</v>
      </c>
      <c r="J1041" s="1" t="s">
        <v>4849</v>
      </c>
      <c r="K1041" s="1"/>
      <c r="L1041" s="1"/>
      <c r="M1041" s="1"/>
      <c r="N1041" s="1"/>
      <c r="O1041" s="1"/>
      <c r="P1041" s="1"/>
      <c r="Q1041" s="1"/>
      <c r="R1041" s="1"/>
      <c r="S1041" s="1"/>
      <c r="T1041" s="1"/>
      <c r="U1041" s="1"/>
      <c r="V1041" s="1"/>
      <c r="W1041" s="1"/>
      <c r="X1041" s="1"/>
      <c r="Y1041" s="1"/>
      <c r="Z1041" s="1"/>
      <c r="AA1041" s="1" t="s">
        <v>4850</v>
      </c>
      <c r="AB1041" s="1" t="s">
        <v>4851</v>
      </c>
      <c r="AC1041" s="1"/>
      <c r="AD1041" s="1"/>
      <c r="AE1041" s="1"/>
      <c r="AF1041" s="1"/>
      <c r="AG1041" s="1"/>
      <c r="AH1041" s="1"/>
      <c r="AI1041" s="1"/>
      <c r="AJ1041" s="1"/>
      <c r="AK1041" s="1"/>
      <c r="AL1041" s="1"/>
      <c r="AM1041" s="1"/>
      <c r="AN1041" s="1"/>
      <c r="AO1041" s="1" t="s">
        <v>4852</v>
      </c>
      <c r="AP1041" s="1" t="s">
        <v>4853</v>
      </c>
      <c r="AQ1041" s="1"/>
      <c r="AR1041" s="1"/>
      <c r="AS1041" s="1"/>
      <c r="AT1041" s="1" t="s">
        <v>491</v>
      </c>
      <c r="AU1041" s="1">
        <v>2023</v>
      </c>
      <c r="AV1041" s="1">
        <v>101</v>
      </c>
      <c r="AW1041" s="1">
        <v>6</v>
      </c>
      <c r="AX1041" s="1"/>
      <c r="AY1041" s="1"/>
      <c r="AZ1041" s="1"/>
      <c r="BA1041" s="1"/>
      <c r="BB1041" s="1">
        <v>707</v>
      </c>
      <c r="BC1041" s="1">
        <v>708</v>
      </c>
      <c r="BD1041" s="1"/>
      <c r="BE1041" s="1" t="s">
        <v>6675</v>
      </c>
      <c r="BF1041" s="1" t="str">
        <f>HYPERLINK("http://dx.doi.org/10.1111/tan.14960","http://dx.doi.org/10.1111/tan.14960")</f>
        <v>http://dx.doi.org/10.1111/tan.14960</v>
      </c>
      <c r="BG1041" s="1"/>
      <c r="BH1041" s="1" t="s">
        <v>6093</v>
      </c>
      <c r="BI1041" s="1"/>
      <c r="BJ1041" s="1"/>
      <c r="BK1041" s="1"/>
      <c r="BL1041" s="1"/>
      <c r="BM1041" s="1"/>
      <c r="BN1041" s="1">
        <v>36593600</v>
      </c>
      <c r="BO1041" s="1"/>
      <c r="BP1041" s="1"/>
      <c r="BQ1041" s="1"/>
      <c r="BR1041" s="1"/>
      <c r="BS1041" s="1" t="s">
        <v>6676</v>
      </c>
      <c r="BT1041" s="1" t="str">
        <f>HYPERLINK("https%3A%2F%2Fwww.webofscience.com%2Fwos%2Fwoscc%2Ffull-record%2FWOS:000908688000001","View Full Record in Web of Science")</f>
        <v>View Full Record in Web of Science</v>
      </c>
      <c r="BU1041" s="1"/>
      <c r="BV1041" s="1"/>
      <c r="BW1041" s="1"/>
    </row>
    <row r="1042" spans="1:75" ht="12.75" customHeight="1" x14ac:dyDescent="0.2">
      <c r="A1042" s="1" t="s">
        <v>72</v>
      </c>
      <c r="B1042" s="1" t="s">
        <v>698</v>
      </c>
      <c r="C1042" s="1"/>
      <c r="D1042" s="1"/>
      <c r="E1042" s="1"/>
      <c r="F1042" s="1" t="s">
        <v>699</v>
      </c>
      <c r="G1042" s="1"/>
      <c r="H1042" s="1"/>
      <c r="I1042" s="1" t="s">
        <v>6677</v>
      </c>
      <c r="J1042" s="1" t="s">
        <v>6678</v>
      </c>
      <c r="K1042" s="1"/>
      <c r="L1042" s="1"/>
      <c r="M1042" s="1"/>
      <c r="N1042" s="1"/>
      <c r="O1042" s="1"/>
      <c r="P1042" s="1"/>
      <c r="Q1042" s="1"/>
      <c r="R1042" s="1"/>
      <c r="S1042" s="1"/>
      <c r="T1042" s="1"/>
      <c r="U1042" s="1"/>
      <c r="V1042" s="1"/>
      <c r="W1042" s="1"/>
      <c r="X1042" s="1"/>
      <c r="Y1042" s="1"/>
      <c r="Z1042" s="1"/>
      <c r="AA1042" s="1" t="s">
        <v>553</v>
      </c>
      <c r="AB1042" s="1" t="s">
        <v>554</v>
      </c>
      <c r="AC1042" s="1"/>
      <c r="AD1042" s="1"/>
      <c r="AE1042" s="1"/>
      <c r="AF1042" s="1"/>
      <c r="AG1042" s="1"/>
      <c r="AH1042" s="1"/>
      <c r="AI1042" s="1"/>
      <c r="AJ1042" s="1"/>
      <c r="AK1042" s="1"/>
      <c r="AL1042" s="1"/>
      <c r="AM1042" s="1"/>
      <c r="AN1042" s="1"/>
      <c r="AO1042" s="1" t="s">
        <v>6679</v>
      </c>
      <c r="AP1042" s="1"/>
      <c r="AQ1042" s="1"/>
      <c r="AR1042" s="1"/>
      <c r="AS1042" s="1"/>
      <c r="AT1042" s="1"/>
      <c r="AU1042" s="1">
        <v>2021</v>
      </c>
      <c r="AV1042" s="1">
        <v>12</v>
      </c>
      <c r="AW1042" s="1">
        <v>2</v>
      </c>
      <c r="AX1042" s="1"/>
      <c r="AY1042" s="1"/>
      <c r="AZ1042" s="1"/>
      <c r="BA1042" s="1"/>
      <c r="BB1042" s="1">
        <v>79</v>
      </c>
      <c r="BC1042" s="1">
        <v>82</v>
      </c>
      <c r="BD1042" s="1"/>
      <c r="BE1042" s="1" t="s">
        <v>6680</v>
      </c>
      <c r="BF1042" s="1" t="str">
        <f>HYPERLINK("http://dx.doi.org/10.51847/1A2QGmzKEo","http://dx.doi.org/10.51847/1A2QGmzKEo")</f>
        <v>http://dx.doi.org/10.51847/1A2QGmzKEo</v>
      </c>
      <c r="BG1042" s="1"/>
      <c r="BH1042" s="1"/>
      <c r="BI1042" s="1"/>
      <c r="BJ1042" s="1"/>
      <c r="BK1042" s="1"/>
      <c r="BL1042" s="1"/>
      <c r="BM1042" s="1"/>
      <c r="BN1042" s="1"/>
      <c r="BO1042" s="1"/>
      <c r="BP1042" s="1"/>
      <c r="BQ1042" s="1"/>
      <c r="BR1042" s="1"/>
      <c r="BS1042" s="1" t="s">
        <v>6681</v>
      </c>
      <c r="BT1042" s="1" t="str">
        <f>HYPERLINK("https%3A%2F%2Fwww.webofscience.com%2Fwos%2Fwoscc%2Ffull-record%2FWOS:000685660400001","View Full Record in Web of Science")</f>
        <v>View Full Record in Web of Science</v>
      </c>
      <c r="BU1042" s="1"/>
      <c r="BV1042" s="1"/>
      <c r="BW1042" s="1"/>
    </row>
    <row r="1043" spans="1:75" ht="12.75" customHeight="1" x14ac:dyDescent="0.2">
      <c r="A1043" s="1" t="s">
        <v>147</v>
      </c>
      <c r="B1043" s="1" t="s">
        <v>6444</v>
      </c>
      <c r="C1043" s="1"/>
      <c r="D1043" s="1"/>
      <c r="E1043" s="1" t="s">
        <v>1465</v>
      </c>
      <c r="F1043" s="1" t="s">
        <v>6445</v>
      </c>
      <c r="G1043" s="1"/>
      <c r="H1043" s="1"/>
      <c r="I1043" s="1" t="s">
        <v>6682</v>
      </c>
      <c r="J1043" s="1" t="s">
        <v>1468</v>
      </c>
      <c r="K1043" s="1" t="s">
        <v>1469</v>
      </c>
      <c r="L1043" s="1"/>
      <c r="M1043" s="1"/>
      <c r="N1043" s="1"/>
      <c r="O1043" s="1" t="s">
        <v>1277</v>
      </c>
      <c r="P1043" s="1" t="s">
        <v>771</v>
      </c>
      <c r="Q1043" s="1" t="s">
        <v>1470</v>
      </c>
      <c r="R1043" s="1" t="s">
        <v>1471</v>
      </c>
      <c r="S1043" s="1"/>
      <c r="T1043" s="1"/>
      <c r="U1043" s="1"/>
      <c r="V1043" s="1"/>
      <c r="W1043" s="1"/>
      <c r="X1043" s="1"/>
      <c r="Y1043" s="1"/>
      <c r="Z1043" s="1"/>
      <c r="AA1043" s="1" t="s">
        <v>6447</v>
      </c>
      <c r="AB1043" s="1" t="s">
        <v>1533</v>
      </c>
      <c r="AC1043" s="1"/>
      <c r="AD1043" s="1"/>
      <c r="AE1043" s="1"/>
      <c r="AF1043" s="1"/>
      <c r="AG1043" s="1"/>
      <c r="AH1043" s="1"/>
      <c r="AI1043" s="1"/>
      <c r="AJ1043" s="1"/>
      <c r="AK1043" s="1"/>
      <c r="AL1043" s="1"/>
      <c r="AM1043" s="1"/>
      <c r="AN1043" s="1"/>
      <c r="AO1043" s="1" t="s">
        <v>1472</v>
      </c>
      <c r="AP1043" s="1"/>
      <c r="AQ1043" s="1"/>
      <c r="AR1043" s="1"/>
      <c r="AS1043" s="1"/>
      <c r="AT1043" s="1"/>
      <c r="AU1043" s="1">
        <v>2020</v>
      </c>
      <c r="AV1043" s="1">
        <v>971</v>
      </c>
      <c r="AW1043" s="1"/>
      <c r="AX1043" s="1"/>
      <c r="AY1043" s="1"/>
      <c r="AZ1043" s="1"/>
      <c r="BA1043" s="1"/>
      <c r="BB1043" s="1"/>
      <c r="BC1043" s="1"/>
      <c r="BD1043" s="1">
        <v>32060</v>
      </c>
      <c r="BE1043" s="1" t="s">
        <v>6683</v>
      </c>
      <c r="BF1043" s="1" t="str">
        <f>HYPERLINK("http://dx.doi.org/10.1088/1757-899X/971/3/032060","http://dx.doi.org/10.1088/1757-899X/971/3/032060")</f>
        <v>http://dx.doi.org/10.1088/1757-899X/971/3/032060</v>
      </c>
      <c r="BG1043" s="1"/>
      <c r="BH1043" s="1"/>
      <c r="BI1043" s="1"/>
      <c r="BJ1043" s="1"/>
      <c r="BK1043" s="1"/>
      <c r="BL1043" s="1"/>
      <c r="BM1043" s="1"/>
      <c r="BN1043" s="1"/>
      <c r="BO1043" s="1"/>
      <c r="BP1043" s="1"/>
      <c r="BQ1043" s="1"/>
      <c r="BR1043" s="1"/>
      <c r="BS1043" s="1" t="s">
        <v>6684</v>
      </c>
      <c r="BT1043" s="1" t="str">
        <f>HYPERLINK("https%3A%2F%2Fwww.webofscience.com%2Fwos%2Fwoscc%2Ffull-record%2FWOS:000646359100161","View Full Record in Web of Science")</f>
        <v>View Full Record in Web of Science</v>
      </c>
      <c r="BU1043" s="1"/>
      <c r="BV1043" s="1"/>
      <c r="BW1043" s="1"/>
    </row>
    <row r="1044" spans="1:75" ht="12.75" customHeight="1" x14ac:dyDescent="0.2">
      <c r="A1044" s="1" t="s">
        <v>72</v>
      </c>
      <c r="B1044" s="1" t="s">
        <v>6578</v>
      </c>
      <c r="C1044" s="1"/>
      <c r="D1044" s="1"/>
      <c r="E1044" s="1"/>
      <c r="F1044" s="1" t="s">
        <v>6579</v>
      </c>
      <c r="G1044" s="1"/>
      <c r="H1044" s="1"/>
      <c r="I1044" s="1" t="s">
        <v>6685</v>
      </c>
      <c r="J1044" s="1" t="s">
        <v>4849</v>
      </c>
      <c r="K1044" s="1"/>
      <c r="L1044" s="1"/>
      <c r="M1044" s="1"/>
      <c r="N1044" s="1"/>
      <c r="O1044" s="1"/>
      <c r="P1044" s="1"/>
      <c r="Q1044" s="1"/>
      <c r="R1044" s="1"/>
      <c r="S1044" s="1"/>
      <c r="T1044" s="1"/>
      <c r="U1044" s="1"/>
      <c r="V1044" s="1"/>
      <c r="W1044" s="1"/>
      <c r="X1044" s="1"/>
      <c r="Y1044" s="1"/>
      <c r="Z1044" s="1"/>
      <c r="AA1044" s="1" t="s">
        <v>4850</v>
      </c>
      <c r="AB1044" s="1" t="s">
        <v>4851</v>
      </c>
      <c r="AC1044" s="1"/>
      <c r="AD1044" s="1"/>
      <c r="AE1044" s="1"/>
      <c r="AF1044" s="1"/>
      <c r="AG1044" s="1"/>
      <c r="AH1044" s="1"/>
      <c r="AI1044" s="1"/>
      <c r="AJ1044" s="1"/>
      <c r="AK1044" s="1"/>
      <c r="AL1044" s="1"/>
      <c r="AM1044" s="1"/>
      <c r="AN1044" s="1"/>
      <c r="AO1044" s="1" t="s">
        <v>4852</v>
      </c>
      <c r="AP1044" s="1" t="s">
        <v>4853</v>
      </c>
      <c r="AQ1044" s="1"/>
      <c r="AR1044" s="1"/>
      <c r="AS1044" s="1"/>
      <c r="AT1044" s="1" t="s">
        <v>1173</v>
      </c>
      <c r="AU1044" s="1">
        <v>2022</v>
      </c>
      <c r="AV1044" s="1">
        <v>100</v>
      </c>
      <c r="AW1044" s="1">
        <v>2</v>
      </c>
      <c r="AX1044" s="1"/>
      <c r="AY1044" s="1"/>
      <c r="AZ1044" s="1"/>
      <c r="BA1044" s="1"/>
      <c r="BB1044" s="1">
        <v>165</v>
      </c>
      <c r="BC1044" s="1">
        <v>166</v>
      </c>
      <c r="BD1044" s="1">
        <v>14617</v>
      </c>
      <c r="BE1044" s="1" t="s">
        <v>6686</v>
      </c>
      <c r="BF1044" s="1" t="str">
        <f>HYPERLINK("http://dx.doi.org/10.1111/tan.14617","http://dx.doi.org/10.1111/tan.14617")</f>
        <v>http://dx.doi.org/10.1111/tan.14617</v>
      </c>
      <c r="BG1044" s="1"/>
      <c r="BH1044" s="1" t="s">
        <v>2052</v>
      </c>
      <c r="BI1044" s="1"/>
      <c r="BJ1044" s="1"/>
      <c r="BK1044" s="1"/>
      <c r="BL1044" s="1"/>
      <c r="BM1044" s="1"/>
      <c r="BN1044" s="1">
        <v>35347873</v>
      </c>
      <c r="BO1044" s="1"/>
      <c r="BP1044" s="1"/>
      <c r="BQ1044" s="1"/>
      <c r="BR1044" s="1"/>
      <c r="BS1044" s="1" t="s">
        <v>6687</v>
      </c>
      <c r="BT1044" s="1" t="str">
        <f>HYPERLINK("https%3A%2F%2Fwww.webofscience.com%2Fwos%2Fwoscc%2Ffull-record%2FWOS:000777103700001","View Full Record in Web of Science")</f>
        <v>View Full Record in Web of Science</v>
      </c>
      <c r="BU1044" s="1"/>
      <c r="BV1044" s="1"/>
      <c r="BW1044" s="1"/>
    </row>
    <row r="1045" spans="1:75" ht="12.75" customHeight="1" x14ac:dyDescent="0.2">
      <c r="A1045" s="1" t="s">
        <v>72</v>
      </c>
      <c r="B1045" s="1" t="s">
        <v>6688</v>
      </c>
      <c r="C1045" s="1"/>
      <c r="D1045" s="1"/>
      <c r="E1045" s="1"/>
      <c r="F1045" s="1" t="s">
        <v>6689</v>
      </c>
      <c r="G1045" s="1"/>
      <c r="H1045" s="1"/>
      <c r="I1045" s="1" t="s">
        <v>6690</v>
      </c>
      <c r="J1045" s="1" t="s">
        <v>6691</v>
      </c>
      <c r="K1045" s="1"/>
      <c r="L1045" s="1"/>
      <c r="M1045" s="1"/>
      <c r="N1045" s="1"/>
      <c r="O1045" s="1"/>
      <c r="P1045" s="1"/>
      <c r="Q1045" s="1"/>
      <c r="R1045" s="1"/>
      <c r="S1045" s="1"/>
      <c r="T1045" s="1"/>
      <c r="U1045" s="1"/>
      <c r="V1045" s="1"/>
      <c r="W1045" s="1"/>
      <c r="X1045" s="1"/>
      <c r="Y1045" s="1"/>
      <c r="Z1045" s="1"/>
      <c r="AA1045" s="1" t="s">
        <v>6692</v>
      </c>
      <c r="AB1045" s="1" t="s">
        <v>6693</v>
      </c>
      <c r="AC1045" s="1"/>
      <c r="AD1045" s="1"/>
      <c r="AE1045" s="1"/>
      <c r="AF1045" s="1"/>
      <c r="AG1045" s="1"/>
      <c r="AH1045" s="1"/>
      <c r="AI1045" s="1"/>
      <c r="AJ1045" s="1"/>
      <c r="AK1045" s="1"/>
      <c r="AL1045" s="1"/>
      <c r="AM1045" s="1"/>
      <c r="AN1045" s="1"/>
      <c r="AO1045" s="1" t="s">
        <v>6694</v>
      </c>
      <c r="AP1045" s="1" t="s">
        <v>6695</v>
      </c>
      <c r="AQ1045" s="1"/>
      <c r="AR1045" s="1"/>
      <c r="AS1045" s="1"/>
      <c r="AT1045" s="1" t="s">
        <v>198</v>
      </c>
      <c r="AU1045" s="1">
        <v>2022</v>
      </c>
      <c r="AV1045" s="1">
        <v>52</v>
      </c>
      <c r="AW1045" s="1">
        <v>4</v>
      </c>
      <c r="AX1045" s="1"/>
      <c r="AY1045" s="1"/>
      <c r="AZ1045" s="1"/>
      <c r="BA1045" s="1"/>
      <c r="BB1045" s="1">
        <v>743</v>
      </c>
      <c r="BC1045" s="1">
        <v>753</v>
      </c>
      <c r="BD1045" s="1"/>
      <c r="BE1045" s="1" t="s">
        <v>6696</v>
      </c>
      <c r="BF1045" s="1" t="str">
        <f>HYPERLINK("http://dx.doi.org/10.1007/s10800-022-01667-0","http://dx.doi.org/10.1007/s10800-022-01667-0")</f>
        <v>http://dx.doi.org/10.1007/s10800-022-01667-0</v>
      </c>
      <c r="BG1045" s="1"/>
      <c r="BH1045" s="1" t="s">
        <v>6583</v>
      </c>
      <c r="BI1045" s="1"/>
      <c r="BJ1045" s="1"/>
      <c r="BK1045" s="1"/>
      <c r="BL1045" s="1"/>
      <c r="BM1045" s="1"/>
      <c r="BN1045" s="1"/>
      <c r="BO1045" s="1"/>
      <c r="BP1045" s="1"/>
      <c r="BQ1045" s="1"/>
      <c r="BR1045" s="1"/>
      <c r="BS1045" s="1" t="s">
        <v>6697</v>
      </c>
      <c r="BT1045" s="1" t="str">
        <f>HYPERLINK("https%3A%2F%2Fwww.webofscience.com%2Fwos%2Fwoscc%2Ffull-record%2FWOS:000740198900003","View Full Record in Web of Science")</f>
        <v>View Full Record in Web of Science</v>
      </c>
      <c r="BU1045" s="1"/>
      <c r="BV1045" s="1"/>
      <c r="BW1045" s="1"/>
    </row>
    <row r="1046" spans="1:75" ht="12.75" customHeight="1" x14ac:dyDescent="0.2">
      <c r="A1046" s="1" t="s">
        <v>72</v>
      </c>
      <c r="B1046" s="1" t="s">
        <v>6698</v>
      </c>
      <c r="C1046" s="1"/>
      <c r="D1046" s="1"/>
      <c r="E1046" s="1"/>
      <c r="F1046" s="1" t="s">
        <v>6699</v>
      </c>
      <c r="G1046" s="1"/>
      <c r="H1046" s="1"/>
      <c r="I1046" s="1" t="s">
        <v>6700</v>
      </c>
      <c r="J1046" s="1" t="s">
        <v>244</v>
      </c>
      <c r="K1046" s="1"/>
      <c r="L1046" s="1"/>
      <c r="M1046" s="1"/>
      <c r="N1046" s="1"/>
      <c r="O1046" s="1"/>
      <c r="P1046" s="1"/>
      <c r="Q1046" s="1"/>
      <c r="R1046" s="1"/>
      <c r="S1046" s="1"/>
      <c r="T1046" s="1"/>
      <c r="U1046" s="1"/>
      <c r="V1046" s="1"/>
      <c r="W1046" s="1"/>
      <c r="X1046" s="1"/>
      <c r="Y1046" s="1"/>
      <c r="Z1046" s="1"/>
      <c r="AA1046" s="1" t="s">
        <v>6701</v>
      </c>
      <c r="AB1046" s="1" t="s">
        <v>4796</v>
      </c>
      <c r="AC1046" s="1"/>
      <c r="AD1046" s="1"/>
      <c r="AE1046" s="1"/>
      <c r="AF1046" s="1"/>
      <c r="AG1046" s="1"/>
      <c r="AH1046" s="1"/>
      <c r="AI1046" s="1"/>
      <c r="AJ1046" s="1"/>
      <c r="AK1046" s="1"/>
      <c r="AL1046" s="1"/>
      <c r="AM1046" s="1"/>
      <c r="AN1046" s="1"/>
      <c r="AO1046" s="1" t="s">
        <v>245</v>
      </c>
      <c r="AP1046" s="1" t="s">
        <v>246</v>
      </c>
      <c r="AQ1046" s="1"/>
      <c r="AR1046" s="1"/>
      <c r="AS1046" s="1"/>
      <c r="AT1046" s="1"/>
      <c r="AU1046" s="1">
        <v>2021</v>
      </c>
      <c r="AV1046" s="1">
        <v>11</v>
      </c>
      <c r="AW1046" s="1">
        <v>2</v>
      </c>
      <c r="AX1046" s="1"/>
      <c r="AY1046" s="1"/>
      <c r="AZ1046" s="1"/>
      <c r="BA1046" s="1"/>
      <c r="BB1046" s="1">
        <v>260</v>
      </c>
      <c r="BC1046" s="1">
        <v>265</v>
      </c>
      <c r="BD1046" s="1"/>
      <c r="BE1046" s="1" t="s">
        <v>6702</v>
      </c>
      <c r="BF1046" s="1" t="str">
        <f>HYPERLINK("http://dx.doi.org/10.31166/VoprosyIstorii202111Statyi33","http://dx.doi.org/10.31166/VoprosyIstorii202111Statyi33")</f>
        <v>http://dx.doi.org/10.31166/VoprosyIstorii202111Statyi33</v>
      </c>
      <c r="BG1046" s="1"/>
      <c r="BH1046" s="1"/>
      <c r="BI1046" s="1"/>
      <c r="BJ1046" s="1"/>
      <c r="BK1046" s="1"/>
      <c r="BL1046" s="1"/>
      <c r="BM1046" s="1"/>
      <c r="BN1046" s="1"/>
      <c r="BO1046" s="1"/>
      <c r="BP1046" s="1"/>
      <c r="BQ1046" s="1"/>
      <c r="BR1046" s="1"/>
      <c r="BS1046" s="1" t="s">
        <v>6703</v>
      </c>
      <c r="BT1046" s="1" t="str">
        <f>HYPERLINK("https%3A%2F%2Fwww.webofscience.com%2Fwos%2Fwoscc%2Ffull-record%2FWOS:000729818300025","View Full Record in Web of Science")</f>
        <v>View Full Record in Web of Science</v>
      </c>
      <c r="BU1046" s="1"/>
      <c r="BV1046" s="1"/>
      <c r="BW1046" s="1"/>
    </row>
    <row r="1047" spans="1:75" ht="12.75" customHeight="1" x14ac:dyDescent="0.2">
      <c r="A1047" s="1" t="s">
        <v>72</v>
      </c>
      <c r="B1047" s="1" t="s">
        <v>6704</v>
      </c>
      <c r="C1047" s="1"/>
      <c r="D1047" s="1"/>
      <c r="E1047" s="1"/>
      <c r="F1047" s="1" t="s">
        <v>6705</v>
      </c>
      <c r="G1047" s="1"/>
      <c r="H1047" s="1"/>
      <c r="I1047" s="1" t="s">
        <v>6706</v>
      </c>
      <c r="J1047" s="1" t="s">
        <v>325</v>
      </c>
      <c r="K1047" s="1"/>
      <c r="L1047" s="1"/>
      <c r="M1047" s="1"/>
      <c r="N1047" s="1"/>
      <c r="O1047" s="1"/>
      <c r="P1047" s="1"/>
      <c r="Q1047" s="1"/>
      <c r="R1047" s="1"/>
      <c r="S1047" s="1"/>
      <c r="T1047" s="1"/>
      <c r="U1047" s="1"/>
      <c r="V1047" s="1"/>
      <c r="W1047" s="1"/>
      <c r="X1047" s="1"/>
      <c r="Y1047" s="1"/>
      <c r="Z1047" s="1"/>
      <c r="AA1047" s="1" t="s">
        <v>6707</v>
      </c>
      <c r="AB1047" s="1"/>
      <c r="AC1047" s="1"/>
      <c r="AD1047" s="1"/>
      <c r="AE1047" s="1"/>
      <c r="AF1047" s="1"/>
      <c r="AG1047" s="1"/>
      <c r="AH1047" s="1"/>
      <c r="AI1047" s="1"/>
      <c r="AJ1047" s="1"/>
      <c r="AK1047" s="1"/>
      <c r="AL1047" s="1"/>
      <c r="AM1047" s="1"/>
      <c r="AN1047" s="1"/>
      <c r="AO1047" s="1" t="s">
        <v>328</v>
      </c>
      <c r="AP1047" s="1" t="s">
        <v>329</v>
      </c>
      <c r="AQ1047" s="1"/>
      <c r="AR1047" s="1"/>
      <c r="AS1047" s="1"/>
      <c r="AT1047" s="1"/>
      <c r="AU1047" s="1">
        <v>2021</v>
      </c>
      <c r="AV1047" s="1">
        <v>15</v>
      </c>
      <c r="AW1047" s="1">
        <v>2</v>
      </c>
      <c r="AX1047" s="1"/>
      <c r="AY1047" s="1"/>
      <c r="AZ1047" s="1"/>
      <c r="BA1047" s="1"/>
      <c r="BB1047" s="1">
        <v>451</v>
      </c>
      <c r="BC1047" s="1">
        <v>468</v>
      </c>
      <c r="BD1047" s="1"/>
      <c r="BE1047" s="1" t="s">
        <v>6708</v>
      </c>
      <c r="BF1047" s="1" t="str">
        <f>HYPERLINK("http://dx.doi.org/10.24874/IJQR15.02-06","http://dx.doi.org/10.24874/IJQR15.02-06")</f>
        <v>http://dx.doi.org/10.24874/IJQR15.02-06</v>
      </c>
      <c r="BG1047" s="1"/>
      <c r="BH1047" s="1"/>
      <c r="BI1047" s="1"/>
      <c r="BJ1047" s="1"/>
      <c r="BK1047" s="1"/>
      <c r="BL1047" s="1"/>
      <c r="BM1047" s="1"/>
      <c r="BN1047" s="1"/>
      <c r="BO1047" s="1"/>
      <c r="BP1047" s="1"/>
      <c r="BQ1047" s="1"/>
      <c r="BR1047" s="1"/>
      <c r="BS1047" s="1" t="s">
        <v>6709</v>
      </c>
      <c r="BT1047" s="1" t="str">
        <f>HYPERLINK("https%3A%2F%2Fwww.webofscience.com%2Fwos%2Fwoscc%2Ffull-record%2FWOS:000655011600006","View Full Record in Web of Science")</f>
        <v>View Full Record in Web of Science</v>
      </c>
      <c r="BU1047" s="1"/>
      <c r="BV1047" s="1"/>
      <c r="BW1047" s="1"/>
    </row>
    <row r="1048" spans="1:75" ht="12.75" customHeight="1" x14ac:dyDescent="0.2">
      <c r="A1048" s="1" t="s">
        <v>147</v>
      </c>
      <c r="B1048" s="1" t="s">
        <v>6710</v>
      </c>
      <c r="C1048" s="1"/>
      <c r="D1048" s="1" t="s">
        <v>6711</v>
      </c>
      <c r="E1048" s="1"/>
      <c r="F1048" s="1" t="s">
        <v>6712</v>
      </c>
      <c r="G1048" s="1"/>
      <c r="H1048" s="1"/>
      <c r="I1048" s="1" t="s">
        <v>6713</v>
      </c>
      <c r="J1048" s="1" t="s">
        <v>6714</v>
      </c>
      <c r="K1048" s="1" t="s">
        <v>1767</v>
      </c>
      <c r="L1048" s="1"/>
      <c r="M1048" s="1"/>
      <c r="N1048" s="1"/>
      <c r="O1048" s="1" t="s">
        <v>6715</v>
      </c>
      <c r="P1048" s="1">
        <v>2019</v>
      </c>
      <c r="Q1048" s="1" t="s">
        <v>6348</v>
      </c>
      <c r="R1048" s="1"/>
      <c r="S1048" s="1" t="s">
        <v>6349</v>
      </c>
      <c r="T1048" s="1"/>
      <c r="U1048" s="1"/>
      <c r="V1048" s="1"/>
      <c r="W1048" s="1"/>
      <c r="X1048" s="1"/>
      <c r="Y1048" s="1"/>
      <c r="Z1048" s="1"/>
      <c r="AA1048" s="1" t="s">
        <v>6716</v>
      </c>
      <c r="AB1048" s="1" t="s">
        <v>6717</v>
      </c>
      <c r="AC1048" s="1"/>
      <c r="AD1048" s="1"/>
      <c r="AE1048" s="1"/>
      <c r="AF1048" s="1"/>
      <c r="AG1048" s="1"/>
      <c r="AH1048" s="1"/>
      <c r="AI1048" s="1"/>
      <c r="AJ1048" s="1"/>
      <c r="AK1048" s="1"/>
      <c r="AL1048" s="1"/>
      <c r="AM1048" s="1"/>
      <c r="AN1048" s="1"/>
      <c r="AO1048" s="1" t="s">
        <v>1772</v>
      </c>
      <c r="AP1048" s="1" t="s">
        <v>1773</v>
      </c>
      <c r="AQ1048" s="1" t="s">
        <v>6718</v>
      </c>
      <c r="AR1048" s="1"/>
      <c r="AS1048" s="1"/>
      <c r="AT1048" s="1"/>
      <c r="AU1048" s="1">
        <v>2020</v>
      </c>
      <c r="AV1048" s="1">
        <v>95</v>
      </c>
      <c r="AW1048" s="1"/>
      <c r="AX1048" s="1"/>
      <c r="AY1048" s="1"/>
      <c r="AZ1048" s="1"/>
      <c r="BA1048" s="1"/>
      <c r="BB1048" s="1">
        <v>187</v>
      </c>
      <c r="BC1048" s="1">
        <v>194</v>
      </c>
      <c r="BD1048" s="1"/>
      <c r="BE1048" s="1" t="s">
        <v>6719</v>
      </c>
      <c r="BF1048" s="1" t="str">
        <f>HYPERLINK("http://dx.doi.org/10.1007/978-3-030-34983-7_19","http://dx.doi.org/10.1007/978-3-030-34983-7_19")</f>
        <v>http://dx.doi.org/10.1007/978-3-030-34983-7_19</v>
      </c>
      <c r="BG1048" s="1"/>
      <c r="BH1048" s="1"/>
      <c r="BI1048" s="1"/>
      <c r="BJ1048" s="1"/>
      <c r="BK1048" s="1"/>
      <c r="BL1048" s="1"/>
      <c r="BM1048" s="1"/>
      <c r="BN1048" s="1"/>
      <c r="BO1048" s="1"/>
      <c r="BP1048" s="1"/>
      <c r="BQ1048" s="1"/>
      <c r="BR1048" s="1"/>
      <c r="BS1048" s="1" t="s">
        <v>6720</v>
      </c>
      <c r="BT1048" s="1" t="str">
        <f>HYPERLINK("https%3A%2F%2Fwww.webofscience.com%2Fwos%2Fwoscc%2Ffull-record%2FWOS:000613140000019","View Full Record in Web of Science")</f>
        <v>View Full Record in Web of Science</v>
      </c>
      <c r="BU1048" s="1"/>
      <c r="BV1048" s="1"/>
      <c r="BW1048" s="1"/>
    </row>
    <row r="1049" spans="1:75" ht="12.75" customHeight="1" x14ac:dyDescent="0.2">
      <c r="A1049" s="1" t="s">
        <v>147</v>
      </c>
      <c r="B1049" s="1" t="s">
        <v>6721</v>
      </c>
      <c r="C1049" s="1"/>
      <c r="D1049" s="1" t="s">
        <v>5560</v>
      </c>
      <c r="E1049" s="1"/>
      <c r="F1049" s="1" t="s">
        <v>6722</v>
      </c>
      <c r="G1049" s="1"/>
      <c r="H1049" s="1"/>
      <c r="I1049" s="1" t="s">
        <v>6723</v>
      </c>
      <c r="J1049" s="1" t="s">
        <v>5563</v>
      </c>
      <c r="K1049" s="1" t="s">
        <v>1236</v>
      </c>
      <c r="L1049" s="1"/>
      <c r="M1049" s="1"/>
      <c r="N1049" s="1"/>
      <c r="O1049" s="1" t="s">
        <v>5564</v>
      </c>
      <c r="P1049" s="1" t="s">
        <v>5565</v>
      </c>
      <c r="Q1049" s="1" t="s">
        <v>5566</v>
      </c>
      <c r="R1049" s="1"/>
      <c r="S1049" s="1" t="s">
        <v>5567</v>
      </c>
      <c r="T1049" s="1"/>
      <c r="U1049" s="1"/>
      <c r="V1049" s="1"/>
      <c r="W1049" s="1"/>
      <c r="X1049" s="1"/>
      <c r="Y1049" s="1"/>
      <c r="Z1049" s="1"/>
      <c r="AA1049" s="1" t="s">
        <v>6724</v>
      </c>
      <c r="AB1049" s="1"/>
      <c r="AC1049" s="1"/>
      <c r="AD1049" s="1"/>
      <c r="AE1049" s="1"/>
      <c r="AF1049" s="1"/>
      <c r="AG1049" s="1"/>
      <c r="AH1049" s="1"/>
      <c r="AI1049" s="1"/>
      <c r="AJ1049" s="1"/>
      <c r="AK1049" s="1"/>
      <c r="AL1049" s="1"/>
      <c r="AM1049" s="1"/>
      <c r="AN1049" s="1"/>
      <c r="AO1049" s="1" t="s">
        <v>1240</v>
      </c>
      <c r="AP1049" s="1"/>
      <c r="AQ1049" s="1"/>
      <c r="AR1049" s="1"/>
      <c r="AS1049" s="1"/>
      <c r="AT1049" s="1"/>
      <c r="AU1049" s="1">
        <v>2020</v>
      </c>
      <c r="AV1049" s="1">
        <v>210</v>
      </c>
      <c r="AW1049" s="1"/>
      <c r="AX1049" s="1"/>
      <c r="AY1049" s="1"/>
      <c r="AZ1049" s="1"/>
      <c r="BA1049" s="1"/>
      <c r="BB1049" s="1"/>
      <c r="BC1049" s="1"/>
      <c r="BD1049" s="1">
        <v>16021</v>
      </c>
      <c r="BE1049" s="1" t="s">
        <v>6725</v>
      </c>
      <c r="BF1049" s="1" t="str">
        <f>HYPERLINK("http://dx.doi.org/10.1051/e3sconf/202021016021","http://dx.doi.org/10.1051/e3sconf/202021016021")</f>
        <v>http://dx.doi.org/10.1051/e3sconf/202021016021</v>
      </c>
      <c r="BG1049" s="1"/>
      <c r="BH1049" s="1"/>
      <c r="BI1049" s="1"/>
      <c r="BJ1049" s="1"/>
      <c r="BK1049" s="1"/>
      <c r="BL1049" s="1"/>
      <c r="BM1049" s="1"/>
      <c r="BN1049" s="1"/>
      <c r="BO1049" s="1"/>
      <c r="BP1049" s="1"/>
      <c r="BQ1049" s="1"/>
      <c r="BR1049" s="1"/>
      <c r="BS1049" s="1" t="s">
        <v>6726</v>
      </c>
      <c r="BT1049" s="1" t="str">
        <f>HYPERLINK("https%3A%2F%2Fwww.webofscience.com%2Fwos%2Fwoscc%2Ffull-record%2FWOS:000659867302022","View Full Record in Web of Science")</f>
        <v>View Full Record in Web of Science</v>
      </c>
      <c r="BU1049" s="1"/>
      <c r="BV1049" s="1"/>
      <c r="BW1049" s="1"/>
    </row>
    <row r="1050" spans="1:75" ht="12.75" customHeight="1" x14ac:dyDescent="0.2">
      <c r="A1050" s="1" t="s">
        <v>72</v>
      </c>
      <c r="B1050" s="1" t="s">
        <v>6501</v>
      </c>
      <c r="C1050" s="1"/>
      <c r="D1050" s="1"/>
      <c r="E1050" s="1"/>
      <c r="F1050" s="1" t="s">
        <v>6502</v>
      </c>
      <c r="G1050" s="1"/>
      <c r="H1050" s="1"/>
      <c r="I1050" s="1" t="s">
        <v>6727</v>
      </c>
      <c r="J1050" s="1" t="s">
        <v>6728</v>
      </c>
      <c r="K1050" s="1"/>
      <c r="L1050" s="1"/>
      <c r="M1050" s="1"/>
      <c r="N1050" s="1"/>
      <c r="O1050" s="1"/>
      <c r="P1050" s="1"/>
      <c r="Q1050" s="1"/>
      <c r="R1050" s="1"/>
      <c r="S1050" s="1"/>
      <c r="T1050" s="1"/>
      <c r="U1050" s="1"/>
      <c r="V1050" s="1"/>
      <c r="W1050" s="1"/>
      <c r="X1050" s="1"/>
      <c r="Y1050" s="1"/>
      <c r="Z1050" s="1"/>
      <c r="AA1050" s="1" t="s">
        <v>6729</v>
      </c>
      <c r="AB1050" s="1" t="s">
        <v>6730</v>
      </c>
      <c r="AC1050" s="1"/>
      <c r="AD1050" s="1"/>
      <c r="AE1050" s="1"/>
      <c r="AF1050" s="1"/>
      <c r="AG1050" s="1"/>
      <c r="AH1050" s="1"/>
      <c r="AI1050" s="1"/>
      <c r="AJ1050" s="1"/>
      <c r="AK1050" s="1"/>
      <c r="AL1050" s="1"/>
      <c r="AM1050" s="1"/>
      <c r="AN1050" s="1"/>
      <c r="AO1050" s="1" t="s">
        <v>6731</v>
      </c>
      <c r="AP1050" s="1" t="s">
        <v>6732</v>
      </c>
      <c r="AQ1050" s="1"/>
      <c r="AR1050" s="1"/>
      <c r="AS1050" s="1"/>
      <c r="AT1050" s="1" t="s">
        <v>6733</v>
      </c>
      <c r="AU1050" s="1">
        <v>2019</v>
      </c>
      <c r="AV1050" s="1">
        <v>166</v>
      </c>
      <c r="AW1050" s="1">
        <v>10</v>
      </c>
      <c r="AX1050" s="1"/>
      <c r="AY1050" s="1"/>
      <c r="AZ1050" s="1"/>
      <c r="BA1050" s="1"/>
      <c r="BB1050" s="1" t="s">
        <v>6734</v>
      </c>
      <c r="BC1050" s="1" t="s">
        <v>6735</v>
      </c>
      <c r="BD1050" s="1"/>
      <c r="BE1050" s="1" t="s">
        <v>6736</v>
      </c>
      <c r="BF1050" s="1" t="str">
        <f>HYPERLINK("http://dx.doi.org/10.1149/2.0561910jes","http://dx.doi.org/10.1149/2.0561910jes")</f>
        <v>http://dx.doi.org/10.1149/2.0561910jes</v>
      </c>
      <c r="BG1050" s="1"/>
      <c r="BH1050" s="1"/>
      <c r="BI1050" s="1"/>
      <c r="BJ1050" s="1"/>
      <c r="BK1050" s="1"/>
      <c r="BL1050" s="1"/>
      <c r="BM1050" s="1"/>
      <c r="BN1050" s="1"/>
      <c r="BO1050" s="1"/>
      <c r="BP1050" s="1"/>
      <c r="BQ1050" s="1"/>
      <c r="BR1050" s="1"/>
      <c r="BS1050" s="1" t="s">
        <v>6737</v>
      </c>
      <c r="BT1050" s="1" t="str">
        <f>HYPERLINK("https%3A%2F%2Fwww.webofscience.com%2Fwos%2Fwoscc%2Ffull-record%2FWOS:000470231700001","View Full Record in Web of Science")</f>
        <v>View Full Record in Web of Science</v>
      </c>
      <c r="BU1050" s="1"/>
      <c r="BV1050" s="1"/>
      <c r="BW1050" s="1"/>
    </row>
    <row r="1051" spans="1:75" ht="12.75" customHeight="1" x14ac:dyDescent="0.2">
      <c r="A1051" s="1" t="s">
        <v>72</v>
      </c>
      <c r="B1051" s="1" t="s">
        <v>6738</v>
      </c>
      <c r="C1051" s="1"/>
      <c r="D1051" s="1"/>
      <c r="E1051" s="1"/>
      <c r="F1051" s="1" t="s">
        <v>6739</v>
      </c>
      <c r="G1051" s="1"/>
      <c r="H1051" s="1"/>
      <c r="I1051" s="1" t="s">
        <v>6740</v>
      </c>
      <c r="J1051" s="1" t="s">
        <v>3150</v>
      </c>
      <c r="K1051" s="1"/>
      <c r="L1051" s="1"/>
      <c r="M1051" s="1"/>
      <c r="N1051" s="1"/>
      <c r="O1051" s="1"/>
      <c r="P1051" s="1"/>
      <c r="Q1051" s="1"/>
      <c r="R1051" s="1"/>
      <c r="S1051" s="1"/>
      <c r="T1051" s="1"/>
      <c r="U1051" s="1"/>
      <c r="V1051" s="1"/>
      <c r="W1051" s="1"/>
      <c r="X1051" s="1"/>
      <c r="Y1051" s="1"/>
      <c r="Z1051" s="1"/>
      <c r="AA1051" s="1" t="s">
        <v>615</v>
      </c>
      <c r="AB1051" s="1" t="s">
        <v>616</v>
      </c>
      <c r="AC1051" s="1"/>
      <c r="AD1051" s="1"/>
      <c r="AE1051" s="1"/>
      <c r="AF1051" s="1"/>
      <c r="AG1051" s="1"/>
      <c r="AH1051" s="1"/>
      <c r="AI1051" s="1"/>
      <c r="AJ1051" s="1"/>
      <c r="AK1051" s="1"/>
      <c r="AL1051" s="1"/>
      <c r="AM1051" s="1"/>
      <c r="AN1051" s="1"/>
      <c r="AO1051" s="1" t="s">
        <v>3151</v>
      </c>
      <c r="AP1051" s="1"/>
      <c r="AQ1051" s="1"/>
      <c r="AR1051" s="1"/>
      <c r="AS1051" s="1"/>
      <c r="AT1051" s="1" t="s">
        <v>1167</v>
      </c>
      <c r="AU1051" s="1">
        <v>2011</v>
      </c>
      <c r="AV1051" s="1">
        <v>52</v>
      </c>
      <c r="AW1051" s="1">
        <v>5</v>
      </c>
      <c r="AX1051" s="1"/>
      <c r="AY1051" s="1"/>
      <c r="AZ1051" s="1"/>
      <c r="BA1051" s="1"/>
      <c r="BB1051" s="1">
        <v>433</v>
      </c>
      <c r="BC1051" s="1">
        <v>436</v>
      </c>
      <c r="BD1051" s="1"/>
      <c r="BE1051" s="1" t="s">
        <v>6741</v>
      </c>
      <c r="BF1051" s="1" t="str">
        <f>HYPERLINK("http://dx.doi.org/10.3103/S106782121105004X","http://dx.doi.org/10.3103/S106782121105004X")</f>
        <v>http://dx.doi.org/10.3103/S106782121105004X</v>
      </c>
      <c r="BG1051" s="1"/>
      <c r="BH1051" s="1"/>
      <c r="BI1051" s="1"/>
      <c r="BJ1051" s="1"/>
      <c r="BK1051" s="1"/>
      <c r="BL1051" s="1"/>
      <c r="BM1051" s="1"/>
      <c r="BN1051" s="1"/>
      <c r="BO1051" s="1"/>
      <c r="BP1051" s="1"/>
      <c r="BQ1051" s="1"/>
      <c r="BR1051" s="1"/>
      <c r="BS1051" s="1" t="s">
        <v>6742</v>
      </c>
      <c r="BT1051" s="1" t="str">
        <f>HYPERLINK("https%3A%2F%2Fwww.webofscience.com%2Fwos%2Fwoscc%2Ffull-record%2FWOS:000296792700008","View Full Record in Web of Science")</f>
        <v>View Full Record in Web of Science</v>
      </c>
      <c r="BU1051" s="1"/>
      <c r="BV1051" s="1"/>
      <c r="BW1051" s="1"/>
    </row>
    <row r="1052" spans="1:75" ht="12.75" customHeight="1" x14ac:dyDescent="0.2">
      <c r="A1052" s="1" t="s">
        <v>147</v>
      </c>
      <c r="B1052" s="1" t="s">
        <v>6743</v>
      </c>
      <c r="C1052" s="1"/>
      <c r="D1052" s="1" t="s">
        <v>5560</v>
      </c>
      <c r="E1052" s="1"/>
      <c r="F1052" s="1" t="s">
        <v>6744</v>
      </c>
      <c r="G1052" s="1"/>
      <c r="H1052" s="1"/>
      <c r="I1052" s="1" t="s">
        <v>6745</v>
      </c>
      <c r="J1052" s="1" t="s">
        <v>5563</v>
      </c>
      <c r="K1052" s="1" t="s">
        <v>1236</v>
      </c>
      <c r="L1052" s="1"/>
      <c r="M1052" s="1"/>
      <c r="N1052" s="1"/>
      <c r="O1052" s="1" t="s">
        <v>5564</v>
      </c>
      <c r="P1052" s="1" t="s">
        <v>5565</v>
      </c>
      <c r="Q1052" s="1" t="s">
        <v>5566</v>
      </c>
      <c r="R1052" s="1"/>
      <c r="S1052" s="1" t="s">
        <v>5567</v>
      </c>
      <c r="T1052" s="1"/>
      <c r="U1052" s="1"/>
      <c r="V1052" s="1"/>
      <c r="W1052" s="1"/>
      <c r="X1052" s="1"/>
      <c r="Y1052" s="1"/>
      <c r="Z1052" s="1"/>
      <c r="AA1052" s="1"/>
      <c r="AB1052" s="1" t="s">
        <v>6746</v>
      </c>
      <c r="AC1052" s="1"/>
      <c r="AD1052" s="1"/>
      <c r="AE1052" s="1"/>
      <c r="AF1052" s="1"/>
      <c r="AG1052" s="1"/>
      <c r="AH1052" s="1"/>
      <c r="AI1052" s="1"/>
      <c r="AJ1052" s="1"/>
      <c r="AK1052" s="1"/>
      <c r="AL1052" s="1"/>
      <c r="AM1052" s="1"/>
      <c r="AN1052" s="1"/>
      <c r="AO1052" s="1" t="s">
        <v>1240</v>
      </c>
      <c r="AP1052" s="1"/>
      <c r="AQ1052" s="1"/>
      <c r="AR1052" s="1"/>
      <c r="AS1052" s="1"/>
      <c r="AT1052" s="1"/>
      <c r="AU1052" s="1">
        <v>2020</v>
      </c>
      <c r="AV1052" s="1">
        <v>210</v>
      </c>
      <c r="AW1052" s="1"/>
      <c r="AX1052" s="1"/>
      <c r="AY1052" s="1"/>
      <c r="AZ1052" s="1"/>
      <c r="BA1052" s="1"/>
      <c r="BB1052" s="1"/>
      <c r="BC1052" s="1"/>
      <c r="BD1052" s="1">
        <v>10007</v>
      </c>
      <c r="BE1052" s="1" t="s">
        <v>6747</v>
      </c>
      <c r="BF1052" s="1" t="str">
        <f>HYPERLINK("http://dx.doi.org/10.1051/e3sconf/202021010007","http://dx.doi.org/10.1051/e3sconf/202021010007")</f>
        <v>http://dx.doi.org/10.1051/e3sconf/202021010007</v>
      </c>
      <c r="BG1052" s="1"/>
      <c r="BH1052" s="1"/>
      <c r="BI1052" s="1"/>
      <c r="BJ1052" s="1"/>
      <c r="BK1052" s="1"/>
      <c r="BL1052" s="1"/>
      <c r="BM1052" s="1"/>
      <c r="BN1052" s="1"/>
      <c r="BO1052" s="1"/>
      <c r="BP1052" s="1"/>
      <c r="BQ1052" s="1"/>
      <c r="BR1052" s="1"/>
      <c r="BS1052" s="1" t="s">
        <v>6748</v>
      </c>
      <c r="BT1052" s="1" t="str">
        <f>HYPERLINK("https%3A%2F%2Fwww.webofscience.com%2Fwos%2Fwoscc%2Ffull-record%2FWOS:000659867301032","View Full Record in Web of Science")</f>
        <v>View Full Record in Web of Science</v>
      </c>
      <c r="BU1052" s="1"/>
      <c r="BV1052" s="1"/>
      <c r="BW1052" s="1"/>
    </row>
    <row r="1053" spans="1:75" ht="12.75" customHeight="1" x14ac:dyDescent="0.2">
      <c r="A1053" s="1" t="s">
        <v>147</v>
      </c>
      <c r="B1053" s="1" t="s">
        <v>6749</v>
      </c>
      <c r="C1053" s="1"/>
      <c r="D1053" s="1"/>
      <c r="E1053" s="1" t="s">
        <v>175</v>
      </c>
      <c r="F1053" s="1" t="s">
        <v>6750</v>
      </c>
      <c r="G1053" s="1"/>
      <c r="H1053" s="1"/>
      <c r="I1053" s="1" t="s">
        <v>6751</v>
      </c>
      <c r="J1053" s="1" t="s">
        <v>2671</v>
      </c>
      <c r="K1053" s="1" t="s">
        <v>1576</v>
      </c>
      <c r="L1053" s="1"/>
      <c r="M1053" s="1"/>
      <c r="N1053" s="1"/>
      <c r="O1053" s="1" t="s">
        <v>2672</v>
      </c>
      <c r="P1053" s="1" t="s">
        <v>2673</v>
      </c>
      <c r="Q1053" s="1" t="s">
        <v>2674</v>
      </c>
      <c r="R1053" s="1"/>
      <c r="S1053" s="1" t="s">
        <v>2675</v>
      </c>
      <c r="T1053" s="1"/>
      <c r="U1053" s="1"/>
      <c r="V1053" s="1"/>
      <c r="W1053" s="1"/>
      <c r="X1053" s="1"/>
      <c r="Y1053" s="1"/>
      <c r="Z1053" s="1"/>
      <c r="AA1053" s="1" t="s">
        <v>6752</v>
      </c>
      <c r="AB1053" s="1" t="s">
        <v>6753</v>
      </c>
      <c r="AC1053" s="1"/>
      <c r="AD1053" s="1"/>
      <c r="AE1053" s="1"/>
      <c r="AF1053" s="1"/>
      <c r="AG1053" s="1"/>
      <c r="AH1053" s="1"/>
      <c r="AI1053" s="1"/>
      <c r="AJ1053" s="1"/>
      <c r="AK1053" s="1"/>
      <c r="AL1053" s="1"/>
      <c r="AM1053" s="1"/>
      <c r="AN1053" s="1"/>
      <c r="AO1053" s="1" t="s">
        <v>1581</v>
      </c>
      <c r="AP1053" s="1"/>
      <c r="AQ1053" s="1"/>
      <c r="AR1053" s="1"/>
      <c r="AS1053" s="1"/>
      <c r="AT1053" s="1"/>
      <c r="AU1053" s="1">
        <v>2017</v>
      </c>
      <c r="AV1053" s="1">
        <v>90</v>
      </c>
      <c r="AW1053" s="1"/>
      <c r="AX1053" s="1"/>
      <c r="AY1053" s="1"/>
      <c r="AZ1053" s="1"/>
      <c r="BA1053" s="1"/>
      <c r="BB1053" s="1"/>
      <c r="BC1053" s="1"/>
      <c r="BD1053" s="1">
        <v>12125</v>
      </c>
      <c r="BE1053" s="1" t="s">
        <v>6754</v>
      </c>
      <c r="BF1053" s="1" t="str">
        <f>HYPERLINK("http://dx.doi.org/10.1088/1755-1315/90/1/012125","http://dx.doi.org/10.1088/1755-1315/90/1/012125")</f>
        <v>http://dx.doi.org/10.1088/1755-1315/90/1/012125</v>
      </c>
      <c r="BG1053" s="1"/>
      <c r="BH1053" s="1"/>
      <c r="BI1053" s="1"/>
      <c r="BJ1053" s="1"/>
      <c r="BK1053" s="1"/>
      <c r="BL1053" s="1"/>
      <c r="BM1053" s="1"/>
      <c r="BN1053" s="1"/>
      <c r="BO1053" s="1"/>
      <c r="BP1053" s="1"/>
      <c r="BQ1053" s="1"/>
      <c r="BR1053" s="1"/>
      <c r="BS1053" s="1" t="s">
        <v>6755</v>
      </c>
      <c r="BT1053" s="1" t="str">
        <f>HYPERLINK("https%3A%2F%2Fwww.webofscience.com%2Fwos%2Fwoscc%2Ffull-record%2FWOS:000419816700125","View Full Record in Web of Science")</f>
        <v>View Full Record in Web of Science</v>
      </c>
      <c r="BU1053" s="1"/>
      <c r="BV1053" s="1"/>
      <c r="BW1053" s="1"/>
    </row>
    <row r="1054" spans="1:75" ht="12.75" customHeight="1" x14ac:dyDescent="0.2">
      <c r="A1054" s="1" t="s">
        <v>72</v>
      </c>
      <c r="B1054" s="1" t="s">
        <v>6756</v>
      </c>
      <c r="C1054" s="1"/>
      <c r="D1054" s="1"/>
      <c r="E1054" s="1"/>
      <c r="F1054" s="1" t="s">
        <v>6757</v>
      </c>
      <c r="G1054" s="1"/>
      <c r="H1054" s="1"/>
      <c r="I1054" s="1" t="s">
        <v>6758</v>
      </c>
      <c r="J1054" s="1" t="s">
        <v>95</v>
      </c>
      <c r="K1054" s="1"/>
      <c r="L1054" s="1"/>
      <c r="M1054" s="1"/>
      <c r="N1054" s="1"/>
      <c r="O1054" s="1"/>
      <c r="P1054" s="1"/>
      <c r="Q1054" s="1"/>
      <c r="R1054" s="1"/>
      <c r="S1054" s="1"/>
      <c r="T1054" s="1"/>
      <c r="U1054" s="1"/>
      <c r="V1054" s="1"/>
      <c r="W1054" s="1"/>
      <c r="X1054" s="1"/>
      <c r="Y1054" s="1"/>
      <c r="Z1054" s="1"/>
      <c r="AA1054" s="1"/>
      <c r="AB1054" s="1" t="s">
        <v>6759</v>
      </c>
      <c r="AC1054" s="1"/>
      <c r="AD1054" s="1"/>
      <c r="AE1054" s="1"/>
      <c r="AF1054" s="1"/>
      <c r="AG1054" s="1"/>
      <c r="AH1054" s="1"/>
      <c r="AI1054" s="1"/>
      <c r="AJ1054" s="1"/>
      <c r="AK1054" s="1"/>
      <c r="AL1054" s="1"/>
      <c r="AM1054" s="1"/>
      <c r="AN1054" s="1"/>
      <c r="AO1054" s="1" t="s">
        <v>98</v>
      </c>
      <c r="AP1054" s="1" t="s">
        <v>99</v>
      </c>
      <c r="AQ1054" s="1"/>
      <c r="AR1054" s="1"/>
      <c r="AS1054" s="1"/>
      <c r="AT1054" s="1"/>
      <c r="AU1054" s="1">
        <v>2022</v>
      </c>
      <c r="AV1054" s="1"/>
      <c r="AW1054" s="1">
        <v>3</v>
      </c>
      <c r="AX1054" s="1"/>
      <c r="AY1054" s="1"/>
      <c r="AZ1054" s="1"/>
      <c r="BA1054" s="1"/>
      <c r="BB1054" s="1">
        <v>110</v>
      </c>
      <c r="BC1054" s="1">
        <v>117</v>
      </c>
      <c r="BD1054" s="1"/>
      <c r="BE1054" s="1" t="s">
        <v>6760</v>
      </c>
      <c r="BF1054" s="1" t="str">
        <f>HYPERLINK("http://dx.doi.org/10.25750/1995-4301-2022-3-110-117","http://dx.doi.org/10.25750/1995-4301-2022-3-110-117")</f>
        <v>http://dx.doi.org/10.25750/1995-4301-2022-3-110-117</v>
      </c>
      <c r="BG1054" s="1"/>
      <c r="BH1054" s="1"/>
      <c r="BI1054" s="1"/>
      <c r="BJ1054" s="1"/>
      <c r="BK1054" s="1"/>
      <c r="BL1054" s="1"/>
      <c r="BM1054" s="1"/>
      <c r="BN1054" s="1"/>
      <c r="BO1054" s="1"/>
      <c r="BP1054" s="1"/>
      <c r="BQ1054" s="1"/>
      <c r="BR1054" s="1"/>
      <c r="BS1054" s="1" t="s">
        <v>6761</v>
      </c>
      <c r="BT1054" s="1" t="str">
        <f>HYPERLINK("https%3A%2F%2Fwww.webofscience.com%2Fwos%2Fwoscc%2Ffull-record%2FWOS:000885393200014","View Full Record in Web of Science")</f>
        <v>View Full Record in Web of Science</v>
      </c>
      <c r="BU1054" s="1"/>
      <c r="BV1054" s="1"/>
      <c r="BW1054" s="1"/>
    </row>
    <row r="1055" spans="1:75" ht="12.75" customHeight="1" x14ac:dyDescent="0.2">
      <c r="A1055" s="1" t="s">
        <v>72</v>
      </c>
      <c r="B1055" s="1" t="s">
        <v>6762</v>
      </c>
      <c r="C1055" s="1"/>
      <c r="D1055" s="1"/>
      <c r="E1055" s="1"/>
      <c r="F1055" s="1" t="s">
        <v>6763</v>
      </c>
      <c r="G1055" s="1"/>
      <c r="H1055" s="1"/>
      <c r="I1055" s="1" t="s">
        <v>6764</v>
      </c>
      <c r="J1055" s="1" t="s">
        <v>1652</v>
      </c>
      <c r="K1055" s="1"/>
      <c r="L1055" s="1"/>
      <c r="M1055" s="1"/>
      <c r="N1055" s="1"/>
      <c r="O1055" s="1"/>
      <c r="P1055" s="1"/>
      <c r="Q1055" s="1"/>
      <c r="R1055" s="1"/>
      <c r="S1055" s="1"/>
      <c r="T1055" s="1"/>
      <c r="U1055" s="1"/>
      <c r="V1055" s="1"/>
      <c r="W1055" s="1"/>
      <c r="X1055" s="1"/>
      <c r="Y1055" s="1"/>
      <c r="Z1055" s="1"/>
      <c r="AA1055" s="1" t="s">
        <v>6765</v>
      </c>
      <c r="AB1055" s="1" t="s">
        <v>6766</v>
      </c>
      <c r="AC1055" s="1"/>
      <c r="AD1055" s="1"/>
      <c r="AE1055" s="1"/>
      <c r="AF1055" s="1"/>
      <c r="AG1055" s="1"/>
      <c r="AH1055" s="1"/>
      <c r="AI1055" s="1"/>
      <c r="AJ1055" s="1"/>
      <c r="AK1055" s="1"/>
      <c r="AL1055" s="1"/>
      <c r="AM1055" s="1"/>
      <c r="AN1055" s="1"/>
      <c r="AO1055" s="1" t="s">
        <v>1653</v>
      </c>
      <c r="AP1055" s="1"/>
      <c r="AQ1055" s="1"/>
      <c r="AR1055" s="1"/>
      <c r="AS1055" s="1"/>
      <c r="AT1055" s="1" t="s">
        <v>830</v>
      </c>
      <c r="AU1055" s="1">
        <v>2021</v>
      </c>
      <c r="AV1055" s="1">
        <v>15</v>
      </c>
      <c r="AW1055" s="1">
        <v>9</v>
      </c>
      <c r="AX1055" s="1"/>
      <c r="AY1055" s="1"/>
      <c r="AZ1055" s="1"/>
      <c r="BA1055" s="1"/>
      <c r="BB1055" s="1">
        <v>2651</v>
      </c>
      <c r="BC1055" s="1">
        <v>2655</v>
      </c>
      <c r="BD1055" s="1"/>
      <c r="BE1055" s="1" t="s">
        <v>6767</v>
      </c>
      <c r="BF1055" s="1" t="str">
        <f>HYPERLINK("http://dx.doi.org/10.53350/pjmhs211592651","http://dx.doi.org/10.53350/pjmhs211592651")</f>
        <v>http://dx.doi.org/10.53350/pjmhs211592651</v>
      </c>
      <c r="BG1055" s="1"/>
      <c r="BH1055" s="1"/>
      <c r="BI1055" s="1"/>
      <c r="BJ1055" s="1"/>
      <c r="BK1055" s="1"/>
      <c r="BL1055" s="1"/>
      <c r="BM1055" s="1"/>
      <c r="BN1055" s="1"/>
      <c r="BO1055" s="1"/>
      <c r="BP1055" s="1"/>
      <c r="BQ1055" s="1"/>
      <c r="BR1055" s="1"/>
      <c r="BS1055" s="1" t="s">
        <v>6768</v>
      </c>
      <c r="BT1055" s="1" t="str">
        <f>HYPERLINK("https%3A%2F%2Fwww.webofscience.com%2Fwos%2Fwoscc%2Ffull-record%2FWOS:000729254000003","View Full Record in Web of Science")</f>
        <v>View Full Record in Web of Science</v>
      </c>
      <c r="BU1055" s="1"/>
      <c r="BV1055" s="1"/>
      <c r="BW1055" s="1"/>
    </row>
    <row r="1056" spans="1:75" ht="12.75" customHeight="1" x14ac:dyDescent="0.2">
      <c r="A1056" s="1" t="s">
        <v>72</v>
      </c>
      <c r="B1056" s="1" t="s">
        <v>6769</v>
      </c>
      <c r="C1056" s="1"/>
      <c r="D1056" s="1"/>
      <c r="E1056" s="1"/>
      <c r="F1056" s="1" t="s">
        <v>6770</v>
      </c>
      <c r="G1056" s="1"/>
      <c r="H1056" s="1"/>
      <c r="I1056" s="1" t="s">
        <v>6771</v>
      </c>
      <c r="J1056" s="1" t="s">
        <v>166</v>
      </c>
      <c r="K1056" s="1"/>
      <c r="L1056" s="1"/>
      <c r="M1056" s="1"/>
      <c r="N1056" s="1"/>
      <c r="O1056" s="1"/>
      <c r="P1056" s="1"/>
      <c r="Q1056" s="1"/>
      <c r="R1056" s="1"/>
      <c r="S1056" s="1"/>
      <c r="T1056" s="1"/>
      <c r="U1056" s="1"/>
      <c r="V1056" s="1"/>
      <c r="W1056" s="1"/>
      <c r="X1056" s="1"/>
      <c r="Y1056" s="1"/>
      <c r="Z1056" s="1"/>
      <c r="AA1056" s="1"/>
      <c r="AB1056" s="1" t="s">
        <v>6516</v>
      </c>
      <c r="AC1056" s="1"/>
      <c r="AD1056" s="1"/>
      <c r="AE1056" s="1"/>
      <c r="AF1056" s="1"/>
      <c r="AG1056" s="1"/>
      <c r="AH1056" s="1"/>
      <c r="AI1056" s="1"/>
      <c r="AJ1056" s="1"/>
      <c r="AK1056" s="1"/>
      <c r="AL1056" s="1"/>
      <c r="AM1056" s="1"/>
      <c r="AN1056" s="1"/>
      <c r="AO1056" s="1" t="s">
        <v>169</v>
      </c>
      <c r="AP1056" s="1" t="s">
        <v>170</v>
      </c>
      <c r="AQ1056" s="1"/>
      <c r="AR1056" s="1"/>
      <c r="AS1056" s="1"/>
      <c r="AT1056" s="1" t="s">
        <v>830</v>
      </c>
      <c r="AU1056" s="1">
        <v>2021</v>
      </c>
      <c r="AV1056" s="1">
        <v>10</v>
      </c>
      <c r="AW1056" s="1">
        <v>3</v>
      </c>
      <c r="AX1056" s="1"/>
      <c r="AY1056" s="1"/>
      <c r="AZ1056" s="1"/>
      <c r="BA1056" s="1"/>
      <c r="BB1056" s="1">
        <v>726</v>
      </c>
      <c r="BC1056" s="1">
        <v>739</v>
      </c>
      <c r="BD1056" s="1"/>
      <c r="BE1056" s="1" t="s">
        <v>6772</v>
      </c>
      <c r="BF1056" s="1" t="str">
        <f>HYPERLINK("http://dx.doi.org/10.13187/ejced.2021.3.726","http://dx.doi.org/10.13187/ejced.2021.3.726")</f>
        <v>http://dx.doi.org/10.13187/ejced.2021.3.726</v>
      </c>
      <c r="BG1056" s="1"/>
      <c r="BH1056" s="1"/>
      <c r="BI1056" s="1"/>
      <c r="BJ1056" s="1"/>
      <c r="BK1056" s="1"/>
      <c r="BL1056" s="1"/>
      <c r="BM1056" s="1"/>
      <c r="BN1056" s="1"/>
      <c r="BO1056" s="1"/>
      <c r="BP1056" s="1"/>
      <c r="BQ1056" s="1"/>
      <c r="BR1056" s="1"/>
      <c r="BS1056" s="1" t="s">
        <v>6773</v>
      </c>
      <c r="BT1056" s="1" t="str">
        <f>HYPERLINK("https%3A%2F%2Fwww.webofscience.com%2Fwos%2Fwoscc%2Ffull-record%2FWOS:000705970600015","View Full Record in Web of Science")</f>
        <v>View Full Record in Web of Science</v>
      </c>
      <c r="BU1056" s="1"/>
      <c r="BV1056" s="1"/>
      <c r="BW1056" s="1"/>
    </row>
    <row r="1057" spans="1:75" ht="12.75" customHeight="1" x14ac:dyDescent="0.2">
      <c r="A1057" s="1" t="s">
        <v>147</v>
      </c>
      <c r="B1057" s="1" t="s">
        <v>6774</v>
      </c>
      <c r="C1057" s="1"/>
      <c r="D1057" s="1" t="s">
        <v>5560</v>
      </c>
      <c r="E1057" s="1"/>
      <c r="F1057" s="1" t="s">
        <v>6775</v>
      </c>
      <c r="G1057" s="1"/>
      <c r="H1057" s="1"/>
      <c r="I1057" s="1" t="s">
        <v>6776</v>
      </c>
      <c r="J1057" s="1" t="s">
        <v>5563</v>
      </c>
      <c r="K1057" s="1" t="s">
        <v>1236</v>
      </c>
      <c r="L1057" s="1"/>
      <c r="M1057" s="1"/>
      <c r="N1057" s="1"/>
      <c r="O1057" s="1" t="s">
        <v>5564</v>
      </c>
      <c r="P1057" s="1" t="s">
        <v>5565</v>
      </c>
      <c r="Q1057" s="1" t="s">
        <v>5566</v>
      </c>
      <c r="R1057" s="1"/>
      <c r="S1057" s="1" t="s">
        <v>5567</v>
      </c>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t="s">
        <v>1240</v>
      </c>
      <c r="AP1057" s="1"/>
      <c r="AQ1057" s="1"/>
      <c r="AR1057" s="1"/>
      <c r="AS1057" s="1"/>
      <c r="AT1057" s="1"/>
      <c r="AU1057" s="1">
        <v>2020</v>
      </c>
      <c r="AV1057" s="1">
        <v>210</v>
      </c>
      <c r="AW1057" s="1"/>
      <c r="AX1057" s="1"/>
      <c r="AY1057" s="1"/>
      <c r="AZ1057" s="1"/>
      <c r="BA1057" s="1"/>
      <c r="BB1057" s="1"/>
      <c r="BC1057" s="1"/>
      <c r="BD1057" s="1">
        <v>17027</v>
      </c>
      <c r="BE1057" s="1" t="s">
        <v>6777</v>
      </c>
      <c r="BF1057" s="1" t="str">
        <f>HYPERLINK("http://dx.doi.org/10.1051/e3sconf/202021017027","http://dx.doi.org/10.1051/e3sconf/202021017027")</f>
        <v>http://dx.doi.org/10.1051/e3sconf/202021017027</v>
      </c>
      <c r="BG1057" s="1"/>
      <c r="BH1057" s="1"/>
      <c r="BI1057" s="1"/>
      <c r="BJ1057" s="1"/>
      <c r="BK1057" s="1"/>
      <c r="BL1057" s="1"/>
      <c r="BM1057" s="1"/>
      <c r="BN1057" s="1"/>
      <c r="BO1057" s="1"/>
      <c r="BP1057" s="1"/>
      <c r="BQ1057" s="1"/>
      <c r="BR1057" s="1"/>
      <c r="BS1057" s="1" t="s">
        <v>6778</v>
      </c>
      <c r="BT1057" s="1" t="str">
        <f>HYPERLINK("https%3A%2F%2Fwww.webofscience.com%2Fwos%2Fwoscc%2Ffull-record%2FWOS:000659867302065","View Full Record in Web of Science")</f>
        <v>View Full Record in Web of Science</v>
      </c>
      <c r="BU1057" s="1"/>
      <c r="BV1057" s="1"/>
      <c r="BW1057" s="1"/>
    </row>
    <row r="1058" spans="1:75" ht="12.75" customHeight="1" x14ac:dyDescent="0.2">
      <c r="A1058" s="1" t="s">
        <v>72</v>
      </c>
      <c r="B1058" s="1" t="s">
        <v>6779</v>
      </c>
      <c r="C1058" s="1"/>
      <c r="D1058" s="1"/>
      <c r="E1058" s="1"/>
      <c r="F1058" s="1" t="s">
        <v>6780</v>
      </c>
      <c r="G1058" s="1"/>
      <c r="H1058" s="1"/>
      <c r="I1058" s="1" t="s">
        <v>6781</v>
      </c>
      <c r="J1058" s="1" t="s">
        <v>5436</v>
      </c>
      <c r="K1058" s="1"/>
      <c r="L1058" s="1"/>
      <c r="M1058" s="1"/>
      <c r="N1058" s="1"/>
      <c r="O1058" s="1"/>
      <c r="P1058" s="1"/>
      <c r="Q1058" s="1"/>
      <c r="R1058" s="1"/>
      <c r="S1058" s="1"/>
      <c r="T1058" s="1"/>
      <c r="U1058" s="1"/>
      <c r="V1058" s="1"/>
      <c r="W1058" s="1"/>
      <c r="X1058" s="1"/>
      <c r="Y1058" s="1"/>
      <c r="Z1058" s="1"/>
      <c r="AA1058" s="1" t="s">
        <v>6782</v>
      </c>
      <c r="AB1058" s="1" t="s">
        <v>6783</v>
      </c>
      <c r="AC1058" s="1"/>
      <c r="AD1058" s="1"/>
      <c r="AE1058" s="1"/>
      <c r="AF1058" s="1"/>
      <c r="AG1058" s="1"/>
      <c r="AH1058" s="1"/>
      <c r="AI1058" s="1"/>
      <c r="AJ1058" s="1"/>
      <c r="AK1058" s="1"/>
      <c r="AL1058" s="1"/>
      <c r="AM1058" s="1"/>
      <c r="AN1058" s="1"/>
      <c r="AO1058" s="1" t="s">
        <v>5439</v>
      </c>
      <c r="AP1058" s="1" t="s">
        <v>5440</v>
      </c>
      <c r="AQ1058" s="1"/>
      <c r="AR1058" s="1"/>
      <c r="AS1058" s="1"/>
      <c r="AT1058" s="1" t="s">
        <v>830</v>
      </c>
      <c r="AU1058" s="1">
        <v>2019</v>
      </c>
      <c r="AV1058" s="1">
        <v>55</v>
      </c>
      <c r="AW1058" s="1">
        <v>4</v>
      </c>
      <c r="AX1058" s="1"/>
      <c r="AY1058" s="1"/>
      <c r="AZ1058" s="1"/>
      <c r="BA1058" s="1"/>
      <c r="BB1058" s="1">
        <v>435</v>
      </c>
      <c r="BC1058" s="1">
        <v>454</v>
      </c>
      <c r="BD1058" s="1"/>
      <c r="BE1058" s="1" t="s">
        <v>6784</v>
      </c>
      <c r="BF1058" s="1" t="str">
        <f>HYPERLINK("http://dx.doi.org/10.1007/s11029-019-09824-x","http://dx.doi.org/10.1007/s11029-019-09824-x")</f>
        <v>http://dx.doi.org/10.1007/s11029-019-09824-x</v>
      </c>
      <c r="BG1058" s="1"/>
      <c r="BH1058" s="1" t="s">
        <v>4696</v>
      </c>
      <c r="BI1058" s="1"/>
      <c r="BJ1058" s="1"/>
      <c r="BK1058" s="1"/>
      <c r="BL1058" s="1"/>
      <c r="BM1058" s="1"/>
      <c r="BN1058" s="1"/>
      <c r="BO1058" s="1"/>
      <c r="BP1058" s="1"/>
      <c r="BQ1058" s="1"/>
      <c r="BR1058" s="1"/>
      <c r="BS1058" s="1" t="s">
        <v>6785</v>
      </c>
      <c r="BT1058" s="1" t="str">
        <f>HYPERLINK("https%3A%2F%2Fwww.webofscience.com%2Fwos%2Fwoscc%2Ffull-record%2FWOS:000489505400001","View Full Record in Web of Science")</f>
        <v>View Full Record in Web of Science</v>
      </c>
      <c r="BU1058" s="1"/>
      <c r="BV1058" s="1"/>
      <c r="BW1058" s="1"/>
    </row>
    <row r="1059" spans="1:75" ht="12.75" customHeight="1" x14ac:dyDescent="0.2">
      <c r="A1059" s="1" t="s">
        <v>72</v>
      </c>
      <c r="B1059" s="1" t="s">
        <v>6786</v>
      </c>
      <c r="C1059" s="1"/>
      <c r="D1059" s="1"/>
      <c r="E1059" s="1"/>
      <c r="F1059" s="1" t="s">
        <v>6787</v>
      </c>
      <c r="G1059" s="1"/>
      <c r="H1059" s="1"/>
      <c r="I1059" s="1" t="s">
        <v>6788</v>
      </c>
      <c r="J1059" s="1" t="s">
        <v>6789</v>
      </c>
      <c r="K1059" s="1"/>
      <c r="L1059" s="1"/>
      <c r="M1059" s="1"/>
      <c r="N1059" s="1"/>
      <c r="O1059" s="1"/>
      <c r="P1059" s="1"/>
      <c r="Q1059" s="1"/>
      <c r="R1059" s="1"/>
      <c r="S1059" s="1"/>
      <c r="T1059" s="1"/>
      <c r="U1059" s="1"/>
      <c r="V1059" s="1"/>
      <c r="W1059" s="1"/>
      <c r="X1059" s="1"/>
      <c r="Y1059" s="1"/>
      <c r="Z1059" s="1"/>
      <c r="AA1059" s="1" t="s">
        <v>6790</v>
      </c>
      <c r="AB1059" s="1" t="s">
        <v>6791</v>
      </c>
      <c r="AC1059" s="1"/>
      <c r="AD1059" s="1"/>
      <c r="AE1059" s="1"/>
      <c r="AF1059" s="1"/>
      <c r="AG1059" s="1"/>
      <c r="AH1059" s="1"/>
      <c r="AI1059" s="1"/>
      <c r="AJ1059" s="1"/>
      <c r="AK1059" s="1"/>
      <c r="AL1059" s="1"/>
      <c r="AM1059" s="1"/>
      <c r="AN1059" s="1"/>
      <c r="AO1059" s="1" t="s">
        <v>6792</v>
      </c>
      <c r="AP1059" s="1" t="s">
        <v>6793</v>
      </c>
      <c r="AQ1059" s="1"/>
      <c r="AR1059" s="1"/>
      <c r="AS1059" s="1"/>
      <c r="AT1059" s="1" t="s">
        <v>403</v>
      </c>
      <c r="AU1059" s="1">
        <v>2018</v>
      </c>
      <c r="AV1059" s="1">
        <v>25</v>
      </c>
      <c r="AW1059" s="1">
        <v>34</v>
      </c>
      <c r="AX1059" s="1"/>
      <c r="AY1059" s="1"/>
      <c r="AZ1059" s="1" t="s">
        <v>339</v>
      </c>
      <c r="BA1059" s="1"/>
      <c r="BB1059" s="1">
        <v>34701</v>
      </c>
      <c r="BC1059" s="1">
        <v>34710</v>
      </c>
      <c r="BD1059" s="1"/>
      <c r="BE1059" s="1" t="s">
        <v>6794</v>
      </c>
      <c r="BF1059" s="1" t="str">
        <f>HYPERLINK("http://dx.doi.org/10.1007/s11356-018-3375-2","http://dx.doi.org/10.1007/s11356-018-3375-2")</f>
        <v>http://dx.doi.org/10.1007/s11356-018-3375-2</v>
      </c>
      <c r="BG1059" s="1"/>
      <c r="BH1059" s="1"/>
      <c r="BI1059" s="1"/>
      <c r="BJ1059" s="1"/>
      <c r="BK1059" s="1"/>
      <c r="BL1059" s="1"/>
      <c r="BM1059" s="1"/>
      <c r="BN1059" s="1">
        <v>30324368</v>
      </c>
      <c r="BO1059" s="1"/>
      <c r="BP1059" s="1"/>
      <c r="BQ1059" s="1"/>
      <c r="BR1059" s="1"/>
      <c r="BS1059" s="1" t="s">
        <v>6795</v>
      </c>
      <c r="BT1059" s="1" t="str">
        <f>HYPERLINK("https%3A%2F%2Fwww.webofscience.com%2Fwos%2Fwoscc%2Ffull-record%2FWOS:000451954700078","View Full Record in Web of Science")</f>
        <v>View Full Record in Web of Science</v>
      </c>
      <c r="BU1059" s="1"/>
      <c r="BV1059" s="1"/>
      <c r="BW1059" s="1"/>
    </row>
    <row r="1060" spans="1:75" ht="12.75" customHeight="1" x14ac:dyDescent="0.2">
      <c r="A1060" s="1" t="s">
        <v>72</v>
      </c>
      <c r="B1060" s="1" t="s">
        <v>6796</v>
      </c>
      <c r="C1060" s="1"/>
      <c r="D1060" s="1"/>
      <c r="E1060" s="1"/>
      <c r="F1060" s="1" t="s">
        <v>6797</v>
      </c>
      <c r="G1060" s="1"/>
      <c r="H1060" s="1"/>
      <c r="I1060" s="1" t="s">
        <v>6798</v>
      </c>
      <c r="J1060" s="1" t="s">
        <v>6799</v>
      </c>
      <c r="K1060" s="1"/>
      <c r="L1060" s="1"/>
      <c r="M1060" s="1"/>
      <c r="N1060" s="1"/>
      <c r="O1060" s="1"/>
      <c r="P1060" s="1"/>
      <c r="Q1060" s="1"/>
      <c r="R1060" s="1"/>
      <c r="S1060" s="1"/>
      <c r="T1060" s="1"/>
      <c r="U1060" s="1"/>
      <c r="V1060" s="1"/>
      <c r="W1060" s="1"/>
      <c r="X1060" s="1"/>
      <c r="Y1060" s="1"/>
      <c r="Z1060" s="1"/>
      <c r="AA1060" s="1" t="s">
        <v>6800</v>
      </c>
      <c r="AB1060" s="1" t="s">
        <v>6801</v>
      </c>
      <c r="AC1060" s="1"/>
      <c r="AD1060" s="1"/>
      <c r="AE1060" s="1"/>
      <c r="AF1060" s="1"/>
      <c r="AG1060" s="1"/>
      <c r="AH1060" s="1"/>
      <c r="AI1060" s="1"/>
      <c r="AJ1060" s="1"/>
      <c r="AK1060" s="1"/>
      <c r="AL1060" s="1"/>
      <c r="AM1060" s="1"/>
      <c r="AN1060" s="1"/>
      <c r="AO1060" s="1" t="s">
        <v>6802</v>
      </c>
      <c r="AP1060" s="1" t="s">
        <v>6803</v>
      </c>
      <c r="AQ1060" s="1"/>
      <c r="AR1060" s="1"/>
      <c r="AS1060" s="1"/>
      <c r="AT1060" s="1" t="s">
        <v>491</v>
      </c>
      <c r="AU1060" s="1">
        <v>2018</v>
      </c>
      <c r="AV1060" s="1">
        <v>112</v>
      </c>
      <c r="AW1060" s="1"/>
      <c r="AX1060" s="1"/>
      <c r="AY1060" s="1"/>
      <c r="AZ1060" s="1"/>
      <c r="BA1060" s="1"/>
      <c r="BB1060" s="1">
        <v>900</v>
      </c>
      <c r="BC1060" s="1">
        <v>908</v>
      </c>
      <c r="BD1060" s="1"/>
      <c r="BE1060" s="1" t="s">
        <v>6804</v>
      </c>
      <c r="BF1060" s="1" t="str">
        <f>HYPERLINK("http://dx.doi.org/10.1016/j.ijbiomac.2018.02.053","http://dx.doi.org/10.1016/j.ijbiomac.2018.02.053")</f>
        <v>http://dx.doi.org/10.1016/j.ijbiomac.2018.02.053</v>
      </c>
      <c r="BG1060" s="1"/>
      <c r="BH1060" s="1"/>
      <c r="BI1060" s="1"/>
      <c r="BJ1060" s="1"/>
      <c r="BK1060" s="1"/>
      <c r="BL1060" s="1"/>
      <c r="BM1060" s="1"/>
      <c r="BN1060" s="1">
        <v>29444473</v>
      </c>
      <c r="BO1060" s="1"/>
      <c r="BP1060" s="1"/>
      <c r="BQ1060" s="1"/>
      <c r="BR1060" s="1"/>
      <c r="BS1060" s="1" t="s">
        <v>6805</v>
      </c>
      <c r="BT1060" s="1" t="str">
        <f>HYPERLINK("https%3A%2F%2Fwww.webofscience.com%2Fwos%2Fwoscc%2Ffull-record%2FWOS:000430522400106","View Full Record in Web of Science")</f>
        <v>View Full Record in Web of Science</v>
      </c>
      <c r="BU1060" s="1"/>
      <c r="BV1060" s="1"/>
      <c r="BW1060" s="1"/>
    </row>
    <row r="1061" spans="1:75" ht="12.75" customHeight="1" x14ac:dyDescent="0.2">
      <c r="A1061" s="1" t="s">
        <v>72</v>
      </c>
      <c r="B1061" s="1" t="s">
        <v>6806</v>
      </c>
      <c r="C1061" s="1"/>
      <c r="D1061" s="1"/>
      <c r="E1061" s="1"/>
      <c r="F1061" s="1" t="s">
        <v>6807</v>
      </c>
      <c r="G1061" s="1"/>
      <c r="H1061" s="1"/>
      <c r="I1061" s="1" t="s">
        <v>6808</v>
      </c>
      <c r="J1061" s="1" t="s">
        <v>335</v>
      </c>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t="s">
        <v>337</v>
      </c>
      <c r="AP1061" s="1"/>
      <c r="AQ1061" s="1"/>
      <c r="AR1061" s="1"/>
      <c r="AS1061" s="1"/>
      <c r="AT1061" s="1" t="s">
        <v>338</v>
      </c>
      <c r="AU1061" s="1">
        <v>2020</v>
      </c>
      <c r="AV1061" s="1">
        <v>7</v>
      </c>
      <c r="AW1061" s="1"/>
      <c r="AX1061" s="1"/>
      <c r="AY1061" s="1"/>
      <c r="AZ1061" s="1" t="s">
        <v>339</v>
      </c>
      <c r="BA1061" s="1"/>
      <c r="BB1061" s="1">
        <v>102</v>
      </c>
      <c r="BC1061" s="1">
        <v>110</v>
      </c>
      <c r="BD1061" s="1"/>
      <c r="BE1061" s="1"/>
      <c r="BF1061" s="1"/>
      <c r="BG1061" s="1"/>
      <c r="BH1061" s="1"/>
      <c r="BI1061" s="1"/>
      <c r="BJ1061" s="1"/>
      <c r="BK1061" s="1"/>
      <c r="BL1061" s="1"/>
      <c r="BM1061" s="1"/>
      <c r="BN1061" s="1"/>
      <c r="BO1061" s="1"/>
      <c r="BP1061" s="1"/>
      <c r="BQ1061" s="1"/>
      <c r="BR1061" s="1"/>
      <c r="BS1061" s="1" t="s">
        <v>6809</v>
      </c>
      <c r="BT1061" s="1" t="str">
        <f>HYPERLINK("https%3A%2F%2Fwww.webofscience.com%2Fwos%2Fwoscc%2Ffull-record%2FWOS:000572957200008","View Full Record in Web of Science")</f>
        <v>View Full Record in Web of Science</v>
      </c>
      <c r="BU1061" s="1"/>
      <c r="BV1061" s="1"/>
      <c r="BW1061" s="1"/>
    </row>
    <row r="1062" spans="1:75" ht="12.75" customHeight="1" x14ac:dyDescent="0.2">
      <c r="A1062" s="1" t="s">
        <v>72</v>
      </c>
      <c r="B1062" s="1" t="s">
        <v>6810</v>
      </c>
      <c r="C1062" s="1"/>
      <c r="D1062" s="1"/>
      <c r="E1062" s="1"/>
      <c r="F1062" s="1" t="s">
        <v>6811</v>
      </c>
      <c r="G1062" s="1"/>
      <c r="H1062" s="1"/>
      <c r="I1062" s="1" t="s">
        <v>6812</v>
      </c>
      <c r="J1062" s="1" t="s">
        <v>6813</v>
      </c>
      <c r="K1062" s="1"/>
      <c r="L1062" s="1"/>
      <c r="M1062" s="1"/>
      <c r="N1062" s="1"/>
      <c r="O1062" s="1"/>
      <c r="P1062" s="1"/>
      <c r="Q1062" s="1"/>
      <c r="R1062" s="1"/>
      <c r="S1062" s="1"/>
      <c r="T1062" s="1"/>
      <c r="U1062" s="1"/>
      <c r="V1062" s="1"/>
      <c r="W1062" s="1"/>
      <c r="X1062" s="1"/>
      <c r="Y1062" s="1"/>
      <c r="Z1062" s="1"/>
      <c r="AA1062" s="1" t="s">
        <v>6814</v>
      </c>
      <c r="AB1062" s="1"/>
      <c r="AC1062" s="1"/>
      <c r="AD1062" s="1"/>
      <c r="AE1062" s="1"/>
      <c r="AF1062" s="1"/>
      <c r="AG1062" s="1"/>
      <c r="AH1062" s="1"/>
      <c r="AI1062" s="1"/>
      <c r="AJ1062" s="1"/>
      <c r="AK1062" s="1"/>
      <c r="AL1062" s="1"/>
      <c r="AM1062" s="1"/>
      <c r="AN1062" s="1"/>
      <c r="AO1062" s="1" t="s">
        <v>6815</v>
      </c>
      <c r="AP1062" s="1"/>
      <c r="AQ1062" s="1"/>
      <c r="AR1062" s="1"/>
      <c r="AS1062" s="1"/>
      <c r="AT1062" s="1"/>
      <c r="AU1062" s="1">
        <v>2018</v>
      </c>
      <c r="AV1062" s="1">
        <v>11</v>
      </c>
      <c r="AW1062" s="1">
        <v>1</v>
      </c>
      <c r="AX1062" s="1"/>
      <c r="AY1062" s="1"/>
      <c r="AZ1062" s="1"/>
      <c r="BA1062" s="1"/>
      <c r="BB1062" s="1">
        <v>102</v>
      </c>
      <c r="BC1062" s="1">
        <v>111</v>
      </c>
      <c r="BD1062" s="1"/>
      <c r="BE1062" s="1" t="s">
        <v>6816</v>
      </c>
      <c r="BF1062" s="1" t="str">
        <f>HYPERLINK("http://dx.doi.org/10.18721/JPM.11110","http://dx.doi.org/10.18721/JPM.11110")</f>
        <v>http://dx.doi.org/10.18721/JPM.11110</v>
      </c>
      <c r="BG1062" s="1"/>
      <c r="BH1062" s="1"/>
      <c r="BI1062" s="1"/>
      <c r="BJ1062" s="1"/>
      <c r="BK1062" s="1"/>
      <c r="BL1062" s="1"/>
      <c r="BM1062" s="1"/>
      <c r="BN1062" s="1"/>
      <c r="BO1062" s="1"/>
      <c r="BP1062" s="1"/>
      <c r="BQ1062" s="1"/>
      <c r="BR1062" s="1"/>
      <c r="BS1062" s="1" t="s">
        <v>6817</v>
      </c>
      <c r="BT1062" s="1" t="str">
        <f>HYPERLINK("https%3A%2F%2Fwww.webofscience.com%2Fwos%2Fwoscc%2Ffull-record%2FWOS:000457081500010","View Full Record in Web of Science")</f>
        <v>View Full Record in Web of Science</v>
      </c>
      <c r="BU1062" s="1"/>
      <c r="BV1062" s="1"/>
      <c r="BW1062" s="1"/>
    </row>
    <row r="1063" spans="1:75" ht="12.75" customHeight="1" x14ac:dyDescent="0.2">
      <c r="A1063" s="1" t="s">
        <v>72</v>
      </c>
      <c r="B1063" s="1" t="s">
        <v>6818</v>
      </c>
      <c r="C1063" s="1"/>
      <c r="D1063" s="1"/>
      <c r="E1063" s="1"/>
      <c r="F1063" s="1" t="s">
        <v>6819</v>
      </c>
      <c r="G1063" s="1"/>
      <c r="H1063" s="1"/>
      <c r="I1063" s="1" t="s">
        <v>6820</v>
      </c>
      <c r="J1063" s="1" t="s">
        <v>3996</v>
      </c>
      <c r="K1063" s="1"/>
      <c r="L1063" s="1"/>
      <c r="M1063" s="1"/>
      <c r="N1063" s="1"/>
      <c r="O1063" s="1"/>
      <c r="P1063" s="1"/>
      <c r="Q1063" s="1"/>
      <c r="R1063" s="1"/>
      <c r="S1063" s="1"/>
      <c r="T1063" s="1"/>
      <c r="U1063" s="1"/>
      <c r="V1063" s="1"/>
      <c r="W1063" s="1"/>
      <c r="X1063" s="1"/>
      <c r="Y1063" s="1"/>
      <c r="Z1063" s="1"/>
      <c r="AA1063" s="1" t="s">
        <v>6821</v>
      </c>
      <c r="AB1063" s="1" t="s">
        <v>6822</v>
      </c>
      <c r="AC1063" s="1"/>
      <c r="AD1063" s="1"/>
      <c r="AE1063" s="1"/>
      <c r="AF1063" s="1"/>
      <c r="AG1063" s="1"/>
      <c r="AH1063" s="1"/>
      <c r="AI1063" s="1"/>
      <c r="AJ1063" s="1"/>
      <c r="AK1063" s="1"/>
      <c r="AL1063" s="1"/>
      <c r="AM1063" s="1"/>
      <c r="AN1063" s="1"/>
      <c r="AO1063" s="1" t="s">
        <v>3999</v>
      </c>
      <c r="AP1063" s="1" t="s">
        <v>4000</v>
      </c>
      <c r="AQ1063" s="1"/>
      <c r="AR1063" s="1"/>
      <c r="AS1063" s="1"/>
      <c r="AT1063" s="1" t="s">
        <v>171</v>
      </c>
      <c r="AU1063" s="1">
        <v>2016</v>
      </c>
      <c r="AV1063" s="1">
        <v>160</v>
      </c>
      <c r="AW1063" s="1">
        <v>5</v>
      </c>
      <c r="AX1063" s="1"/>
      <c r="AY1063" s="1"/>
      <c r="AZ1063" s="1"/>
      <c r="BA1063" s="1"/>
      <c r="BB1063" s="1">
        <v>672</v>
      </c>
      <c r="BC1063" s="1">
        <v>674</v>
      </c>
      <c r="BD1063" s="1"/>
      <c r="BE1063" s="1" t="s">
        <v>6823</v>
      </c>
      <c r="BF1063" s="1" t="str">
        <f>HYPERLINK("http://dx.doi.org/10.1007/s10517-016-3246-0","http://dx.doi.org/10.1007/s10517-016-3246-0")</f>
        <v>http://dx.doi.org/10.1007/s10517-016-3246-0</v>
      </c>
      <c r="BG1063" s="1"/>
      <c r="BH1063" s="1"/>
      <c r="BI1063" s="1"/>
      <c r="BJ1063" s="1"/>
      <c r="BK1063" s="1"/>
      <c r="BL1063" s="1"/>
      <c r="BM1063" s="1"/>
      <c r="BN1063" s="1">
        <v>27021089</v>
      </c>
      <c r="BO1063" s="1"/>
      <c r="BP1063" s="1"/>
      <c r="BQ1063" s="1"/>
      <c r="BR1063" s="1"/>
      <c r="BS1063" s="1" t="s">
        <v>6824</v>
      </c>
      <c r="BT1063" s="1" t="str">
        <f>HYPERLINK("https%3A%2F%2Fwww.webofscience.com%2Fwos%2Fwoscc%2Ffull-record%2FWOS:000373646500022","View Full Record in Web of Science")</f>
        <v>View Full Record in Web of Science</v>
      </c>
      <c r="BU1063" s="1"/>
      <c r="BV1063" s="1"/>
      <c r="BW1063" s="1"/>
    </row>
    <row r="1064" spans="1:75" ht="12.75" customHeight="1" x14ac:dyDescent="0.2">
      <c r="A1064" s="1" t="s">
        <v>72</v>
      </c>
      <c r="B1064" s="1" t="s">
        <v>6825</v>
      </c>
      <c r="C1064" s="1"/>
      <c r="D1064" s="1"/>
      <c r="E1064" s="1"/>
      <c r="F1064" s="1" t="s">
        <v>6826</v>
      </c>
      <c r="G1064" s="1"/>
      <c r="H1064" s="1"/>
      <c r="I1064" s="1" t="s">
        <v>6827</v>
      </c>
      <c r="J1064" s="1" t="s">
        <v>95</v>
      </c>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t="s">
        <v>98</v>
      </c>
      <c r="AP1064" s="1" t="s">
        <v>99</v>
      </c>
      <c r="AQ1064" s="1"/>
      <c r="AR1064" s="1"/>
      <c r="AS1064" s="1"/>
      <c r="AT1064" s="1"/>
      <c r="AU1064" s="1">
        <v>2022</v>
      </c>
      <c r="AV1064" s="1"/>
      <c r="AW1064" s="1">
        <v>4</v>
      </c>
      <c r="AX1064" s="1"/>
      <c r="AY1064" s="1"/>
      <c r="AZ1064" s="1"/>
      <c r="BA1064" s="1"/>
      <c r="BB1064" s="1">
        <v>14</v>
      </c>
      <c r="BC1064" s="1">
        <v>21</v>
      </c>
      <c r="BD1064" s="1"/>
      <c r="BE1064" s="1" t="s">
        <v>6828</v>
      </c>
      <c r="BF1064" s="1" t="str">
        <f>HYPERLINK("http://dx.doi.org/10.25750/1995-4301-2022-4-014-021","http://dx.doi.org/10.25750/1995-4301-2022-4-014-021")</f>
        <v>http://dx.doi.org/10.25750/1995-4301-2022-4-014-021</v>
      </c>
      <c r="BG1064" s="1"/>
      <c r="BH1064" s="1"/>
      <c r="BI1064" s="1"/>
      <c r="BJ1064" s="1"/>
      <c r="BK1064" s="1"/>
      <c r="BL1064" s="1"/>
      <c r="BM1064" s="1"/>
      <c r="BN1064" s="1"/>
      <c r="BO1064" s="1"/>
      <c r="BP1064" s="1"/>
      <c r="BQ1064" s="1"/>
      <c r="BR1064" s="1"/>
      <c r="BS1064" s="1" t="s">
        <v>6829</v>
      </c>
      <c r="BT1064" s="1" t="str">
        <f>HYPERLINK("https%3A%2F%2Fwww.webofscience.com%2Fwos%2Fwoscc%2Ffull-record%2FWOS:000929704700002","View Full Record in Web of Science")</f>
        <v>View Full Record in Web of Science</v>
      </c>
      <c r="BU1064" s="1"/>
      <c r="BV1064" s="1"/>
      <c r="BW1064" s="1"/>
    </row>
    <row r="1065" spans="1:75" ht="12.75" customHeight="1" x14ac:dyDescent="0.2">
      <c r="A1065" s="1" t="s">
        <v>72</v>
      </c>
      <c r="B1065" s="1" t="s">
        <v>6830</v>
      </c>
      <c r="C1065" s="1"/>
      <c r="D1065" s="1"/>
      <c r="E1065" s="1"/>
      <c r="F1065" s="1" t="s">
        <v>6831</v>
      </c>
      <c r="G1065" s="1"/>
      <c r="H1065" s="1"/>
      <c r="I1065" s="1" t="s">
        <v>6832</v>
      </c>
      <c r="J1065" s="1" t="s">
        <v>95</v>
      </c>
      <c r="K1065" s="1"/>
      <c r="L1065" s="1"/>
      <c r="M1065" s="1"/>
      <c r="N1065" s="1"/>
      <c r="O1065" s="1"/>
      <c r="P1065" s="1"/>
      <c r="Q1065" s="1"/>
      <c r="R1065" s="1"/>
      <c r="S1065" s="1"/>
      <c r="T1065" s="1"/>
      <c r="U1065" s="1"/>
      <c r="V1065" s="1"/>
      <c r="W1065" s="1"/>
      <c r="X1065" s="1"/>
      <c r="Y1065" s="1"/>
      <c r="Z1065" s="1"/>
      <c r="AA1065" s="1" t="s">
        <v>6833</v>
      </c>
      <c r="AB1065" s="1" t="s">
        <v>6834</v>
      </c>
      <c r="AC1065" s="1"/>
      <c r="AD1065" s="1"/>
      <c r="AE1065" s="1"/>
      <c r="AF1065" s="1"/>
      <c r="AG1065" s="1"/>
      <c r="AH1065" s="1"/>
      <c r="AI1065" s="1"/>
      <c r="AJ1065" s="1"/>
      <c r="AK1065" s="1"/>
      <c r="AL1065" s="1"/>
      <c r="AM1065" s="1"/>
      <c r="AN1065" s="1"/>
      <c r="AO1065" s="1" t="s">
        <v>98</v>
      </c>
      <c r="AP1065" s="1" t="s">
        <v>99</v>
      </c>
      <c r="AQ1065" s="1"/>
      <c r="AR1065" s="1"/>
      <c r="AS1065" s="1"/>
      <c r="AT1065" s="1"/>
      <c r="AU1065" s="1">
        <v>2022</v>
      </c>
      <c r="AV1065" s="1"/>
      <c r="AW1065" s="1">
        <v>1</v>
      </c>
      <c r="AX1065" s="1"/>
      <c r="AY1065" s="1"/>
      <c r="AZ1065" s="1"/>
      <c r="BA1065" s="1"/>
      <c r="BB1065" s="1">
        <v>182</v>
      </c>
      <c r="BC1065" s="1">
        <v>190</v>
      </c>
      <c r="BD1065" s="1"/>
      <c r="BE1065" s="1" t="s">
        <v>6835</v>
      </c>
      <c r="BF1065" s="1" t="str">
        <f>HYPERLINK("http://dx.doi.org/10.25750/1995-4301-2022-1-182-190","http://dx.doi.org/10.25750/1995-4301-2022-1-182-190")</f>
        <v>http://dx.doi.org/10.25750/1995-4301-2022-1-182-190</v>
      </c>
      <c r="BG1065" s="1"/>
      <c r="BH1065" s="1"/>
      <c r="BI1065" s="1"/>
      <c r="BJ1065" s="1"/>
      <c r="BK1065" s="1"/>
      <c r="BL1065" s="1"/>
      <c r="BM1065" s="1"/>
      <c r="BN1065" s="1"/>
      <c r="BO1065" s="1"/>
      <c r="BP1065" s="1"/>
      <c r="BQ1065" s="1"/>
      <c r="BR1065" s="1"/>
      <c r="BS1065" s="1" t="s">
        <v>6836</v>
      </c>
      <c r="BT1065" s="1" t="str">
        <f>HYPERLINK("https%3A%2F%2Fwww.webofscience.com%2Fwos%2Fwoscc%2Ffull-record%2FWOS:000819811100026","View Full Record in Web of Science")</f>
        <v>View Full Record in Web of Science</v>
      </c>
      <c r="BU1065" s="1"/>
      <c r="BV1065" s="1"/>
      <c r="BW1065" s="1"/>
    </row>
    <row r="1066" spans="1:75" ht="12.75" customHeight="1" x14ac:dyDescent="0.2">
      <c r="A1066" s="1" t="s">
        <v>72</v>
      </c>
      <c r="B1066" s="1" t="s">
        <v>6837</v>
      </c>
      <c r="C1066" s="1"/>
      <c r="D1066" s="1"/>
      <c r="E1066" s="1"/>
      <c r="F1066" s="1" t="s">
        <v>6838</v>
      </c>
      <c r="G1066" s="1"/>
      <c r="H1066" s="1"/>
      <c r="I1066" s="1" t="s">
        <v>6839</v>
      </c>
      <c r="J1066" s="1" t="s">
        <v>5436</v>
      </c>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t="s">
        <v>5439</v>
      </c>
      <c r="AP1066" s="1" t="s">
        <v>5440</v>
      </c>
      <c r="AQ1066" s="1"/>
      <c r="AR1066" s="1"/>
      <c r="AS1066" s="1"/>
      <c r="AT1066" s="1" t="s">
        <v>88</v>
      </c>
      <c r="AU1066" s="1">
        <v>2020</v>
      </c>
      <c r="AV1066" s="1">
        <v>56</v>
      </c>
      <c r="AW1066" s="1">
        <v>2</v>
      </c>
      <c r="AX1066" s="1"/>
      <c r="AY1066" s="1"/>
      <c r="AZ1066" s="1"/>
      <c r="BA1066" s="1"/>
      <c r="BB1066" s="1">
        <v>149</v>
      </c>
      <c r="BC1066" s="1">
        <v>168</v>
      </c>
      <c r="BD1066" s="1"/>
      <c r="BE1066" s="1" t="s">
        <v>6840</v>
      </c>
      <c r="BF1066" s="1" t="str">
        <f>HYPERLINK("http://dx.doi.org/10.1007/s11029-020-09869-3","http://dx.doi.org/10.1007/s11029-020-09869-3")</f>
        <v>http://dx.doi.org/10.1007/s11029-020-09869-3</v>
      </c>
      <c r="BG1066" s="1"/>
      <c r="BH1066" s="1" t="s">
        <v>6841</v>
      </c>
      <c r="BI1066" s="1"/>
      <c r="BJ1066" s="1"/>
      <c r="BK1066" s="1"/>
      <c r="BL1066" s="1"/>
      <c r="BM1066" s="1"/>
      <c r="BN1066" s="1"/>
      <c r="BO1066" s="1"/>
      <c r="BP1066" s="1"/>
      <c r="BQ1066" s="1"/>
      <c r="BR1066" s="1"/>
      <c r="BS1066" s="1" t="s">
        <v>6842</v>
      </c>
      <c r="BT1066" s="1" t="str">
        <f>HYPERLINK("https%3A%2F%2Fwww.webofscience.com%2Fwos%2Fwoscc%2Ffull-record%2FWOS:000535381800001","View Full Record in Web of Science")</f>
        <v>View Full Record in Web of Science</v>
      </c>
      <c r="BU1066" s="1"/>
      <c r="BV1066" s="1"/>
      <c r="BW1066" s="1"/>
    </row>
    <row r="1067" spans="1:75" ht="12.75" customHeight="1" x14ac:dyDescent="0.2">
      <c r="A1067" s="1" t="s">
        <v>72</v>
      </c>
      <c r="B1067" s="1" t="s">
        <v>6843</v>
      </c>
      <c r="C1067" s="1"/>
      <c r="D1067" s="1"/>
      <c r="E1067" s="1"/>
      <c r="F1067" s="1" t="s">
        <v>6844</v>
      </c>
      <c r="G1067" s="1"/>
      <c r="H1067" s="1"/>
      <c r="I1067" s="1" t="s">
        <v>6845</v>
      </c>
      <c r="J1067" s="1" t="s">
        <v>6846</v>
      </c>
      <c r="K1067" s="1"/>
      <c r="L1067" s="1"/>
      <c r="M1067" s="1"/>
      <c r="N1067" s="1"/>
      <c r="O1067" s="1"/>
      <c r="P1067" s="1"/>
      <c r="Q1067" s="1"/>
      <c r="R1067" s="1"/>
      <c r="S1067" s="1"/>
      <c r="T1067" s="1"/>
      <c r="U1067" s="1"/>
      <c r="V1067" s="1"/>
      <c r="W1067" s="1"/>
      <c r="X1067" s="1"/>
      <c r="Y1067" s="1"/>
      <c r="Z1067" s="1"/>
      <c r="AA1067" s="1" t="s">
        <v>6847</v>
      </c>
      <c r="AB1067" s="1" t="s">
        <v>6848</v>
      </c>
      <c r="AC1067" s="1"/>
      <c r="AD1067" s="1"/>
      <c r="AE1067" s="1"/>
      <c r="AF1067" s="1"/>
      <c r="AG1067" s="1"/>
      <c r="AH1067" s="1"/>
      <c r="AI1067" s="1"/>
      <c r="AJ1067" s="1"/>
      <c r="AK1067" s="1"/>
      <c r="AL1067" s="1"/>
      <c r="AM1067" s="1"/>
      <c r="AN1067" s="1"/>
      <c r="AO1067" s="1" t="s">
        <v>6849</v>
      </c>
      <c r="AP1067" s="1" t="s">
        <v>6850</v>
      </c>
      <c r="AQ1067" s="1"/>
      <c r="AR1067" s="1"/>
      <c r="AS1067" s="1"/>
      <c r="AT1067" s="1" t="s">
        <v>1173</v>
      </c>
      <c r="AU1067" s="1">
        <v>2022</v>
      </c>
      <c r="AV1067" s="1">
        <v>58</v>
      </c>
      <c r="AW1067" s="1">
        <v>8</v>
      </c>
      <c r="AX1067" s="1"/>
      <c r="AY1067" s="1"/>
      <c r="AZ1067" s="1"/>
      <c r="BA1067" s="1"/>
      <c r="BB1067" s="1">
        <v>1170</v>
      </c>
      <c r="BC1067" s="1">
        <v>1177</v>
      </c>
      <c r="BD1067" s="1"/>
      <c r="BE1067" s="1" t="s">
        <v>6851</v>
      </c>
      <c r="BF1067" s="1" t="str">
        <f>HYPERLINK("http://dx.doi.org/10.1134/S1070428022080139","http://dx.doi.org/10.1134/S1070428022080139")</f>
        <v>http://dx.doi.org/10.1134/S1070428022080139</v>
      </c>
      <c r="BG1067" s="1"/>
      <c r="BH1067" s="1"/>
      <c r="BI1067" s="1"/>
      <c r="BJ1067" s="1"/>
      <c r="BK1067" s="1"/>
      <c r="BL1067" s="1"/>
      <c r="BM1067" s="1"/>
      <c r="BN1067" s="1"/>
      <c r="BO1067" s="1"/>
      <c r="BP1067" s="1"/>
      <c r="BQ1067" s="1"/>
      <c r="BR1067" s="1"/>
      <c r="BS1067" s="1" t="s">
        <v>6852</v>
      </c>
      <c r="BT1067" s="1" t="str">
        <f>HYPERLINK("https%3A%2F%2Fwww.webofscience.com%2Fwos%2Fwoscc%2Ffull-record%2FWOS:000864642400013","View Full Record in Web of Science")</f>
        <v>View Full Record in Web of Science</v>
      </c>
      <c r="BU1067" s="1"/>
      <c r="BV1067" s="1"/>
      <c r="BW1067" s="1"/>
    </row>
    <row r="1068" spans="1:75" ht="12.75" customHeight="1" x14ac:dyDescent="0.2">
      <c r="A1068" s="1" t="s">
        <v>72</v>
      </c>
      <c r="B1068" s="1" t="s">
        <v>6853</v>
      </c>
      <c r="C1068" s="1"/>
      <c r="D1068" s="1"/>
      <c r="E1068" s="1"/>
      <c r="F1068" s="1" t="s">
        <v>6854</v>
      </c>
      <c r="G1068" s="1"/>
      <c r="H1068" s="1"/>
      <c r="I1068" s="1" t="s">
        <v>6855</v>
      </c>
      <c r="J1068" s="1" t="s">
        <v>6856</v>
      </c>
      <c r="K1068" s="1"/>
      <c r="L1068" s="1"/>
      <c r="M1068" s="1"/>
      <c r="N1068" s="1"/>
      <c r="O1068" s="1"/>
      <c r="P1068" s="1"/>
      <c r="Q1068" s="1"/>
      <c r="R1068" s="1"/>
      <c r="S1068" s="1"/>
      <c r="T1068" s="1"/>
      <c r="U1068" s="1"/>
      <c r="V1068" s="1"/>
      <c r="W1068" s="1"/>
      <c r="X1068" s="1"/>
      <c r="Y1068" s="1"/>
      <c r="Z1068" s="1"/>
      <c r="AA1068" s="1" t="s">
        <v>6857</v>
      </c>
      <c r="AB1068" s="1" t="s">
        <v>6858</v>
      </c>
      <c r="AC1068" s="1"/>
      <c r="AD1068" s="1"/>
      <c r="AE1068" s="1"/>
      <c r="AF1068" s="1"/>
      <c r="AG1068" s="1"/>
      <c r="AH1068" s="1"/>
      <c r="AI1068" s="1"/>
      <c r="AJ1068" s="1"/>
      <c r="AK1068" s="1"/>
      <c r="AL1068" s="1"/>
      <c r="AM1068" s="1"/>
      <c r="AN1068" s="1"/>
      <c r="AO1068" s="1" t="s">
        <v>6859</v>
      </c>
      <c r="AP1068" s="1" t="s">
        <v>6860</v>
      </c>
      <c r="AQ1068" s="1"/>
      <c r="AR1068" s="1"/>
      <c r="AS1068" s="1"/>
      <c r="AT1068" s="1" t="s">
        <v>198</v>
      </c>
      <c r="AU1068" s="1">
        <v>2022</v>
      </c>
      <c r="AV1068" s="1">
        <v>51</v>
      </c>
      <c r="AW1068" s="1">
        <v>3</v>
      </c>
      <c r="AX1068" s="1"/>
      <c r="AY1068" s="1"/>
      <c r="AZ1068" s="1"/>
      <c r="BA1068" s="1"/>
      <c r="BB1068" s="1">
        <v>257</v>
      </c>
      <c r="BC1068" s="1">
        <v>264</v>
      </c>
      <c r="BD1068" s="1"/>
      <c r="BE1068" s="1" t="s">
        <v>6861</v>
      </c>
      <c r="BF1068" s="1" t="str">
        <f>HYPERLINK("http://dx.doi.org/10.1007/s00249-022-01592-2","http://dx.doi.org/10.1007/s00249-022-01592-2")</f>
        <v>http://dx.doi.org/10.1007/s00249-022-01592-2</v>
      </c>
      <c r="BG1068" s="1"/>
      <c r="BH1068" s="1" t="s">
        <v>90</v>
      </c>
      <c r="BI1068" s="1"/>
      <c r="BJ1068" s="1"/>
      <c r="BK1068" s="1"/>
      <c r="BL1068" s="1"/>
      <c r="BM1068" s="1"/>
      <c r="BN1068" s="1">
        <v>35262770</v>
      </c>
      <c r="BO1068" s="1"/>
      <c r="BP1068" s="1"/>
      <c r="BQ1068" s="1"/>
      <c r="BR1068" s="1"/>
      <c r="BS1068" s="1" t="s">
        <v>6862</v>
      </c>
      <c r="BT1068" s="1" t="str">
        <f>HYPERLINK("https%3A%2F%2Fwww.webofscience.com%2Fwos%2Fwoscc%2Ffull-record%2FWOS:000766407600001","View Full Record in Web of Science")</f>
        <v>View Full Record in Web of Science</v>
      </c>
      <c r="BU1068" s="1"/>
      <c r="BV1068" s="1"/>
      <c r="BW1068" s="1"/>
    </row>
    <row r="1069" spans="1:75" ht="12.75" customHeight="1" x14ac:dyDescent="0.2">
      <c r="A1069" s="1" t="s">
        <v>72</v>
      </c>
      <c r="B1069" s="1" t="s">
        <v>6863</v>
      </c>
      <c r="C1069" s="1"/>
      <c r="D1069" s="1"/>
      <c r="E1069" s="1"/>
      <c r="F1069" s="1" t="s">
        <v>6864</v>
      </c>
      <c r="G1069" s="1"/>
      <c r="H1069" s="1"/>
      <c r="I1069" s="1" t="s">
        <v>6865</v>
      </c>
      <c r="J1069" s="1" t="s">
        <v>6866</v>
      </c>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t="s">
        <v>6867</v>
      </c>
      <c r="AP1069" s="1" t="s">
        <v>6868</v>
      </c>
      <c r="AQ1069" s="1"/>
      <c r="AR1069" s="1"/>
      <c r="AS1069" s="1"/>
      <c r="AT1069" s="1" t="s">
        <v>403</v>
      </c>
      <c r="AU1069" s="1">
        <v>2020</v>
      </c>
      <c r="AV1069" s="1">
        <v>9</v>
      </c>
      <c r="AW1069" s="1">
        <v>6</v>
      </c>
      <c r="AX1069" s="1"/>
      <c r="AY1069" s="1"/>
      <c r="AZ1069" s="1"/>
      <c r="BA1069" s="1"/>
      <c r="BB1069" s="1">
        <v>873</v>
      </c>
      <c r="BC1069" s="1">
        <v>883</v>
      </c>
      <c r="BD1069" s="1"/>
      <c r="BE1069" s="1" t="s">
        <v>6869</v>
      </c>
      <c r="BF1069" s="1" t="str">
        <f>HYPERLINK("http://dx.doi.org/10.1007/s13632-020-00702-w","http://dx.doi.org/10.1007/s13632-020-00702-w")</f>
        <v>http://dx.doi.org/10.1007/s13632-020-00702-w</v>
      </c>
      <c r="BG1069" s="1"/>
      <c r="BH1069" s="1" t="s">
        <v>6870</v>
      </c>
      <c r="BI1069" s="1"/>
      <c r="BJ1069" s="1"/>
      <c r="BK1069" s="1"/>
      <c r="BL1069" s="1"/>
      <c r="BM1069" s="1"/>
      <c r="BN1069" s="1"/>
      <c r="BO1069" s="1"/>
      <c r="BP1069" s="1"/>
      <c r="BQ1069" s="1"/>
      <c r="BR1069" s="1"/>
      <c r="BS1069" s="1" t="s">
        <v>6871</v>
      </c>
      <c r="BT1069" s="1" t="str">
        <f>HYPERLINK("https%3A%2F%2Fwww.webofscience.com%2Fwos%2Fwoscc%2Ffull-record%2FWOS:000598989600001","View Full Record in Web of Science")</f>
        <v>View Full Record in Web of Science</v>
      </c>
      <c r="BU1069" s="1"/>
      <c r="BV1069" s="1"/>
      <c r="BW1069" s="1"/>
    </row>
    <row r="1070" spans="1:75" ht="12.75" customHeight="1" x14ac:dyDescent="0.2">
      <c r="A1070" s="1" t="s">
        <v>147</v>
      </c>
      <c r="B1070" s="1" t="s">
        <v>6872</v>
      </c>
      <c r="C1070" s="1"/>
      <c r="D1070" s="1" t="s">
        <v>5560</v>
      </c>
      <c r="E1070" s="1"/>
      <c r="F1070" s="1" t="s">
        <v>6873</v>
      </c>
      <c r="G1070" s="1"/>
      <c r="H1070" s="1"/>
      <c r="I1070" s="1" t="s">
        <v>6874</v>
      </c>
      <c r="J1070" s="1" t="s">
        <v>5563</v>
      </c>
      <c r="K1070" s="1" t="s">
        <v>1236</v>
      </c>
      <c r="L1070" s="1"/>
      <c r="M1070" s="1"/>
      <c r="N1070" s="1"/>
      <c r="O1070" s="1" t="s">
        <v>5564</v>
      </c>
      <c r="P1070" s="1" t="s">
        <v>5565</v>
      </c>
      <c r="Q1070" s="1" t="s">
        <v>5566</v>
      </c>
      <c r="R1070" s="1"/>
      <c r="S1070" s="1" t="s">
        <v>5567</v>
      </c>
      <c r="T1070" s="1"/>
      <c r="U1070" s="1"/>
      <c r="V1070" s="1"/>
      <c r="W1070" s="1"/>
      <c r="X1070" s="1"/>
      <c r="Y1070" s="1"/>
      <c r="Z1070" s="1"/>
      <c r="AA1070" s="1" t="s">
        <v>6875</v>
      </c>
      <c r="AB1070" s="1" t="s">
        <v>6876</v>
      </c>
      <c r="AC1070" s="1"/>
      <c r="AD1070" s="1"/>
      <c r="AE1070" s="1"/>
      <c r="AF1070" s="1"/>
      <c r="AG1070" s="1"/>
      <c r="AH1070" s="1"/>
      <c r="AI1070" s="1"/>
      <c r="AJ1070" s="1"/>
      <c r="AK1070" s="1"/>
      <c r="AL1070" s="1"/>
      <c r="AM1070" s="1"/>
      <c r="AN1070" s="1"/>
      <c r="AO1070" s="1" t="s">
        <v>1240</v>
      </c>
      <c r="AP1070" s="1"/>
      <c r="AQ1070" s="1"/>
      <c r="AR1070" s="1"/>
      <c r="AS1070" s="1"/>
      <c r="AT1070" s="1"/>
      <c r="AU1070" s="1">
        <v>2020</v>
      </c>
      <c r="AV1070" s="1">
        <v>210</v>
      </c>
      <c r="AW1070" s="1"/>
      <c r="AX1070" s="1"/>
      <c r="AY1070" s="1"/>
      <c r="AZ1070" s="1"/>
      <c r="BA1070" s="1"/>
      <c r="BB1070" s="1"/>
      <c r="BC1070" s="1"/>
      <c r="BD1070" s="1">
        <v>10008</v>
      </c>
      <c r="BE1070" s="1" t="s">
        <v>6877</v>
      </c>
      <c r="BF1070" s="1" t="str">
        <f>HYPERLINK("http://dx.doi.org/10.1051/e3sconf/202021010008","http://dx.doi.org/10.1051/e3sconf/202021010008")</f>
        <v>http://dx.doi.org/10.1051/e3sconf/202021010008</v>
      </c>
      <c r="BG1070" s="1"/>
      <c r="BH1070" s="1"/>
      <c r="BI1070" s="1"/>
      <c r="BJ1070" s="1"/>
      <c r="BK1070" s="1"/>
      <c r="BL1070" s="1"/>
      <c r="BM1070" s="1"/>
      <c r="BN1070" s="1"/>
      <c r="BO1070" s="1"/>
      <c r="BP1070" s="1"/>
      <c r="BQ1070" s="1"/>
      <c r="BR1070" s="1"/>
      <c r="BS1070" s="1" t="s">
        <v>6878</v>
      </c>
      <c r="BT1070" s="1" t="str">
        <f>HYPERLINK("https%3A%2F%2Fwww.webofscience.com%2Fwos%2Fwoscc%2Ffull-record%2FWOS:000659867301033","View Full Record in Web of Science")</f>
        <v>View Full Record in Web of Science</v>
      </c>
      <c r="BU1070" s="1"/>
      <c r="BV1070" s="1"/>
      <c r="BW1070" s="1"/>
    </row>
    <row r="1071" spans="1:75" ht="12.75" customHeight="1" x14ac:dyDescent="0.2">
      <c r="A1071" s="1" t="s">
        <v>72</v>
      </c>
      <c r="B1071" s="1" t="s">
        <v>6879</v>
      </c>
      <c r="C1071" s="1"/>
      <c r="D1071" s="1"/>
      <c r="E1071" s="1"/>
      <c r="F1071" s="1" t="s">
        <v>6880</v>
      </c>
      <c r="G1071" s="1"/>
      <c r="H1071" s="1"/>
      <c r="I1071" s="1" t="s">
        <v>6881</v>
      </c>
      <c r="J1071" s="1" t="s">
        <v>4823</v>
      </c>
      <c r="K1071" s="1"/>
      <c r="L1071" s="1"/>
      <c r="M1071" s="1"/>
      <c r="N1071" s="1"/>
      <c r="O1071" s="1"/>
      <c r="P1071" s="1"/>
      <c r="Q1071" s="1"/>
      <c r="R1071" s="1"/>
      <c r="S1071" s="1"/>
      <c r="T1071" s="1"/>
      <c r="U1071" s="1"/>
      <c r="V1071" s="1"/>
      <c r="W1071" s="1"/>
      <c r="X1071" s="1"/>
      <c r="Y1071" s="1"/>
      <c r="Z1071" s="1"/>
      <c r="AA1071" s="1" t="s">
        <v>6882</v>
      </c>
      <c r="AB1071" s="1" t="s">
        <v>6883</v>
      </c>
      <c r="AC1071" s="1"/>
      <c r="AD1071" s="1"/>
      <c r="AE1071" s="1"/>
      <c r="AF1071" s="1"/>
      <c r="AG1071" s="1"/>
      <c r="AH1071" s="1"/>
      <c r="AI1071" s="1"/>
      <c r="AJ1071" s="1"/>
      <c r="AK1071" s="1"/>
      <c r="AL1071" s="1"/>
      <c r="AM1071" s="1"/>
      <c r="AN1071" s="1"/>
      <c r="AO1071" s="1" t="s">
        <v>4826</v>
      </c>
      <c r="AP1071" s="1"/>
      <c r="AQ1071" s="1"/>
      <c r="AR1071" s="1"/>
      <c r="AS1071" s="1"/>
      <c r="AT1071" s="1" t="s">
        <v>3420</v>
      </c>
      <c r="AU1071" s="1">
        <v>2020</v>
      </c>
      <c r="AV1071" s="1">
        <v>20</v>
      </c>
      <c r="AW1071" s="1">
        <v>1</v>
      </c>
      <c r="AX1071" s="1"/>
      <c r="AY1071" s="1"/>
      <c r="AZ1071" s="1"/>
      <c r="BA1071" s="1"/>
      <c r="BB1071" s="1">
        <v>85</v>
      </c>
      <c r="BC1071" s="1">
        <v>91</v>
      </c>
      <c r="BD1071" s="1"/>
      <c r="BE1071" s="1" t="s">
        <v>6884</v>
      </c>
      <c r="BF1071" s="1" t="str">
        <f>HYPERLINK("http://dx.doi.org/10.18083/LCAppl.2020.1.85","http://dx.doi.org/10.18083/LCAppl.2020.1.85")</f>
        <v>http://dx.doi.org/10.18083/LCAppl.2020.1.85</v>
      </c>
      <c r="BG1071" s="1"/>
      <c r="BH1071" s="1"/>
      <c r="BI1071" s="1"/>
      <c r="BJ1071" s="1"/>
      <c r="BK1071" s="1"/>
      <c r="BL1071" s="1"/>
      <c r="BM1071" s="1"/>
      <c r="BN1071" s="1"/>
      <c r="BO1071" s="1"/>
      <c r="BP1071" s="1"/>
      <c r="BQ1071" s="1"/>
      <c r="BR1071" s="1"/>
      <c r="BS1071" s="1" t="s">
        <v>6885</v>
      </c>
      <c r="BT1071" s="1" t="str">
        <f>HYPERLINK("https%3A%2F%2Fwww.webofscience.com%2Fwos%2Fwoscc%2Ffull-record%2FWOS:000522216800010","View Full Record in Web of Science")</f>
        <v>View Full Record in Web of Science</v>
      </c>
      <c r="BU1071" s="1"/>
      <c r="BV1071" s="1"/>
      <c r="BW1071" s="1"/>
    </row>
    <row r="1072" spans="1:75" ht="12.75" customHeight="1" x14ac:dyDescent="0.2">
      <c r="A1072" s="1" t="s">
        <v>147</v>
      </c>
      <c r="B1072" s="1" t="s">
        <v>6886</v>
      </c>
      <c r="C1072" s="1"/>
      <c r="D1072" s="1"/>
      <c r="E1072" s="1" t="s">
        <v>175</v>
      </c>
      <c r="F1072" s="1" t="s">
        <v>6887</v>
      </c>
      <c r="G1072" s="1"/>
      <c r="H1072" s="1"/>
      <c r="I1072" s="1" t="s">
        <v>6888</v>
      </c>
      <c r="J1072" s="1" t="s">
        <v>6889</v>
      </c>
      <c r="K1072" s="1" t="s">
        <v>179</v>
      </c>
      <c r="L1072" s="1"/>
      <c r="M1072" s="1"/>
      <c r="N1072" s="1"/>
      <c r="O1072" s="1" t="s">
        <v>6890</v>
      </c>
      <c r="P1072" s="1" t="s">
        <v>6891</v>
      </c>
      <c r="Q1072" s="1" t="s">
        <v>423</v>
      </c>
      <c r="R1072" s="1" t="s">
        <v>6892</v>
      </c>
      <c r="S1072" s="1"/>
      <c r="T1072" s="1"/>
      <c r="U1072" s="1"/>
      <c r="V1072" s="1"/>
      <c r="W1072" s="1"/>
      <c r="X1072" s="1"/>
      <c r="Y1072" s="1"/>
      <c r="Z1072" s="1"/>
      <c r="AA1072" s="1" t="s">
        <v>6893</v>
      </c>
      <c r="AB1072" s="1" t="s">
        <v>6894</v>
      </c>
      <c r="AC1072" s="1"/>
      <c r="AD1072" s="1"/>
      <c r="AE1072" s="1"/>
      <c r="AF1072" s="1"/>
      <c r="AG1072" s="1"/>
      <c r="AH1072" s="1"/>
      <c r="AI1072" s="1"/>
      <c r="AJ1072" s="1"/>
      <c r="AK1072" s="1"/>
      <c r="AL1072" s="1"/>
      <c r="AM1072" s="1"/>
      <c r="AN1072" s="1"/>
      <c r="AO1072" s="1" t="s">
        <v>187</v>
      </c>
      <c r="AP1072" s="1" t="s">
        <v>188</v>
      </c>
      <c r="AQ1072" s="1"/>
      <c r="AR1072" s="1"/>
      <c r="AS1072" s="1"/>
      <c r="AT1072" s="1"/>
      <c r="AU1072" s="1">
        <v>2019</v>
      </c>
      <c r="AV1072" s="1">
        <v>1158</v>
      </c>
      <c r="AW1072" s="1"/>
      <c r="AX1072" s="1"/>
      <c r="AY1072" s="1"/>
      <c r="AZ1072" s="1"/>
      <c r="BA1072" s="1"/>
      <c r="BB1072" s="1"/>
      <c r="BC1072" s="1"/>
      <c r="BD1072" s="1">
        <v>32044</v>
      </c>
      <c r="BE1072" s="1" t="s">
        <v>6895</v>
      </c>
      <c r="BF1072" s="1" t="str">
        <f>HYPERLINK("http://dx.doi.org/10.1088/1742-6596/1158/3/032044","http://dx.doi.org/10.1088/1742-6596/1158/3/032044")</f>
        <v>http://dx.doi.org/10.1088/1742-6596/1158/3/032044</v>
      </c>
      <c r="BG1072" s="1"/>
      <c r="BH1072" s="1"/>
      <c r="BI1072" s="1"/>
      <c r="BJ1072" s="1"/>
      <c r="BK1072" s="1"/>
      <c r="BL1072" s="1"/>
      <c r="BM1072" s="1"/>
      <c r="BN1072" s="1"/>
      <c r="BO1072" s="1"/>
      <c r="BP1072" s="1"/>
      <c r="BQ1072" s="1"/>
      <c r="BR1072" s="1"/>
      <c r="BS1072" s="1" t="s">
        <v>6896</v>
      </c>
      <c r="BT1072" s="1" t="str">
        <f>HYPERLINK("https%3A%2F%2Fwww.webofscience.com%2Fwos%2Fwoscc%2Ffull-record%2FWOS:000560244900092","View Full Record in Web of Science")</f>
        <v>View Full Record in Web of Science</v>
      </c>
      <c r="BU1072" s="1"/>
      <c r="BV1072" s="1"/>
      <c r="BW1072" s="1"/>
    </row>
    <row r="1073" spans="1:75" ht="12.75" customHeight="1" x14ac:dyDescent="0.2">
      <c r="A1073" s="1" t="s">
        <v>147</v>
      </c>
      <c r="B1073" s="1" t="s">
        <v>6897</v>
      </c>
      <c r="C1073" s="1"/>
      <c r="D1073" s="1"/>
      <c r="E1073" s="1" t="s">
        <v>175</v>
      </c>
      <c r="F1073" s="1" t="s">
        <v>6898</v>
      </c>
      <c r="G1073" s="1"/>
      <c r="H1073" s="1"/>
      <c r="I1073" s="1" t="s">
        <v>6899</v>
      </c>
      <c r="J1073" s="1" t="s">
        <v>2671</v>
      </c>
      <c r="K1073" s="1" t="s">
        <v>1576</v>
      </c>
      <c r="L1073" s="1"/>
      <c r="M1073" s="1"/>
      <c r="N1073" s="1"/>
      <c r="O1073" s="1" t="s">
        <v>2672</v>
      </c>
      <c r="P1073" s="1" t="s">
        <v>2673</v>
      </c>
      <c r="Q1073" s="1" t="s">
        <v>2674</v>
      </c>
      <c r="R1073" s="1"/>
      <c r="S1073" s="1" t="s">
        <v>2675</v>
      </c>
      <c r="T1073" s="1"/>
      <c r="U1073" s="1"/>
      <c r="V1073" s="1"/>
      <c r="W1073" s="1"/>
      <c r="X1073" s="1"/>
      <c r="Y1073" s="1"/>
      <c r="Z1073" s="1"/>
      <c r="AA1073" s="1" t="s">
        <v>6900</v>
      </c>
      <c r="AB1073" s="1" t="s">
        <v>6901</v>
      </c>
      <c r="AC1073" s="1"/>
      <c r="AD1073" s="1"/>
      <c r="AE1073" s="1"/>
      <c r="AF1073" s="1"/>
      <c r="AG1073" s="1"/>
      <c r="AH1073" s="1"/>
      <c r="AI1073" s="1"/>
      <c r="AJ1073" s="1"/>
      <c r="AK1073" s="1"/>
      <c r="AL1073" s="1"/>
      <c r="AM1073" s="1"/>
      <c r="AN1073" s="1"/>
      <c r="AO1073" s="1" t="s">
        <v>1581</v>
      </c>
      <c r="AP1073" s="1"/>
      <c r="AQ1073" s="1"/>
      <c r="AR1073" s="1"/>
      <c r="AS1073" s="1"/>
      <c r="AT1073" s="1"/>
      <c r="AU1073" s="1">
        <v>2017</v>
      </c>
      <c r="AV1073" s="1">
        <v>90</v>
      </c>
      <c r="AW1073" s="1"/>
      <c r="AX1073" s="1"/>
      <c r="AY1073" s="1"/>
      <c r="AZ1073" s="1"/>
      <c r="BA1073" s="1"/>
      <c r="BB1073" s="1"/>
      <c r="BC1073" s="1"/>
      <c r="BD1073" s="1">
        <v>12218</v>
      </c>
      <c r="BE1073" s="1" t="s">
        <v>6902</v>
      </c>
      <c r="BF1073" s="1" t="str">
        <f>HYPERLINK("http://dx.doi.org/10.1088/1755-1315/90/1/012218","http://dx.doi.org/10.1088/1755-1315/90/1/012218")</f>
        <v>http://dx.doi.org/10.1088/1755-1315/90/1/012218</v>
      </c>
      <c r="BG1073" s="1"/>
      <c r="BH1073" s="1"/>
      <c r="BI1073" s="1"/>
      <c r="BJ1073" s="1"/>
      <c r="BK1073" s="1"/>
      <c r="BL1073" s="1"/>
      <c r="BM1073" s="1"/>
      <c r="BN1073" s="1"/>
      <c r="BO1073" s="1"/>
      <c r="BP1073" s="1"/>
      <c r="BQ1073" s="1"/>
      <c r="BR1073" s="1"/>
      <c r="BS1073" s="1" t="s">
        <v>6903</v>
      </c>
      <c r="BT1073" s="1" t="str">
        <f>HYPERLINK("https%3A%2F%2Fwww.webofscience.com%2Fwos%2Fwoscc%2Ffull-record%2FWOS:000419816700218","View Full Record in Web of Science")</f>
        <v>View Full Record in Web of Science</v>
      </c>
      <c r="BU1073" s="1"/>
      <c r="BV1073" s="1"/>
      <c r="BW1073" s="1"/>
    </row>
    <row r="1074" spans="1:75" ht="12.75" customHeight="1" x14ac:dyDescent="0.2">
      <c r="A1074" s="1" t="s">
        <v>147</v>
      </c>
      <c r="B1074" s="1" t="s">
        <v>6904</v>
      </c>
      <c r="C1074" s="1"/>
      <c r="D1074" s="1"/>
      <c r="E1074" s="1" t="s">
        <v>175</v>
      </c>
      <c r="F1074" s="1" t="s">
        <v>6905</v>
      </c>
      <c r="G1074" s="1"/>
      <c r="H1074" s="1"/>
      <c r="I1074" s="1" t="s">
        <v>6906</v>
      </c>
      <c r="J1074" s="1" t="s">
        <v>2671</v>
      </c>
      <c r="K1074" s="1" t="s">
        <v>1576</v>
      </c>
      <c r="L1074" s="1"/>
      <c r="M1074" s="1"/>
      <c r="N1074" s="1"/>
      <c r="O1074" s="1" t="s">
        <v>2672</v>
      </c>
      <c r="P1074" s="1" t="s">
        <v>2673</v>
      </c>
      <c r="Q1074" s="1" t="s">
        <v>2674</v>
      </c>
      <c r="R1074" s="1"/>
      <c r="S1074" s="1" t="s">
        <v>2675</v>
      </c>
      <c r="T1074" s="1"/>
      <c r="U1074" s="1"/>
      <c r="V1074" s="1"/>
      <c r="W1074" s="1"/>
      <c r="X1074" s="1"/>
      <c r="Y1074" s="1"/>
      <c r="Z1074" s="1"/>
      <c r="AA1074" s="1" t="s">
        <v>6907</v>
      </c>
      <c r="AB1074" s="1" t="s">
        <v>6908</v>
      </c>
      <c r="AC1074" s="1"/>
      <c r="AD1074" s="1"/>
      <c r="AE1074" s="1"/>
      <c r="AF1074" s="1"/>
      <c r="AG1074" s="1"/>
      <c r="AH1074" s="1"/>
      <c r="AI1074" s="1"/>
      <c r="AJ1074" s="1"/>
      <c r="AK1074" s="1"/>
      <c r="AL1074" s="1"/>
      <c r="AM1074" s="1"/>
      <c r="AN1074" s="1"/>
      <c r="AO1074" s="1" t="s">
        <v>1581</v>
      </c>
      <c r="AP1074" s="1"/>
      <c r="AQ1074" s="1"/>
      <c r="AR1074" s="1"/>
      <c r="AS1074" s="1"/>
      <c r="AT1074" s="1"/>
      <c r="AU1074" s="1">
        <v>2017</v>
      </c>
      <c r="AV1074" s="1">
        <v>90</v>
      </c>
      <c r="AW1074" s="1"/>
      <c r="AX1074" s="1"/>
      <c r="AY1074" s="1"/>
      <c r="AZ1074" s="1"/>
      <c r="BA1074" s="1"/>
      <c r="BB1074" s="1"/>
      <c r="BC1074" s="1"/>
      <c r="BD1074" s="1">
        <v>12208</v>
      </c>
      <c r="BE1074" s="1" t="s">
        <v>6909</v>
      </c>
      <c r="BF1074" s="1" t="str">
        <f>HYPERLINK("http://dx.doi.org/10.1088/1755-1315/90/1/012208","http://dx.doi.org/10.1088/1755-1315/90/1/012208")</f>
        <v>http://dx.doi.org/10.1088/1755-1315/90/1/012208</v>
      </c>
      <c r="BG1074" s="1"/>
      <c r="BH1074" s="1"/>
      <c r="BI1074" s="1"/>
      <c r="BJ1074" s="1"/>
      <c r="BK1074" s="1"/>
      <c r="BL1074" s="1"/>
      <c r="BM1074" s="1"/>
      <c r="BN1074" s="1"/>
      <c r="BO1074" s="1"/>
      <c r="BP1074" s="1"/>
      <c r="BQ1074" s="1"/>
      <c r="BR1074" s="1"/>
      <c r="BS1074" s="1" t="s">
        <v>6910</v>
      </c>
      <c r="BT1074" s="1" t="str">
        <f>HYPERLINK("https%3A%2F%2Fwww.webofscience.com%2Fwos%2Fwoscc%2Ffull-record%2FWOS:000419816700208","View Full Record in Web of Science")</f>
        <v>View Full Record in Web of Science</v>
      </c>
      <c r="BU1074" s="1"/>
      <c r="BV1074" s="1"/>
      <c r="BW1074" s="1"/>
    </row>
    <row r="1075" spans="1:75" ht="12.75" customHeight="1" x14ac:dyDescent="0.2">
      <c r="A1075" s="1" t="s">
        <v>72</v>
      </c>
      <c r="B1075" s="1" t="s">
        <v>6911</v>
      </c>
      <c r="C1075" s="1"/>
      <c r="D1075" s="1"/>
      <c r="E1075" s="1"/>
      <c r="F1075" s="1" t="s">
        <v>6912</v>
      </c>
      <c r="G1075" s="1"/>
      <c r="H1075" s="1"/>
      <c r="I1075" s="1" t="s">
        <v>6913</v>
      </c>
      <c r="J1075" s="1" t="s">
        <v>6914</v>
      </c>
      <c r="K1075" s="1"/>
      <c r="L1075" s="1"/>
      <c r="M1075" s="1"/>
      <c r="N1075" s="1"/>
      <c r="O1075" s="1"/>
      <c r="P1075" s="1"/>
      <c r="Q1075" s="1"/>
      <c r="R1075" s="1"/>
      <c r="S1075" s="1"/>
      <c r="T1075" s="1"/>
      <c r="U1075" s="1"/>
      <c r="V1075" s="1"/>
      <c r="W1075" s="1"/>
      <c r="X1075" s="1"/>
      <c r="Y1075" s="1"/>
      <c r="Z1075" s="1"/>
      <c r="AA1075" s="1" t="s">
        <v>6915</v>
      </c>
      <c r="AB1075" s="1" t="s">
        <v>6916</v>
      </c>
      <c r="AC1075" s="1"/>
      <c r="AD1075" s="1"/>
      <c r="AE1075" s="1"/>
      <c r="AF1075" s="1"/>
      <c r="AG1075" s="1"/>
      <c r="AH1075" s="1"/>
      <c r="AI1075" s="1"/>
      <c r="AJ1075" s="1"/>
      <c r="AK1075" s="1"/>
      <c r="AL1075" s="1"/>
      <c r="AM1075" s="1"/>
      <c r="AN1075" s="1"/>
      <c r="AO1075" s="1" t="s">
        <v>6917</v>
      </c>
      <c r="AP1075" s="1" t="s">
        <v>6918</v>
      </c>
      <c r="AQ1075" s="1"/>
      <c r="AR1075" s="1"/>
      <c r="AS1075" s="1"/>
      <c r="AT1075" s="1" t="s">
        <v>125</v>
      </c>
      <c r="AU1075" s="1">
        <v>2011</v>
      </c>
      <c r="AV1075" s="1">
        <v>31</v>
      </c>
      <c r="AW1075" s="1" t="s">
        <v>6919</v>
      </c>
      <c r="AX1075" s="1"/>
      <c r="AY1075" s="1"/>
      <c r="AZ1075" s="1" t="s">
        <v>339</v>
      </c>
      <c r="BA1075" s="1"/>
      <c r="BB1075" s="1">
        <v>283</v>
      </c>
      <c r="BC1075" s="1">
        <v>288</v>
      </c>
      <c r="BD1075" s="1"/>
      <c r="BE1075" s="1" t="s">
        <v>6920</v>
      </c>
      <c r="BF1075" s="1" t="str">
        <f>HYPERLINK("http://dx.doi.org/10.1515/POLYENG.2011.058","http://dx.doi.org/10.1515/POLYENG.2011.058")</f>
        <v>http://dx.doi.org/10.1515/POLYENG.2011.058</v>
      </c>
      <c r="BG1075" s="1"/>
      <c r="BH1075" s="1"/>
      <c r="BI1075" s="1"/>
      <c r="BJ1075" s="1"/>
      <c r="BK1075" s="1"/>
      <c r="BL1075" s="1"/>
      <c r="BM1075" s="1"/>
      <c r="BN1075" s="1"/>
      <c r="BO1075" s="1"/>
      <c r="BP1075" s="1"/>
      <c r="BQ1075" s="1"/>
      <c r="BR1075" s="1"/>
      <c r="BS1075" s="1" t="s">
        <v>6921</v>
      </c>
      <c r="BT1075" s="1" t="str">
        <f>HYPERLINK("https%3A%2F%2Fwww.webofscience.com%2Fwos%2Fwoscc%2Ffull-record%2FWOS:000294413400033","View Full Record in Web of Science")</f>
        <v>View Full Record in Web of Science</v>
      </c>
      <c r="BU1075" s="1"/>
      <c r="BV1075" s="1"/>
      <c r="BW1075" s="1"/>
    </row>
    <row r="1076" spans="1:75" ht="12.75" customHeight="1" x14ac:dyDescent="0.2">
      <c r="A1076" s="1" t="s">
        <v>72</v>
      </c>
      <c r="B1076" s="1" t="s">
        <v>6922</v>
      </c>
      <c r="C1076" s="1"/>
      <c r="D1076" s="1"/>
      <c r="E1076" s="1"/>
      <c r="F1076" s="1" t="s">
        <v>6923</v>
      </c>
      <c r="G1076" s="1"/>
      <c r="H1076" s="1"/>
      <c r="I1076" s="1" t="s">
        <v>6924</v>
      </c>
      <c r="J1076" s="1" t="s">
        <v>95</v>
      </c>
      <c r="K1076" s="1"/>
      <c r="L1076" s="1"/>
      <c r="M1076" s="1"/>
      <c r="N1076" s="1"/>
      <c r="O1076" s="1"/>
      <c r="P1076" s="1"/>
      <c r="Q1076" s="1"/>
      <c r="R1076" s="1"/>
      <c r="S1076" s="1"/>
      <c r="T1076" s="1"/>
      <c r="U1076" s="1"/>
      <c r="V1076" s="1"/>
      <c r="W1076" s="1"/>
      <c r="X1076" s="1"/>
      <c r="Y1076" s="1"/>
      <c r="Z1076" s="1"/>
      <c r="AA1076" s="1" t="s">
        <v>6925</v>
      </c>
      <c r="AB1076" s="1" t="s">
        <v>6926</v>
      </c>
      <c r="AC1076" s="1"/>
      <c r="AD1076" s="1"/>
      <c r="AE1076" s="1"/>
      <c r="AF1076" s="1"/>
      <c r="AG1076" s="1"/>
      <c r="AH1076" s="1"/>
      <c r="AI1076" s="1"/>
      <c r="AJ1076" s="1"/>
      <c r="AK1076" s="1"/>
      <c r="AL1076" s="1"/>
      <c r="AM1076" s="1"/>
      <c r="AN1076" s="1"/>
      <c r="AO1076" s="1" t="s">
        <v>98</v>
      </c>
      <c r="AP1076" s="1" t="s">
        <v>99</v>
      </c>
      <c r="AQ1076" s="1"/>
      <c r="AR1076" s="1"/>
      <c r="AS1076" s="1"/>
      <c r="AT1076" s="1"/>
      <c r="AU1076" s="1">
        <v>2021</v>
      </c>
      <c r="AV1076" s="1"/>
      <c r="AW1076" s="1">
        <v>3</v>
      </c>
      <c r="AX1076" s="1"/>
      <c r="AY1076" s="1"/>
      <c r="AZ1076" s="1"/>
      <c r="BA1076" s="1"/>
      <c r="BB1076" s="1">
        <v>111</v>
      </c>
      <c r="BC1076" s="1">
        <v>117</v>
      </c>
      <c r="BD1076" s="1"/>
      <c r="BE1076" s="1" t="s">
        <v>6927</v>
      </c>
      <c r="BF1076" s="1" t="str">
        <f>HYPERLINK("http://dx.doi.org/10.25750/1995-4301-2021-3-111-117","http://dx.doi.org/10.25750/1995-4301-2021-3-111-117")</f>
        <v>http://dx.doi.org/10.25750/1995-4301-2021-3-111-117</v>
      </c>
      <c r="BG1076" s="1"/>
      <c r="BH1076" s="1"/>
      <c r="BI1076" s="1"/>
      <c r="BJ1076" s="1"/>
      <c r="BK1076" s="1"/>
      <c r="BL1076" s="1"/>
      <c r="BM1076" s="1"/>
      <c r="BN1076" s="1"/>
      <c r="BO1076" s="1"/>
      <c r="BP1076" s="1"/>
      <c r="BQ1076" s="1"/>
      <c r="BR1076" s="1"/>
      <c r="BS1076" s="1" t="s">
        <v>6928</v>
      </c>
      <c r="BT1076" s="1" t="str">
        <f>HYPERLINK("https%3A%2F%2Fwww.webofscience.com%2Fwos%2Fwoscc%2Ffull-record%2FWOS:000700413300015","View Full Record in Web of Science")</f>
        <v>View Full Record in Web of Science</v>
      </c>
      <c r="BU1076" s="1"/>
      <c r="BV1076" s="1"/>
      <c r="BW1076" s="1"/>
    </row>
    <row r="1077" spans="1:75" ht="12.75" customHeight="1" x14ac:dyDescent="0.2">
      <c r="A1077" s="1" t="s">
        <v>72</v>
      </c>
      <c r="B1077" s="1" t="s">
        <v>6929</v>
      </c>
      <c r="C1077" s="1"/>
      <c r="D1077" s="1"/>
      <c r="E1077" s="1"/>
      <c r="F1077" s="1" t="s">
        <v>6930</v>
      </c>
      <c r="G1077" s="1"/>
      <c r="H1077" s="1"/>
      <c r="I1077" s="1" t="s">
        <v>6931</v>
      </c>
      <c r="J1077" s="1" t="s">
        <v>335</v>
      </c>
      <c r="K1077" s="1"/>
      <c r="L1077" s="1"/>
      <c r="M1077" s="1"/>
      <c r="N1077" s="1"/>
      <c r="O1077" s="1"/>
      <c r="P1077" s="1"/>
      <c r="Q1077" s="1"/>
      <c r="R1077" s="1"/>
      <c r="S1077" s="1"/>
      <c r="T1077" s="1"/>
      <c r="U1077" s="1"/>
      <c r="V1077" s="1"/>
      <c r="W1077" s="1"/>
      <c r="X1077" s="1"/>
      <c r="Y1077" s="1"/>
      <c r="Z1077" s="1"/>
      <c r="AA1077" s="1" t="s">
        <v>6932</v>
      </c>
      <c r="AB1077" s="1"/>
      <c r="AC1077" s="1"/>
      <c r="AD1077" s="1"/>
      <c r="AE1077" s="1"/>
      <c r="AF1077" s="1"/>
      <c r="AG1077" s="1"/>
      <c r="AH1077" s="1"/>
      <c r="AI1077" s="1"/>
      <c r="AJ1077" s="1"/>
      <c r="AK1077" s="1"/>
      <c r="AL1077" s="1"/>
      <c r="AM1077" s="1"/>
      <c r="AN1077" s="1"/>
      <c r="AO1077" s="1" t="s">
        <v>337</v>
      </c>
      <c r="AP1077" s="1"/>
      <c r="AQ1077" s="1"/>
      <c r="AR1077" s="1"/>
      <c r="AS1077" s="1"/>
      <c r="AT1077" s="1" t="s">
        <v>338</v>
      </c>
      <c r="AU1077" s="1">
        <v>2020</v>
      </c>
      <c r="AV1077" s="1">
        <v>7</v>
      </c>
      <c r="AW1077" s="1"/>
      <c r="AX1077" s="1"/>
      <c r="AY1077" s="1"/>
      <c r="AZ1077" s="1" t="s">
        <v>339</v>
      </c>
      <c r="BA1077" s="1"/>
      <c r="BB1077" s="1">
        <v>164</v>
      </c>
      <c r="BC1077" s="1">
        <v>173</v>
      </c>
      <c r="BD1077" s="1"/>
      <c r="BE1077" s="1"/>
      <c r="BF1077" s="1"/>
      <c r="BG1077" s="1"/>
      <c r="BH1077" s="1"/>
      <c r="BI1077" s="1"/>
      <c r="BJ1077" s="1"/>
      <c r="BK1077" s="1"/>
      <c r="BL1077" s="1"/>
      <c r="BM1077" s="1"/>
      <c r="BN1077" s="1"/>
      <c r="BO1077" s="1"/>
      <c r="BP1077" s="1"/>
      <c r="BQ1077" s="1"/>
      <c r="BR1077" s="1"/>
      <c r="BS1077" s="1" t="s">
        <v>6933</v>
      </c>
      <c r="BT1077" s="1" t="str">
        <f>HYPERLINK("https%3A%2F%2Fwww.webofscience.com%2Fwos%2Fwoscc%2Ffull-record%2FWOS:000572957200013","View Full Record in Web of Science")</f>
        <v>View Full Record in Web of Science</v>
      </c>
      <c r="BU1077" s="1"/>
      <c r="BV1077" s="1"/>
      <c r="BW1077" s="1"/>
    </row>
    <row r="1078" spans="1:75" ht="12.75" customHeight="1" x14ac:dyDescent="0.2">
      <c r="A1078" s="1" t="s">
        <v>72</v>
      </c>
      <c r="B1078" s="1" t="s">
        <v>6934</v>
      </c>
      <c r="C1078" s="1"/>
      <c r="D1078" s="1"/>
      <c r="E1078" s="1"/>
      <c r="F1078" s="1" t="s">
        <v>6935</v>
      </c>
      <c r="G1078" s="1"/>
      <c r="H1078" s="1"/>
      <c r="I1078" s="1" t="s">
        <v>6936</v>
      </c>
      <c r="J1078" s="1" t="s">
        <v>95</v>
      </c>
      <c r="K1078" s="1"/>
      <c r="L1078" s="1"/>
      <c r="M1078" s="1"/>
      <c r="N1078" s="1"/>
      <c r="O1078" s="1"/>
      <c r="P1078" s="1"/>
      <c r="Q1078" s="1"/>
      <c r="R1078" s="1"/>
      <c r="S1078" s="1"/>
      <c r="T1078" s="1"/>
      <c r="U1078" s="1"/>
      <c r="V1078" s="1"/>
      <c r="W1078" s="1"/>
      <c r="X1078" s="1"/>
      <c r="Y1078" s="1"/>
      <c r="Z1078" s="1"/>
      <c r="AA1078" s="1" t="s">
        <v>6937</v>
      </c>
      <c r="AB1078" s="1" t="s">
        <v>6938</v>
      </c>
      <c r="AC1078" s="1"/>
      <c r="AD1078" s="1"/>
      <c r="AE1078" s="1"/>
      <c r="AF1078" s="1"/>
      <c r="AG1078" s="1"/>
      <c r="AH1078" s="1"/>
      <c r="AI1078" s="1"/>
      <c r="AJ1078" s="1"/>
      <c r="AK1078" s="1"/>
      <c r="AL1078" s="1"/>
      <c r="AM1078" s="1"/>
      <c r="AN1078" s="1"/>
      <c r="AO1078" s="1" t="s">
        <v>98</v>
      </c>
      <c r="AP1078" s="1" t="s">
        <v>99</v>
      </c>
      <c r="AQ1078" s="1"/>
      <c r="AR1078" s="1"/>
      <c r="AS1078" s="1"/>
      <c r="AT1078" s="1"/>
      <c r="AU1078" s="1">
        <v>2020</v>
      </c>
      <c r="AV1078" s="1"/>
      <c r="AW1078" s="1">
        <v>1</v>
      </c>
      <c r="AX1078" s="1"/>
      <c r="AY1078" s="1"/>
      <c r="AZ1078" s="1"/>
      <c r="BA1078" s="1"/>
      <c r="BB1078" s="1">
        <v>42</v>
      </c>
      <c r="BC1078" s="1">
        <v>46</v>
      </c>
      <c r="BD1078" s="1"/>
      <c r="BE1078" s="1" t="s">
        <v>6939</v>
      </c>
      <c r="BF1078" s="1" t="str">
        <f>HYPERLINK("http://dx.doi.org/10.25750/1995-4301-2020-1-042-046","http://dx.doi.org/10.25750/1995-4301-2020-1-042-046")</f>
        <v>http://dx.doi.org/10.25750/1995-4301-2020-1-042-046</v>
      </c>
      <c r="BG1078" s="1"/>
      <c r="BH1078" s="1"/>
      <c r="BI1078" s="1"/>
      <c r="BJ1078" s="1"/>
      <c r="BK1078" s="1"/>
      <c r="BL1078" s="1"/>
      <c r="BM1078" s="1"/>
      <c r="BN1078" s="1"/>
      <c r="BO1078" s="1"/>
      <c r="BP1078" s="1"/>
      <c r="BQ1078" s="1"/>
      <c r="BR1078" s="1"/>
      <c r="BS1078" s="1" t="s">
        <v>6940</v>
      </c>
      <c r="BT1078" s="1" t="str">
        <f>HYPERLINK("https%3A%2F%2Fwww.webofscience.com%2Fwos%2Fwoscc%2Ffull-record%2FWOS:000522789400006","View Full Record in Web of Science")</f>
        <v>View Full Record in Web of Science</v>
      </c>
      <c r="BU1078" s="1"/>
      <c r="BV1078" s="1"/>
      <c r="BW1078" s="1"/>
    </row>
    <row r="1079" spans="1:75" ht="12.75" customHeight="1" x14ac:dyDescent="0.2">
      <c r="A1079" s="1" t="s">
        <v>147</v>
      </c>
      <c r="B1079" s="1" t="s">
        <v>6941</v>
      </c>
      <c r="C1079" s="1"/>
      <c r="D1079" s="1" t="s">
        <v>1876</v>
      </c>
      <c r="E1079" s="1"/>
      <c r="F1079" s="1" t="s">
        <v>6942</v>
      </c>
      <c r="G1079" s="1"/>
      <c r="H1079" s="1"/>
      <c r="I1079" s="1" t="s">
        <v>6943</v>
      </c>
      <c r="J1079" s="1" t="s">
        <v>1879</v>
      </c>
      <c r="K1079" s="1" t="s">
        <v>1276</v>
      </c>
      <c r="L1079" s="1"/>
      <c r="M1079" s="1"/>
      <c r="N1079" s="1"/>
      <c r="O1079" s="1" t="s">
        <v>1880</v>
      </c>
      <c r="P1079" s="1" t="s">
        <v>1881</v>
      </c>
      <c r="Q1079" s="1" t="s">
        <v>1882</v>
      </c>
      <c r="R1079" s="1" t="s">
        <v>1883</v>
      </c>
      <c r="S1079" s="1" t="s">
        <v>1884</v>
      </c>
      <c r="T1079" s="1"/>
      <c r="U1079" s="1"/>
      <c r="V1079" s="1"/>
      <c r="W1079" s="1"/>
      <c r="X1079" s="1"/>
      <c r="Y1079" s="1"/>
      <c r="Z1079" s="1"/>
      <c r="AA1079" s="1" t="s">
        <v>6944</v>
      </c>
      <c r="AB1079" s="1" t="s">
        <v>6945</v>
      </c>
      <c r="AC1079" s="1"/>
      <c r="AD1079" s="1"/>
      <c r="AE1079" s="1"/>
      <c r="AF1079" s="1"/>
      <c r="AG1079" s="1"/>
      <c r="AH1079" s="1"/>
      <c r="AI1079" s="1"/>
      <c r="AJ1079" s="1"/>
      <c r="AK1079" s="1"/>
      <c r="AL1079" s="1"/>
      <c r="AM1079" s="1"/>
      <c r="AN1079" s="1"/>
      <c r="AO1079" s="1" t="s">
        <v>1282</v>
      </c>
      <c r="AP1079" s="1"/>
      <c r="AQ1079" s="1"/>
      <c r="AR1079" s="1"/>
      <c r="AS1079" s="1"/>
      <c r="AT1079" s="1"/>
      <c r="AU1079" s="1">
        <v>2017</v>
      </c>
      <c r="AV1079" s="1">
        <v>106</v>
      </c>
      <c r="AW1079" s="1"/>
      <c r="AX1079" s="1"/>
      <c r="AY1079" s="1"/>
      <c r="AZ1079" s="1"/>
      <c r="BA1079" s="1"/>
      <c r="BB1079" s="1"/>
      <c r="BC1079" s="1"/>
      <c r="BD1079" s="1">
        <v>8077</v>
      </c>
      <c r="BE1079" s="1" t="s">
        <v>6946</v>
      </c>
      <c r="BF1079" s="1" t="str">
        <f>HYPERLINK("http://dx.doi.org/10.1051/matecconf/201710608077","http://dx.doi.org/10.1051/matecconf/201710608077")</f>
        <v>http://dx.doi.org/10.1051/matecconf/201710608077</v>
      </c>
      <c r="BG1079" s="1"/>
      <c r="BH1079" s="1"/>
      <c r="BI1079" s="1"/>
      <c r="BJ1079" s="1"/>
      <c r="BK1079" s="1"/>
      <c r="BL1079" s="1"/>
      <c r="BM1079" s="1"/>
      <c r="BN1079" s="1"/>
      <c r="BO1079" s="1"/>
      <c r="BP1079" s="1"/>
      <c r="BQ1079" s="1"/>
      <c r="BR1079" s="1"/>
      <c r="BS1079" s="1" t="s">
        <v>6947</v>
      </c>
      <c r="BT1079" s="1" t="str">
        <f>HYPERLINK("https%3A%2F%2Fwww.webofscience.com%2Fwos%2Fwoscc%2Ffull-record%2FWOS:000426426600262","View Full Record in Web of Science")</f>
        <v>View Full Record in Web of Science</v>
      </c>
      <c r="BU1079" s="1"/>
      <c r="BV1079" s="1"/>
      <c r="BW1079" s="1"/>
    </row>
    <row r="1080" spans="1:75" ht="12.75" customHeight="1" x14ac:dyDescent="0.2">
      <c r="A1080" s="1" t="s">
        <v>147</v>
      </c>
      <c r="B1080" s="1" t="s">
        <v>6948</v>
      </c>
      <c r="C1080" s="1"/>
      <c r="D1080" s="1" t="s">
        <v>5560</v>
      </c>
      <c r="E1080" s="1"/>
      <c r="F1080" s="1" t="s">
        <v>6949</v>
      </c>
      <c r="G1080" s="1"/>
      <c r="H1080" s="1"/>
      <c r="I1080" s="1" t="s">
        <v>6950</v>
      </c>
      <c r="J1080" s="1" t="s">
        <v>5563</v>
      </c>
      <c r="K1080" s="1" t="s">
        <v>1236</v>
      </c>
      <c r="L1080" s="1"/>
      <c r="M1080" s="1"/>
      <c r="N1080" s="1"/>
      <c r="O1080" s="1" t="s">
        <v>5564</v>
      </c>
      <c r="P1080" s="1" t="s">
        <v>5565</v>
      </c>
      <c r="Q1080" s="1" t="s">
        <v>5566</v>
      </c>
      <c r="R1080" s="1"/>
      <c r="S1080" s="1" t="s">
        <v>5567</v>
      </c>
      <c r="T1080" s="1"/>
      <c r="U1080" s="1"/>
      <c r="V1080" s="1"/>
      <c r="W1080" s="1"/>
      <c r="X1080" s="1"/>
      <c r="Y1080" s="1"/>
      <c r="Z1080" s="1"/>
      <c r="AA1080" s="1" t="s">
        <v>6951</v>
      </c>
      <c r="AB1080" s="1" t="s">
        <v>6952</v>
      </c>
      <c r="AC1080" s="1"/>
      <c r="AD1080" s="1"/>
      <c r="AE1080" s="1"/>
      <c r="AF1080" s="1"/>
      <c r="AG1080" s="1"/>
      <c r="AH1080" s="1"/>
      <c r="AI1080" s="1"/>
      <c r="AJ1080" s="1"/>
      <c r="AK1080" s="1"/>
      <c r="AL1080" s="1"/>
      <c r="AM1080" s="1"/>
      <c r="AN1080" s="1"/>
      <c r="AO1080" s="1" t="s">
        <v>1240</v>
      </c>
      <c r="AP1080" s="1"/>
      <c r="AQ1080" s="1"/>
      <c r="AR1080" s="1"/>
      <c r="AS1080" s="1"/>
      <c r="AT1080" s="1"/>
      <c r="AU1080" s="1">
        <v>2020</v>
      </c>
      <c r="AV1080" s="1">
        <v>210</v>
      </c>
      <c r="AW1080" s="1"/>
      <c r="AX1080" s="1"/>
      <c r="AY1080" s="1"/>
      <c r="AZ1080" s="1"/>
      <c r="BA1080" s="1"/>
      <c r="BB1080" s="1"/>
      <c r="BC1080" s="1"/>
      <c r="BD1080" s="1">
        <v>13036</v>
      </c>
      <c r="BE1080" s="1" t="s">
        <v>6953</v>
      </c>
      <c r="BF1080" s="1" t="str">
        <f>HYPERLINK("http://dx.doi.org/10.1051/e3sconf/202021013036","http://dx.doi.org/10.1051/e3sconf/202021013036")</f>
        <v>http://dx.doi.org/10.1051/e3sconf/202021013036</v>
      </c>
      <c r="BG1080" s="1"/>
      <c r="BH1080" s="1"/>
      <c r="BI1080" s="1"/>
      <c r="BJ1080" s="1"/>
      <c r="BK1080" s="1"/>
      <c r="BL1080" s="1"/>
      <c r="BM1080" s="1"/>
      <c r="BN1080" s="1"/>
      <c r="BO1080" s="1"/>
      <c r="BP1080" s="1"/>
      <c r="BQ1080" s="1"/>
      <c r="BR1080" s="1"/>
      <c r="BS1080" s="1" t="s">
        <v>6954</v>
      </c>
      <c r="BT1080" s="1" t="str">
        <f>HYPERLINK("https%3A%2F%2Fwww.webofscience.com%2Fwos%2Fwoscc%2Ffull-record%2FWOS:000659867301085","View Full Record in Web of Science")</f>
        <v>View Full Record in Web of Science</v>
      </c>
      <c r="BU1080" s="1"/>
      <c r="BV1080" s="1"/>
      <c r="BW1080" s="1"/>
    </row>
    <row r="1081" spans="1:75" ht="12.75" customHeight="1" x14ac:dyDescent="0.2">
      <c r="A1081" s="1" t="s">
        <v>72</v>
      </c>
      <c r="B1081" s="1" t="s">
        <v>6955</v>
      </c>
      <c r="C1081" s="1"/>
      <c r="D1081" s="1"/>
      <c r="E1081" s="1"/>
      <c r="F1081" s="1" t="s">
        <v>6956</v>
      </c>
      <c r="G1081" s="1"/>
      <c r="H1081" s="1"/>
      <c r="I1081" s="1" t="s">
        <v>6957</v>
      </c>
      <c r="J1081" s="1" t="s">
        <v>5139</v>
      </c>
      <c r="K1081" s="1"/>
      <c r="L1081" s="1"/>
      <c r="M1081" s="1"/>
      <c r="N1081" s="1"/>
      <c r="O1081" s="1"/>
      <c r="P1081" s="1"/>
      <c r="Q1081" s="1"/>
      <c r="R1081" s="1"/>
      <c r="S1081" s="1"/>
      <c r="T1081" s="1"/>
      <c r="U1081" s="1"/>
      <c r="V1081" s="1"/>
      <c r="W1081" s="1"/>
      <c r="X1081" s="1"/>
      <c r="Y1081" s="1"/>
      <c r="Z1081" s="1"/>
      <c r="AA1081" s="1" t="s">
        <v>6958</v>
      </c>
      <c r="AB1081" s="1" t="s">
        <v>6959</v>
      </c>
      <c r="AC1081" s="1"/>
      <c r="AD1081" s="1"/>
      <c r="AE1081" s="1"/>
      <c r="AF1081" s="1"/>
      <c r="AG1081" s="1"/>
      <c r="AH1081" s="1"/>
      <c r="AI1081" s="1"/>
      <c r="AJ1081" s="1"/>
      <c r="AK1081" s="1"/>
      <c r="AL1081" s="1"/>
      <c r="AM1081" s="1"/>
      <c r="AN1081" s="1"/>
      <c r="AO1081" s="1" t="s">
        <v>5142</v>
      </c>
      <c r="AP1081" s="1" t="s">
        <v>5143</v>
      </c>
      <c r="AQ1081" s="1"/>
      <c r="AR1081" s="1"/>
      <c r="AS1081" s="1"/>
      <c r="AT1081" s="1" t="s">
        <v>125</v>
      </c>
      <c r="AU1081" s="1">
        <v>2017</v>
      </c>
      <c r="AV1081" s="1">
        <v>13</v>
      </c>
      <c r="AW1081" s="1">
        <v>7</v>
      </c>
      <c r="AX1081" s="1"/>
      <c r="AY1081" s="1"/>
      <c r="AZ1081" s="1"/>
      <c r="BA1081" s="1"/>
      <c r="BB1081" s="1">
        <v>2923</v>
      </c>
      <c r="BC1081" s="1">
        <v>2940</v>
      </c>
      <c r="BD1081" s="1"/>
      <c r="BE1081" s="1" t="s">
        <v>6960</v>
      </c>
      <c r="BF1081" s="1" t="str">
        <f>HYPERLINK("http://dx.doi.org/10.12973/eurasia.2017.00727a","http://dx.doi.org/10.12973/eurasia.2017.00727a")</f>
        <v>http://dx.doi.org/10.12973/eurasia.2017.00727a</v>
      </c>
      <c r="BG1081" s="1"/>
      <c r="BH1081" s="1"/>
      <c r="BI1081" s="1"/>
      <c r="BJ1081" s="1"/>
      <c r="BK1081" s="1"/>
      <c r="BL1081" s="1"/>
      <c r="BM1081" s="1"/>
      <c r="BN1081" s="1"/>
      <c r="BO1081" s="1"/>
      <c r="BP1081" s="1"/>
      <c r="BQ1081" s="1"/>
      <c r="BR1081" s="1"/>
      <c r="BS1081" s="1" t="s">
        <v>6961</v>
      </c>
      <c r="BT1081" s="1" t="str">
        <f>HYPERLINK("https%3A%2F%2Fwww.webofscience.com%2Fwos%2Fwoscc%2Ffull-record%2FWOS:000404607800009","View Full Record in Web of Science")</f>
        <v>View Full Record in Web of Science</v>
      </c>
      <c r="BU1081" s="1"/>
      <c r="BV1081" s="1"/>
      <c r="BW1081" s="1"/>
    </row>
    <row r="1082" spans="1:75" ht="12.75" customHeight="1" x14ac:dyDescent="0.2">
      <c r="A1082" s="1" t="s">
        <v>72</v>
      </c>
      <c r="B1082" s="1" t="s">
        <v>5433</v>
      </c>
      <c r="C1082" s="1"/>
      <c r="D1082" s="1"/>
      <c r="E1082" s="1"/>
      <c r="F1082" s="1" t="s">
        <v>5434</v>
      </c>
      <c r="G1082" s="1"/>
      <c r="H1082" s="1"/>
      <c r="I1082" s="1" t="s">
        <v>6962</v>
      </c>
      <c r="J1082" s="1" t="s">
        <v>6963</v>
      </c>
      <c r="K1082" s="1"/>
      <c r="L1082" s="1"/>
      <c r="M1082" s="1"/>
      <c r="N1082" s="1"/>
      <c r="O1082" s="1"/>
      <c r="P1082" s="1"/>
      <c r="Q1082" s="1"/>
      <c r="R1082" s="1"/>
      <c r="S1082" s="1"/>
      <c r="T1082" s="1"/>
      <c r="U1082" s="1"/>
      <c r="V1082" s="1"/>
      <c r="W1082" s="1"/>
      <c r="X1082" s="1"/>
      <c r="Y1082" s="1"/>
      <c r="Z1082" s="1"/>
      <c r="AA1082" s="1" t="s">
        <v>6058</v>
      </c>
      <c r="AB1082" s="1" t="s">
        <v>6059</v>
      </c>
      <c r="AC1082" s="1"/>
      <c r="AD1082" s="1"/>
      <c r="AE1082" s="1"/>
      <c r="AF1082" s="1"/>
      <c r="AG1082" s="1"/>
      <c r="AH1082" s="1"/>
      <c r="AI1082" s="1"/>
      <c r="AJ1082" s="1"/>
      <c r="AK1082" s="1"/>
      <c r="AL1082" s="1"/>
      <c r="AM1082" s="1"/>
      <c r="AN1082" s="1"/>
      <c r="AO1082" s="1" t="s">
        <v>6964</v>
      </c>
      <c r="AP1082" s="1" t="s">
        <v>6965</v>
      </c>
      <c r="AQ1082" s="1"/>
      <c r="AR1082" s="1"/>
      <c r="AS1082" s="1"/>
      <c r="AT1082" s="1" t="s">
        <v>125</v>
      </c>
      <c r="AU1082" s="1">
        <v>2016</v>
      </c>
      <c r="AV1082" s="1">
        <v>57</v>
      </c>
      <c r="AW1082" s="1">
        <v>4</v>
      </c>
      <c r="AX1082" s="1"/>
      <c r="AY1082" s="1"/>
      <c r="AZ1082" s="1"/>
      <c r="BA1082" s="1"/>
      <c r="BB1082" s="1">
        <v>720</v>
      </c>
      <c r="BC1082" s="1">
        <v>730</v>
      </c>
      <c r="BD1082" s="1"/>
      <c r="BE1082" s="1" t="s">
        <v>6966</v>
      </c>
      <c r="BF1082" s="1" t="str">
        <f>HYPERLINK("http://dx.doi.org/10.1134/S0021894416040179","http://dx.doi.org/10.1134/S0021894416040179")</f>
        <v>http://dx.doi.org/10.1134/S0021894416040179</v>
      </c>
      <c r="BG1082" s="1"/>
      <c r="BH1082" s="1"/>
      <c r="BI1082" s="1"/>
      <c r="BJ1082" s="1"/>
      <c r="BK1082" s="1"/>
      <c r="BL1082" s="1"/>
      <c r="BM1082" s="1"/>
      <c r="BN1082" s="1"/>
      <c r="BO1082" s="1"/>
      <c r="BP1082" s="1"/>
      <c r="BQ1082" s="1"/>
      <c r="BR1082" s="1"/>
      <c r="BS1082" s="1" t="s">
        <v>6967</v>
      </c>
      <c r="BT1082" s="1" t="str">
        <f>HYPERLINK("https%3A%2F%2Fwww.webofscience.com%2Fwos%2Fwoscc%2Ffull-record%2FWOS:000386562700017","View Full Record in Web of Science")</f>
        <v>View Full Record in Web of Science</v>
      </c>
      <c r="BU1082" s="1"/>
      <c r="BV1082" s="1"/>
      <c r="BW1082" s="1"/>
    </row>
    <row r="1083" spans="1:75" ht="12.75" customHeight="1" x14ac:dyDescent="0.2">
      <c r="A1083" s="1" t="s">
        <v>72</v>
      </c>
      <c r="B1083" s="1" t="s">
        <v>6968</v>
      </c>
      <c r="C1083" s="1"/>
      <c r="D1083" s="1"/>
      <c r="E1083" s="1"/>
      <c r="F1083" s="1" t="s">
        <v>6969</v>
      </c>
      <c r="G1083" s="1"/>
      <c r="H1083" s="1"/>
      <c r="I1083" s="1" t="s">
        <v>6970</v>
      </c>
      <c r="J1083" s="1" t="s">
        <v>3610</v>
      </c>
      <c r="K1083" s="1"/>
      <c r="L1083" s="1"/>
      <c r="M1083" s="1"/>
      <c r="N1083" s="1"/>
      <c r="O1083" s="1"/>
      <c r="P1083" s="1"/>
      <c r="Q1083" s="1"/>
      <c r="R1083" s="1"/>
      <c r="S1083" s="1"/>
      <c r="T1083" s="1"/>
      <c r="U1083" s="1"/>
      <c r="V1083" s="1"/>
      <c r="W1083" s="1"/>
      <c r="X1083" s="1"/>
      <c r="Y1083" s="1"/>
      <c r="Z1083" s="1"/>
      <c r="AA1083" s="1" t="s">
        <v>6971</v>
      </c>
      <c r="AB1083" s="1" t="s">
        <v>6972</v>
      </c>
      <c r="AC1083" s="1"/>
      <c r="AD1083" s="1"/>
      <c r="AE1083" s="1"/>
      <c r="AF1083" s="1"/>
      <c r="AG1083" s="1"/>
      <c r="AH1083" s="1"/>
      <c r="AI1083" s="1"/>
      <c r="AJ1083" s="1"/>
      <c r="AK1083" s="1"/>
      <c r="AL1083" s="1"/>
      <c r="AM1083" s="1"/>
      <c r="AN1083" s="1"/>
      <c r="AO1083" s="1" t="s">
        <v>3613</v>
      </c>
      <c r="AP1083" s="1" t="s">
        <v>4602</v>
      </c>
      <c r="AQ1083" s="1"/>
      <c r="AR1083" s="1"/>
      <c r="AS1083" s="1"/>
      <c r="AT1083" s="1" t="s">
        <v>1167</v>
      </c>
      <c r="AU1083" s="1">
        <v>2019</v>
      </c>
      <c r="AV1083" s="1">
        <v>52</v>
      </c>
      <c r="AW1083" s="1">
        <v>10</v>
      </c>
      <c r="AX1083" s="1"/>
      <c r="AY1083" s="1"/>
      <c r="AZ1083" s="1"/>
      <c r="BA1083" s="1"/>
      <c r="BB1083" s="1">
        <v>1227</v>
      </c>
      <c r="BC1083" s="1">
        <v>1233</v>
      </c>
      <c r="BD1083" s="1"/>
      <c r="BE1083" s="1" t="s">
        <v>6973</v>
      </c>
      <c r="BF1083" s="1" t="str">
        <f>HYPERLINK("http://dx.doi.org/10.1134/S1064229319100132","http://dx.doi.org/10.1134/S1064229319100132")</f>
        <v>http://dx.doi.org/10.1134/S1064229319100132</v>
      </c>
      <c r="BG1083" s="1"/>
      <c r="BH1083" s="1"/>
      <c r="BI1083" s="1"/>
      <c r="BJ1083" s="1"/>
      <c r="BK1083" s="1"/>
      <c r="BL1083" s="1"/>
      <c r="BM1083" s="1"/>
      <c r="BN1083" s="1"/>
      <c r="BO1083" s="1"/>
      <c r="BP1083" s="1"/>
      <c r="BQ1083" s="1"/>
      <c r="BR1083" s="1"/>
      <c r="BS1083" s="1" t="s">
        <v>6974</v>
      </c>
      <c r="BT1083" s="1" t="str">
        <f>HYPERLINK("https%3A%2F%2Fwww.webofscience.com%2Fwos%2Fwoscc%2Ffull-record%2FWOS:000491515600009","View Full Record in Web of Science")</f>
        <v>View Full Record in Web of Science</v>
      </c>
      <c r="BU1083" s="1"/>
      <c r="BV1083" s="1"/>
      <c r="BW1083" s="1"/>
    </row>
    <row r="1084" spans="1:75" ht="12.75" customHeight="1" x14ac:dyDescent="0.2">
      <c r="A1084" s="1" t="s">
        <v>72</v>
      </c>
      <c r="B1084" s="1" t="s">
        <v>6975</v>
      </c>
      <c r="C1084" s="1"/>
      <c r="D1084" s="1"/>
      <c r="E1084" s="1"/>
      <c r="F1084" s="1" t="s">
        <v>6976</v>
      </c>
      <c r="G1084" s="1"/>
      <c r="H1084" s="1"/>
      <c r="I1084" s="1" t="s">
        <v>6977</v>
      </c>
      <c r="J1084" s="1" t="s">
        <v>6978</v>
      </c>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t="s">
        <v>6979</v>
      </c>
      <c r="AP1084" s="1"/>
      <c r="AQ1084" s="1"/>
      <c r="AR1084" s="1"/>
      <c r="AS1084" s="1"/>
      <c r="AT1084" s="1" t="s">
        <v>125</v>
      </c>
      <c r="AU1084" s="1">
        <v>2019</v>
      </c>
      <c r="AV1084" s="1">
        <v>9</v>
      </c>
      <c r="AW1084" s="1"/>
      <c r="AX1084" s="1"/>
      <c r="AY1084" s="1">
        <v>1</v>
      </c>
      <c r="AZ1084" s="1"/>
      <c r="BA1084" s="1" t="s">
        <v>6980</v>
      </c>
      <c r="BB1084" s="1">
        <v>421</v>
      </c>
      <c r="BC1084" s="1">
        <v>421</v>
      </c>
      <c r="BD1084" s="1"/>
      <c r="BE1084" s="1"/>
      <c r="BF1084" s="1"/>
      <c r="BG1084" s="1"/>
      <c r="BH1084" s="1"/>
      <c r="BI1084" s="1"/>
      <c r="BJ1084" s="1"/>
      <c r="BK1084" s="1"/>
      <c r="BL1084" s="1"/>
      <c r="BM1084" s="1"/>
      <c r="BN1084" s="1"/>
      <c r="BO1084" s="1"/>
      <c r="BP1084" s="1"/>
      <c r="BQ1084" s="1"/>
      <c r="BR1084" s="1"/>
      <c r="BS1084" s="1" t="s">
        <v>6981</v>
      </c>
      <c r="BT1084" s="1" t="str">
        <f>HYPERLINK("https%3A%2F%2Fwww.webofscience.com%2Fwos%2Fwoscc%2Ffull-record%2FWOS:000486972406174","View Full Record in Web of Science")</f>
        <v>View Full Record in Web of Science</v>
      </c>
      <c r="BU1084" s="1"/>
      <c r="BV1084" s="1"/>
      <c r="BW1084" s="1"/>
    </row>
    <row r="1085" spans="1:75" ht="12.75" customHeight="1" x14ac:dyDescent="0.2">
      <c r="A1085" s="1" t="s">
        <v>72</v>
      </c>
      <c r="B1085" s="1" t="s">
        <v>6982</v>
      </c>
      <c r="C1085" s="1"/>
      <c r="D1085" s="1"/>
      <c r="E1085" s="1"/>
      <c r="F1085" s="1" t="s">
        <v>6983</v>
      </c>
      <c r="G1085" s="1"/>
      <c r="H1085" s="1"/>
      <c r="I1085" s="1" t="s">
        <v>6984</v>
      </c>
      <c r="J1085" s="1" t="s">
        <v>6985</v>
      </c>
      <c r="K1085" s="1"/>
      <c r="L1085" s="1"/>
      <c r="M1085" s="1"/>
      <c r="N1085" s="1"/>
      <c r="O1085" s="1"/>
      <c r="P1085" s="1"/>
      <c r="Q1085" s="1"/>
      <c r="R1085" s="1"/>
      <c r="S1085" s="1"/>
      <c r="T1085" s="1"/>
      <c r="U1085" s="1"/>
      <c r="V1085" s="1"/>
      <c r="W1085" s="1"/>
      <c r="X1085" s="1"/>
      <c r="Y1085" s="1"/>
      <c r="Z1085" s="1"/>
      <c r="AA1085" s="1" t="s">
        <v>6986</v>
      </c>
      <c r="AB1085" s="1"/>
      <c r="AC1085" s="1"/>
      <c r="AD1085" s="1"/>
      <c r="AE1085" s="1"/>
      <c r="AF1085" s="1"/>
      <c r="AG1085" s="1"/>
      <c r="AH1085" s="1"/>
      <c r="AI1085" s="1"/>
      <c r="AJ1085" s="1"/>
      <c r="AK1085" s="1"/>
      <c r="AL1085" s="1"/>
      <c r="AM1085" s="1"/>
      <c r="AN1085" s="1"/>
      <c r="AO1085" s="1" t="s">
        <v>6987</v>
      </c>
      <c r="AP1085" s="1"/>
      <c r="AQ1085" s="1"/>
      <c r="AR1085" s="1"/>
      <c r="AS1085" s="1"/>
      <c r="AT1085" s="1" t="s">
        <v>403</v>
      </c>
      <c r="AU1085" s="1">
        <v>2017</v>
      </c>
      <c r="AV1085" s="1">
        <v>16</v>
      </c>
      <c r="AW1085" s="1">
        <v>2</v>
      </c>
      <c r="AX1085" s="1"/>
      <c r="AY1085" s="1"/>
      <c r="AZ1085" s="1"/>
      <c r="BA1085" s="1"/>
      <c r="BB1085" s="1">
        <v>157</v>
      </c>
      <c r="BC1085" s="1">
        <v>175</v>
      </c>
      <c r="BD1085" s="1"/>
      <c r="BE1085" s="1" t="s">
        <v>6988</v>
      </c>
      <c r="BF1085" s="1" t="str">
        <f>HYPERLINK("http://dx.doi.org/10.15298/rusjtheriol.16.2.05","http://dx.doi.org/10.15298/rusjtheriol.16.2.05")</f>
        <v>http://dx.doi.org/10.15298/rusjtheriol.16.2.05</v>
      </c>
      <c r="BG1085" s="1"/>
      <c r="BH1085" s="1"/>
      <c r="BI1085" s="1"/>
      <c r="BJ1085" s="1"/>
      <c r="BK1085" s="1"/>
      <c r="BL1085" s="1"/>
      <c r="BM1085" s="1"/>
      <c r="BN1085" s="1"/>
      <c r="BO1085" s="1"/>
      <c r="BP1085" s="1"/>
      <c r="BQ1085" s="1"/>
      <c r="BR1085" s="1"/>
      <c r="BS1085" s="1" t="s">
        <v>6989</v>
      </c>
      <c r="BT1085" s="1" t="str">
        <f>HYPERLINK("https%3A%2F%2Fwww.webofscience.com%2Fwos%2Fwoscc%2Ffull-record%2FWOS:000418853400005","View Full Record in Web of Science")</f>
        <v>View Full Record in Web of Science</v>
      </c>
      <c r="BU1085" s="1"/>
      <c r="BV1085" s="1"/>
      <c r="BW1085" s="1"/>
    </row>
    <row r="1086" spans="1:75" ht="12.75" customHeight="1" x14ac:dyDescent="0.2">
      <c r="A1086" s="1" t="s">
        <v>147</v>
      </c>
      <c r="B1086" s="1" t="s">
        <v>6990</v>
      </c>
      <c r="C1086" s="1"/>
      <c r="D1086" s="1"/>
      <c r="E1086" s="1" t="s">
        <v>175</v>
      </c>
      <c r="F1086" s="1" t="s">
        <v>6991</v>
      </c>
      <c r="G1086" s="1"/>
      <c r="H1086" s="1"/>
      <c r="I1086" s="1" t="s">
        <v>6992</v>
      </c>
      <c r="J1086" s="1" t="s">
        <v>2671</v>
      </c>
      <c r="K1086" s="1" t="s">
        <v>1576</v>
      </c>
      <c r="L1086" s="1"/>
      <c r="M1086" s="1"/>
      <c r="N1086" s="1"/>
      <c r="O1086" s="1" t="s">
        <v>2672</v>
      </c>
      <c r="P1086" s="1" t="s">
        <v>2673</v>
      </c>
      <c r="Q1086" s="1" t="s">
        <v>2674</v>
      </c>
      <c r="R1086" s="1"/>
      <c r="S1086" s="1" t="s">
        <v>2675</v>
      </c>
      <c r="T1086" s="1"/>
      <c r="U1086" s="1"/>
      <c r="V1086" s="1"/>
      <c r="W1086" s="1"/>
      <c r="X1086" s="1"/>
      <c r="Y1086" s="1"/>
      <c r="Z1086" s="1"/>
      <c r="AA1086" s="1" t="s">
        <v>6993</v>
      </c>
      <c r="AB1086" s="1" t="s">
        <v>6994</v>
      </c>
      <c r="AC1086" s="1"/>
      <c r="AD1086" s="1"/>
      <c r="AE1086" s="1"/>
      <c r="AF1086" s="1"/>
      <c r="AG1086" s="1"/>
      <c r="AH1086" s="1"/>
      <c r="AI1086" s="1"/>
      <c r="AJ1086" s="1"/>
      <c r="AK1086" s="1"/>
      <c r="AL1086" s="1"/>
      <c r="AM1086" s="1"/>
      <c r="AN1086" s="1"/>
      <c r="AO1086" s="1" t="s">
        <v>1581</v>
      </c>
      <c r="AP1086" s="1"/>
      <c r="AQ1086" s="1"/>
      <c r="AR1086" s="1"/>
      <c r="AS1086" s="1"/>
      <c r="AT1086" s="1"/>
      <c r="AU1086" s="1">
        <v>2017</v>
      </c>
      <c r="AV1086" s="1">
        <v>90</v>
      </c>
      <c r="AW1086" s="1"/>
      <c r="AX1086" s="1"/>
      <c r="AY1086" s="1"/>
      <c r="AZ1086" s="1"/>
      <c r="BA1086" s="1"/>
      <c r="BB1086" s="1"/>
      <c r="BC1086" s="1"/>
      <c r="BD1086" s="1">
        <v>12122</v>
      </c>
      <c r="BE1086" s="1" t="s">
        <v>6995</v>
      </c>
      <c r="BF1086" s="1" t="str">
        <f>HYPERLINK("http://dx.doi.org/10.1088/1755-1315/90/1/012122","http://dx.doi.org/10.1088/1755-1315/90/1/012122")</f>
        <v>http://dx.doi.org/10.1088/1755-1315/90/1/012122</v>
      </c>
      <c r="BG1086" s="1"/>
      <c r="BH1086" s="1"/>
      <c r="BI1086" s="1"/>
      <c r="BJ1086" s="1"/>
      <c r="BK1086" s="1"/>
      <c r="BL1086" s="1"/>
      <c r="BM1086" s="1"/>
      <c r="BN1086" s="1"/>
      <c r="BO1086" s="1"/>
      <c r="BP1086" s="1"/>
      <c r="BQ1086" s="1"/>
      <c r="BR1086" s="1"/>
      <c r="BS1086" s="1" t="s">
        <v>6996</v>
      </c>
      <c r="BT1086" s="1" t="str">
        <f>HYPERLINK("https%3A%2F%2Fwww.webofscience.com%2Fwos%2Fwoscc%2Ffull-record%2FWOS:000419816700122","View Full Record in Web of Science")</f>
        <v>View Full Record in Web of Science</v>
      </c>
      <c r="BU1086" s="1"/>
      <c r="BV1086" s="1"/>
      <c r="BW1086" s="1"/>
    </row>
    <row r="1087" spans="1:75" ht="12.75" customHeight="1" x14ac:dyDescent="0.2">
      <c r="A1087" s="1" t="s">
        <v>72</v>
      </c>
      <c r="B1087" s="1" t="s">
        <v>6997</v>
      </c>
      <c r="C1087" s="1"/>
      <c r="D1087" s="1"/>
      <c r="E1087" s="1"/>
      <c r="F1087" s="1" t="s">
        <v>6998</v>
      </c>
      <c r="G1087" s="1"/>
      <c r="H1087" s="1"/>
      <c r="I1087" s="1" t="s">
        <v>6999</v>
      </c>
      <c r="J1087" s="1" t="s">
        <v>685</v>
      </c>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t="s">
        <v>687</v>
      </c>
      <c r="AP1087" s="1" t="s">
        <v>688</v>
      </c>
      <c r="AQ1087" s="1"/>
      <c r="AR1087" s="1"/>
      <c r="AS1087" s="1"/>
      <c r="AT1087" s="1" t="s">
        <v>403</v>
      </c>
      <c r="AU1087" s="1">
        <v>2020</v>
      </c>
      <c r="AV1087" s="1">
        <v>47</v>
      </c>
      <c r="AW1087" s="1">
        <v>10</v>
      </c>
      <c r="AX1087" s="1"/>
      <c r="AY1087" s="1"/>
      <c r="AZ1087" s="1"/>
      <c r="BA1087" s="1"/>
      <c r="BB1087" s="1">
        <v>1392</v>
      </c>
      <c r="BC1087" s="1">
        <v>1397</v>
      </c>
      <c r="BD1087" s="1"/>
      <c r="BE1087" s="1" t="s">
        <v>7000</v>
      </c>
      <c r="BF1087" s="1" t="str">
        <f>HYPERLINK("http://dx.doi.org/10.1134/S1062359020100179","http://dx.doi.org/10.1134/S1062359020100179")</f>
        <v>http://dx.doi.org/10.1134/S1062359020100179</v>
      </c>
      <c r="BG1087" s="1"/>
      <c r="BH1087" s="1"/>
      <c r="BI1087" s="1"/>
      <c r="BJ1087" s="1"/>
      <c r="BK1087" s="1"/>
      <c r="BL1087" s="1"/>
      <c r="BM1087" s="1"/>
      <c r="BN1087" s="1"/>
      <c r="BO1087" s="1"/>
      <c r="BP1087" s="1"/>
      <c r="BQ1087" s="1"/>
      <c r="BR1087" s="1"/>
      <c r="BS1087" s="1" t="s">
        <v>7001</v>
      </c>
      <c r="BT1087" s="1" t="str">
        <f>HYPERLINK("https%3A%2F%2Fwww.webofscience.com%2Fwos%2Fwoscc%2Ffull-record%2FWOS:000608058700021","View Full Record in Web of Science")</f>
        <v>View Full Record in Web of Science</v>
      </c>
      <c r="BU1087" s="1"/>
      <c r="BV1087" s="1"/>
      <c r="BW1087" s="1"/>
    </row>
    <row r="1088" spans="1:75" ht="12.75" customHeight="1" x14ac:dyDescent="0.2">
      <c r="A1088" s="1" t="s">
        <v>72</v>
      </c>
      <c r="B1088" s="1" t="s">
        <v>7002</v>
      </c>
      <c r="C1088" s="1"/>
      <c r="D1088" s="1"/>
      <c r="E1088" s="1"/>
      <c r="F1088" s="1" t="s">
        <v>7003</v>
      </c>
      <c r="G1088" s="1"/>
      <c r="H1088" s="1"/>
      <c r="I1088" s="1" t="s">
        <v>7004</v>
      </c>
      <c r="J1088" s="1" t="s">
        <v>7005</v>
      </c>
      <c r="K1088" s="1"/>
      <c r="L1088" s="1"/>
      <c r="M1088" s="1"/>
      <c r="N1088" s="1"/>
      <c r="O1088" s="1"/>
      <c r="P1088" s="1"/>
      <c r="Q1088" s="1"/>
      <c r="R1088" s="1"/>
      <c r="S1088" s="1"/>
      <c r="T1088" s="1"/>
      <c r="U1088" s="1"/>
      <c r="V1088" s="1"/>
      <c r="W1088" s="1"/>
      <c r="X1088" s="1"/>
      <c r="Y1088" s="1"/>
      <c r="Z1088" s="1"/>
      <c r="AA1088" s="1" t="s">
        <v>5078</v>
      </c>
      <c r="AB1088" s="1" t="s">
        <v>5079</v>
      </c>
      <c r="AC1088" s="1"/>
      <c r="AD1088" s="1"/>
      <c r="AE1088" s="1"/>
      <c r="AF1088" s="1"/>
      <c r="AG1088" s="1"/>
      <c r="AH1088" s="1"/>
      <c r="AI1088" s="1"/>
      <c r="AJ1088" s="1"/>
      <c r="AK1088" s="1"/>
      <c r="AL1088" s="1"/>
      <c r="AM1088" s="1"/>
      <c r="AN1088" s="1"/>
      <c r="AO1088" s="1" t="s">
        <v>7006</v>
      </c>
      <c r="AP1088" s="1" t="s">
        <v>7007</v>
      </c>
      <c r="AQ1088" s="1"/>
      <c r="AR1088" s="1"/>
      <c r="AS1088" s="1"/>
      <c r="AT1088" s="1" t="s">
        <v>7008</v>
      </c>
      <c r="AU1088" s="1">
        <v>2020</v>
      </c>
      <c r="AV1088" s="1">
        <v>33</v>
      </c>
      <c r="AW1088" s="1" t="s">
        <v>1685</v>
      </c>
      <c r="AX1088" s="1"/>
      <c r="AY1088" s="1"/>
      <c r="AZ1088" s="1"/>
      <c r="BA1088" s="1"/>
      <c r="BB1088" s="1">
        <v>184</v>
      </c>
      <c r="BC1088" s="1">
        <v>193</v>
      </c>
      <c r="BD1088" s="1"/>
      <c r="BE1088" s="1" t="s">
        <v>7009</v>
      </c>
      <c r="BF1088" s="1" t="str">
        <f>HYPERLINK("http://dx.doi.org/10.1080/13640461.2020.1822632","http://dx.doi.org/10.1080/13640461.2020.1822632")</f>
        <v>http://dx.doi.org/10.1080/13640461.2020.1822632</v>
      </c>
      <c r="BG1088" s="1"/>
      <c r="BH1088" s="1" t="s">
        <v>7010</v>
      </c>
      <c r="BI1088" s="1"/>
      <c r="BJ1088" s="1"/>
      <c r="BK1088" s="1"/>
      <c r="BL1088" s="1"/>
      <c r="BM1088" s="1"/>
      <c r="BN1088" s="1"/>
      <c r="BO1088" s="1"/>
      <c r="BP1088" s="1"/>
      <c r="BQ1088" s="1"/>
      <c r="BR1088" s="1"/>
      <c r="BS1088" s="1" t="s">
        <v>7011</v>
      </c>
      <c r="BT1088" s="1" t="str">
        <f>HYPERLINK("https%3A%2F%2Fwww.webofscience.com%2Fwos%2Fwoscc%2Ffull-record%2FWOS:000569199100001","View Full Record in Web of Science")</f>
        <v>View Full Record in Web of Science</v>
      </c>
      <c r="BU1088" s="1"/>
      <c r="BV1088" s="1"/>
      <c r="BW1088" s="1"/>
    </row>
    <row r="1089" spans="1:75" ht="12.75" customHeight="1" x14ac:dyDescent="0.2">
      <c r="A1089" s="1" t="s">
        <v>72</v>
      </c>
      <c r="B1089" s="1" t="s">
        <v>7012</v>
      </c>
      <c r="C1089" s="1"/>
      <c r="D1089" s="1"/>
      <c r="E1089" s="1"/>
      <c r="F1089" s="1" t="s">
        <v>7013</v>
      </c>
      <c r="G1089" s="1"/>
      <c r="H1089" s="1"/>
      <c r="I1089" s="1" t="s">
        <v>7014</v>
      </c>
      <c r="J1089" s="1" t="s">
        <v>95</v>
      </c>
      <c r="K1089" s="1"/>
      <c r="L1089" s="1"/>
      <c r="M1089" s="1"/>
      <c r="N1089" s="1"/>
      <c r="O1089" s="1"/>
      <c r="P1089" s="1"/>
      <c r="Q1089" s="1"/>
      <c r="R1089" s="1"/>
      <c r="S1089" s="1"/>
      <c r="T1089" s="1"/>
      <c r="U1089" s="1"/>
      <c r="V1089" s="1"/>
      <c r="W1089" s="1"/>
      <c r="X1089" s="1"/>
      <c r="Y1089" s="1"/>
      <c r="Z1089" s="1"/>
      <c r="AA1089" s="1" t="s">
        <v>7015</v>
      </c>
      <c r="AB1089" s="1" t="s">
        <v>7016</v>
      </c>
      <c r="AC1089" s="1"/>
      <c r="AD1089" s="1"/>
      <c r="AE1089" s="1"/>
      <c r="AF1089" s="1"/>
      <c r="AG1089" s="1"/>
      <c r="AH1089" s="1"/>
      <c r="AI1089" s="1"/>
      <c r="AJ1089" s="1"/>
      <c r="AK1089" s="1"/>
      <c r="AL1089" s="1"/>
      <c r="AM1089" s="1"/>
      <c r="AN1089" s="1"/>
      <c r="AO1089" s="1" t="s">
        <v>98</v>
      </c>
      <c r="AP1089" s="1" t="s">
        <v>99</v>
      </c>
      <c r="AQ1089" s="1"/>
      <c r="AR1089" s="1"/>
      <c r="AS1089" s="1"/>
      <c r="AT1089" s="1"/>
      <c r="AU1089" s="1">
        <v>2020</v>
      </c>
      <c r="AV1089" s="1"/>
      <c r="AW1089" s="1">
        <v>1</v>
      </c>
      <c r="AX1089" s="1"/>
      <c r="AY1089" s="1"/>
      <c r="AZ1089" s="1"/>
      <c r="BA1089" s="1"/>
      <c r="BB1089" s="1">
        <v>89</v>
      </c>
      <c r="BC1089" s="1">
        <v>96</v>
      </c>
      <c r="BD1089" s="1"/>
      <c r="BE1089" s="1" t="s">
        <v>7017</v>
      </c>
      <c r="BF1089" s="1" t="str">
        <f>HYPERLINK("http://dx.doi.org/10.25750/1995-4301-2020-1-089-096","http://dx.doi.org/10.25750/1995-4301-2020-1-089-096")</f>
        <v>http://dx.doi.org/10.25750/1995-4301-2020-1-089-096</v>
      </c>
      <c r="BG1089" s="1"/>
      <c r="BH1089" s="1"/>
      <c r="BI1089" s="1"/>
      <c r="BJ1089" s="1"/>
      <c r="BK1089" s="1"/>
      <c r="BL1089" s="1"/>
      <c r="BM1089" s="1"/>
      <c r="BN1089" s="1"/>
      <c r="BO1089" s="1"/>
      <c r="BP1089" s="1"/>
      <c r="BQ1089" s="1"/>
      <c r="BR1089" s="1"/>
      <c r="BS1089" s="1" t="s">
        <v>7018</v>
      </c>
      <c r="BT1089" s="1" t="str">
        <f>HYPERLINK("https%3A%2F%2Fwww.webofscience.com%2Fwos%2Fwoscc%2Ffull-record%2FWOS:000522789400013","View Full Record in Web of Science")</f>
        <v>View Full Record in Web of Science</v>
      </c>
      <c r="BU1089" s="1"/>
      <c r="BV1089" s="1"/>
      <c r="BW1089" s="1"/>
    </row>
    <row r="1090" spans="1:75" ht="12.75" customHeight="1" x14ac:dyDescent="0.2">
      <c r="A1090" s="1" t="s">
        <v>72</v>
      </c>
      <c r="B1090" s="1" t="s">
        <v>7019</v>
      </c>
      <c r="C1090" s="1"/>
      <c r="D1090" s="1"/>
      <c r="E1090" s="1"/>
      <c r="F1090" s="1" t="s">
        <v>7020</v>
      </c>
      <c r="G1090" s="1"/>
      <c r="H1090" s="1"/>
      <c r="I1090" s="1" t="s">
        <v>7021</v>
      </c>
      <c r="J1090" s="1" t="s">
        <v>95</v>
      </c>
      <c r="K1090" s="1"/>
      <c r="L1090" s="1"/>
      <c r="M1090" s="1"/>
      <c r="N1090" s="1"/>
      <c r="O1090" s="1"/>
      <c r="P1090" s="1"/>
      <c r="Q1090" s="1"/>
      <c r="R1090" s="1"/>
      <c r="S1090" s="1"/>
      <c r="T1090" s="1"/>
      <c r="U1090" s="1"/>
      <c r="V1090" s="1"/>
      <c r="W1090" s="1"/>
      <c r="X1090" s="1"/>
      <c r="Y1090" s="1"/>
      <c r="Z1090" s="1"/>
      <c r="AA1090" s="1" t="s">
        <v>7022</v>
      </c>
      <c r="AB1090" s="1" t="s">
        <v>7023</v>
      </c>
      <c r="AC1090" s="1"/>
      <c r="AD1090" s="1"/>
      <c r="AE1090" s="1"/>
      <c r="AF1090" s="1"/>
      <c r="AG1090" s="1"/>
      <c r="AH1090" s="1"/>
      <c r="AI1090" s="1"/>
      <c r="AJ1090" s="1"/>
      <c r="AK1090" s="1"/>
      <c r="AL1090" s="1"/>
      <c r="AM1090" s="1"/>
      <c r="AN1090" s="1"/>
      <c r="AO1090" s="1" t="s">
        <v>98</v>
      </c>
      <c r="AP1090" s="1" t="s">
        <v>99</v>
      </c>
      <c r="AQ1090" s="1"/>
      <c r="AR1090" s="1"/>
      <c r="AS1090" s="1"/>
      <c r="AT1090" s="1"/>
      <c r="AU1090" s="1">
        <v>2019</v>
      </c>
      <c r="AV1090" s="1"/>
      <c r="AW1090" s="1">
        <v>3</v>
      </c>
      <c r="AX1090" s="1"/>
      <c r="AY1090" s="1"/>
      <c r="AZ1090" s="1"/>
      <c r="BA1090" s="1"/>
      <c r="BB1090" s="1">
        <v>34</v>
      </c>
      <c r="BC1090" s="1">
        <v>40</v>
      </c>
      <c r="BD1090" s="1"/>
      <c r="BE1090" s="1" t="s">
        <v>7024</v>
      </c>
      <c r="BF1090" s="1" t="str">
        <f>HYPERLINK("http://dx.doi.org/10.25750/1995-4301-2019-3-034-040","http://dx.doi.org/10.25750/1995-4301-2019-3-034-040")</f>
        <v>http://dx.doi.org/10.25750/1995-4301-2019-3-034-040</v>
      </c>
      <c r="BG1090" s="1"/>
      <c r="BH1090" s="1"/>
      <c r="BI1090" s="1"/>
      <c r="BJ1090" s="1"/>
      <c r="BK1090" s="1"/>
      <c r="BL1090" s="1"/>
      <c r="BM1090" s="1"/>
      <c r="BN1090" s="1"/>
      <c r="BO1090" s="1"/>
      <c r="BP1090" s="1"/>
      <c r="BQ1090" s="1"/>
      <c r="BR1090" s="1"/>
      <c r="BS1090" s="1" t="s">
        <v>7025</v>
      </c>
      <c r="BT1090" s="1" t="str">
        <f>HYPERLINK("https%3A%2F%2Fwww.webofscience.com%2Fwos%2Fwoscc%2Ffull-record%2FWOS:000490704900005","View Full Record in Web of Science")</f>
        <v>View Full Record in Web of Science</v>
      </c>
      <c r="BU1090" s="1"/>
      <c r="BV1090" s="1"/>
      <c r="BW1090" s="1"/>
    </row>
    <row r="1091" spans="1:75" ht="12.75" customHeight="1" x14ac:dyDescent="0.2">
      <c r="A1091" s="1" t="s">
        <v>72</v>
      </c>
      <c r="B1091" s="1" t="s">
        <v>7026</v>
      </c>
      <c r="C1091" s="1"/>
      <c r="D1091" s="1"/>
      <c r="E1091" s="1"/>
      <c r="F1091" s="1" t="s">
        <v>7027</v>
      </c>
      <c r="G1091" s="1"/>
      <c r="H1091" s="1"/>
      <c r="I1091" s="1" t="s">
        <v>7028</v>
      </c>
      <c r="J1091" s="1" t="s">
        <v>7029</v>
      </c>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t="s">
        <v>7030</v>
      </c>
      <c r="AP1091" s="1" t="s">
        <v>7031</v>
      </c>
      <c r="AQ1091" s="1"/>
      <c r="AR1091" s="1"/>
      <c r="AS1091" s="1"/>
      <c r="AT1091" s="1" t="s">
        <v>655</v>
      </c>
      <c r="AU1091" s="1">
        <v>2013</v>
      </c>
      <c r="AV1091" s="1">
        <v>74</v>
      </c>
      <c r="AW1091" s="1">
        <v>2</v>
      </c>
      <c r="AX1091" s="1"/>
      <c r="AY1091" s="1"/>
      <c r="AZ1091" s="1"/>
      <c r="BA1091" s="1"/>
      <c r="BB1091" s="1">
        <v>240</v>
      </c>
      <c r="BC1091" s="1">
        <v>251</v>
      </c>
      <c r="BD1091" s="1"/>
      <c r="BE1091" s="1" t="s">
        <v>7032</v>
      </c>
      <c r="BF1091" s="1" t="str">
        <f>HYPERLINK("http://dx.doi.org/10.1134/S0005117913020069","http://dx.doi.org/10.1134/S0005117913020069")</f>
        <v>http://dx.doi.org/10.1134/S0005117913020069</v>
      </c>
      <c r="BG1091" s="1"/>
      <c r="BH1091" s="1"/>
      <c r="BI1091" s="1"/>
      <c r="BJ1091" s="1"/>
      <c r="BK1091" s="1"/>
      <c r="BL1091" s="1"/>
      <c r="BM1091" s="1"/>
      <c r="BN1091" s="1"/>
      <c r="BO1091" s="1"/>
      <c r="BP1091" s="1"/>
      <c r="BQ1091" s="1"/>
      <c r="BR1091" s="1"/>
      <c r="BS1091" s="1" t="s">
        <v>7033</v>
      </c>
      <c r="BT1091" s="1" t="str">
        <f>HYPERLINK("https%3A%2F%2Fwww.webofscience.com%2Fwos%2Fwoscc%2Ffull-record%2FWOS:000315199600006","View Full Record in Web of Science")</f>
        <v>View Full Record in Web of Science</v>
      </c>
      <c r="BU1091" s="1"/>
      <c r="BV1091" s="1"/>
      <c r="BW1091" s="1"/>
    </row>
    <row r="1092" spans="1:75" ht="12.75" customHeight="1" x14ac:dyDescent="0.2">
      <c r="A1092" s="1" t="s">
        <v>72</v>
      </c>
      <c r="B1092" s="1" t="s">
        <v>7034</v>
      </c>
      <c r="C1092" s="1"/>
      <c r="D1092" s="1"/>
      <c r="E1092" s="1"/>
      <c r="F1092" s="1" t="s">
        <v>7035</v>
      </c>
      <c r="G1092" s="1"/>
      <c r="H1092" s="1"/>
      <c r="I1092" s="1" t="s">
        <v>7036</v>
      </c>
      <c r="J1092" s="1" t="s">
        <v>6538</v>
      </c>
      <c r="K1092" s="1"/>
      <c r="L1092" s="1"/>
      <c r="M1092" s="1"/>
      <c r="N1092" s="1"/>
      <c r="O1092" s="1"/>
      <c r="P1092" s="1"/>
      <c r="Q1092" s="1"/>
      <c r="R1092" s="1"/>
      <c r="S1092" s="1"/>
      <c r="T1092" s="1"/>
      <c r="U1092" s="1"/>
      <c r="V1092" s="1"/>
      <c r="W1092" s="1"/>
      <c r="X1092" s="1"/>
      <c r="Y1092" s="1"/>
      <c r="Z1092" s="1"/>
      <c r="AA1092" s="1"/>
      <c r="AB1092" s="1" t="s">
        <v>7037</v>
      </c>
      <c r="AC1092" s="1"/>
      <c r="AD1092" s="1"/>
      <c r="AE1092" s="1"/>
      <c r="AF1092" s="1"/>
      <c r="AG1092" s="1"/>
      <c r="AH1092" s="1"/>
      <c r="AI1092" s="1"/>
      <c r="AJ1092" s="1"/>
      <c r="AK1092" s="1"/>
      <c r="AL1092" s="1"/>
      <c r="AM1092" s="1"/>
      <c r="AN1092" s="1"/>
      <c r="AO1092" s="1" t="s">
        <v>6541</v>
      </c>
      <c r="AP1092" s="1" t="s">
        <v>6542</v>
      </c>
      <c r="AQ1092" s="1"/>
      <c r="AR1092" s="1"/>
      <c r="AS1092" s="1"/>
      <c r="AT1092" s="1"/>
      <c r="AU1092" s="1">
        <v>2021</v>
      </c>
      <c r="AV1092" s="1">
        <v>7</v>
      </c>
      <c r="AW1092" s="1"/>
      <c r="AX1092" s="1"/>
      <c r="AY1092" s="1"/>
      <c r="AZ1092" s="1">
        <v>4</v>
      </c>
      <c r="BA1092" s="1"/>
      <c r="BB1092" s="1"/>
      <c r="BC1092" s="1"/>
      <c r="BD1092" s="1" t="s">
        <v>7038</v>
      </c>
      <c r="BE1092" s="1"/>
      <c r="BF1092" s="1"/>
      <c r="BG1092" s="1"/>
      <c r="BH1092" s="1"/>
      <c r="BI1092" s="1"/>
      <c r="BJ1092" s="1"/>
      <c r="BK1092" s="1"/>
      <c r="BL1092" s="1"/>
      <c r="BM1092" s="1"/>
      <c r="BN1092" s="1"/>
      <c r="BO1092" s="1"/>
      <c r="BP1092" s="1"/>
      <c r="BQ1092" s="1"/>
      <c r="BR1092" s="1"/>
      <c r="BS1092" s="1" t="s">
        <v>7039</v>
      </c>
      <c r="BT1092" s="1" t="str">
        <f>HYPERLINK("https%3A%2F%2Fwww.webofscience.com%2Fwos%2Fwoscc%2Ffull-record%2FWOS:000717948200021","View Full Record in Web of Science")</f>
        <v>View Full Record in Web of Science</v>
      </c>
      <c r="BU1092" s="1"/>
      <c r="BV1092" s="1"/>
      <c r="BW1092" s="1"/>
    </row>
    <row r="1093" spans="1:75" ht="12.75" customHeight="1" x14ac:dyDescent="0.2">
      <c r="A1093" s="1" t="s">
        <v>72</v>
      </c>
      <c r="B1093" s="1" t="s">
        <v>6837</v>
      </c>
      <c r="C1093" s="1"/>
      <c r="D1093" s="1"/>
      <c r="E1093" s="1"/>
      <c r="F1093" s="1" t="s">
        <v>6838</v>
      </c>
      <c r="G1093" s="1"/>
      <c r="H1093" s="1"/>
      <c r="I1093" s="1" t="s">
        <v>7040</v>
      </c>
      <c r="J1093" s="1" t="s">
        <v>6963</v>
      </c>
      <c r="K1093" s="1"/>
      <c r="L1093" s="1"/>
      <c r="M1093" s="1"/>
      <c r="N1093" s="1"/>
      <c r="O1093" s="1"/>
      <c r="P1093" s="1"/>
      <c r="Q1093" s="1"/>
      <c r="R1093" s="1"/>
      <c r="S1093" s="1"/>
      <c r="T1093" s="1"/>
      <c r="U1093" s="1"/>
      <c r="V1093" s="1"/>
      <c r="W1093" s="1"/>
      <c r="X1093" s="1"/>
      <c r="Y1093" s="1"/>
      <c r="Z1093" s="1"/>
      <c r="AA1093" s="1" t="s">
        <v>6058</v>
      </c>
      <c r="AB1093" s="1" t="s">
        <v>7041</v>
      </c>
      <c r="AC1093" s="1"/>
      <c r="AD1093" s="1"/>
      <c r="AE1093" s="1"/>
      <c r="AF1093" s="1"/>
      <c r="AG1093" s="1"/>
      <c r="AH1093" s="1"/>
      <c r="AI1093" s="1"/>
      <c r="AJ1093" s="1"/>
      <c r="AK1093" s="1"/>
      <c r="AL1093" s="1"/>
      <c r="AM1093" s="1"/>
      <c r="AN1093" s="1"/>
      <c r="AO1093" s="1" t="s">
        <v>6964</v>
      </c>
      <c r="AP1093" s="1" t="s">
        <v>6965</v>
      </c>
      <c r="AQ1093" s="1"/>
      <c r="AR1093" s="1"/>
      <c r="AS1093" s="1"/>
      <c r="AT1093" s="1" t="s">
        <v>88</v>
      </c>
      <c r="AU1093" s="1">
        <v>2018</v>
      </c>
      <c r="AV1093" s="1">
        <v>59</v>
      </c>
      <c r="AW1093" s="1">
        <v>3</v>
      </c>
      <c r="AX1093" s="1"/>
      <c r="AY1093" s="1"/>
      <c r="AZ1093" s="1"/>
      <c r="BA1093" s="1"/>
      <c r="BB1093" s="1">
        <v>519</v>
      </c>
      <c r="BC1093" s="1">
        <v>530</v>
      </c>
      <c r="BD1093" s="1"/>
      <c r="BE1093" s="1" t="s">
        <v>7042</v>
      </c>
      <c r="BF1093" s="1" t="str">
        <f>HYPERLINK("http://dx.doi.org/10.1134/S0021894418030173","http://dx.doi.org/10.1134/S0021894418030173")</f>
        <v>http://dx.doi.org/10.1134/S0021894418030173</v>
      </c>
      <c r="BG1093" s="1"/>
      <c r="BH1093" s="1"/>
      <c r="BI1093" s="1"/>
      <c r="BJ1093" s="1"/>
      <c r="BK1093" s="1"/>
      <c r="BL1093" s="1"/>
      <c r="BM1093" s="1"/>
      <c r="BN1093" s="1"/>
      <c r="BO1093" s="1"/>
      <c r="BP1093" s="1"/>
      <c r="BQ1093" s="1"/>
      <c r="BR1093" s="1"/>
      <c r="BS1093" s="1" t="s">
        <v>7043</v>
      </c>
      <c r="BT1093" s="1" t="str">
        <f>HYPERLINK("https%3A%2F%2Fwww.webofscience.com%2Fwos%2Fwoscc%2Ffull-record%2FWOS:000437448600017","View Full Record in Web of Science")</f>
        <v>View Full Record in Web of Science</v>
      </c>
      <c r="BU1093" s="1"/>
      <c r="BV1093" s="1"/>
      <c r="BW1093" s="1"/>
    </row>
    <row r="1094" spans="1:75" ht="12.75" customHeight="1" x14ac:dyDescent="0.2">
      <c r="A1094" s="1" t="s">
        <v>147</v>
      </c>
      <c r="B1094" s="1" t="s">
        <v>7044</v>
      </c>
      <c r="C1094" s="1"/>
      <c r="D1094" s="1" t="s">
        <v>1876</v>
      </c>
      <c r="E1094" s="1"/>
      <c r="F1094" s="1" t="s">
        <v>7045</v>
      </c>
      <c r="G1094" s="1"/>
      <c r="H1094" s="1"/>
      <c r="I1094" s="1" t="s">
        <v>7046</v>
      </c>
      <c r="J1094" s="1" t="s">
        <v>1879</v>
      </c>
      <c r="K1094" s="1" t="s">
        <v>1276</v>
      </c>
      <c r="L1094" s="1"/>
      <c r="M1094" s="1"/>
      <c r="N1094" s="1"/>
      <c r="O1094" s="1" t="s">
        <v>1880</v>
      </c>
      <c r="P1094" s="1" t="s">
        <v>1881</v>
      </c>
      <c r="Q1094" s="1" t="s">
        <v>1882</v>
      </c>
      <c r="R1094" s="1" t="s">
        <v>1883</v>
      </c>
      <c r="S1094" s="1" t="s">
        <v>1884</v>
      </c>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t="s">
        <v>1282</v>
      </c>
      <c r="AP1094" s="1"/>
      <c r="AQ1094" s="1"/>
      <c r="AR1094" s="1"/>
      <c r="AS1094" s="1"/>
      <c r="AT1094" s="1"/>
      <c r="AU1094" s="1">
        <v>2017</v>
      </c>
      <c r="AV1094" s="1">
        <v>106</v>
      </c>
      <c r="AW1094" s="1"/>
      <c r="AX1094" s="1"/>
      <c r="AY1094" s="1"/>
      <c r="AZ1094" s="1"/>
      <c r="BA1094" s="1"/>
      <c r="BB1094" s="1"/>
      <c r="BC1094" s="1"/>
      <c r="BD1094" s="1">
        <v>8075</v>
      </c>
      <c r="BE1094" s="1" t="s">
        <v>7047</v>
      </c>
      <c r="BF1094" s="1" t="str">
        <f>HYPERLINK("http://dx.doi.org/10.1051/matecconf/201710608075","http://dx.doi.org/10.1051/matecconf/201710608075")</f>
        <v>http://dx.doi.org/10.1051/matecconf/201710608075</v>
      </c>
      <c r="BG1094" s="1"/>
      <c r="BH1094" s="1"/>
      <c r="BI1094" s="1"/>
      <c r="BJ1094" s="1"/>
      <c r="BK1094" s="1"/>
      <c r="BL1094" s="1"/>
      <c r="BM1094" s="1"/>
      <c r="BN1094" s="1"/>
      <c r="BO1094" s="1"/>
      <c r="BP1094" s="1"/>
      <c r="BQ1094" s="1"/>
      <c r="BR1094" s="1"/>
      <c r="BS1094" s="1" t="s">
        <v>7048</v>
      </c>
      <c r="BT1094" s="1" t="str">
        <f>HYPERLINK("https%3A%2F%2Fwww.webofscience.com%2Fwos%2Fwoscc%2Ffull-record%2FWOS:000426426600260","View Full Record in Web of Science")</f>
        <v>View Full Record in Web of Science</v>
      </c>
      <c r="BU1094" s="1"/>
      <c r="BV1094" s="1"/>
      <c r="BW1094" s="1"/>
    </row>
    <row r="1095" spans="1:75" ht="12.75" customHeight="1" x14ac:dyDescent="0.2">
      <c r="A1095" s="1" t="s">
        <v>72</v>
      </c>
      <c r="B1095" s="1" t="s">
        <v>7049</v>
      </c>
      <c r="C1095" s="1"/>
      <c r="D1095" s="1"/>
      <c r="E1095" s="1"/>
      <c r="F1095" s="1" t="s">
        <v>7050</v>
      </c>
      <c r="G1095" s="1"/>
      <c r="H1095" s="1"/>
      <c r="I1095" s="1" t="s">
        <v>7051</v>
      </c>
      <c r="J1095" s="1" t="s">
        <v>6600</v>
      </c>
      <c r="K1095" s="1"/>
      <c r="L1095" s="1"/>
      <c r="M1095" s="1"/>
      <c r="N1095" s="1"/>
      <c r="O1095" s="1"/>
      <c r="P1095" s="1"/>
      <c r="Q1095" s="1"/>
      <c r="R1095" s="1"/>
      <c r="S1095" s="1"/>
      <c r="T1095" s="1"/>
      <c r="U1095" s="1"/>
      <c r="V1095" s="1"/>
      <c r="W1095" s="1"/>
      <c r="X1095" s="1"/>
      <c r="Y1095" s="1"/>
      <c r="Z1095" s="1"/>
      <c r="AA1095" s="1" t="s">
        <v>7052</v>
      </c>
      <c r="AB1095" s="1" t="s">
        <v>7053</v>
      </c>
      <c r="AC1095" s="1"/>
      <c r="AD1095" s="1"/>
      <c r="AE1095" s="1"/>
      <c r="AF1095" s="1"/>
      <c r="AG1095" s="1"/>
      <c r="AH1095" s="1"/>
      <c r="AI1095" s="1"/>
      <c r="AJ1095" s="1"/>
      <c r="AK1095" s="1"/>
      <c r="AL1095" s="1"/>
      <c r="AM1095" s="1"/>
      <c r="AN1095" s="1"/>
      <c r="AO1095" s="1" t="s">
        <v>6603</v>
      </c>
      <c r="AP1095" s="1" t="s">
        <v>6604</v>
      </c>
      <c r="AQ1095" s="1"/>
      <c r="AR1095" s="1"/>
      <c r="AS1095" s="1"/>
      <c r="AT1095" s="1" t="s">
        <v>3477</v>
      </c>
      <c r="AU1095" s="1">
        <v>2022</v>
      </c>
      <c r="AV1095" s="1">
        <v>12</v>
      </c>
      <c r="AW1095" s="1">
        <v>6</v>
      </c>
      <c r="AX1095" s="1"/>
      <c r="AY1095" s="1"/>
      <c r="AZ1095" s="1"/>
      <c r="BA1095" s="1"/>
      <c r="BB1095" s="1">
        <v>1163</v>
      </c>
      <c r="BC1095" s="1">
        <v>1168</v>
      </c>
      <c r="BD1095" s="1"/>
      <c r="BE1095" s="1" t="s">
        <v>7054</v>
      </c>
      <c r="BF1095" s="1" t="str">
        <f>HYPERLINK("http://dx.doi.org/10.15789/2220-7619-IAO-2007","http://dx.doi.org/10.15789/2220-7619-IAO-2007")</f>
        <v>http://dx.doi.org/10.15789/2220-7619-IAO-2007</v>
      </c>
      <c r="BG1095" s="1"/>
      <c r="BH1095" s="1"/>
      <c r="BI1095" s="1"/>
      <c r="BJ1095" s="1"/>
      <c r="BK1095" s="1"/>
      <c r="BL1095" s="1"/>
      <c r="BM1095" s="1"/>
      <c r="BN1095" s="1"/>
      <c r="BO1095" s="1"/>
      <c r="BP1095" s="1"/>
      <c r="BQ1095" s="1"/>
      <c r="BR1095" s="1"/>
      <c r="BS1095" s="1" t="s">
        <v>7055</v>
      </c>
      <c r="BT1095" s="1" t="str">
        <f>HYPERLINK("https%3A%2F%2Fwww.webofscience.com%2Fwos%2Fwoscc%2Ffull-record%2FWOS:000921018100018","View Full Record in Web of Science")</f>
        <v>View Full Record in Web of Science</v>
      </c>
      <c r="BU1095" s="1"/>
      <c r="BV1095" s="1"/>
      <c r="BW1095" s="1"/>
    </row>
    <row r="1096" spans="1:75" ht="12.75" customHeight="1" x14ac:dyDescent="0.2">
      <c r="A1096" s="1" t="s">
        <v>72</v>
      </c>
      <c r="B1096" s="1" t="s">
        <v>6837</v>
      </c>
      <c r="C1096" s="1"/>
      <c r="D1096" s="1"/>
      <c r="E1096" s="1"/>
      <c r="F1096" s="1" t="s">
        <v>6838</v>
      </c>
      <c r="G1096" s="1"/>
      <c r="H1096" s="1"/>
      <c r="I1096" s="1" t="s">
        <v>7056</v>
      </c>
      <c r="J1096" s="1" t="s">
        <v>5436</v>
      </c>
      <c r="K1096" s="1"/>
      <c r="L1096" s="1"/>
      <c r="M1096" s="1"/>
      <c r="N1096" s="1"/>
      <c r="O1096" s="1"/>
      <c r="P1096" s="1"/>
      <c r="Q1096" s="1"/>
      <c r="R1096" s="1"/>
      <c r="S1096" s="1"/>
      <c r="T1096" s="1"/>
      <c r="U1096" s="1"/>
      <c r="V1096" s="1"/>
      <c r="W1096" s="1"/>
      <c r="X1096" s="1"/>
      <c r="Y1096" s="1"/>
      <c r="Z1096" s="1"/>
      <c r="AA1096" s="1" t="s">
        <v>6058</v>
      </c>
      <c r="AB1096" s="1" t="s">
        <v>7057</v>
      </c>
      <c r="AC1096" s="1"/>
      <c r="AD1096" s="1"/>
      <c r="AE1096" s="1"/>
      <c r="AF1096" s="1"/>
      <c r="AG1096" s="1"/>
      <c r="AH1096" s="1"/>
      <c r="AI1096" s="1"/>
      <c r="AJ1096" s="1"/>
      <c r="AK1096" s="1"/>
      <c r="AL1096" s="1"/>
      <c r="AM1096" s="1"/>
      <c r="AN1096" s="1"/>
      <c r="AO1096" s="1" t="s">
        <v>5439</v>
      </c>
      <c r="AP1096" s="1" t="s">
        <v>5440</v>
      </c>
      <c r="AQ1096" s="1"/>
      <c r="AR1096" s="1"/>
      <c r="AS1096" s="1"/>
      <c r="AT1096" s="1" t="s">
        <v>830</v>
      </c>
      <c r="AU1096" s="1">
        <v>2017</v>
      </c>
      <c r="AV1096" s="1">
        <v>53</v>
      </c>
      <c r="AW1096" s="1">
        <v>4</v>
      </c>
      <c r="AX1096" s="1"/>
      <c r="AY1096" s="1"/>
      <c r="AZ1096" s="1"/>
      <c r="BA1096" s="1"/>
      <c r="BB1096" s="1">
        <v>425</v>
      </c>
      <c r="BC1096" s="1">
        <v>440</v>
      </c>
      <c r="BD1096" s="1"/>
      <c r="BE1096" s="1" t="s">
        <v>7058</v>
      </c>
      <c r="BF1096" s="1" t="str">
        <f>HYPERLINK("http://dx.doi.org/10.1007/s11029-017-9673-9","http://dx.doi.org/10.1007/s11029-017-9673-9")</f>
        <v>http://dx.doi.org/10.1007/s11029-017-9673-9</v>
      </c>
      <c r="BG1096" s="1"/>
      <c r="BH1096" s="1"/>
      <c r="BI1096" s="1"/>
      <c r="BJ1096" s="1"/>
      <c r="BK1096" s="1"/>
      <c r="BL1096" s="1"/>
      <c r="BM1096" s="1"/>
      <c r="BN1096" s="1"/>
      <c r="BO1096" s="1"/>
      <c r="BP1096" s="1"/>
      <c r="BQ1096" s="1"/>
      <c r="BR1096" s="1"/>
      <c r="BS1096" s="1" t="s">
        <v>7059</v>
      </c>
      <c r="BT1096" s="1" t="str">
        <f>HYPERLINK("https%3A%2F%2Fwww.webofscience.com%2Fwos%2Fwoscc%2Ffull-record%2FWOS:000410474000001","View Full Record in Web of Science")</f>
        <v>View Full Record in Web of Science</v>
      </c>
      <c r="BU1096" s="1"/>
      <c r="BV1096" s="1"/>
      <c r="BW1096" s="1"/>
    </row>
    <row r="1097" spans="1:75" ht="12.75" customHeight="1" x14ac:dyDescent="0.2">
      <c r="A1097" s="1" t="s">
        <v>72</v>
      </c>
      <c r="B1097" s="1" t="s">
        <v>7060</v>
      </c>
      <c r="C1097" s="1"/>
      <c r="D1097" s="1"/>
      <c r="E1097" s="1"/>
      <c r="F1097" s="1" t="s">
        <v>7061</v>
      </c>
      <c r="G1097" s="1"/>
      <c r="H1097" s="1"/>
      <c r="I1097" s="1" t="s">
        <v>7062</v>
      </c>
      <c r="J1097" s="1" t="s">
        <v>7063</v>
      </c>
      <c r="K1097" s="1"/>
      <c r="L1097" s="1"/>
      <c r="M1097" s="1"/>
      <c r="N1097" s="1"/>
      <c r="O1097" s="1"/>
      <c r="P1097" s="1"/>
      <c r="Q1097" s="1"/>
      <c r="R1097" s="1"/>
      <c r="S1097" s="1"/>
      <c r="T1097" s="1"/>
      <c r="U1097" s="1"/>
      <c r="V1097" s="1"/>
      <c r="W1097" s="1"/>
      <c r="X1097" s="1"/>
      <c r="Y1097" s="1"/>
      <c r="Z1097" s="1"/>
      <c r="AA1097" s="1" t="s">
        <v>6847</v>
      </c>
      <c r="AB1097" s="1" t="s">
        <v>7064</v>
      </c>
      <c r="AC1097" s="1"/>
      <c r="AD1097" s="1"/>
      <c r="AE1097" s="1"/>
      <c r="AF1097" s="1"/>
      <c r="AG1097" s="1"/>
      <c r="AH1097" s="1"/>
      <c r="AI1097" s="1"/>
      <c r="AJ1097" s="1"/>
      <c r="AK1097" s="1"/>
      <c r="AL1097" s="1"/>
      <c r="AM1097" s="1"/>
      <c r="AN1097" s="1"/>
      <c r="AO1097" s="1" t="s">
        <v>7065</v>
      </c>
      <c r="AP1097" s="1" t="s">
        <v>7066</v>
      </c>
      <c r="AQ1097" s="1"/>
      <c r="AR1097" s="1"/>
      <c r="AS1097" s="1"/>
      <c r="AT1097" s="1" t="s">
        <v>1173</v>
      </c>
      <c r="AU1097" s="1">
        <v>2022</v>
      </c>
      <c r="AV1097" s="1">
        <v>76</v>
      </c>
      <c r="AW1097" s="1">
        <v>8</v>
      </c>
      <c r="AX1097" s="1"/>
      <c r="AY1097" s="1"/>
      <c r="AZ1097" s="1"/>
      <c r="BA1097" s="1"/>
      <c r="BB1097" s="1">
        <v>5033</v>
      </c>
      <c r="BC1097" s="1">
        <v>5042</v>
      </c>
      <c r="BD1097" s="1"/>
      <c r="BE1097" s="1" t="s">
        <v>7067</v>
      </c>
      <c r="BF1097" s="1" t="str">
        <f>HYPERLINK("http://dx.doi.org/10.1007/s11696-022-02234-9","http://dx.doi.org/10.1007/s11696-022-02234-9")</f>
        <v>http://dx.doi.org/10.1007/s11696-022-02234-9</v>
      </c>
      <c r="BG1097" s="1"/>
      <c r="BH1097" s="1" t="s">
        <v>4855</v>
      </c>
      <c r="BI1097" s="1"/>
      <c r="BJ1097" s="1"/>
      <c r="BK1097" s="1"/>
      <c r="BL1097" s="1"/>
      <c r="BM1097" s="1"/>
      <c r="BN1097" s="1"/>
      <c r="BO1097" s="1"/>
      <c r="BP1097" s="1"/>
      <c r="BQ1097" s="1"/>
      <c r="BR1097" s="1"/>
      <c r="BS1097" s="1" t="s">
        <v>7068</v>
      </c>
      <c r="BT1097" s="1" t="str">
        <f>HYPERLINK("https%3A%2F%2Fwww.webofscience.com%2Fwos%2Fwoscc%2Ffull-record%2FWOS:000790677400002","View Full Record in Web of Science")</f>
        <v>View Full Record in Web of Science</v>
      </c>
      <c r="BU1097" s="1"/>
      <c r="BV1097" s="1"/>
      <c r="BW1097" s="1"/>
    </row>
    <row r="1098" spans="1:75" ht="12.75" customHeight="1" x14ac:dyDescent="0.2">
      <c r="A1098" s="1" t="s">
        <v>72</v>
      </c>
      <c r="B1098" s="1" t="s">
        <v>7069</v>
      </c>
      <c r="C1098" s="1"/>
      <c r="D1098" s="1"/>
      <c r="E1098" s="1"/>
      <c r="F1098" s="1" t="s">
        <v>7070</v>
      </c>
      <c r="G1098" s="1"/>
      <c r="H1098" s="1"/>
      <c r="I1098" s="1" t="s">
        <v>7071</v>
      </c>
      <c r="J1098" s="1" t="s">
        <v>95</v>
      </c>
      <c r="K1098" s="1"/>
      <c r="L1098" s="1"/>
      <c r="M1098" s="1"/>
      <c r="N1098" s="1"/>
      <c r="O1098" s="1"/>
      <c r="P1098" s="1"/>
      <c r="Q1098" s="1"/>
      <c r="R1098" s="1"/>
      <c r="S1098" s="1"/>
      <c r="T1098" s="1"/>
      <c r="U1098" s="1"/>
      <c r="V1098" s="1"/>
      <c r="W1098" s="1"/>
      <c r="X1098" s="1"/>
      <c r="Y1098" s="1"/>
      <c r="Z1098" s="1"/>
      <c r="AA1098" s="1" t="s">
        <v>7072</v>
      </c>
      <c r="AB1098" s="1" t="s">
        <v>7073</v>
      </c>
      <c r="AC1098" s="1"/>
      <c r="AD1098" s="1"/>
      <c r="AE1098" s="1"/>
      <c r="AF1098" s="1"/>
      <c r="AG1098" s="1"/>
      <c r="AH1098" s="1"/>
      <c r="AI1098" s="1"/>
      <c r="AJ1098" s="1"/>
      <c r="AK1098" s="1"/>
      <c r="AL1098" s="1"/>
      <c r="AM1098" s="1"/>
      <c r="AN1098" s="1"/>
      <c r="AO1098" s="1" t="s">
        <v>98</v>
      </c>
      <c r="AP1098" s="1" t="s">
        <v>99</v>
      </c>
      <c r="AQ1098" s="1"/>
      <c r="AR1098" s="1"/>
      <c r="AS1098" s="1"/>
      <c r="AT1098" s="1"/>
      <c r="AU1098" s="1">
        <v>2020</v>
      </c>
      <c r="AV1098" s="1"/>
      <c r="AW1098" s="1">
        <v>2</v>
      </c>
      <c r="AX1098" s="1"/>
      <c r="AY1098" s="1"/>
      <c r="AZ1098" s="1"/>
      <c r="BA1098" s="1"/>
      <c r="BB1098" s="1">
        <v>117</v>
      </c>
      <c r="BC1098" s="1">
        <v>122</v>
      </c>
      <c r="BD1098" s="1"/>
      <c r="BE1098" s="1" t="s">
        <v>7074</v>
      </c>
      <c r="BF1098" s="1" t="str">
        <f>HYPERLINK("http://dx.doi.org/10.25750/1995-4301-2020-2-117-122","http://dx.doi.org/10.25750/1995-4301-2020-2-117-122")</f>
        <v>http://dx.doi.org/10.25750/1995-4301-2020-2-117-122</v>
      </c>
      <c r="BG1098" s="1"/>
      <c r="BH1098" s="1"/>
      <c r="BI1098" s="1"/>
      <c r="BJ1098" s="1"/>
      <c r="BK1098" s="1"/>
      <c r="BL1098" s="1"/>
      <c r="BM1098" s="1"/>
      <c r="BN1098" s="1"/>
      <c r="BO1098" s="1"/>
      <c r="BP1098" s="1"/>
      <c r="BQ1098" s="1"/>
      <c r="BR1098" s="1"/>
      <c r="BS1098" s="1" t="s">
        <v>7075</v>
      </c>
      <c r="BT1098" s="1" t="str">
        <f>HYPERLINK("https%3A%2F%2Fwww.webofscience.com%2Fwos%2Fwoscc%2Ffull-record%2FWOS:000545295600016","View Full Record in Web of Science")</f>
        <v>View Full Record in Web of Science</v>
      </c>
      <c r="BU1098" s="1"/>
      <c r="BV1098" s="1"/>
      <c r="BW1098" s="1"/>
    </row>
    <row r="1099" spans="1:75" ht="12.75" customHeight="1" x14ac:dyDescent="0.2">
      <c r="A1099" s="1" t="s">
        <v>72</v>
      </c>
      <c r="B1099" s="1" t="s">
        <v>7076</v>
      </c>
      <c r="C1099" s="1"/>
      <c r="D1099" s="1"/>
      <c r="E1099" s="1"/>
      <c r="F1099" s="1" t="s">
        <v>7077</v>
      </c>
      <c r="G1099" s="1"/>
      <c r="H1099" s="1"/>
      <c r="I1099" s="1" t="s">
        <v>7078</v>
      </c>
      <c r="J1099" s="1" t="s">
        <v>7079</v>
      </c>
      <c r="K1099" s="1"/>
      <c r="L1099" s="1"/>
      <c r="M1099" s="1"/>
      <c r="N1099" s="1"/>
      <c r="O1099" s="1"/>
      <c r="P1099" s="1"/>
      <c r="Q1099" s="1"/>
      <c r="R1099" s="1"/>
      <c r="S1099" s="1"/>
      <c r="T1099" s="1"/>
      <c r="U1099" s="1"/>
      <c r="V1099" s="1"/>
      <c r="W1099" s="1"/>
      <c r="X1099" s="1"/>
      <c r="Y1099" s="1"/>
      <c r="Z1099" s="1"/>
      <c r="AA1099" s="1" t="s">
        <v>7080</v>
      </c>
      <c r="AB1099" s="1" t="s">
        <v>7081</v>
      </c>
      <c r="AC1099" s="1"/>
      <c r="AD1099" s="1"/>
      <c r="AE1099" s="1"/>
      <c r="AF1099" s="1"/>
      <c r="AG1099" s="1"/>
      <c r="AH1099" s="1"/>
      <c r="AI1099" s="1"/>
      <c r="AJ1099" s="1"/>
      <c r="AK1099" s="1"/>
      <c r="AL1099" s="1"/>
      <c r="AM1099" s="1"/>
      <c r="AN1099" s="1"/>
      <c r="AO1099" s="1" t="s">
        <v>7082</v>
      </c>
      <c r="AP1099" s="1" t="s">
        <v>7083</v>
      </c>
      <c r="AQ1099" s="1"/>
      <c r="AR1099" s="1"/>
      <c r="AS1099" s="1"/>
      <c r="AT1099" s="1" t="s">
        <v>830</v>
      </c>
      <c r="AU1099" s="1">
        <v>2019</v>
      </c>
      <c r="AV1099" s="1">
        <v>107</v>
      </c>
      <c r="AW1099" s="1">
        <v>9</v>
      </c>
      <c r="AX1099" s="1"/>
      <c r="AY1099" s="1"/>
      <c r="AZ1099" s="1"/>
      <c r="BA1099" s="1"/>
      <c r="BB1099" s="1">
        <v>2088</v>
      </c>
      <c r="BC1099" s="1">
        <v>2098</v>
      </c>
      <c r="BD1099" s="1"/>
      <c r="BE1099" s="1" t="s">
        <v>7084</v>
      </c>
      <c r="BF1099" s="1" t="str">
        <f>HYPERLINK("http://dx.doi.org/10.1002/jbm.a.36721","http://dx.doi.org/10.1002/jbm.a.36721")</f>
        <v>http://dx.doi.org/10.1002/jbm.a.36721</v>
      </c>
      <c r="BG1099" s="1"/>
      <c r="BH1099" s="1"/>
      <c r="BI1099" s="1"/>
      <c r="BJ1099" s="1"/>
      <c r="BK1099" s="1"/>
      <c r="BL1099" s="1"/>
      <c r="BM1099" s="1"/>
      <c r="BN1099" s="1">
        <v>31087773</v>
      </c>
      <c r="BO1099" s="1"/>
      <c r="BP1099" s="1"/>
      <c r="BQ1099" s="1"/>
      <c r="BR1099" s="1"/>
      <c r="BS1099" s="1" t="s">
        <v>7085</v>
      </c>
      <c r="BT1099" s="1" t="str">
        <f>HYPERLINK("https%3A%2F%2Fwww.webofscience.com%2Fwos%2Fwoscc%2Ffull-record%2FWOS:000475476600021","View Full Record in Web of Science")</f>
        <v>View Full Record in Web of Science</v>
      </c>
      <c r="BU1099" s="1"/>
      <c r="BV1099" s="1"/>
      <c r="BW1099" s="1"/>
    </row>
    <row r="1100" spans="1:75" ht="12.75" customHeight="1" x14ac:dyDescent="0.2">
      <c r="A1100" s="1" t="s">
        <v>1342</v>
      </c>
      <c r="B1100" s="1" t="s">
        <v>7086</v>
      </c>
      <c r="C1100" s="1"/>
      <c r="D1100" s="1" t="s">
        <v>7087</v>
      </c>
      <c r="E1100" s="1"/>
      <c r="F1100" s="1" t="s">
        <v>7088</v>
      </c>
      <c r="G1100" s="1"/>
      <c r="H1100" s="1"/>
      <c r="I1100" s="1" t="s">
        <v>7089</v>
      </c>
      <c r="J1100" s="1" t="s">
        <v>7090</v>
      </c>
      <c r="K1100" s="1" t="s">
        <v>4579</v>
      </c>
      <c r="L1100" s="1"/>
      <c r="M1100" s="1"/>
      <c r="N1100" s="1"/>
      <c r="O1100" s="1"/>
      <c r="P1100" s="1"/>
      <c r="Q1100" s="1"/>
      <c r="R1100" s="1"/>
      <c r="S1100" s="1"/>
      <c r="T1100" s="1"/>
      <c r="U1100" s="1"/>
      <c r="V1100" s="1"/>
      <c r="W1100" s="1"/>
      <c r="X1100" s="1"/>
      <c r="Y1100" s="1"/>
      <c r="Z1100" s="1"/>
      <c r="AA1100" s="1" t="s">
        <v>7091</v>
      </c>
      <c r="AB1100" s="1" t="s">
        <v>7092</v>
      </c>
      <c r="AC1100" s="1"/>
      <c r="AD1100" s="1"/>
      <c r="AE1100" s="1"/>
      <c r="AF1100" s="1"/>
      <c r="AG1100" s="1"/>
      <c r="AH1100" s="1"/>
      <c r="AI1100" s="1"/>
      <c r="AJ1100" s="1"/>
      <c r="AK1100" s="1"/>
      <c r="AL1100" s="1"/>
      <c r="AM1100" s="1"/>
      <c r="AN1100" s="1"/>
      <c r="AO1100" s="1" t="s">
        <v>4580</v>
      </c>
      <c r="AP1100" s="1" t="s">
        <v>4581</v>
      </c>
      <c r="AQ1100" s="1" t="s">
        <v>7093</v>
      </c>
      <c r="AR1100" s="1"/>
      <c r="AS1100" s="1"/>
      <c r="AT1100" s="1"/>
      <c r="AU1100" s="1">
        <v>2018</v>
      </c>
      <c r="AV1100" s="1">
        <v>135</v>
      </c>
      <c r="AW1100" s="1"/>
      <c r="AX1100" s="1"/>
      <c r="AY1100" s="1"/>
      <c r="AZ1100" s="1"/>
      <c r="BA1100" s="1"/>
      <c r="BB1100" s="1">
        <v>131</v>
      </c>
      <c r="BC1100" s="1">
        <v>137</v>
      </c>
      <c r="BD1100" s="1"/>
      <c r="BE1100" s="1" t="s">
        <v>7094</v>
      </c>
      <c r="BF1100" s="1" t="str">
        <f>HYPERLINK("http://dx.doi.org/10.1007/978-3-319-72613-7_11","http://dx.doi.org/10.1007/978-3-319-72613-7_11")</f>
        <v>http://dx.doi.org/10.1007/978-3-319-72613-7_11</v>
      </c>
      <c r="BG1100" s="1" t="s">
        <v>7095</v>
      </c>
      <c r="BH1100" s="1"/>
      <c r="BI1100" s="1"/>
      <c r="BJ1100" s="1"/>
      <c r="BK1100" s="1"/>
      <c r="BL1100" s="1"/>
      <c r="BM1100" s="1"/>
      <c r="BN1100" s="1"/>
      <c r="BO1100" s="1"/>
      <c r="BP1100" s="1"/>
      <c r="BQ1100" s="1"/>
      <c r="BR1100" s="1"/>
      <c r="BS1100" s="1" t="s">
        <v>7096</v>
      </c>
      <c r="BT1100" s="1" t="str">
        <f>HYPERLINK("https%3A%2F%2Fwww.webofscience.com%2Fwos%2Fwoscc%2Ffull-record%2FWOS:000554931000012","View Full Record in Web of Science")</f>
        <v>View Full Record in Web of Science</v>
      </c>
      <c r="BU1100" s="1"/>
      <c r="BV1100" s="1"/>
      <c r="BW1100" s="1"/>
    </row>
    <row r="1101" spans="1:75" ht="12.75" customHeight="1" x14ac:dyDescent="0.2">
      <c r="A1101" s="1" t="s">
        <v>72</v>
      </c>
      <c r="B1101" s="1" t="s">
        <v>7097</v>
      </c>
      <c r="C1101" s="1"/>
      <c r="D1101" s="1"/>
      <c r="E1101" s="1"/>
      <c r="F1101" s="1" t="s">
        <v>7098</v>
      </c>
      <c r="G1101" s="1"/>
      <c r="H1101" s="1"/>
      <c r="I1101" s="1" t="s">
        <v>7099</v>
      </c>
      <c r="J1101" s="1" t="s">
        <v>7100</v>
      </c>
      <c r="K1101" s="1"/>
      <c r="L1101" s="1"/>
      <c r="M1101" s="1"/>
      <c r="N1101" s="1"/>
      <c r="O1101" s="1"/>
      <c r="P1101" s="1"/>
      <c r="Q1101" s="1"/>
      <c r="R1101" s="1"/>
      <c r="S1101" s="1"/>
      <c r="T1101" s="1"/>
      <c r="U1101" s="1"/>
      <c r="V1101" s="1"/>
      <c r="W1101" s="1"/>
      <c r="X1101" s="1"/>
      <c r="Y1101" s="1"/>
      <c r="Z1101" s="1"/>
      <c r="AA1101" s="1" t="s">
        <v>7101</v>
      </c>
      <c r="AB1101" s="1" t="s">
        <v>7102</v>
      </c>
      <c r="AC1101" s="1"/>
      <c r="AD1101" s="1"/>
      <c r="AE1101" s="1"/>
      <c r="AF1101" s="1"/>
      <c r="AG1101" s="1"/>
      <c r="AH1101" s="1"/>
      <c r="AI1101" s="1"/>
      <c r="AJ1101" s="1"/>
      <c r="AK1101" s="1"/>
      <c r="AL1101" s="1"/>
      <c r="AM1101" s="1"/>
      <c r="AN1101" s="1"/>
      <c r="AO1101" s="1" t="s">
        <v>7103</v>
      </c>
      <c r="AP1101" s="1" t="s">
        <v>7104</v>
      </c>
      <c r="AQ1101" s="1"/>
      <c r="AR1101" s="1"/>
      <c r="AS1101" s="1"/>
      <c r="AT1101" s="1" t="s">
        <v>7105</v>
      </c>
      <c r="AU1101" s="1">
        <v>2014</v>
      </c>
      <c r="AV1101" s="1">
        <v>103</v>
      </c>
      <c r="AW1101" s="1"/>
      <c r="AX1101" s="1"/>
      <c r="AY1101" s="1"/>
      <c r="AZ1101" s="1"/>
      <c r="BA1101" s="1"/>
      <c r="BB1101" s="1">
        <v>550</v>
      </c>
      <c r="BC1101" s="1">
        <v>557</v>
      </c>
      <c r="BD1101" s="1"/>
      <c r="BE1101" s="1" t="s">
        <v>7106</v>
      </c>
      <c r="BF1101" s="1" t="str">
        <f>HYPERLINK("http://dx.doi.org/10.1016/j.carbpol.2013.12.071","http://dx.doi.org/10.1016/j.carbpol.2013.12.071")</f>
        <v>http://dx.doi.org/10.1016/j.carbpol.2013.12.071</v>
      </c>
      <c r="BG1101" s="1"/>
      <c r="BH1101" s="1"/>
      <c r="BI1101" s="1"/>
      <c r="BJ1101" s="1"/>
      <c r="BK1101" s="1"/>
      <c r="BL1101" s="1"/>
      <c r="BM1101" s="1"/>
      <c r="BN1101" s="1">
        <v>24528765</v>
      </c>
      <c r="BO1101" s="1"/>
      <c r="BP1101" s="1"/>
      <c r="BQ1101" s="1"/>
      <c r="BR1101" s="1"/>
      <c r="BS1101" s="1" t="s">
        <v>7107</v>
      </c>
      <c r="BT1101" s="1" t="str">
        <f>HYPERLINK("https%3A%2F%2Fwww.webofscience.com%2Fwos%2Fwoscc%2Ffull-record%2FWOS:000332812600072","View Full Record in Web of Science")</f>
        <v>View Full Record in Web of Science</v>
      </c>
      <c r="BU1101" s="1"/>
      <c r="BV1101" s="1"/>
      <c r="BW1101" s="1"/>
    </row>
    <row r="1102" spans="1:75" ht="12.75" customHeight="1" x14ac:dyDescent="0.2">
      <c r="A1102" s="1" t="s">
        <v>72</v>
      </c>
      <c r="B1102" s="1" t="s">
        <v>7108</v>
      </c>
      <c r="C1102" s="1"/>
      <c r="D1102" s="1"/>
      <c r="E1102" s="1"/>
      <c r="F1102" s="1" t="s">
        <v>7109</v>
      </c>
      <c r="G1102" s="1"/>
      <c r="H1102" s="1"/>
      <c r="I1102" s="1" t="s">
        <v>7110</v>
      </c>
      <c r="J1102" s="1" t="s">
        <v>95</v>
      </c>
      <c r="K1102" s="1"/>
      <c r="L1102" s="1"/>
      <c r="M1102" s="1"/>
      <c r="N1102" s="1"/>
      <c r="O1102" s="1"/>
      <c r="P1102" s="1"/>
      <c r="Q1102" s="1"/>
      <c r="R1102" s="1"/>
      <c r="S1102" s="1"/>
      <c r="T1102" s="1"/>
      <c r="U1102" s="1"/>
      <c r="V1102" s="1"/>
      <c r="W1102" s="1"/>
      <c r="X1102" s="1"/>
      <c r="Y1102" s="1"/>
      <c r="Z1102" s="1"/>
      <c r="AA1102" s="1" t="s">
        <v>5529</v>
      </c>
      <c r="AB1102" s="1" t="s">
        <v>5530</v>
      </c>
      <c r="AC1102" s="1"/>
      <c r="AD1102" s="1"/>
      <c r="AE1102" s="1"/>
      <c r="AF1102" s="1"/>
      <c r="AG1102" s="1"/>
      <c r="AH1102" s="1"/>
      <c r="AI1102" s="1"/>
      <c r="AJ1102" s="1"/>
      <c r="AK1102" s="1"/>
      <c r="AL1102" s="1"/>
      <c r="AM1102" s="1"/>
      <c r="AN1102" s="1"/>
      <c r="AO1102" s="1" t="s">
        <v>98</v>
      </c>
      <c r="AP1102" s="1" t="s">
        <v>99</v>
      </c>
      <c r="AQ1102" s="1"/>
      <c r="AR1102" s="1"/>
      <c r="AS1102" s="1"/>
      <c r="AT1102" s="1"/>
      <c r="AU1102" s="1">
        <v>2022</v>
      </c>
      <c r="AV1102" s="1"/>
      <c r="AW1102" s="1">
        <v>1</v>
      </c>
      <c r="AX1102" s="1"/>
      <c r="AY1102" s="1"/>
      <c r="AZ1102" s="1"/>
      <c r="BA1102" s="1"/>
      <c r="BB1102" s="1">
        <v>84</v>
      </c>
      <c r="BC1102" s="1">
        <v>90</v>
      </c>
      <c r="BD1102" s="1"/>
      <c r="BE1102" s="1" t="s">
        <v>7111</v>
      </c>
      <c r="BF1102" s="1" t="str">
        <f>HYPERLINK("http://dx.doi.org/10.25750/1995-4301-2022-1-084-090","http://dx.doi.org/10.25750/1995-4301-2022-1-084-090")</f>
        <v>http://dx.doi.org/10.25750/1995-4301-2022-1-084-090</v>
      </c>
      <c r="BG1102" s="1"/>
      <c r="BH1102" s="1"/>
      <c r="BI1102" s="1"/>
      <c r="BJ1102" s="1"/>
      <c r="BK1102" s="1"/>
      <c r="BL1102" s="1"/>
      <c r="BM1102" s="1"/>
      <c r="BN1102" s="1"/>
      <c r="BO1102" s="1"/>
      <c r="BP1102" s="1"/>
      <c r="BQ1102" s="1"/>
      <c r="BR1102" s="1"/>
      <c r="BS1102" s="1" t="s">
        <v>7112</v>
      </c>
      <c r="BT1102" s="1" t="str">
        <f>HYPERLINK("https%3A%2F%2Fwww.webofscience.com%2Fwos%2Fwoscc%2Ffull-record%2FWOS:000819811100011","View Full Record in Web of Science")</f>
        <v>View Full Record in Web of Science</v>
      </c>
      <c r="BU1102" s="1"/>
      <c r="BV1102" s="1"/>
      <c r="BW1102" s="1"/>
    </row>
    <row r="1103" spans="1:75" ht="12.75" customHeight="1" x14ac:dyDescent="0.2">
      <c r="A1103" s="1" t="s">
        <v>72</v>
      </c>
      <c r="B1103" s="1" t="s">
        <v>7113</v>
      </c>
      <c r="C1103" s="1"/>
      <c r="D1103" s="1"/>
      <c r="E1103" s="1"/>
      <c r="F1103" s="1" t="s">
        <v>7114</v>
      </c>
      <c r="G1103" s="1"/>
      <c r="H1103" s="1"/>
      <c r="I1103" s="1" t="s">
        <v>7115</v>
      </c>
      <c r="J1103" s="1" t="s">
        <v>716</v>
      </c>
      <c r="K1103" s="1"/>
      <c r="L1103" s="1"/>
      <c r="M1103" s="1"/>
      <c r="N1103" s="1"/>
      <c r="O1103" s="1"/>
      <c r="P1103" s="1"/>
      <c r="Q1103" s="1"/>
      <c r="R1103" s="1"/>
      <c r="S1103" s="1"/>
      <c r="T1103" s="1"/>
      <c r="U1103" s="1"/>
      <c r="V1103" s="1"/>
      <c r="W1103" s="1"/>
      <c r="X1103" s="1"/>
      <c r="Y1103" s="1"/>
      <c r="Z1103" s="1"/>
      <c r="AA1103" s="1" t="s">
        <v>7116</v>
      </c>
      <c r="AB1103" s="1" t="s">
        <v>7117</v>
      </c>
      <c r="AC1103" s="1"/>
      <c r="AD1103" s="1"/>
      <c r="AE1103" s="1"/>
      <c r="AF1103" s="1"/>
      <c r="AG1103" s="1"/>
      <c r="AH1103" s="1"/>
      <c r="AI1103" s="1"/>
      <c r="AJ1103" s="1"/>
      <c r="AK1103" s="1"/>
      <c r="AL1103" s="1"/>
      <c r="AM1103" s="1"/>
      <c r="AN1103" s="1"/>
      <c r="AO1103" s="1" t="s">
        <v>719</v>
      </c>
      <c r="AP1103" s="1" t="s">
        <v>720</v>
      </c>
      <c r="AQ1103" s="1"/>
      <c r="AR1103" s="1"/>
      <c r="AS1103" s="1"/>
      <c r="AT1103" s="1" t="s">
        <v>541</v>
      </c>
      <c r="AU1103" s="1">
        <v>2021</v>
      </c>
      <c r="AV1103" s="1"/>
      <c r="AW1103" s="1">
        <v>462</v>
      </c>
      <c r="AX1103" s="1"/>
      <c r="AY1103" s="1"/>
      <c r="AZ1103" s="1"/>
      <c r="BA1103" s="1"/>
      <c r="BB1103" s="1">
        <v>256</v>
      </c>
      <c r="BC1103" s="1">
        <v>268</v>
      </c>
      <c r="BD1103" s="1"/>
      <c r="BE1103" s="1" t="s">
        <v>7118</v>
      </c>
      <c r="BF1103" s="1" t="str">
        <f>HYPERLINK("http://dx.doi.org/10.17223/15617793/462/31","http://dx.doi.org/10.17223/15617793/462/31")</f>
        <v>http://dx.doi.org/10.17223/15617793/462/31</v>
      </c>
      <c r="BG1103" s="1"/>
      <c r="BH1103" s="1"/>
      <c r="BI1103" s="1"/>
      <c r="BJ1103" s="1"/>
      <c r="BK1103" s="1"/>
      <c r="BL1103" s="1"/>
      <c r="BM1103" s="1"/>
      <c r="BN1103" s="1"/>
      <c r="BO1103" s="1"/>
      <c r="BP1103" s="1"/>
      <c r="BQ1103" s="1"/>
      <c r="BR1103" s="1"/>
      <c r="BS1103" s="1" t="s">
        <v>7119</v>
      </c>
      <c r="BT1103" s="1" t="str">
        <f>HYPERLINK("https%3A%2F%2Fwww.webofscience.com%2Fwos%2Fwoscc%2Ffull-record%2FWOS:000637601600031","View Full Record in Web of Science")</f>
        <v>View Full Record in Web of Science</v>
      </c>
      <c r="BU1103" s="1"/>
      <c r="BV1103" s="1"/>
      <c r="BW1103" s="1"/>
    </row>
    <row r="1104" spans="1:75" ht="12.75" customHeight="1" x14ac:dyDescent="0.2">
      <c r="A1104" s="1" t="s">
        <v>72</v>
      </c>
      <c r="B1104" s="1" t="s">
        <v>7120</v>
      </c>
      <c r="C1104" s="1"/>
      <c r="D1104" s="1"/>
      <c r="E1104" s="1"/>
      <c r="F1104" s="1" t="s">
        <v>7121</v>
      </c>
      <c r="G1104" s="1"/>
      <c r="H1104" s="1"/>
      <c r="I1104" s="1" t="s">
        <v>7122</v>
      </c>
      <c r="J1104" s="1" t="s">
        <v>95</v>
      </c>
      <c r="K1104" s="1"/>
      <c r="L1104" s="1"/>
      <c r="M1104" s="1"/>
      <c r="N1104" s="1"/>
      <c r="O1104" s="1"/>
      <c r="P1104" s="1"/>
      <c r="Q1104" s="1"/>
      <c r="R1104" s="1"/>
      <c r="S1104" s="1"/>
      <c r="T1104" s="1"/>
      <c r="U1104" s="1"/>
      <c r="V1104" s="1"/>
      <c r="W1104" s="1"/>
      <c r="X1104" s="1"/>
      <c r="Y1104" s="1"/>
      <c r="Z1104" s="1"/>
      <c r="AA1104" s="1" t="s">
        <v>5529</v>
      </c>
      <c r="AB1104" s="1" t="s">
        <v>5530</v>
      </c>
      <c r="AC1104" s="1"/>
      <c r="AD1104" s="1"/>
      <c r="AE1104" s="1"/>
      <c r="AF1104" s="1"/>
      <c r="AG1104" s="1"/>
      <c r="AH1104" s="1"/>
      <c r="AI1104" s="1"/>
      <c r="AJ1104" s="1"/>
      <c r="AK1104" s="1"/>
      <c r="AL1104" s="1"/>
      <c r="AM1104" s="1"/>
      <c r="AN1104" s="1"/>
      <c r="AO1104" s="1" t="s">
        <v>98</v>
      </c>
      <c r="AP1104" s="1" t="s">
        <v>99</v>
      </c>
      <c r="AQ1104" s="1"/>
      <c r="AR1104" s="1"/>
      <c r="AS1104" s="1"/>
      <c r="AT1104" s="1"/>
      <c r="AU1104" s="1">
        <v>2018</v>
      </c>
      <c r="AV1104" s="1"/>
      <c r="AW1104" s="1">
        <v>2</v>
      </c>
      <c r="AX1104" s="1"/>
      <c r="AY1104" s="1"/>
      <c r="AZ1104" s="1"/>
      <c r="BA1104" s="1"/>
      <c r="BB1104" s="1">
        <v>101</v>
      </c>
      <c r="BC1104" s="1">
        <v>107</v>
      </c>
      <c r="BD1104" s="1"/>
      <c r="BE1104" s="1" t="s">
        <v>7123</v>
      </c>
      <c r="BF1104" s="1" t="str">
        <f>HYPERLINK("http://dx.doi.org/10.25750/1995-4301-2018-2-101/2-107/1","http://dx.doi.org/10.25750/1995-4301-2018-2-101/2-107/1")</f>
        <v>http://dx.doi.org/10.25750/1995-4301-2018-2-101/2-107/1</v>
      </c>
      <c r="BG1104" s="1"/>
      <c r="BH1104" s="1"/>
      <c r="BI1104" s="1"/>
      <c r="BJ1104" s="1"/>
      <c r="BK1104" s="1"/>
      <c r="BL1104" s="1"/>
      <c r="BM1104" s="1"/>
      <c r="BN1104" s="1"/>
      <c r="BO1104" s="1"/>
      <c r="BP1104" s="1"/>
      <c r="BQ1104" s="1"/>
      <c r="BR1104" s="1"/>
      <c r="BS1104" s="1" t="s">
        <v>7124</v>
      </c>
      <c r="BT1104" s="1" t="str">
        <f>HYPERLINK("https%3A%2F%2Fwww.webofscience.com%2Fwos%2Fwoscc%2Ffull-record%2FWOS:000468564500013","View Full Record in Web of Science")</f>
        <v>View Full Record in Web of Science</v>
      </c>
      <c r="BU1104" s="1"/>
      <c r="BV1104" s="1"/>
      <c r="BW1104" s="1"/>
    </row>
    <row r="1105" spans="1:75" ht="12.75" customHeight="1" x14ac:dyDescent="0.2">
      <c r="A1105" s="1" t="s">
        <v>72</v>
      </c>
      <c r="B1105" s="1" t="s">
        <v>7125</v>
      </c>
      <c r="C1105" s="1"/>
      <c r="D1105" s="1"/>
      <c r="E1105" s="1"/>
      <c r="F1105" s="1" t="s">
        <v>7126</v>
      </c>
      <c r="G1105" s="1"/>
      <c r="H1105" s="1"/>
      <c r="I1105" s="1" t="s">
        <v>7127</v>
      </c>
      <c r="J1105" s="1" t="s">
        <v>7128</v>
      </c>
      <c r="K1105" s="1"/>
      <c r="L1105" s="1"/>
      <c r="M1105" s="1"/>
      <c r="N1105" s="1"/>
      <c r="O1105" s="1"/>
      <c r="P1105" s="1"/>
      <c r="Q1105" s="1"/>
      <c r="R1105" s="1"/>
      <c r="S1105" s="1"/>
      <c r="T1105" s="1"/>
      <c r="U1105" s="1"/>
      <c r="V1105" s="1"/>
      <c r="W1105" s="1"/>
      <c r="X1105" s="1"/>
      <c r="Y1105" s="1"/>
      <c r="Z1105" s="1"/>
      <c r="AA1105" s="1" t="s">
        <v>7129</v>
      </c>
      <c r="AB1105" s="1" t="s">
        <v>7130</v>
      </c>
      <c r="AC1105" s="1"/>
      <c r="AD1105" s="1"/>
      <c r="AE1105" s="1"/>
      <c r="AF1105" s="1"/>
      <c r="AG1105" s="1"/>
      <c r="AH1105" s="1"/>
      <c r="AI1105" s="1"/>
      <c r="AJ1105" s="1"/>
      <c r="AK1105" s="1"/>
      <c r="AL1105" s="1"/>
      <c r="AM1105" s="1"/>
      <c r="AN1105" s="1"/>
      <c r="AO1105" s="1" t="s">
        <v>7131</v>
      </c>
      <c r="AP1105" s="1" t="s">
        <v>7132</v>
      </c>
      <c r="AQ1105" s="1"/>
      <c r="AR1105" s="1"/>
      <c r="AS1105" s="1"/>
      <c r="AT1105" s="1" t="s">
        <v>88</v>
      </c>
      <c r="AU1105" s="1">
        <v>2022</v>
      </c>
      <c r="AV1105" s="1">
        <v>29</v>
      </c>
      <c r="AW1105" s="1">
        <v>5</v>
      </c>
      <c r="AX1105" s="1"/>
      <c r="AY1105" s="1"/>
      <c r="AZ1105" s="1"/>
      <c r="BA1105" s="1"/>
      <c r="BB1105" s="1"/>
      <c r="BC1105" s="1"/>
      <c r="BD1105" s="1">
        <v>206</v>
      </c>
      <c r="BE1105" s="1" t="s">
        <v>7133</v>
      </c>
      <c r="BF1105" s="1" t="str">
        <f>HYPERLINK("http://dx.doi.org/10.1007/s10965-022-03042-1","http://dx.doi.org/10.1007/s10965-022-03042-1")</f>
        <v>http://dx.doi.org/10.1007/s10965-022-03042-1</v>
      </c>
      <c r="BG1105" s="1"/>
      <c r="BH1105" s="1"/>
      <c r="BI1105" s="1"/>
      <c r="BJ1105" s="1"/>
      <c r="BK1105" s="1"/>
      <c r="BL1105" s="1"/>
      <c r="BM1105" s="1"/>
      <c r="BN1105" s="1"/>
      <c r="BO1105" s="1"/>
      <c r="BP1105" s="1"/>
      <c r="BQ1105" s="1"/>
      <c r="BR1105" s="1"/>
      <c r="BS1105" s="1" t="s">
        <v>7134</v>
      </c>
      <c r="BT1105" s="1" t="str">
        <f>HYPERLINK("https%3A%2F%2Fwww.webofscience.com%2Fwos%2Fwoscc%2Ffull-record%2FWOS:000792653100004","View Full Record in Web of Science")</f>
        <v>View Full Record in Web of Science</v>
      </c>
      <c r="BU1105" s="1"/>
      <c r="BV1105" s="1"/>
      <c r="BW1105" s="1"/>
    </row>
    <row r="1106" spans="1:75" ht="12.75" customHeight="1" x14ac:dyDescent="0.2">
      <c r="A1106" s="1" t="s">
        <v>147</v>
      </c>
      <c r="B1106" s="1" t="s">
        <v>7135</v>
      </c>
      <c r="C1106" s="1"/>
      <c r="D1106" s="1" t="s">
        <v>7136</v>
      </c>
      <c r="E1106" s="1"/>
      <c r="F1106" s="1" t="s">
        <v>7137</v>
      </c>
      <c r="G1106" s="1"/>
      <c r="H1106" s="1"/>
      <c r="I1106" s="1" t="s">
        <v>7138</v>
      </c>
      <c r="J1106" s="1" t="s">
        <v>7139</v>
      </c>
      <c r="K1106" s="1" t="s">
        <v>7140</v>
      </c>
      <c r="L1106" s="1"/>
      <c r="M1106" s="1"/>
      <c r="N1106" s="1"/>
      <c r="O1106" s="1" t="s">
        <v>7141</v>
      </c>
      <c r="P1106" s="1" t="s">
        <v>7142</v>
      </c>
      <c r="Q1106" s="1" t="s">
        <v>7143</v>
      </c>
      <c r="R1106" s="1" t="s">
        <v>7144</v>
      </c>
      <c r="S1106" s="1"/>
      <c r="T1106" s="1"/>
      <c r="U1106" s="1"/>
      <c r="V1106" s="1"/>
      <c r="W1106" s="1"/>
      <c r="X1106" s="1"/>
      <c r="Y1106" s="1"/>
      <c r="Z1106" s="1"/>
      <c r="AA1106" s="1" t="s">
        <v>7145</v>
      </c>
      <c r="AB1106" s="1" t="s">
        <v>7146</v>
      </c>
      <c r="AC1106" s="1"/>
      <c r="AD1106" s="1"/>
      <c r="AE1106" s="1"/>
      <c r="AF1106" s="1"/>
      <c r="AG1106" s="1"/>
      <c r="AH1106" s="1"/>
      <c r="AI1106" s="1"/>
      <c r="AJ1106" s="1"/>
      <c r="AK1106" s="1"/>
      <c r="AL1106" s="1"/>
      <c r="AM1106" s="1"/>
      <c r="AN1106" s="1"/>
      <c r="AO1106" s="1" t="s">
        <v>7147</v>
      </c>
      <c r="AP1106" s="1" t="s">
        <v>7148</v>
      </c>
      <c r="AQ1106" s="1" t="s">
        <v>7149</v>
      </c>
      <c r="AR1106" s="1"/>
      <c r="AS1106" s="1"/>
      <c r="AT1106" s="1"/>
      <c r="AU1106" s="1">
        <v>2019</v>
      </c>
      <c r="AV1106" s="1">
        <v>9</v>
      </c>
      <c r="AW1106" s="1"/>
      <c r="AX1106" s="1">
        <v>1</v>
      </c>
      <c r="AY1106" s="1"/>
      <c r="AZ1106" s="1"/>
      <c r="BA1106" s="1"/>
      <c r="BB1106" s="1">
        <v>415</v>
      </c>
      <c r="BC1106" s="1">
        <v>421</v>
      </c>
      <c r="BD1106" s="1"/>
      <c r="BE1106" s="1"/>
      <c r="BF1106" s="1"/>
      <c r="BG1106" s="1"/>
      <c r="BH1106" s="1"/>
      <c r="BI1106" s="1"/>
      <c r="BJ1106" s="1"/>
      <c r="BK1106" s="1"/>
      <c r="BL1106" s="1"/>
      <c r="BM1106" s="1"/>
      <c r="BN1106" s="1"/>
      <c r="BO1106" s="1"/>
      <c r="BP1106" s="1"/>
      <c r="BQ1106" s="1"/>
      <c r="BR1106" s="1"/>
      <c r="BS1106" s="1" t="s">
        <v>7150</v>
      </c>
      <c r="BT1106" s="1" t="str">
        <f>HYPERLINK("https%3A%2F%2Fwww.webofscience.com%2Fwos%2Fwoscc%2Ffull-record%2FWOS:000461883000041","View Full Record in Web of Science")</f>
        <v>View Full Record in Web of Science</v>
      </c>
      <c r="BU1106" s="1"/>
      <c r="BV1106" s="1"/>
      <c r="BW1106" s="1"/>
    </row>
    <row r="1107" spans="1:75" ht="12.75" customHeight="1" x14ac:dyDescent="0.2">
      <c r="A1107" s="1" t="s">
        <v>72</v>
      </c>
      <c r="B1107" s="1" t="s">
        <v>5433</v>
      </c>
      <c r="C1107" s="1"/>
      <c r="D1107" s="1"/>
      <c r="E1107" s="1"/>
      <c r="F1107" s="1" t="s">
        <v>5434</v>
      </c>
      <c r="G1107" s="1"/>
      <c r="H1107" s="1"/>
      <c r="I1107" s="1" t="s">
        <v>7151</v>
      </c>
      <c r="J1107" s="1" t="s">
        <v>6963</v>
      </c>
      <c r="K1107" s="1"/>
      <c r="L1107" s="1"/>
      <c r="M1107" s="1"/>
      <c r="N1107" s="1"/>
      <c r="O1107" s="1"/>
      <c r="P1107" s="1"/>
      <c r="Q1107" s="1"/>
      <c r="R1107" s="1"/>
      <c r="S1107" s="1"/>
      <c r="T1107" s="1"/>
      <c r="U1107" s="1"/>
      <c r="V1107" s="1"/>
      <c r="W1107" s="1"/>
      <c r="X1107" s="1"/>
      <c r="Y1107" s="1"/>
      <c r="Z1107" s="1"/>
      <c r="AA1107" s="1" t="s">
        <v>5437</v>
      </c>
      <c r="AB1107" s="1" t="s">
        <v>5438</v>
      </c>
      <c r="AC1107" s="1"/>
      <c r="AD1107" s="1"/>
      <c r="AE1107" s="1"/>
      <c r="AF1107" s="1"/>
      <c r="AG1107" s="1"/>
      <c r="AH1107" s="1"/>
      <c r="AI1107" s="1"/>
      <c r="AJ1107" s="1"/>
      <c r="AK1107" s="1"/>
      <c r="AL1107" s="1"/>
      <c r="AM1107" s="1"/>
      <c r="AN1107" s="1"/>
      <c r="AO1107" s="1" t="s">
        <v>6964</v>
      </c>
      <c r="AP1107" s="1" t="s">
        <v>6965</v>
      </c>
      <c r="AQ1107" s="1"/>
      <c r="AR1107" s="1"/>
      <c r="AS1107" s="1"/>
      <c r="AT1107" s="1" t="s">
        <v>88</v>
      </c>
      <c r="AU1107" s="1">
        <v>2017</v>
      </c>
      <c r="AV1107" s="1">
        <v>58</v>
      </c>
      <c r="AW1107" s="1">
        <v>3</v>
      </c>
      <c r="AX1107" s="1"/>
      <c r="AY1107" s="1"/>
      <c r="AZ1107" s="1"/>
      <c r="BA1107" s="1"/>
      <c r="BB1107" s="1">
        <v>517</v>
      </c>
      <c r="BC1107" s="1">
        <v>528</v>
      </c>
      <c r="BD1107" s="1"/>
      <c r="BE1107" s="1" t="s">
        <v>7152</v>
      </c>
      <c r="BF1107" s="1" t="str">
        <f>HYPERLINK("http://dx.doi.org/10.1134/S0021894417030178","http://dx.doi.org/10.1134/S0021894417030178")</f>
        <v>http://dx.doi.org/10.1134/S0021894417030178</v>
      </c>
      <c r="BG1107" s="1"/>
      <c r="BH1107" s="1"/>
      <c r="BI1107" s="1"/>
      <c r="BJ1107" s="1"/>
      <c r="BK1107" s="1"/>
      <c r="BL1107" s="1"/>
      <c r="BM1107" s="1"/>
      <c r="BN1107" s="1"/>
      <c r="BO1107" s="1"/>
      <c r="BP1107" s="1"/>
      <c r="BQ1107" s="1"/>
      <c r="BR1107" s="1"/>
      <c r="BS1107" s="1" t="s">
        <v>7153</v>
      </c>
      <c r="BT1107" s="1" t="str">
        <f>HYPERLINK("https%3A%2F%2Fwww.webofscience.com%2Fwos%2Fwoscc%2Ffull-record%2FWOS:000406338900017","View Full Record in Web of Science")</f>
        <v>View Full Record in Web of Science</v>
      </c>
      <c r="BU1107" s="1"/>
      <c r="BV1107" s="1"/>
      <c r="BW1107" s="1"/>
    </row>
    <row r="1108" spans="1:75" ht="12.75" customHeight="1" x14ac:dyDescent="0.2">
      <c r="A1108" s="1" t="s">
        <v>72</v>
      </c>
      <c r="B1108" s="1" t="s">
        <v>7154</v>
      </c>
      <c r="C1108" s="1"/>
      <c r="D1108" s="1"/>
      <c r="E1108" s="1"/>
      <c r="F1108" s="1" t="s">
        <v>7155</v>
      </c>
      <c r="G1108" s="1"/>
      <c r="H1108" s="1"/>
      <c r="I1108" s="1" t="s">
        <v>7156</v>
      </c>
      <c r="J1108" s="1" t="s">
        <v>166</v>
      </c>
      <c r="K1108" s="1"/>
      <c r="L1108" s="1"/>
      <c r="M1108" s="1"/>
      <c r="N1108" s="1"/>
      <c r="O1108" s="1"/>
      <c r="P1108" s="1"/>
      <c r="Q1108" s="1"/>
      <c r="R1108" s="1"/>
      <c r="S1108" s="1"/>
      <c r="T1108" s="1"/>
      <c r="U1108" s="1"/>
      <c r="V1108" s="1"/>
      <c r="W1108" s="1"/>
      <c r="X1108" s="1"/>
      <c r="Y1108" s="1"/>
      <c r="Z1108" s="1"/>
      <c r="AA1108" s="1" t="s">
        <v>7157</v>
      </c>
      <c r="AB1108" s="1" t="s">
        <v>7158</v>
      </c>
      <c r="AC1108" s="1"/>
      <c r="AD1108" s="1"/>
      <c r="AE1108" s="1"/>
      <c r="AF1108" s="1"/>
      <c r="AG1108" s="1"/>
      <c r="AH1108" s="1"/>
      <c r="AI1108" s="1"/>
      <c r="AJ1108" s="1"/>
      <c r="AK1108" s="1"/>
      <c r="AL1108" s="1"/>
      <c r="AM1108" s="1"/>
      <c r="AN1108" s="1"/>
      <c r="AO1108" s="1" t="s">
        <v>169</v>
      </c>
      <c r="AP1108" s="1" t="s">
        <v>170</v>
      </c>
      <c r="AQ1108" s="1"/>
      <c r="AR1108" s="1"/>
      <c r="AS1108" s="1"/>
      <c r="AT1108" s="1" t="s">
        <v>830</v>
      </c>
      <c r="AU1108" s="1">
        <v>2021</v>
      </c>
      <c r="AV1108" s="1">
        <v>10</v>
      </c>
      <c r="AW1108" s="1">
        <v>3</v>
      </c>
      <c r="AX1108" s="1"/>
      <c r="AY1108" s="1"/>
      <c r="AZ1108" s="1"/>
      <c r="BA1108" s="1"/>
      <c r="BB1108" s="1">
        <v>638</v>
      </c>
      <c r="BC1108" s="1">
        <v>652</v>
      </c>
      <c r="BD1108" s="1"/>
      <c r="BE1108" s="1" t="s">
        <v>7159</v>
      </c>
      <c r="BF1108" s="1" t="str">
        <f>HYPERLINK("http://dx.doi.org/10.13187/ejced.2021.3.638","http://dx.doi.org/10.13187/ejced.2021.3.638")</f>
        <v>http://dx.doi.org/10.13187/ejced.2021.3.638</v>
      </c>
      <c r="BG1108" s="1"/>
      <c r="BH1108" s="1"/>
      <c r="BI1108" s="1"/>
      <c r="BJ1108" s="1"/>
      <c r="BK1108" s="1"/>
      <c r="BL1108" s="1"/>
      <c r="BM1108" s="1"/>
      <c r="BN1108" s="1"/>
      <c r="BO1108" s="1"/>
      <c r="BP1108" s="1"/>
      <c r="BQ1108" s="1"/>
      <c r="BR1108" s="1"/>
      <c r="BS1108" s="1" t="s">
        <v>7160</v>
      </c>
      <c r="BT1108" s="1" t="str">
        <f>HYPERLINK("https%3A%2F%2Fwww.webofscience.com%2Fwos%2Fwoscc%2Ffull-record%2FWOS:000705970600008","View Full Record in Web of Science")</f>
        <v>View Full Record in Web of Science</v>
      </c>
      <c r="BU1108" s="1"/>
      <c r="BV1108" s="1"/>
      <c r="BW1108" s="1"/>
    </row>
    <row r="1109" spans="1:75" ht="12.75" customHeight="1" x14ac:dyDescent="0.2">
      <c r="A1109" s="1" t="s">
        <v>147</v>
      </c>
      <c r="B1109" s="1" t="s">
        <v>7161</v>
      </c>
      <c r="C1109" s="1"/>
      <c r="D1109" s="1" t="s">
        <v>7162</v>
      </c>
      <c r="E1109" s="1"/>
      <c r="F1109" s="1" t="s">
        <v>7163</v>
      </c>
      <c r="G1109" s="1"/>
      <c r="H1109" s="1"/>
      <c r="I1109" s="1" t="s">
        <v>7164</v>
      </c>
      <c r="J1109" s="1" t="s">
        <v>7165</v>
      </c>
      <c r="K1109" s="1" t="s">
        <v>7166</v>
      </c>
      <c r="L1109" s="1"/>
      <c r="M1109" s="1"/>
      <c r="N1109" s="1"/>
      <c r="O1109" s="1" t="s">
        <v>7167</v>
      </c>
      <c r="P1109" s="1" t="s">
        <v>7168</v>
      </c>
      <c r="Q1109" s="1" t="s">
        <v>7169</v>
      </c>
      <c r="R1109" s="1"/>
      <c r="S1109" s="1" t="s">
        <v>7170</v>
      </c>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t="s">
        <v>7171</v>
      </c>
      <c r="AP1109" s="1"/>
      <c r="AQ1109" s="1" t="s">
        <v>7172</v>
      </c>
      <c r="AR1109" s="1"/>
      <c r="AS1109" s="1"/>
      <c r="AT1109" s="1"/>
      <c r="AU1109" s="1">
        <v>2020</v>
      </c>
      <c r="AV1109" s="1">
        <v>2216</v>
      </c>
      <c r="AW1109" s="1"/>
      <c r="AX1109" s="1"/>
      <c r="AY1109" s="1"/>
      <c r="AZ1109" s="1"/>
      <c r="BA1109" s="1"/>
      <c r="BB1109" s="1"/>
      <c r="BC1109" s="1"/>
      <c r="BD1109" s="1">
        <v>20007</v>
      </c>
      <c r="BE1109" s="1" t="s">
        <v>7173</v>
      </c>
      <c r="BF1109" s="1" t="str">
        <f>HYPERLINK("http://dx.doi.org/10.1063/5.0003363","http://dx.doi.org/10.1063/5.0003363")</f>
        <v>http://dx.doi.org/10.1063/5.0003363</v>
      </c>
      <c r="BG1109" s="1"/>
      <c r="BH1109" s="1"/>
      <c r="BI1109" s="1"/>
      <c r="BJ1109" s="1"/>
      <c r="BK1109" s="1"/>
      <c r="BL1109" s="1"/>
      <c r="BM1109" s="1"/>
      <c r="BN1109" s="1"/>
      <c r="BO1109" s="1"/>
      <c r="BP1109" s="1"/>
      <c r="BQ1109" s="1"/>
      <c r="BR1109" s="1"/>
      <c r="BS1109" s="1" t="s">
        <v>7174</v>
      </c>
      <c r="BT1109" s="1" t="str">
        <f>HYPERLINK("https%3A%2F%2Fwww.webofscience.com%2Fwos%2Fwoscc%2Ffull-record%2FWOS:000558065900007","View Full Record in Web of Science")</f>
        <v>View Full Record in Web of Science</v>
      </c>
      <c r="BU1109" s="1"/>
      <c r="BV1109" s="1"/>
      <c r="BW1109" s="1"/>
    </row>
    <row r="1110" spans="1:75" ht="12.75" customHeight="1" x14ac:dyDescent="0.2">
      <c r="A1110" s="1" t="s">
        <v>72</v>
      </c>
      <c r="B1110" s="1" t="s">
        <v>7175</v>
      </c>
      <c r="C1110" s="1"/>
      <c r="D1110" s="1"/>
      <c r="E1110" s="1"/>
      <c r="F1110" s="1" t="s">
        <v>7176</v>
      </c>
      <c r="G1110" s="1"/>
      <c r="H1110" s="1"/>
      <c r="I1110" s="1" t="s">
        <v>7177</v>
      </c>
      <c r="J1110" s="1" t="s">
        <v>6799</v>
      </c>
      <c r="K1110" s="1"/>
      <c r="L1110" s="1"/>
      <c r="M1110" s="1"/>
      <c r="N1110" s="1"/>
      <c r="O1110" s="1"/>
      <c r="P1110" s="1"/>
      <c r="Q1110" s="1"/>
      <c r="R1110" s="1"/>
      <c r="S1110" s="1"/>
      <c r="T1110" s="1"/>
      <c r="U1110" s="1"/>
      <c r="V1110" s="1"/>
      <c r="W1110" s="1"/>
      <c r="X1110" s="1"/>
      <c r="Y1110" s="1"/>
      <c r="Z1110" s="1"/>
      <c r="AA1110" s="1" t="s">
        <v>7178</v>
      </c>
      <c r="AB1110" s="1" t="s">
        <v>7179</v>
      </c>
      <c r="AC1110" s="1"/>
      <c r="AD1110" s="1"/>
      <c r="AE1110" s="1"/>
      <c r="AF1110" s="1"/>
      <c r="AG1110" s="1"/>
      <c r="AH1110" s="1"/>
      <c r="AI1110" s="1"/>
      <c r="AJ1110" s="1"/>
      <c r="AK1110" s="1"/>
      <c r="AL1110" s="1"/>
      <c r="AM1110" s="1"/>
      <c r="AN1110" s="1"/>
      <c r="AO1110" s="1" t="s">
        <v>6802</v>
      </c>
      <c r="AP1110" s="1" t="s">
        <v>6803</v>
      </c>
      <c r="AQ1110" s="1"/>
      <c r="AR1110" s="1"/>
      <c r="AS1110" s="1"/>
      <c r="AT1110" s="1" t="s">
        <v>7180</v>
      </c>
      <c r="AU1110" s="1">
        <v>2019</v>
      </c>
      <c r="AV1110" s="1">
        <v>123</v>
      </c>
      <c r="AW1110" s="1"/>
      <c r="AX1110" s="1"/>
      <c r="AY1110" s="1"/>
      <c r="AZ1110" s="1"/>
      <c r="BA1110" s="1"/>
      <c r="BB1110" s="1">
        <v>300</v>
      </c>
      <c r="BC1110" s="1">
        <v>307</v>
      </c>
      <c r="BD1110" s="1"/>
      <c r="BE1110" s="1" t="s">
        <v>7181</v>
      </c>
      <c r="BF1110" s="1" t="str">
        <f>HYPERLINK("http://dx.doi.org/10.1016/j.ijbiomac.2018.11.081","http://dx.doi.org/10.1016/j.ijbiomac.2018.11.081")</f>
        <v>http://dx.doi.org/10.1016/j.ijbiomac.2018.11.081</v>
      </c>
      <c r="BG1110" s="1"/>
      <c r="BH1110" s="1"/>
      <c r="BI1110" s="1"/>
      <c r="BJ1110" s="1"/>
      <c r="BK1110" s="1"/>
      <c r="BL1110" s="1"/>
      <c r="BM1110" s="1"/>
      <c r="BN1110" s="1">
        <v>30445072</v>
      </c>
      <c r="BO1110" s="1"/>
      <c r="BP1110" s="1"/>
      <c r="BQ1110" s="1"/>
      <c r="BR1110" s="1"/>
      <c r="BS1110" s="1" t="s">
        <v>7182</v>
      </c>
      <c r="BT1110" s="1" t="str">
        <f>HYPERLINK("https%3A%2F%2Fwww.webofscience.com%2Fwos%2Fwoscc%2Ffull-record%2FWOS:000456760100035","View Full Record in Web of Science")</f>
        <v>View Full Record in Web of Science</v>
      </c>
      <c r="BU1110" s="1"/>
      <c r="BV1110" s="1"/>
      <c r="BW1110" s="1"/>
    </row>
    <row r="1111" spans="1:75" ht="12.75" customHeight="1" x14ac:dyDescent="0.2">
      <c r="A1111" s="1" t="s">
        <v>147</v>
      </c>
      <c r="B1111" s="1" t="s">
        <v>7183</v>
      </c>
      <c r="C1111" s="1"/>
      <c r="D1111" s="1" t="s">
        <v>2517</v>
      </c>
      <c r="E1111" s="1"/>
      <c r="F1111" s="1" t="s">
        <v>7184</v>
      </c>
      <c r="G1111" s="1"/>
      <c r="H1111" s="1"/>
      <c r="I1111" s="1" t="s">
        <v>7185</v>
      </c>
      <c r="J1111" s="1" t="s">
        <v>6387</v>
      </c>
      <c r="K1111" s="1" t="s">
        <v>2521</v>
      </c>
      <c r="L1111" s="1"/>
      <c r="M1111" s="1"/>
      <c r="N1111" s="1"/>
      <c r="O1111" s="1" t="s">
        <v>6388</v>
      </c>
      <c r="P1111" s="1" t="s">
        <v>6389</v>
      </c>
      <c r="Q1111" s="1" t="s">
        <v>2524</v>
      </c>
      <c r="R1111" s="1" t="s">
        <v>6390</v>
      </c>
      <c r="S1111" s="1"/>
      <c r="T1111" s="1"/>
      <c r="U1111" s="1"/>
      <c r="V1111" s="1"/>
      <c r="W1111" s="1"/>
      <c r="X1111" s="1"/>
      <c r="Y1111" s="1"/>
      <c r="Z1111" s="1"/>
      <c r="AA1111" s="1" t="s">
        <v>7186</v>
      </c>
      <c r="AB1111" s="1" t="s">
        <v>7187</v>
      </c>
      <c r="AC1111" s="1"/>
      <c r="AD1111" s="1"/>
      <c r="AE1111" s="1"/>
      <c r="AF1111" s="1"/>
      <c r="AG1111" s="1"/>
      <c r="AH1111" s="1"/>
      <c r="AI1111" s="1"/>
      <c r="AJ1111" s="1"/>
      <c r="AK1111" s="1"/>
      <c r="AL1111" s="1"/>
      <c r="AM1111" s="1"/>
      <c r="AN1111" s="1"/>
      <c r="AO1111" s="1" t="s">
        <v>2527</v>
      </c>
      <c r="AP1111" s="1"/>
      <c r="AQ1111" s="1"/>
      <c r="AR1111" s="1"/>
      <c r="AS1111" s="1"/>
      <c r="AT1111" s="1"/>
      <c r="AU1111" s="1">
        <v>2016</v>
      </c>
      <c r="AV1111" s="1"/>
      <c r="AW1111" s="1"/>
      <c r="AX1111" s="1"/>
      <c r="AY1111" s="1"/>
      <c r="AZ1111" s="1"/>
      <c r="BA1111" s="1"/>
      <c r="BB1111" s="1">
        <v>1065</v>
      </c>
      <c r="BC1111" s="1">
        <v>1071</v>
      </c>
      <c r="BD1111" s="1"/>
      <c r="BE1111" s="1"/>
      <c r="BF1111" s="1"/>
      <c r="BG1111" s="1"/>
      <c r="BH1111" s="1"/>
      <c r="BI1111" s="1"/>
      <c r="BJ1111" s="1"/>
      <c r="BK1111" s="1"/>
      <c r="BL1111" s="1"/>
      <c r="BM1111" s="1"/>
      <c r="BN1111" s="1"/>
      <c r="BO1111" s="1"/>
      <c r="BP1111" s="1"/>
      <c r="BQ1111" s="1"/>
      <c r="BR1111" s="1"/>
      <c r="BS1111" s="1" t="s">
        <v>7188</v>
      </c>
      <c r="BT1111" s="1" t="str">
        <f>HYPERLINK("https%3A%2F%2Fwww.webofscience.com%2Fwos%2Fwoscc%2Ffull-record%2FWOS:000390059500166","View Full Record in Web of Science")</f>
        <v>View Full Record in Web of Science</v>
      </c>
      <c r="BU1111" s="1"/>
      <c r="BV1111" s="1"/>
      <c r="BW1111" s="1"/>
    </row>
    <row r="1112" spans="1:75" ht="12.75" customHeight="1" x14ac:dyDescent="0.2">
      <c r="A1112" s="1" t="s">
        <v>72</v>
      </c>
      <c r="B1112" s="1" t="s">
        <v>7189</v>
      </c>
      <c r="C1112" s="1"/>
      <c r="D1112" s="1"/>
      <c r="E1112" s="1"/>
      <c r="F1112" s="1" t="s">
        <v>7190</v>
      </c>
      <c r="G1112" s="1"/>
      <c r="H1112" s="1"/>
      <c r="I1112" s="1" t="s">
        <v>7191</v>
      </c>
      <c r="J1112" s="1" t="s">
        <v>95</v>
      </c>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t="s">
        <v>98</v>
      </c>
      <c r="AP1112" s="1" t="s">
        <v>99</v>
      </c>
      <c r="AQ1112" s="1"/>
      <c r="AR1112" s="1"/>
      <c r="AS1112" s="1"/>
      <c r="AT1112" s="1"/>
      <c r="AU1112" s="1">
        <v>2022</v>
      </c>
      <c r="AV1112" s="1"/>
      <c r="AW1112" s="1">
        <v>3</v>
      </c>
      <c r="AX1112" s="1"/>
      <c r="AY1112" s="1"/>
      <c r="AZ1112" s="1"/>
      <c r="BA1112" s="1"/>
      <c r="BB1112" s="1">
        <v>82</v>
      </c>
      <c r="BC1112" s="1">
        <v>89</v>
      </c>
      <c r="BD1112" s="1"/>
      <c r="BE1112" s="1" t="s">
        <v>7192</v>
      </c>
      <c r="BF1112" s="1" t="str">
        <f>HYPERLINK("http://dx.doi.org/10.25750/1995-4301-2022-3-082-089","http://dx.doi.org/10.25750/1995-4301-2022-3-082-089")</f>
        <v>http://dx.doi.org/10.25750/1995-4301-2022-3-082-089</v>
      </c>
      <c r="BG1112" s="1"/>
      <c r="BH1112" s="1"/>
      <c r="BI1112" s="1"/>
      <c r="BJ1112" s="1"/>
      <c r="BK1112" s="1"/>
      <c r="BL1112" s="1"/>
      <c r="BM1112" s="1"/>
      <c r="BN1112" s="1"/>
      <c r="BO1112" s="1"/>
      <c r="BP1112" s="1"/>
      <c r="BQ1112" s="1"/>
      <c r="BR1112" s="1"/>
      <c r="BS1112" s="1" t="s">
        <v>7193</v>
      </c>
      <c r="BT1112" s="1" t="str">
        <f>HYPERLINK("https%3A%2F%2Fwww.webofscience.com%2Fwos%2Fwoscc%2Ffull-record%2FWOS:000885393200010","View Full Record in Web of Science")</f>
        <v>View Full Record in Web of Science</v>
      </c>
      <c r="BU1112" s="1"/>
      <c r="BV1112" s="1"/>
      <c r="BW1112" s="1"/>
    </row>
    <row r="1113" spans="1:75" ht="12.75" customHeight="1" x14ac:dyDescent="0.2">
      <c r="A1113" s="1" t="s">
        <v>72</v>
      </c>
      <c r="B1113" s="1" t="s">
        <v>7194</v>
      </c>
      <c r="C1113" s="1"/>
      <c r="D1113" s="1"/>
      <c r="E1113" s="1"/>
      <c r="F1113" s="1" t="s">
        <v>7195</v>
      </c>
      <c r="G1113" s="1"/>
      <c r="H1113" s="1"/>
      <c r="I1113" s="1" t="s">
        <v>7196</v>
      </c>
      <c r="J1113" s="1" t="s">
        <v>95</v>
      </c>
      <c r="K1113" s="1"/>
      <c r="L1113" s="1"/>
      <c r="M1113" s="1"/>
      <c r="N1113" s="1"/>
      <c r="O1113" s="1"/>
      <c r="P1113" s="1"/>
      <c r="Q1113" s="1"/>
      <c r="R1113" s="1"/>
      <c r="S1113" s="1"/>
      <c r="T1113" s="1"/>
      <c r="U1113" s="1"/>
      <c r="V1113" s="1"/>
      <c r="W1113" s="1"/>
      <c r="X1113" s="1"/>
      <c r="Y1113" s="1"/>
      <c r="Z1113" s="1"/>
      <c r="AA1113" s="1" t="s">
        <v>5529</v>
      </c>
      <c r="AB1113" s="1" t="s">
        <v>5530</v>
      </c>
      <c r="AC1113" s="1"/>
      <c r="AD1113" s="1"/>
      <c r="AE1113" s="1"/>
      <c r="AF1113" s="1"/>
      <c r="AG1113" s="1"/>
      <c r="AH1113" s="1"/>
      <c r="AI1113" s="1"/>
      <c r="AJ1113" s="1"/>
      <c r="AK1113" s="1"/>
      <c r="AL1113" s="1"/>
      <c r="AM1113" s="1"/>
      <c r="AN1113" s="1"/>
      <c r="AO1113" s="1" t="s">
        <v>98</v>
      </c>
      <c r="AP1113" s="1" t="s">
        <v>99</v>
      </c>
      <c r="AQ1113" s="1"/>
      <c r="AR1113" s="1"/>
      <c r="AS1113" s="1"/>
      <c r="AT1113" s="1"/>
      <c r="AU1113" s="1">
        <v>2021</v>
      </c>
      <c r="AV1113" s="1"/>
      <c r="AW1113" s="1">
        <v>2</v>
      </c>
      <c r="AX1113" s="1"/>
      <c r="AY1113" s="1"/>
      <c r="AZ1113" s="1"/>
      <c r="BA1113" s="1"/>
      <c r="BB1113" s="1">
        <v>81</v>
      </c>
      <c r="BC1113" s="1">
        <v>88</v>
      </c>
      <c r="BD1113" s="1"/>
      <c r="BE1113" s="1" t="s">
        <v>7197</v>
      </c>
      <c r="BF1113" s="1" t="str">
        <f>HYPERLINK("http://dx.doi.org/10.25750/1995-4301-2021-2-081-088","http://dx.doi.org/10.25750/1995-4301-2021-2-081-088")</f>
        <v>http://dx.doi.org/10.25750/1995-4301-2021-2-081-088</v>
      </c>
      <c r="BG1113" s="1"/>
      <c r="BH1113" s="1"/>
      <c r="BI1113" s="1"/>
      <c r="BJ1113" s="1"/>
      <c r="BK1113" s="1"/>
      <c r="BL1113" s="1"/>
      <c r="BM1113" s="1"/>
      <c r="BN1113" s="1"/>
      <c r="BO1113" s="1"/>
      <c r="BP1113" s="1"/>
      <c r="BQ1113" s="1"/>
      <c r="BR1113" s="1"/>
      <c r="BS1113" s="1" t="s">
        <v>7198</v>
      </c>
      <c r="BT1113" s="1" t="str">
        <f>HYPERLINK("https%3A%2F%2Fwww.webofscience.com%2Fwos%2Fwoscc%2Ffull-record%2FWOS:000667025400012","View Full Record in Web of Science")</f>
        <v>View Full Record in Web of Science</v>
      </c>
      <c r="BU1113" s="1"/>
      <c r="BV1113" s="1"/>
      <c r="BW1113" s="1"/>
    </row>
    <row r="1114" spans="1:75" ht="12.75" customHeight="1" x14ac:dyDescent="0.2">
      <c r="A1114" s="1" t="s">
        <v>72</v>
      </c>
      <c r="B1114" s="1" t="s">
        <v>6934</v>
      </c>
      <c r="C1114" s="1"/>
      <c r="D1114" s="1"/>
      <c r="E1114" s="1"/>
      <c r="F1114" s="1" t="s">
        <v>6935</v>
      </c>
      <c r="G1114" s="1"/>
      <c r="H1114" s="1"/>
      <c r="I1114" s="1" t="s">
        <v>7199</v>
      </c>
      <c r="J1114" s="1" t="s">
        <v>95</v>
      </c>
      <c r="K1114" s="1"/>
      <c r="L1114" s="1"/>
      <c r="M1114" s="1"/>
      <c r="N1114" s="1"/>
      <c r="O1114" s="1"/>
      <c r="P1114" s="1"/>
      <c r="Q1114" s="1"/>
      <c r="R1114" s="1"/>
      <c r="S1114" s="1"/>
      <c r="T1114" s="1"/>
      <c r="U1114" s="1"/>
      <c r="V1114" s="1"/>
      <c r="W1114" s="1"/>
      <c r="X1114" s="1"/>
      <c r="Y1114" s="1"/>
      <c r="Z1114" s="1"/>
      <c r="AA1114" s="1" t="s">
        <v>7200</v>
      </c>
      <c r="AB1114" s="1" t="s">
        <v>7201</v>
      </c>
      <c r="AC1114" s="1"/>
      <c r="AD1114" s="1"/>
      <c r="AE1114" s="1"/>
      <c r="AF1114" s="1"/>
      <c r="AG1114" s="1"/>
      <c r="AH1114" s="1"/>
      <c r="AI1114" s="1"/>
      <c r="AJ1114" s="1"/>
      <c r="AK1114" s="1"/>
      <c r="AL1114" s="1"/>
      <c r="AM1114" s="1"/>
      <c r="AN1114" s="1"/>
      <c r="AO1114" s="1" t="s">
        <v>98</v>
      </c>
      <c r="AP1114" s="1" t="s">
        <v>99</v>
      </c>
      <c r="AQ1114" s="1"/>
      <c r="AR1114" s="1"/>
      <c r="AS1114" s="1"/>
      <c r="AT1114" s="1"/>
      <c r="AU1114" s="1">
        <v>2021</v>
      </c>
      <c r="AV1114" s="1"/>
      <c r="AW1114" s="1">
        <v>3</v>
      </c>
      <c r="AX1114" s="1"/>
      <c r="AY1114" s="1"/>
      <c r="AZ1114" s="1"/>
      <c r="BA1114" s="1"/>
      <c r="BB1114" s="1">
        <v>60</v>
      </c>
      <c r="BC1114" s="1">
        <v>65</v>
      </c>
      <c r="BD1114" s="1"/>
      <c r="BE1114" s="1" t="s">
        <v>7202</v>
      </c>
      <c r="BF1114" s="1" t="str">
        <f>HYPERLINK("http://dx.doi.org/10.25750/1995-4301-2021-3-060-065","http://dx.doi.org/10.25750/1995-4301-2021-3-060-065")</f>
        <v>http://dx.doi.org/10.25750/1995-4301-2021-3-060-065</v>
      </c>
      <c r="BG1114" s="1"/>
      <c r="BH1114" s="1"/>
      <c r="BI1114" s="1"/>
      <c r="BJ1114" s="1"/>
      <c r="BK1114" s="1"/>
      <c r="BL1114" s="1"/>
      <c r="BM1114" s="1"/>
      <c r="BN1114" s="1"/>
      <c r="BO1114" s="1"/>
      <c r="BP1114" s="1"/>
      <c r="BQ1114" s="1"/>
      <c r="BR1114" s="1"/>
      <c r="BS1114" s="1" t="s">
        <v>7203</v>
      </c>
      <c r="BT1114" s="1" t="str">
        <f>HYPERLINK("https%3A%2F%2Fwww.webofscience.com%2Fwos%2Fwoscc%2Ffull-record%2FWOS:000700413300008","View Full Record in Web of Science")</f>
        <v>View Full Record in Web of Science</v>
      </c>
      <c r="BU1114" s="1"/>
      <c r="BV1114" s="1"/>
      <c r="BW1114" s="1"/>
    </row>
    <row r="1115" spans="1:75" ht="12.75" customHeight="1" x14ac:dyDescent="0.2">
      <c r="A1115" s="1" t="s">
        <v>72</v>
      </c>
      <c r="B1115" s="1" t="s">
        <v>7204</v>
      </c>
      <c r="C1115" s="1"/>
      <c r="D1115" s="1"/>
      <c r="E1115" s="1"/>
      <c r="F1115" s="1" t="s">
        <v>7205</v>
      </c>
      <c r="G1115" s="1"/>
      <c r="H1115" s="1"/>
      <c r="I1115" s="1" t="s">
        <v>7206</v>
      </c>
      <c r="J1115" s="1" t="s">
        <v>95</v>
      </c>
      <c r="K1115" s="1"/>
      <c r="L1115" s="1"/>
      <c r="M1115" s="1"/>
      <c r="N1115" s="1"/>
      <c r="O1115" s="1"/>
      <c r="P1115" s="1"/>
      <c r="Q1115" s="1"/>
      <c r="R1115" s="1"/>
      <c r="S1115" s="1"/>
      <c r="T1115" s="1"/>
      <c r="U1115" s="1"/>
      <c r="V1115" s="1"/>
      <c r="W1115" s="1"/>
      <c r="X1115" s="1"/>
      <c r="Y1115" s="1"/>
      <c r="Z1115" s="1"/>
      <c r="AA1115" s="1" t="s">
        <v>7207</v>
      </c>
      <c r="AB1115" s="1" t="s">
        <v>5530</v>
      </c>
      <c r="AC1115" s="1"/>
      <c r="AD1115" s="1"/>
      <c r="AE1115" s="1"/>
      <c r="AF1115" s="1"/>
      <c r="AG1115" s="1"/>
      <c r="AH1115" s="1"/>
      <c r="AI1115" s="1"/>
      <c r="AJ1115" s="1"/>
      <c r="AK1115" s="1"/>
      <c r="AL1115" s="1"/>
      <c r="AM1115" s="1"/>
      <c r="AN1115" s="1"/>
      <c r="AO1115" s="1" t="s">
        <v>98</v>
      </c>
      <c r="AP1115" s="1" t="s">
        <v>99</v>
      </c>
      <c r="AQ1115" s="1"/>
      <c r="AR1115" s="1"/>
      <c r="AS1115" s="1"/>
      <c r="AT1115" s="1"/>
      <c r="AU1115" s="1">
        <v>2020</v>
      </c>
      <c r="AV1115" s="1"/>
      <c r="AW1115" s="1">
        <v>3</v>
      </c>
      <c r="AX1115" s="1"/>
      <c r="AY1115" s="1"/>
      <c r="AZ1115" s="1"/>
      <c r="BA1115" s="1"/>
      <c r="BB1115" s="1">
        <v>176</v>
      </c>
      <c r="BC1115" s="1">
        <v>181</v>
      </c>
      <c r="BD1115" s="1"/>
      <c r="BE1115" s="1" t="s">
        <v>7208</v>
      </c>
      <c r="BF1115" s="1" t="str">
        <f>HYPERLINK("http://dx.doi.org/10.25750/1995-4301-2020-3-176-181","http://dx.doi.org/10.25750/1995-4301-2020-3-176-181")</f>
        <v>http://dx.doi.org/10.25750/1995-4301-2020-3-176-181</v>
      </c>
      <c r="BG1115" s="1"/>
      <c r="BH1115" s="1"/>
      <c r="BI1115" s="1"/>
      <c r="BJ1115" s="1"/>
      <c r="BK1115" s="1"/>
      <c r="BL1115" s="1"/>
      <c r="BM1115" s="1"/>
      <c r="BN1115" s="1"/>
      <c r="BO1115" s="1"/>
      <c r="BP1115" s="1"/>
      <c r="BQ1115" s="1"/>
      <c r="BR1115" s="1"/>
      <c r="BS1115" s="1" t="s">
        <v>7209</v>
      </c>
      <c r="BT1115" s="1" t="str">
        <f>HYPERLINK("https%3A%2F%2Fwww.webofscience.com%2Fwos%2Fwoscc%2Ffull-record%2FWOS:000580337700026","View Full Record in Web of Science")</f>
        <v>View Full Record in Web of Science</v>
      </c>
      <c r="BU1115" s="1"/>
      <c r="BV1115" s="1"/>
      <c r="BW1115" s="1"/>
    </row>
    <row r="1116" spans="1:75" ht="12.75" customHeight="1" x14ac:dyDescent="0.2">
      <c r="A1116" s="1" t="s">
        <v>72</v>
      </c>
      <c r="B1116" s="1" t="s">
        <v>7210</v>
      </c>
      <c r="C1116" s="1"/>
      <c r="D1116" s="1"/>
      <c r="E1116" s="1"/>
      <c r="F1116" s="1" t="s">
        <v>7211</v>
      </c>
      <c r="G1116" s="1"/>
      <c r="H1116" s="1"/>
      <c r="I1116" s="1" t="s">
        <v>7212</v>
      </c>
      <c r="J1116" s="1" t="s">
        <v>95</v>
      </c>
      <c r="K1116" s="1"/>
      <c r="L1116" s="1"/>
      <c r="M1116" s="1"/>
      <c r="N1116" s="1"/>
      <c r="O1116" s="1"/>
      <c r="P1116" s="1"/>
      <c r="Q1116" s="1"/>
      <c r="R1116" s="1"/>
      <c r="S1116" s="1"/>
      <c r="T1116" s="1"/>
      <c r="U1116" s="1"/>
      <c r="V1116" s="1"/>
      <c r="W1116" s="1"/>
      <c r="X1116" s="1"/>
      <c r="Y1116" s="1"/>
      <c r="Z1116" s="1"/>
      <c r="AA1116" s="1" t="s">
        <v>7213</v>
      </c>
      <c r="AB1116" s="1" t="s">
        <v>7214</v>
      </c>
      <c r="AC1116" s="1"/>
      <c r="AD1116" s="1"/>
      <c r="AE1116" s="1"/>
      <c r="AF1116" s="1"/>
      <c r="AG1116" s="1"/>
      <c r="AH1116" s="1"/>
      <c r="AI1116" s="1"/>
      <c r="AJ1116" s="1"/>
      <c r="AK1116" s="1"/>
      <c r="AL1116" s="1"/>
      <c r="AM1116" s="1"/>
      <c r="AN1116" s="1"/>
      <c r="AO1116" s="1" t="s">
        <v>98</v>
      </c>
      <c r="AP1116" s="1" t="s">
        <v>99</v>
      </c>
      <c r="AQ1116" s="1"/>
      <c r="AR1116" s="1"/>
      <c r="AS1116" s="1"/>
      <c r="AT1116" s="1"/>
      <c r="AU1116" s="1">
        <v>2019</v>
      </c>
      <c r="AV1116" s="1"/>
      <c r="AW1116" s="1">
        <v>4</v>
      </c>
      <c r="AX1116" s="1"/>
      <c r="AY1116" s="1"/>
      <c r="AZ1116" s="1"/>
      <c r="BA1116" s="1"/>
      <c r="BB1116" s="1">
        <v>15</v>
      </c>
      <c r="BC1116" s="1">
        <v>23</v>
      </c>
      <c r="BD1116" s="1"/>
      <c r="BE1116" s="1" t="s">
        <v>7215</v>
      </c>
      <c r="BF1116" s="1" t="str">
        <f>HYPERLINK("http://dx.doi.org/10.25750/1995-4301-2019-4-015-023","http://dx.doi.org/10.25750/1995-4301-2019-4-015-023")</f>
        <v>http://dx.doi.org/10.25750/1995-4301-2019-4-015-023</v>
      </c>
      <c r="BG1116" s="1"/>
      <c r="BH1116" s="1"/>
      <c r="BI1116" s="1"/>
      <c r="BJ1116" s="1"/>
      <c r="BK1116" s="1"/>
      <c r="BL1116" s="1"/>
      <c r="BM1116" s="1"/>
      <c r="BN1116" s="1"/>
      <c r="BO1116" s="1"/>
      <c r="BP1116" s="1"/>
      <c r="BQ1116" s="1"/>
      <c r="BR1116" s="1"/>
      <c r="BS1116" s="1" t="s">
        <v>7216</v>
      </c>
      <c r="BT1116" s="1" t="str">
        <f>HYPERLINK("https%3A%2F%2Fwww.webofscience.com%2Fwos%2Fwoscc%2Ffull-record%2FWOS:000504049400002","View Full Record in Web of Science")</f>
        <v>View Full Record in Web of Science</v>
      </c>
      <c r="BU1116" s="1"/>
      <c r="BV1116" s="1"/>
      <c r="BW1116" s="1"/>
    </row>
    <row r="1117" spans="1:75" ht="12.75" customHeight="1" x14ac:dyDescent="0.2">
      <c r="A1117" s="1" t="s">
        <v>147</v>
      </c>
      <c r="B1117" s="1" t="s">
        <v>7217</v>
      </c>
      <c r="C1117" s="1"/>
      <c r="D1117" s="1" t="s">
        <v>233</v>
      </c>
      <c r="E1117" s="1"/>
      <c r="F1117" s="1" t="s">
        <v>7218</v>
      </c>
      <c r="G1117" s="1"/>
      <c r="H1117" s="1"/>
      <c r="I1117" s="1" t="s">
        <v>7219</v>
      </c>
      <c r="J1117" s="1" t="s">
        <v>444</v>
      </c>
      <c r="K1117" s="1" t="s">
        <v>445</v>
      </c>
      <c r="L1117" s="1"/>
      <c r="M1117" s="1"/>
      <c r="N1117" s="1"/>
      <c r="O1117" s="1" t="s">
        <v>446</v>
      </c>
      <c r="P1117" s="1" t="s">
        <v>447</v>
      </c>
      <c r="Q1117" s="1" t="s">
        <v>448</v>
      </c>
      <c r="R1117" s="1"/>
      <c r="S1117" s="1"/>
      <c r="T1117" s="1"/>
      <c r="U1117" s="1"/>
      <c r="V1117" s="1"/>
      <c r="W1117" s="1"/>
      <c r="X1117" s="1"/>
      <c r="Y1117" s="1"/>
      <c r="Z1117" s="1"/>
      <c r="AA1117" s="1" t="s">
        <v>7220</v>
      </c>
      <c r="AB1117" s="1" t="s">
        <v>7221</v>
      </c>
      <c r="AC1117" s="1"/>
      <c r="AD1117" s="1"/>
      <c r="AE1117" s="1"/>
      <c r="AF1117" s="1"/>
      <c r="AG1117" s="1"/>
      <c r="AH1117" s="1"/>
      <c r="AI1117" s="1"/>
      <c r="AJ1117" s="1"/>
      <c r="AK1117" s="1"/>
      <c r="AL1117" s="1"/>
      <c r="AM1117" s="1"/>
      <c r="AN1117" s="1"/>
      <c r="AO1117" s="1" t="s">
        <v>450</v>
      </c>
      <c r="AP1117" s="1"/>
      <c r="AQ1117" s="1" t="s">
        <v>451</v>
      </c>
      <c r="AR1117" s="1"/>
      <c r="AS1117" s="1"/>
      <c r="AT1117" s="1"/>
      <c r="AU1117" s="1">
        <v>2017</v>
      </c>
      <c r="AV1117" s="1"/>
      <c r="AW1117" s="1"/>
      <c r="AX1117" s="1"/>
      <c r="AY1117" s="1"/>
      <c r="AZ1117" s="1"/>
      <c r="BA1117" s="1"/>
      <c r="BB1117" s="1">
        <v>491</v>
      </c>
      <c r="BC1117" s="1">
        <v>496</v>
      </c>
      <c r="BD1117" s="1"/>
      <c r="BE1117" s="1" t="s">
        <v>7222</v>
      </c>
      <c r="BF1117" s="1" t="str">
        <f>HYPERLINK("http://dx.doi.org/10.1007/978-3-319-60696-5_62","http://dx.doi.org/10.1007/978-3-319-60696-5_62")</f>
        <v>http://dx.doi.org/10.1007/978-3-319-60696-5_62</v>
      </c>
      <c r="BG1117" s="1"/>
      <c r="BH1117" s="1"/>
      <c r="BI1117" s="1"/>
      <c r="BJ1117" s="1"/>
      <c r="BK1117" s="1"/>
      <c r="BL1117" s="1"/>
      <c r="BM1117" s="1"/>
      <c r="BN1117" s="1"/>
      <c r="BO1117" s="1"/>
      <c r="BP1117" s="1"/>
      <c r="BQ1117" s="1"/>
      <c r="BR1117" s="1"/>
      <c r="BS1117" s="1" t="s">
        <v>7223</v>
      </c>
      <c r="BT1117" s="1" t="str">
        <f>HYPERLINK("https%3A%2F%2Fwww.webofscience.com%2Fwos%2Fwoscc%2Ffull-record%2FWOS:000426114200062","View Full Record in Web of Science")</f>
        <v>View Full Record in Web of Science</v>
      </c>
      <c r="BU1117" s="1"/>
      <c r="BV1117" s="1"/>
      <c r="BW1117" s="1"/>
    </row>
    <row r="1118" spans="1:75" ht="12.75" customHeight="1" x14ac:dyDescent="0.2">
      <c r="A1118" s="1" t="s">
        <v>147</v>
      </c>
      <c r="B1118" s="1" t="s">
        <v>7224</v>
      </c>
      <c r="C1118" s="1"/>
      <c r="D1118" s="1"/>
      <c r="E1118" s="1" t="s">
        <v>175</v>
      </c>
      <c r="F1118" s="1" t="s">
        <v>7225</v>
      </c>
      <c r="G1118" s="1"/>
      <c r="H1118" s="1"/>
      <c r="I1118" s="1" t="s">
        <v>7226</v>
      </c>
      <c r="J1118" s="1" t="s">
        <v>2671</v>
      </c>
      <c r="K1118" s="1" t="s">
        <v>1576</v>
      </c>
      <c r="L1118" s="1"/>
      <c r="M1118" s="1"/>
      <c r="N1118" s="1"/>
      <c r="O1118" s="1" t="s">
        <v>2672</v>
      </c>
      <c r="P1118" s="1" t="s">
        <v>2673</v>
      </c>
      <c r="Q1118" s="1" t="s">
        <v>2674</v>
      </c>
      <c r="R1118" s="1"/>
      <c r="S1118" s="1" t="s">
        <v>2675</v>
      </c>
      <c r="T1118" s="1"/>
      <c r="U1118" s="1"/>
      <c r="V1118" s="1"/>
      <c r="W1118" s="1"/>
      <c r="X1118" s="1"/>
      <c r="Y1118" s="1"/>
      <c r="Z1118" s="1"/>
      <c r="AA1118" s="1"/>
      <c r="AB1118" s="1" t="s">
        <v>7227</v>
      </c>
      <c r="AC1118" s="1"/>
      <c r="AD1118" s="1"/>
      <c r="AE1118" s="1"/>
      <c r="AF1118" s="1"/>
      <c r="AG1118" s="1"/>
      <c r="AH1118" s="1"/>
      <c r="AI1118" s="1"/>
      <c r="AJ1118" s="1"/>
      <c r="AK1118" s="1"/>
      <c r="AL1118" s="1"/>
      <c r="AM1118" s="1"/>
      <c r="AN1118" s="1"/>
      <c r="AO1118" s="1" t="s">
        <v>1581</v>
      </c>
      <c r="AP1118" s="1"/>
      <c r="AQ1118" s="1"/>
      <c r="AR1118" s="1"/>
      <c r="AS1118" s="1"/>
      <c r="AT1118" s="1"/>
      <c r="AU1118" s="1">
        <v>2017</v>
      </c>
      <c r="AV1118" s="1">
        <v>90</v>
      </c>
      <c r="AW1118" s="1"/>
      <c r="AX1118" s="1"/>
      <c r="AY1118" s="1"/>
      <c r="AZ1118" s="1"/>
      <c r="BA1118" s="1"/>
      <c r="BB1118" s="1"/>
      <c r="BC1118" s="1"/>
      <c r="BD1118" s="1">
        <v>12126</v>
      </c>
      <c r="BE1118" s="1" t="s">
        <v>7228</v>
      </c>
      <c r="BF1118" s="1" t="str">
        <f>HYPERLINK("http://dx.doi.org/10.1088/1755-1315/90/1/012126","http://dx.doi.org/10.1088/1755-1315/90/1/012126")</f>
        <v>http://dx.doi.org/10.1088/1755-1315/90/1/012126</v>
      </c>
      <c r="BG1118" s="1"/>
      <c r="BH1118" s="1"/>
      <c r="BI1118" s="1"/>
      <c r="BJ1118" s="1"/>
      <c r="BK1118" s="1"/>
      <c r="BL1118" s="1"/>
      <c r="BM1118" s="1"/>
      <c r="BN1118" s="1"/>
      <c r="BO1118" s="1"/>
      <c r="BP1118" s="1"/>
      <c r="BQ1118" s="1"/>
      <c r="BR1118" s="1"/>
      <c r="BS1118" s="1" t="s">
        <v>7229</v>
      </c>
      <c r="BT1118" s="1" t="str">
        <f>HYPERLINK("https%3A%2F%2Fwww.webofscience.com%2Fwos%2Fwoscc%2Ffull-record%2FWOS:000419816700126","View Full Record in Web of Science")</f>
        <v>View Full Record in Web of Science</v>
      </c>
      <c r="BU1118" s="1"/>
      <c r="BV1118" s="1"/>
      <c r="BW1118" s="1"/>
    </row>
    <row r="1119" spans="1:75" ht="12.75" customHeight="1" x14ac:dyDescent="0.2">
      <c r="A1119" s="1" t="s">
        <v>72</v>
      </c>
      <c r="B1119" s="1" t="s">
        <v>7230</v>
      </c>
      <c r="C1119" s="1"/>
      <c r="D1119" s="1"/>
      <c r="E1119" s="1"/>
      <c r="F1119" s="1" t="s">
        <v>7231</v>
      </c>
      <c r="G1119" s="1"/>
      <c r="H1119" s="1"/>
      <c r="I1119" s="1" t="s">
        <v>7232</v>
      </c>
      <c r="J1119" s="1" t="s">
        <v>166</v>
      </c>
      <c r="K1119" s="1"/>
      <c r="L1119" s="1"/>
      <c r="M1119" s="1"/>
      <c r="N1119" s="1"/>
      <c r="O1119" s="1"/>
      <c r="P1119" s="1"/>
      <c r="Q1119" s="1"/>
      <c r="R1119" s="1"/>
      <c r="S1119" s="1"/>
      <c r="T1119" s="1"/>
      <c r="U1119" s="1"/>
      <c r="V1119" s="1"/>
      <c r="W1119" s="1"/>
      <c r="X1119" s="1"/>
      <c r="Y1119" s="1"/>
      <c r="Z1119" s="1"/>
      <c r="AA1119" s="1" t="s">
        <v>2077</v>
      </c>
      <c r="AB1119" s="1" t="s">
        <v>7233</v>
      </c>
      <c r="AC1119" s="1"/>
      <c r="AD1119" s="1"/>
      <c r="AE1119" s="1"/>
      <c r="AF1119" s="1"/>
      <c r="AG1119" s="1"/>
      <c r="AH1119" s="1"/>
      <c r="AI1119" s="1"/>
      <c r="AJ1119" s="1"/>
      <c r="AK1119" s="1"/>
      <c r="AL1119" s="1"/>
      <c r="AM1119" s="1"/>
      <c r="AN1119" s="1"/>
      <c r="AO1119" s="1" t="s">
        <v>169</v>
      </c>
      <c r="AP1119" s="1" t="s">
        <v>170</v>
      </c>
      <c r="AQ1119" s="1"/>
      <c r="AR1119" s="1"/>
      <c r="AS1119" s="1"/>
      <c r="AT1119" s="1" t="s">
        <v>491</v>
      </c>
      <c r="AU1119" s="1">
        <v>2022</v>
      </c>
      <c r="AV1119" s="1">
        <v>11</v>
      </c>
      <c r="AW1119" s="1">
        <v>2</v>
      </c>
      <c r="AX1119" s="1"/>
      <c r="AY1119" s="1"/>
      <c r="AZ1119" s="1"/>
      <c r="BA1119" s="1"/>
      <c r="BB1119" s="1">
        <v>432</v>
      </c>
      <c r="BC1119" s="1">
        <v>445</v>
      </c>
      <c r="BD1119" s="1"/>
      <c r="BE1119" s="1" t="s">
        <v>7234</v>
      </c>
      <c r="BF1119" s="1" t="str">
        <f>HYPERLINK("http://dx.doi.org/10.13187/ejced.2022.2.432","http://dx.doi.org/10.13187/ejced.2022.2.432")</f>
        <v>http://dx.doi.org/10.13187/ejced.2022.2.432</v>
      </c>
      <c r="BG1119" s="1"/>
      <c r="BH1119" s="1"/>
      <c r="BI1119" s="1"/>
      <c r="BJ1119" s="1"/>
      <c r="BK1119" s="1"/>
      <c r="BL1119" s="1"/>
      <c r="BM1119" s="1"/>
      <c r="BN1119" s="1"/>
      <c r="BO1119" s="1"/>
      <c r="BP1119" s="1"/>
      <c r="BQ1119" s="1"/>
      <c r="BR1119" s="1"/>
      <c r="BS1119" s="1" t="s">
        <v>7235</v>
      </c>
      <c r="BT1119" s="1" t="str">
        <f>HYPERLINK("https%3A%2F%2Fwww.webofscience.com%2Fwos%2Fwoscc%2Ffull-record%2FWOS:000823569900009","View Full Record in Web of Science")</f>
        <v>View Full Record in Web of Science</v>
      </c>
      <c r="BU1119" s="1"/>
      <c r="BV1119" s="1"/>
      <c r="BW1119" s="1"/>
    </row>
    <row r="1120" spans="1:75" ht="12.75" customHeight="1" x14ac:dyDescent="0.2">
      <c r="A1120" s="1" t="s">
        <v>72</v>
      </c>
      <c r="B1120" s="1" t="s">
        <v>7236</v>
      </c>
      <c r="C1120" s="1"/>
      <c r="D1120" s="1"/>
      <c r="E1120" s="1"/>
      <c r="F1120" s="1" t="s">
        <v>7237</v>
      </c>
      <c r="G1120" s="1"/>
      <c r="H1120" s="1"/>
      <c r="I1120" s="1" t="s">
        <v>7238</v>
      </c>
      <c r="J1120" s="1" t="s">
        <v>95</v>
      </c>
      <c r="K1120" s="1"/>
      <c r="L1120" s="1"/>
      <c r="M1120" s="1"/>
      <c r="N1120" s="1"/>
      <c r="O1120" s="1"/>
      <c r="P1120" s="1"/>
      <c r="Q1120" s="1"/>
      <c r="R1120" s="1"/>
      <c r="S1120" s="1"/>
      <c r="T1120" s="1"/>
      <c r="U1120" s="1"/>
      <c r="V1120" s="1"/>
      <c r="W1120" s="1"/>
      <c r="X1120" s="1"/>
      <c r="Y1120" s="1"/>
      <c r="Z1120" s="1"/>
      <c r="AA1120" s="1" t="s">
        <v>7239</v>
      </c>
      <c r="AB1120" s="1" t="s">
        <v>7073</v>
      </c>
      <c r="AC1120" s="1"/>
      <c r="AD1120" s="1"/>
      <c r="AE1120" s="1"/>
      <c r="AF1120" s="1"/>
      <c r="AG1120" s="1"/>
      <c r="AH1120" s="1"/>
      <c r="AI1120" s="1"/>
      <c r="AJ1120" s="1"/>
      <c r="AK1120" s="1"/>
      <c r="AL1120" s="1"/>
      <c r="AM1120" s="1"/>
      <c r="AN1120" s="1"/>
      <c r="AO1120" s="1" t="s">
        <v>98</v>
      </c>
      <c r="AP1120" s="1" t="s">
        <v>99</v>
      </c>
      <c r="AQ1120" s="1"/>
      <c r="AR1120" s="1"/>
      <c r="AS1120" s="1"/>
      <c r="AT1120" s="1"/>
      <c r="AU1120" s="1">
        <v>2021</v>
      </c>
      <c r="AV1120" s="1"/>
      <c r="AW1120" s="1">
        <v>1</v>
      </c>
      <c r="AX1120" s="1"/>
      <c r="AY1120" s="1"/>
      <c r="AZ1120" s="1"/>
      <c r="BA1120" s="1"/>
      <c r="BB1120" s="1">
        <v>22</v>
      </c>
      <c r="BC1120" s="1">
        <v>29</v>
      </c>
      <c r="BD1120" s="1"/>
      <c r="BE1120" s="1" t="s">
        <v>7240</v>
      </c>
      <c r="BF1120" s="1" t="str">
        <f>HYPERLINK("http://dx.doi.org/10.25750/1995-4301-2021-1-022-029","http://dx.doi.org/10.25750/1995-4301-2021-1-022-029")</f>
        <v>http://dx.doi.org/10.25750/1995-4301-2021-1-022-029</v>
      </c>
      <c r="BG1120" s="1"/>
      <c r="BH1120" s="1"/>
      <c r="BI1120" s="1"/>
      <c r="BJ1120" s="1"/>
      <c r="BK1120" s="1"/>
      <c r="BL1120" s="1"/>
      <c r="BM1120" s="1"/>
      <c r="BN1120" s="1"/>
      <c r="BO1120" s="1"/>
      <c r="BP1120" s="1"/>
      <c r="BQ1120" s="1"/>
      <c r="BR1120" s="1"/>
      <c r="BS1120" s="1" t="s">
        <v>7241</v>
      </c>
      <c r="BT1120" s="1" t="str">
        <f>HYPERLINK("https%3A%2F%2Fwww.webofscience.com%2Fwos%2Fwoscc%2Ffull-record%2FWOS:000632219100003","View Full Record in Web of Science")</f>
        <v>View Full Record in Web of Science</v>
      </c>
      <c r="BU1120" s="1"/>
      <c r="BV1120" s="1"/>
      <c r="BW1120" s="1"/>
    </row>
    <row r="1121" spans="1:75" ht="12.75" customHeight="1" x14ac:dyDescent="0.2">
      <c r="A1121" s="1" t="s">
        <v>72</v>
      </c>
      <c r="B1121" s="1" t="s">
        <v>7125</v>
      </c>
      <c r="C1121" s="1"/>
      <c r="D1121" s="1"/>
      <c r="E1121" s="1"/>
      <c r="F1121" s="1" t="s">
        <v>7126</v>
      </c>
      <c r="G1121" s="1"/>
      <c r="H1121" s="1"/>
      <c r="I1121" s="1" t="s">
        <v>7242</v>
      </c>
      <c r="J1121" s="1" t="s">
        <v>6799</v>
      </c>
      <c r="K1121" s="1"/>
      <c r="L1121" s="1"/>
      <c r="M1121" s="1"/>
      <c r="N1121" s="1"/>
      <c r="O1121" s="1"/>
      <c r="P1121" s="1"/>
      <c r="Q1121" s="1"/>
      <c r="R1121" s="1"/>
      <c r="S1121" s="1"/>
      <c r="T1121" s="1"/>
      <c r="U1121" s="1"/>
      <c r="V1121" s="1"/>
      <c r="W1121" s="1"/>
      <c r="X1121" s="1"/>
      <c r="Y1121" s="1"/>
      <c r="Z1121" s="1"/>
      <c r="AA1121" s="1" t="s">
        <v>7243</v>
      </c>
      <c r="AB1121" s="1" t="s">
        <v>7244</v>
      </c>
      <c r="AC1121" s="1"/>
      <c r="AD1121" s="1"/>
      <c r="AE1121" s="1"/>
      <c r="AF1121" s="1"/>
      <c r="AG1121" s="1"/>
      <c r="AH1121" s="1"/>
      <c r="AI1121" s="1"/>
      <c r="AJ1121" s="1"/>
      <c r="AK1121" s="1"/>
      <c r="AL1121" s="1"/>
      <c r="AM1121" s="1"/>
      <c r="AN1121" s="1"/>
      <c r="AO1121" s="1" t="s">
        <v>6802</v>
      </c>
      <c r="AP1121" s="1" t="s">
        <v>6803</v>
      </c>
      <c r="AQ1121" s="1"/>
      <c r="AR1121" s="1"/>
      <c r="AS1121" s="1"/>
      <c r="AT1121" s="1" t="s">
        <v>7245</v>
      </c>
      <c r="AU1121" s="1">
        <v>2020</v>
      </c>
      <c r="AV1121" s="1">
        <v>164</v>
      </c>
      <c r="AW1121" s="1"/>
      <c r="AX1121" s="1"/>
      <c r="AY1121" s="1"/>
      <c r="AZ1121" s="1"/>
      <c r="BA1121" s="1"/>
      <c r="BB1121" s="1">
        <v>863</v>
      </c>
      <c r="BC1121" s="1">
        <v>870</v>
      </c>
      <c r="BD1121" s="1"/>
      <c r="BE1121" s="1" t="s">
        <v>7246</v>
      </c>
      <c r="BF1121" s="1" t="str">
        <f>HYPERLINK("http://dx.doi.org/10.1016/j.ijbiomac.2020.07.189","http://dx.doi.org/10.1016/j.ijbiomac.2020.07.189")</f>
        <v>http://dx.doi.org/10.1016/j.ijbiomac.2020.07.189</v>
      </c>
      <c r="BG1121" s="1"/>
      <c r="BH1121" s="1"/>
      <c r="BI1121" s="1"/>
      <c r="BJ1121" s="1"/>
      <c r="BK1121" s="1"/>
      <c r="BL1121" s="1"/>
      <c r="BM1121" s="1"/>
      <c r="BN1121" s="1">
        <v>32707284</v>
      </c>
      <c r="BO1121" s="1"/>
      <c r="BP1121" s="1"/>
      <c r="BQ1121" s="1"/>
      <c r="BR1121" s="1"/>
      <c r="BS1121" s="1" t="s">
        <v>7247</v>
      </c>
      <c r="BT1121" s="1" t="str">
        <f>HYPERLINK("https%3A%2F%2Fwww.webofscience.com%2Fwos%2Fwoscc%2Ffull-record%2FWOS:000588093700082","View Full Record in Web of Science")</f>
        <v>View Full Record in Web of Science</v>
      </c>
      <c r="BU1121" s="1"/>
      <c r="BV1121" s="1"/>
      <c r="BW1121" s="1"/>
    </row>
    <row r="1122" spans="1:75" ht="12.75" customHeight="1" x14ac:dyDescent="0.2">
      <c r="A1122" s="1" t="s">
        <v>72</v>
      </c>
      <c r="B1122" s="1" t="s">
        <v>7248</v>
      </c>
      <c r="C1122" s="1"/>
      <c r="D1122" s="1"/>
      <c r="E1122" s="1"/>
      <c r="F1122" s="1" t="s">
        <v>7249</v>
      </c>
      <c r="G1122" s="1"/>
      <c r="H1122" s="1"/>
      <c r="I1122" s="1" t="s">
        <v>7250</v>
      </c>
      <c r="J1122" s="1" t="s">
        <v>95</v>
      </c>
      <c r="K1122" s="1"/>
      <c r="L1122" s="1"/>
      <c r="M1122" s="1"/>
      <c r="N1122" s="1"/>
      <c r="O1122" s="1"/>
      <c r="P1122" s="1"/>
      <c r="Q1122" s="1"/>
      <c r="R1122" s="1"/>
      <c r="S1122" s="1"/>
      <c r="T1122" s="1"/>
      <c r="U1122" s="1"/>
      <c r="V1122" s="1"/>
      <c r="W1122" s="1"/>
      <c r="X1122" s="1"/>
      <c r="Y1122" s="1"/>
      <c r="Z1122" s="1"/>
      <c r="AA1122" s="1" t="s">
        <v>7251</v>
      </c>
      <c r="AB1122" s="1" t="s">
        <v>6972</v>
      </c>
      <c r="AC1122" s="1"/>
      <c r="AD1122" s="1"/>
      <c r="AE1122" s="1"/>
      <c r="AF1122" s="1"/>
      <c r="AG1122" s="1"/>
      <c r="AH1122" s="1"/>
      <c r="AI1122" s="1"/>
      <c r="AJ1122" s="1"/>
      <c r="AK1122" s="1"/>
      <c r="AL1122" s="1"/>
      <c r="AM1122" s="1"/>
      <c r="AN1122" s="1"/>
      <c r="AO1122" s="1" t="s">
        <v>98</v>
      </c>
      <c r="AP1122" s="1" t="s">
        <v>99</v>
      </c>
      <c r="AQ1122" s="1"/>
      <c r="AR1122" s="1"/>
      <c r="AS1122" s="1"/>
      <c r="AT1122" s="1"/>
      <c r="AU1122" s="1">
        <v>2020</v>
      </c>
      <c r="AV1122" s="1"/>
      <c r="AW1122" s="1">
        <v>1</v>
      </c>
      <c r="AX1122" s="1"/>
      <c r="AY1122" s="1"/>
      <c r="AZ1122" s="1"/>
      <c r="BA1122" s="1"/>
      <c r="BB1122" s="1">
        <v>151</v>
      </c>
      <c r="BC1122" s="1">
        <v>159</v>
      </c>
      <c r="BD1122" s="1"/>
      <c r="BE1122" s="1" t="s">
        <v>7252</v>
      </c>
      <c r="BF1122" s="1" t="str">
        <f>HYPERLINK("http://dx.doi.org/10.25750/1995-4301-2020-1-151-159","http://dx.doi.org/10.25750/1995-4301-2020-1-151-159")</f>
        <v>http://dx.doi.org/10.25750/1995-4301-2020-1-151-159</v>
      </c>
      <c r="BG1122" s="1"/>
      <c r="BH1122" s="1"/>
      <c r="BI1122" s="1"/>
      <c r="BJ1122" s="1"/>
      <c r="BK1122" s="1"/>
      <c r="BL1122" s="1"/>
      <c r="BM1122" s="1"/>
      <c r="BN1122" s="1"/>
      <c r="BO1122" s="1"/>
      <c r="BP1122" s="1"/>
      <c r="BQ1122" s="1"/>
      <c r="BR1122" s="1"/>
      <c r="BS1122" s="1" t="s">
        <v>7253</v>
      </c>
      <c r="BT1122" s="1" t="str">
        <f>HYPERLINK("https%3A%2F%2Fwww.webofscience.com%2Fwos%2Fwoscc%2Ffull-record%2FWOS:000522789400022","View Full Record in Web of Science")</f>
        <v>View Full Record in Web of Science</v>
      </c>
      <c r="BU1122" s="1"/>
      <c r="BV1122" s="1"/>
      <c r="BW1122" s="1"/>
    </row>
    <row r="1123" spans="1:75" ht="12.75" customHeight="1" x14ac:dyDescent="0.2">
      <c r="A1123" s="1" t="s">
        <v>72</v>
      </c>
      <c r="B1123" s="1" t="s">
        <v>7254</v>
      </c>
      <c r="C1123" s="1"/>
      <c r="D1123" s="1"/>
      <c r="E1123" s="1"/>
      <c r="F1123" s="1" t="s">
        <v>7255</v>
      </c>
      <c r="G1123" s="1"/>
      <c r="H1123" s="1"/>
      <c r="I1123" s="1" t="s">
        <v>7256</v>
      </c>
      <c r="J1123" s="1" t="s">
        <v>7257</v>
      </c>
      <c r="K1123" s="1"/>
      <c r="L1123" s="1"/>
      <c r="M1123" s="1"/>
      <c r="N1123" s="1"/>
      <c r="O1123" s="1"/>
      <c r="P1123" s="1"/>
      <c r="Q1123" s="1"/>
      <c r="R1123" s="1"/>
      <c r="S1123" s="1"/>
      <c r="T1123" s="1"/>
      <c r="U1123" s="1"/>
      <c r="V1123" s="1"/>
      <c r="W1123" s="1"/>
      <c r="X1123" s="1"/>
      <c r="Y1123" s="1"/>
      <c r="Z1123" s="1"/>
      <c r="AA1123" s="1" t="s">
        <v>7258</v>
      </c>
      <c r="AB1123" s="1"/>
      <c r="AC1123" s="1"/>
      <c r="AD1123" s="1"/>
      <c r="AE1123" s="1"/>
      <c r="AF1123" s="1"/>
      <c r="AG1123" s="1"/>
      <c r="AH1123" s="1"/>
      <c r="AI1123" s="1"/>
      <c r="AJ1123" s="1"/>
      <c r="AK1123" s="1"/>
      <c r="AL1123" s="1"/>
      <c r="AM1123" s="1"/>
      <c r="AN1123" s="1"/>
      <c r="AO1123" s="1"/>
      <c r="AP1123" s="1" t="s">
        <v>7259</v>
      </c>
      <c r="AQ1123" s="1"/>
      <c r="AR1123" s="1"/>
      <c r="AS1123" s="1"/>
      <c r="AT1123" s="1" t="s">
        <v>655</v>
      </c>
      <c r="AU1123" s="1">
        <v>2019</v>
      </c>
      <c r="AV1123" s="1">
        <v>5</v>
      </c>
      <c r="AW1123" s="1">
        <v>2</v>
      </c>
      <c r="AX1123" s="1"/>
      <c r="AY1123" s="1"/>
      <c r="AZ1123" s="1"/>
      <c r="BA1123" s="1"/>
      <c r="BB1123" s="1"/>
      <c r="BC1123" s="1"/>
      <c r="BD1123" s="1" t="s">
        <v>7260</v>
      </c>
      <c r="BE1123" s="1" t="s">
        <v>7261</v>
      </c>
      <c r="BF1123" s="1" t="str">
        <f>HYPERLINK("http://dx.doi.org/10.1016/j.heliyon.2019.e01202","http://dx.doi.org/10.1016/j.heliyon.2019.e01202")</f>
        <v>http://dx.doi.org/10.1016/j.heliyon.2019.e01202</v>
      </c>
      <c r="BG1123" s="1"/>
      <c r="BH1123" s="1"/>
      <c r="BI1123" s="1"/>
      <c r="BJ1123" s="1"/>
      <c r="BK1123" s="1"/>
      <c r="BL1123" s="1"/>
      <c r="BM1123" s="1"/>
      <c r="BN1123" s="1">
        <v>30815596</v>
      </c>
      <c r="BO1123" s="1"/>
      <c r="BP1123" s="1"/>
      <c r="BQ1123" s="1"/>
      <c r="BR1123" s="1"/>
      <c r="BS1123" s="1" t="s">
        <v>7262</v>
      </c>
      <c r="BT1123" s="1" t="str">
        <f>HYPERLINK("https%3A%2F%2Fwww.webofscience.com%2Fwos%2Fwoscc%2Ffull-record%2FWOS:000460082200025","View Full Record in Web of Science")</f>
        <v>View Full Record in Web of Science</v>
      </c>
      <c r="BU1123" s="1"/>
      <c r="BV1123" s="1"/>
      <c r="BW1123" s="1"/>
    </row>
    <row r="1124" spans="1:75" ht="12.75" customHeight="1" x14ac:dyDescent="0.2">
      <c r="A1124" s="1" t="s">
        <v>72</v>
      </c>
      <c r="B1124" s="1" t="s">
        <v>7189</v>
      </c>
      <c r="C1124" s="1"/>
      <c r="D1124" s="1"/>
      <c r="E1124" s="1"/>
      <c r="F1124" s="1" t="s">
        <v>7263</v>
      </c>
      <c r="G1124" s="1"/>
      <c r="H1124" s="1"/>
      <c r="I1124" s="1" t="s">
        <v>7264</v>
      </c>
      <c r="J1124" s="1" t="s">
        <v>95</v>
      </c>
      <c r="K1124" s="1"/>
      <c r="L1124" s="1"/>
      <c r="M1124" s="1"/>
      <c r="N1124" s="1"/>
      <c r="O1124" s="1"/>
      <c r="P1124" s="1"/>
      <c r="Q1124" s="1"/>
      <c r="R1124" s="1"/>
      <c r="S1124" s="1"/>
      <c r="T1124" s="1"/>
      <c r="U1124" s="1"/>
      <c r="V1124" s="1"/>
      <c r="W1124" s="1"/>
      <c r="X1124" s="1"/>
      <c r="Y1124" s="1"/>
      <c r="Z1124" s="1"/>
      <c r="AA1124" s="1" t="s">
        <v>5529</v>
      </c>
      <c r="AB1124" s="1" t="s">
        <v>5530</v>
      </c>
      <c r="AC1124" s="1"/>
      <c r="AD1124" s="1"/>
      <c r="AE1124" s="1"/>
      <c r="AF1124" s="1"/>
      <c r="AG1124" s="1"/>
      <c r="AH1124" s="1"/>
      <c r="AI1124" s="1"/>
      <c r="AJ1124" s="1"/>
      <c r="AK1124" s="1"/>
      <c r="AL1124" s="1"/>
      <c r="AM1124" s="1"/>
      <c r="AN1124" s="1"/>
      <c r="AO1124" s="1" t="s">
        <v>98</v>
      </c>
      <c r="AP1124" s="1" t="s">
        <v>99</v>
      </c>
      <c r="AQ1124" s="1"/>
      <c r="AR1124" s="1"/>
      <c r="AS1124" s="1"/>
      <c r="AT1124" s="1"/>
      <c r="AU1124" s="1">
        <v>2021</v>
      </c>
      <c r="AV1124" s="1"/>
      <c r="AW1124" s="1">
        <v>3</v>
      </c>
      <c r="AX1124" s="1"/>
      <c r="AY1124" s="1"/>
      <c r="AZ1124" s="1"/>
      <c r="BA1124" s="1"/>
      <c r="BB1124" s="1">
        <v>38</v>
      </c>
      <c r="BC1124" s="1">
        <v>43</v>
      </c>
      <c r="BD1124" s="1"/>
      <c r="BE1124" s="1" t="s">
        <v>7265</v>
      </c>
      <c r="BF1124" s="1" t="str">
        <f>HYPERLINK("http://dx.doi.org/10.25750/1995-4301-2021-3-038-043","http://dx.doi.org/10.25750/1995-4301-2021-3-038-043")</f>
        <v>http://dx.doi.org/10.25750/1995-4301-2021-3-038-043</v>
      </c>
      <c r="BG1124" s="1"/>
      <c r="BH1124" s="1"/>
      <c r="BI1124" s="1"/>
      <c r="BJ1124" s="1"/>
      <c r="BK1124" s="1"/>
      <c r="BL1124" s="1"/>
      <c r="BM1124" s="1"/>
      <c r="BN1124" s="1"/>
      <c r="BO1124" s="1"/>
      <c r="BP1124" s="1"/>
      <c r="BQ1124" s="1"/>
      <c r="BR1124" s="1"/>
      <c r="BS1124" s="1" t="s">
        <v>7266</v>
      </c>
      <c r="BT1124" s="1" t="str">
        <f>HYPERLINK("https%3A%2F%2Fwww.webofscience.com%2Fwos%2Fwoscc%2Ffull-record%2FWOS:000700413300005","View Full Record in Web of Science")</f>
        <v>View Full Record in Web of Science</v>
      </c>
      <c r="BU1124" s="1"/>
      <c r="BV1124" s="1"/>
      <c r="BW1124" s="1"/>
    </row>
    <row r="1125" spans="1:75" ht="12.75" customHeight="1" x14ac:dyDescent="0.2">
      <c r="A1125" s="1" t="s">
        <v>72</v>
      </c>
      <c r="B1125" s="1" t="s">
        <v>7267</v>
      </c>
      <c r="C1125" s="1"/>
      <c r="D1125" s="1"/>
      <c r="E1125" s="1"/>
      <c r="F1125" s="1" t="s">
        <v>7268</v>
      </c>
      <c r="G1125" s="1"/>
      <c r="H1125" s="1"/>
      <c r="I1125" s="1" t="s">
        <v>7269</v>
      </c>
      <c r="J1125" s="1" t="s">
        <v>7270</v>
      </c>
      <c r="K1125" s="1"/>
      <c r="L1125" s="1"/>
      <c r="M1125" s="1"/>
      <c r="N1125" s="1"/>
      <c r="O1125" s="1"/>
      <c r="P1125" s="1"/>
      <c r="Q1125" s="1"/>
      <c r="R1125" s="1"/>
      <c r="S1125" s="1"/>
      <c r="T1125" s="1"/>
      <c r="U1125" s="1"/>
      <c r="V1125" s="1"/>
      <c r="W1125" s="1"/>
      <c r="X1125" s="1"/>
      <c r="Y1125" s="1"/>
      <c r="Z1125" s="1"/>
      <c r="AA1125" s="1" t="s">
        <v>7271</v>
      </c>
      <c r="AB1125" s="1" t="s">
        <v>6791</v>
      </c>
      <c r="AC1125" s="1"/>
      <c r="AD1125" s="1"/>
      <c r="AE1125" s="1"/>
      <c r="AF1125" s="1"/>
      <c r="AG1125" s="1"/>
      <c r="AH1125" s="1"/>
      <c r="AI1125" s="1"/>
      <c r="AJ1125" s="1"/>
      <c r="AK1125" s="1"/>
      <c r="AL1125" s="1"/>
      <c r="AM1125" s="1"/>
      <c r="AN1125" s="1"/>
      <c r="AO1125" s="1" t="s">
        <v>7272</v>
      </c>
      <c r="AP1125" s="1" t="s">
        <v>7273</v>
      </c>
      <c r="AQ1125" s="1"/>
      <c r="AR1125" s="1"/>
      <c r="AS1125" s="1"/>
      <c r="AT1125" s="1" t="s">
        <v>1167</v>
      </c>
      <c r="AU1125" s="1">
        <v>2019</v>
      </c>
      <c r="AV1125" s="1">
        <v>61</v>
      </c>
      <c r="AW1125" s="1">
        <v>10</v>
      </c>
      <c r="AX1125" s="1"/>
      <c r="AY1125" s="1"/>
      <c r="AZ1125" s="1"/>
      <c r="BA1125" s="1"/>
      <c r="BB1125" s="1">
        <v>725</v>
      </c>
      <c r="BC1125" s="1">
        <v>741</v>
      </c>
      <c r="BD1125" s="1"/>
      <c r="BE1125" s="1" t="s">
        <v>7274</v>
      </c>
      <c r="BF1125" s="1" t="str">
        <f>HYPERLINK("http://dx.doi.org/10.1007/s12033-019-00202-5","http://dx.doi.org/10.1007/s12033-019-00202-5")</f>
        <v>http://dx.doi.org/10.1007/s12033-019-00202-5</v>
      </c>
      <c r="BG1125" s="1"/>
      <c r="BH1125" s="1"/>
      <c r="BI1125" s="1"/>
      <c r="BJ1125" s="1"/>
      <c r="BK1125" s="1"/>
      <c r="BL1125" s="1"/>
      <c r="BM1125" s="1"/>
      <c r="BN1125" s="1">
        <v>31372919</v>
      </c>
      <c r="BO1125" s="1"/>
      <c r="BP1125" s="1"/>
      <c r="BQ1125" s="1"/>
      <c r="BR1125" s="1"/>
      <c r="BS1125" s="1" t="s">
        <v>7275</v>
      </c>
      <c r="BT1125" s="1" t="str">
        <f>HYPERLINK("https%3A%2F%2Fwww.webofscience.com%2Fwos%2Fwoscc%2Ffull-record%2FWOS:000485895800002","View Full Record in Web of Science")</f>
        <v>View Full Record in Web of Science</v>
      </c>
      <c r="BU1125" s="1"/>
      <c r="BV1125" s="1"/>
      <c r="BW1125" s="1"/>
    </row>
    <row r="1126" spans="1:75" ht="12.75" customHeight="1" x14ac:dyDescent="0.2">
      <c r="A1126" s="1" t="s">
        <v>72</v>
      </c>
      <c r="B1126" s="1" t="s">
        <v>7276</v>
      </c>
      <c r="C1126" s="1"/>
      <c r="D1126" s="1"/>
      <c r="E1126" s="1"/>
      <c r="F1126" s="1" t="s">
        <v>7277</v>
      </c>
      <c r="G1126" s="1"/>
      <c r="H1126" s="1"/>
      <c r="I1126" s="1" t="s">
        <v>7278</v>
      </c>
      <c r="J1126" s="1" t="s">
        <v>6978</v>
      </c>
      <c r="K1126" s="1"/>
      <c r="L1126" s="1"/>
      <c r="M1126" s="1"/>
      <c r="N1126" s="1"/>
      <c r="O1126" s="1"/>
      <c r="P1126" s="1"/>
      <c r="Q1126" s="1"/>
      <c r="R1126" s="1"/>
      <c r="S1126" s="1"/>
      <c r="T1126" s="1"/>
      <c r="U1126" s="1"/>
      <c r="V1126" s="1"/>
      <c r="W1126" s="1"/>
      <c r="X1126" s="1"/>
      <c r="Y1126" s="1"/>
      <c r="Z1126" s="1"/>
      <c r="AA1126" s="1" t="s">
        <v>7279</v>
      </c>
      <c r="AB1126" s="1" t="s">
        <v>7280</v>
      </c>
      <c r="AC1126" s="1"/>
      <c r="AD1126" s="1"/>
      <c r="AE1126" s="1"/>
      <c r="AF1126" s="1"/>
      <c r="AG1126" s="1"/>
      <c r="AH1126" s="1"/>
      <c r="AI1126" s="1"/>
      <c r="AJ1126" s="1"/>
      <c r="AK1126" s="1"/>
      <c r="AL1126" s="1"/>
      <c r="AM1126" s="1"/>
      <c r="AN1126" s="1"/>
      <c r="AO1126" s="1" t="s">
        <v>6979</v>
      </c>
      <c r="AP1126" s="1"/>
      <c r="AQ1126" s="1"/>
      <c r="AR1126" s="1"/>
      <c r="AS1126" s="1"/>
      <c r="AT1126" s="1" t="s">
        <v>125</v>
      </c>
      <c r="AU1126" s="1">
        <v>2018</v>
      </c>
      <c r="AV1126" s="1">
        <v>8</v>
      </c>
      <c r="AW1126" s="1"/>
      <c r="AX1126" s="1"/>
      <c r="AY1126" s="1">
        <v>1</v>
      </c>
      <c r="AZ1126" s="1"/>
      <c r="BA1126" s="1" t="s">
        <v>7281</v>
      </c>
      <c r="BB1126" s="1">
        <v>144</v>
      </c>
      <c r="BC1126" s="1">
        <v>145</v>
      </c>
      <c r="BD1126" s="1"/>
      <c r="BE1126" s="1"/>
      <c r="BF1126" s="1"/>
      <c r="BG1126" s="1"/>
      <c r="BH1126" s="1"/>
      <c r="BI1126" s="1"/>
      <c r="BJ1126" s="1"/>
      <c r="BK1126" s="1"/>
      <c r="BL1126" s="1"/>
      <c r="BM1126" s="1"/>
      <c r="BN1126" s="1"/>
      <c r="BO1126" s="1"/>
      <c r="BP1126" s="1"/>
      <c r="BQ1126" s="1"/>
      <c r="BR1126" s="1"/>
      <c r="BS1126" s="1" t="s">
        <v>7282</v>
      </c>
      <c r="BT1126" s="1" t="str">
        <f>HYPERLINK("https%3A%2F%2Fwww.webofscience.com%2Fwos%2Fwoscc%2Ffull-record%2FWOS:000437674102123","View Full Record in Web of Science")</f>
        <v>View Full Record in Web of Science</v>
      </c>
      <c r="BU1126" s="1"/>
      <c r="BV1126" s="1"/>
      <c r="BW1126" s="1"/>
    </row>
    <row r="1127" spans="1:75" ht="12.75" customHeight="1" x14ac:dyDescent="0.2">
      <c r="A1127" s="1" t="s">
        <v>72</v>
      </c>
      <c r="B1127" s="1" t="s">
        <v>7283</v>
      </c>
      <c r="C1127" s="1"/>
      <c r="D1127" s="1"/>
      <c r="E1127" s="1"/>
      <c r="F1127" s="1" t="s">
        <v>7284</v>
      </c>
      <c r="G1127" s="1"/>
      <c r="H1127" s="1"/>
      <c r="I1127" s="1" t="s">
        <v>7285</v>
      </c>
      <c r="J1127" s="1" t="s">
        <v>7286</v>
      </c>
      <c r="K1127" s="1"/>
      <c r="L1127" s="1"/>
      <c r="M1127" s="1"/>
      <c r="N1127" s="1"/>
      <c r="O1127" s="1"/>
      <c r="P1127" s="1"/>
      <c r="Q1127" s="1"/>
      <c r="R1127" s="1"/>
      <c r="S1127" s="1"/>
      <c r="T1127" s="1"/>
      <c r="U1127" s="1"/>
      <c r="V1127" s="1"/>
      <c r="W1127" s="1"/>
      <c r="X1127" s="1"/>
      <c r="Y1127" s="1"/>
      <c r="Z1127" s="1"/>
      <c r="AA1127" s="1" t="s">
        <v>6440</v>
      </c>
      <c r="AB1127" s="1" t="s">
        <v>6441</v>
      </c>
      <c r="AC1127" s="1"/>
      <c r="AD1127" s="1"/>
      <c r="AE1127" s="1"/>
      <c r="AF1127" s="1"/>
      <c r="AG1127" s="1"/>
      <c r="AH1127" s="1"/>
      <c r="AI1127" s="1"/>
      <c r="AJ1127" s="1"/>
      <c r="AK1127" s="1"/>
      <c r="AL1127" s="1"/>
      <c r="AM1127" s="1"/>
      <c r="AN1127" s="1"/>
      <c r="AO1127" s="1"/>
      <c r="AP1127" s="1" t="s">
        <v>7287</v>
      </c>
      <c r="AQ1127" s="1"/>
      <c r="AR1127" s="1"/>
      <c r="AS1127" s="1"/>
      <c r="AT1127" s="1" t="s">
        <v>171</v>
      </c>
      <c r="AU1127" s="1">
        <v>2022</v>
      </c>
      <c r="AV1127" s="1">
        <v>12</v>
      </c>
      <c r="AW1127" s="1">
        <v>3</v>
      </c>
      <c r="AX1127" s="1"/>
      <c r="AY1127" s="1"/>
      <c r="AZ1127" s="1"/>
      <c r="BA1127" s="1"/>
      <c r="BB1127" s="1"/>
      <c r="BC1127" s="1"/>
      <c r="BD1127" s="1">
        <v>419</v>
      </c>
      <c r="BE1127" s="1" t="s">
        <v>7288</v>
      </c>
      <c r="BF1127" s="1" t="str">
        <f>HYPERLINK("http://dx.doi.org/10.3390/cryst12030419","http://dx.doi.org/10.3390/cryst12030419")</f>
        <v>http://dx.doi.org/10.3390/cryst12030419</v>
      </c>
      <c r="BG1127" s="1"/>
      <c r="BH1127" s="1"/>
      <c r="BI1127" s="1"/>
      <c r="BJ1127" s="1"/>
      <c r="BK1127" s="1"/>
      <c r="BL1127" s="1"/>
      <c r="BM1127" s="1"/>
      <c r="BN1127" s="1"/>
      <c r="BO1127" s="1"/>
      <c r="BP1127" s="1"/>
      <c r="BQ1127" s="1"/>
      <c r="BR1127" s="1"/>
      <c r="BS1127" s="1" t="s">
        <v>7289</v>
      </c>
      <c r="BT1127" s="1" t="str">
        <f>HYPERLINK("https%3A%2F%2Fwww.webofscience.com%2Fwos%2Fwoscc%2Ffull-record%2FWOS:000777005100001","View Full Record in Web of Science")</f>
        <v>View Full Record in Web of Science</v>
      </c>
      <c r="BU1127" s="1"/>
      <c r="BV1127" s="1"/>
      <c r="BW1127" s="1"/>
    </row>
    <row r="1128" spans="1:75" ht="12.75" customHeight="1" x14ac:dyDescent="0.2">
      <c r="A1128" s="1" t="s">
        <v>72</v>
      </c>
      <c r="B1128" s="1" t="s">
        <v>7290</v>
      </c>
      <c r="C1128" s="1"/>
      <c r="D1128" s="1"/>
      <c r="E1128" s="1"/>
      <c r="F1128" s="1" t="s">
        <v>7291</v>
      </c>
      <c r="G1128" s="1"/>
      <c r="H1128" s="1"/>
      <c r="I1128" s="1" t="s">
        <v>7292</v>
      </c>
      <c r="J1128" s="1" t="s">
        <v>6799</v>
      </c>
      <c r="K1128" s="1"/>
      <c r="L1128" s="1"/>
      <c r="M1128" s="1"/>
      <c r="N1128" s="1"/>
      <c r="O1128" s="1"/>
      <c r="P1128" s="1"/>
      <c r="Q1128" s="1"/>
      <c r="R1128" s="1"/>
      <c r="S1128" s="1"/>
      <c r="T1128" s="1"/>
      <c r="U1128" s="1"/>
      <c r="V1128" s="1"/>
      <c r="W1128" s="1"/>
      <c r="X1128" s="1"/>
      <c r="Y1128" s="1"/>
      <c r="Z1128" s="1"/>
      <c r="AA1128" s="1" t="s">
        <v>7293</v>
      </c>
      <c r="AB1128" s="1" t="s">
        <v>7244</v>
      </c>
      <c r="AC1128" s="1"/>
      <c r="AD1128" s="1"/>
      <c r="AE1128" s="1"/>
      <c r="AF1128" s="1"/>
      <c r="AG1128" s="1"/>
      <c r="AH1128" s="1"/>
      <c r="AI1128" s="1"/>
      <c r="AJ1128" s="1"/>
      <c r="AK1128" s="1"/>
      <c r="AL1128" s="1"/>
      <c r="AM1128" s="1"/>
      <c r="AN1128" s="1"/>
      <c r="AO1128" s="1" t="s">
        <v>6802</v>
      </c>
      <c r="AP1128" s="1" t="s">
        <v>6803</v>
      </c>
      <c r="AQ1128" s="1"/>
      <c r="AR1128" s="1"/>
      <c r="AS1128" s="1"/>
      <c r="AT1128" s="1" t="s">
        <v>7245</v>
      </c>
      <c r="AU1128" s="1">
        <v>2020</v>
      </c>
      <c r="AV1128" s="1">
        <v>164</v>
      </c>
      <c r="AW1128" s="1"/>
      <c r="AX1128" s="1"/>
      <c r="AY1128" s="1"/>
      <c r="AZ1128" s="1"/>
      <c r="BA1128" s="1"/>
      <c r="BB1128" s="1">
        <v>2232</v>
      </c>
      <c r="BC1128" s="1">
        <v>2239</v>
      </c>
      <c r="BD1128" s="1"/>
      <c r="BE1128" s="1" t="s">
        <v>7294</v>
      </c>
      <c r="BF1128" s="1" t="str">
        <f>HYPERLINK("http://dx.doi.org/10.1016/j.ijbiomac.2020.08.024","http://dx.doi.org/10.1016/j.ijbiomac.2020.08.024")</f>
        <v>http://dx.doi.org/10.1016/j.ijbiomac.2020.08.024</v>
      </c>
      <c r="BG1128" s="1"/>
      <c r="BH1128" s="1"/>
      <c r="BI1128" s="1"/>
      <c r="BJ1128" s="1"/>
      <c r="BK1128" s="1"/>
      <c r="BL1128" s="1"/>
      <c r="BM1128" s="1"/>
      <c r="BN1128" s="1">
        <v>32771505</v>
      </c>
      <c r="BO1128" s="1"/>
      <c r="BP1128" s="1"/>
      <c r="BQ1128" s="1"/>
      <c r="BR1128" s="1"/>
      <c r="BS1128" s="1" t="s">
        <v>7295</v>
      </c>
      <c r="BT1128" s="1" t="str">
        <f>HYPERLINK("https%3A%2F%2Fwww.webofscience.com%2Fwos%2Fwoscc%2Ffull-record%2FWOS:000588093700211","View Full Record in Web of Science")</f>
        <v>View Full Record in Web of Science</v>
      </c>
      <c r="BU1128" s="1"/>
      <c r="BV1128" s="1"/>
      <c r="BW1128" s="1"/>
    </row>
    <row r="1129" spans="1:75" ht="12.75" customHeight="1" x14ac:dyDescent="0.2">
      <c r="A1129" s="1" t="s">
        <v>72</v>
      </c>
      <c r="B1129" s="1" t="s">
        <v>6837</v>
      </c>
      <c r="C1129" s="1"/>
      <c r="D1129" s="1"/>
      <c r="E1129" s="1"/>
      <c r="F1129" s="1" t="s">
        <v>6838</v>
      </c>
      <c r="G1129" s="1"/>
      <c r="H1129" s="1"/>
      <c r="I1129" s="1" t="s">
        <v>7296</v>
      </c>
      <c r="J1129" s="1" t="s">
        <v>5813</v>
      </c>
      <c r="K1129" s="1"/>
      <c r="L1129" s="1"/>
      <c r="M1129" s="1"/>
      <c r="N1129" s="1"/>
      <c r="O1129" s="1"/>
      <c r="P1129" s="1"/>
      <c r="Q1129" s="1"/>
      <c r="R1129" s="1"/>
      <c r="S1129" s="1"/>
      <c r="T1129" s="1"/>
      <c r="U1129" s="1"/>
      <c r="V1129" s="1"/>
      <c r="W1129" s="1"/>
      <c r="X1129" s="1"/>
      <c r="Y1129" s="1"/>
      <c r="Z1129" s="1"/>
      <c r="AA1129" s="1" t="s">
        <v>6058</v>
      </c>
      <c r="AB1129" s="1"/>
      <c r="AC1129" s="1"/>
      <c r="AD1129" s="1"/>
      <c r="AE1129" s="1"/>
      <c r="AF1129" s="1"/>
      <c r="AG1129" s="1"/>
      <c r="AH1129" s="1"/>
      <c r="AI1129" s="1"/>
      <c r="AJ1129" s="1"/>
      <c r="AK1129" s="1"/>
      <c r="AL1129" s="1"/>
      <c r="AM1129" s="1"/>
      <c r="AN1129" s="1"/>
      <c r="AO1129" s="1" t="s">
        <v>5814</v>
      </c>
      <c r="AP1129" s="1" t="s">
        <v>5815</v>
      </c>
      <c r="AQ1129" s="1"/>
      <c r="AR1129" s="1"/>
      <c r="AS1129" s="1"/>
      <c r="AT1129" s="1" t="s">
        <v>491</v>
      </c>
      <c r="AU1129" s="1">
        <v>2020</v>
      </c>
      <c r="AV1129" s="1">
        <v>64</v>
      </c>
      <c r="AW1129" s="1">
        <v>6</v>
      </c>
      <c r="AX1129" s="1"/>
      <c r="AY1129" s="1"/>
      <c r="AZ1129" s="1"/>
      <c r="BA1129" s="1"/>
      <c r="BB1129" s="1">
        <v>40</v>
      </c>
      <c r="BC1129" s="1">
        <v>55</v>
      </c>
      <c r="BD1129" s="1"/>
      <c r="BE1129" s="1" t="s">
        <v>7297</v>
      </c>
      <c r="BF1129" s="1" t="str">
        <f>HYPERLINK("http://dx.doi.org/10.3103/S1066369X20060079","http://dx.doi.org/10.3103/S1066369X20060079")</f>
        <v>http://dx.doi.org/10.3103/S1066369X20060079</v>
      </c>
      <c r="BG1129" s="1"/>
      <c r="BH1129" s="1"/>
      <c r="BI1129" s="1"/>
      <c r="BJ1129" s="1"/>
      <c r="BK1129" s="1"/>
      <c r="BL1129" s="1"/>
      <c r="BM1129" s="1"/>
      <c r="BN1129" s="1"/>
      <c r="BO1129" s="1"/>
      <c r="BP1129" s="1"/>
      <c r="BQ1129" s="1"/>
      <c r="BR1129" s="1"/>
      <c r="BS1129" s="1" t="s">
        <v>7298</v>
      </c>
      <c r="BT1129" s="1" t="str">
        <f>HYPERLINK("https%3A%2F%2Fwww.webofscience.com%2Fwos%2Fwoscc%2Ffull-record%2FWOS:000556993500007","View Full Record in Web of Science")</f>
        <v>View Full Record in Web of Science</v>
      </c>
      <c r="BU1129" s="1"/>
      <c r="BV1129" s="1"/>
      <c r="BW1129" s="1"/>
    </row>
    <row r="1130" spans="1:75" ht="12.75" customHeight="1" x14ac:dyDescent="0.2">
      <c r="A1130" s="1" t="s">
        <v>72</v>
      </c>
      <c r="B1130" s="1" t="s">
        <v>7299</v>
      </c>
      <c r="C1130" s="1"/>
      <c r="D1130" s="1"/>
      <c r="E1130" s="1"/>
      <c r="F1130" s="1" t="s">
        <v>7300</v>
      </c>
      <c r="G1130" s="1"/>
      <c r="H1130" s="1"/>
      <c r="I1130" s="1" t="s">
        <v>7301</v>
      </c>
      <c r="J1130" s="1" t="s">
        <v>7302</v>
      </c>
      <c r="K1130" s="1"/>
      <c r="L1130" s="1"/>
      <c r="M1130" s="1"/>
      <c r="N1130" s="1"/>
      <c r="O1130" s="1"/>
      <c r="P1130" s="1"/>
      <c r="Q1130" s="1"/>
      <c r="R1130" s="1"/>
      <c r="S1130" s="1"/>
      <c r="T1130" s="1"/>
      <c r="U1130" s="1"/>
      <c r="V1130" s="1"/>
      <c r="W1130" s="1"/>
      <c r="X1130" s="1"/>
      <c r="Y1130" s="1"/>
      <c r="Z1130" s="1"/>
      <c r="AA1130" s="1" t="s">
        <v>7303</v>
      </c>
      <c r="AB1130" s="1" t="s">
        <v>7304</v>
      </c>
      <c r="AC1130" s="1"/>
      <c r="AD1130" s="1"/>
      <c r="AE1130" s="1"/>
      <c r="AF1130" s="1"/>
      <c r="AG1130" s="1"/>
      <c r="AH1130" s="1"/>
      <c r="AI1130" s="1"/>
      <c r="AJ1130" s="1"/>
      <c r="AK1130" s="1"/>
      <c r="AL1130" s="1"/>
      <c r="AM1130" s="1"/>
      <c r="AN1130" s="1"/>
      <c r="AO1130" s="1" t="s">
        <v>7305</v>
      </c>
      <c r="AP1130" s="1"/>
      <c r="AQ1130" s="1"/>
      <c r="AR1130" s="1"/>
      <c r="AS1130" s="1"/>
      <c r="AT1130" s="1" t="s">
        <v>491</v>
      </c>
      <c r="AU1130" s="1">
        <v>2019</v>
      </c>
      <c r="AV1130" s="1">
        <v>8</v>
      </c>
      <c r="AW1130" s="1">
        <v>6</v>
      </c>
      <c r="AX1130" s="1"/>
      <c r="AY1130" s="1"/>
      <c r="AZ1130" s="1"/>
      <c r="BA1130" s="1"/>
      <c r="BB1130" s="1"/>
      <c r="BC1130" s="1"/>
      <c r="BD1130" s="1">
        <v>172</v>
      </c>
      <c r="BE1130" s="1" t="s">
        <v>7306</v>
      </c>
      <c r="BF1130" s="1" t="str">
        <f>HYPERLINK("http://dx.doi.org/10.3390/plants8060172","http://dx.doi.org/10.3390/plants8060172")</f>
        <v>http://dx.doi.org/10.3390/plants8060172</v>
      </c>
      <c r="BG1130" s="1"/>
      <c r="BH1130" s="1"/>
      <c r="BI1130" s="1"/>
      <c r="BJ1130" s="1"/>
      <c r="BK1130" s="1"/>
      <c r="BL1130" s="1"/>
      <c r="BM1130" s="1"/>
      <c r="BN1130" s="1">
        <v>31200526</v>
      </c>
      <c r="BO1130" s="1"/>
      <c r="BP1130" s="1"/>
      <c r="BQ1130" s="1"/>
      <c r="BR1130" s="1"/>
      <c r="BS1130" s="1" t="s">
        <v>7307</v>
      </c>
      <c r="BT1130" s="1" t="str">
        <f>HYPERLINK("https%3A%2F%2Fwww.webofscience.com%2Fwos%2Fwoscc%2Ffull-record%2FWOS:000475326400033","View Full Record in Web of Science")</f>
        <v>View Full Record in Web of Science</v>
      </c>
      <c r="BU1130" s="1"/>
      <c r="BV1130" s="1"/>
      <c r="BW1130" s="1"/>
    </row>
    <row r="1131" spans="1:75" ht="12.75" customHeight="1" x14ac:dyDescent="0.2">
      <c r="A1131" s="1" t="s">
        <v>72</v>
      </c>
      <c r="B1131" s="1" t="s">
        <v>7308</v>
      </c>
      <c r="C1131" s="1"/>
      <c r="D1131" s="1"/>
      <c r="E1131" s="1"/>
      <c r="F1131" s="1" t="s">
        <v>7309</v>
      </c>
      <c r="G1131" s="1"/>
      <c r="H1131" s="1"/>
      <c r="I1131" s="1" t="s">
        <v>7310</v>
      </c>
      <c r="J1131" s="1" t="s">
        <v>7100</v>
      </c>
      <c r="K1131" s="1"/>
      <c r="L1131" s="1"/>
      <c r="M1131" s="1"/>
      <c r="N1131" s="1"/>
      <c r="O1131" s="1"/>
      <c r="P1131" s="1"/>
      <c r="Q1131" s="1"/>
      <c r="R1131" s="1"/>
      <c r="S1131" s="1"/>
      <c r="T1131" s="1"/>
      <c r="U1131" s="1"/>
      <c r="V1131" s="1"/>
      <c r="W1131" s="1"/>
      <c r="X1131" s="1"/>
      <c r="Y1131" s="1"/>
      <c r="Z1131" s="1"/>
      <c r="AA1131" s="1" t="s">
        <v>7311</v>
      </c>
      <c r="AB1131" s="1" t="s">
        <v>7312</v>
      </c>
      <c r="AC1131" s="1"/>
      <c r="AD1131" s="1"/>
      <c r="AE1131" s="1"/>
      <c r="AF1131" s="1"/>
      <c r="AG1131" s="1"/>
      <c r="AH1131" s="1"/>
      <c r="AI1131" s="1"/>
      <c r="AJ1131" s="1"/>
      <c r="AK1131" s="1"/>
      <c r="AL1131" s="1"/>
      <c r="AM1131" s="1"/>
      <c r="AN1131" s="1"/>
      <c r="AO1131" s="1" t="s">
        <v>7103</v>
      </c>
      <c r="AP1131" s="1" t="s">
        <v>7104</v>
      </c>
      <c r="AQ1131" s="1"/>
      <c r="AR1131" s="1"/>
      <c r="AS1131" s="1"/>
      <c r="AT1131" s="1" t="s">
        <v>7313</v>
      </c>
      <c r="AU1131" s="1">
        <v>2019</v>
      </c>
      <c r="AV1131" s="1">
        <v>205</v>
      </c>
      <c r="AW1131" s="1"/>
      <c r="AX1131" s="1"/>
      <c r="AY1131" s="1"/>
      <c r="AZ1131" s="1"/>
      <c r="BA1131" s="1"/>
      <c r="BB1131" s="1">
        <v>456</v>
      </c>
      <c r="BC1131" s="1">
        <v>464</v>
      </c>
      <c r="BD1131" s="1"/>
      <c r="BE1131" s="1" t="s">
        <v>7314</v>
      </c>
      <c r="BF1131" s="1" t="str">
        <f>HYPERLINK("http://dx.doi.org/10.1016/j.carbpol.2018.10.053","http://dx.doi.org/10.1016/j.carbpol.2018.10.053")</f>
        <v>http://dx.doi.org/10.1016/j.carbpol.2018.10.053</v>
      </c>
      <c r="BG1131" s="1"/>
      <c r="BH1131" s="1"/>
      <c r="BI1131" s="1"/>
      <c r="BJ1131" s="1"/>
      <c r="BK1131" s="1"/>
      <c r="BL1131" s="1"/>
      <c r="BM1131" s="1"/>
      <c r="BN1131" s="1">
        <v>30446128</v>
      </c>
      <c r="BO1131" s="1"/>
      <c r="BP1131" s="1"/>
      <c r="BQ1131" s="1"/>
      <c r="BR1131" s="1"/>
      <c r="BS1131" s="1" t="s">
        <v>7315</v>
      </c>
      <c r="BT1131" s="1" t="str">
        <f>HYPERLINK("https%3A%2F%2Fwww.webofscience.com%2Fwos%2Fwoscc%2Ffull-record%2FWOS:000450093200052","View Full Record in Web of Science")</f>
        <v>View Full Record in Web of Science</v>
      </c>
      <c r="BU1131" s="1"/>
      <c r="BV1131" s="1"/>
      <c r="BW1131" s="1"/>
    </row>
    <row r="1132" spans="1:75" ht="12.75" customHeight="1" x14ac:dyDescent="0.2">
      <c r="A1132" s="1" t="s">
        <v>72</v>
      </c>
      <c r="B1132" s="1" t="s">
        <v>7316</v>
      </c>
      <c r="C1132" s="1"/>
      <c r="D1132" s="1"/>
      <c r="E1132" s="1"/>
      <c r="F1132" s="1" t="s">
        <v>7317</v>
      </c>
      <c r="G1132" s="1"/>
      <c r="H1132" s="1"/>
      <c r="I1132" s="1" t="s">
        <v>7318</v>
      </c>
      <c r="J1132" s="1" t="s">
        <v>4775</v>
      </c>
      <c r="K1132" s="1"/>
      <c r="L1132" s="1"/>
      <c r="M1132" s="1"/>
      <c r="N1132" s="1"/>
      <c r="O1132" s="1"/>
      <c r="P1132" s="1"/>
      <c r="Q1132" s="1"/>
      <c r="R1132" s="1"/>
      <c r="S1132" s="1"/>
      <c r="T1132" s="1"/>
      <c r="U1132" s="1"/>
      <c r="V1132" s="1"/>
      <c r="W1132" s="1"/>
      <c r="X1132" s="1"/>
      <c r="Y1132" s="1"/>
      <c r="Z1132" s="1"/>
      <c r="AA1132" s="1" t="s">
        <v>7319</v>
      </c>
      <c r="AB1132" s="1" t="s">
        <v>7320</v>
      </c>
      <c r="AC1132" s="1"/>
      <c r="AD1132" s="1"/>
      <c r="AE1132" s="1"/>
      <c r="AF1132" s="1"/>
      <c r="AG1132" s="1"/>
      <c r="AH1132" s="1"/>
      <c r="AI1132" s="1"/>
      <c r="AJ1132" s="1"/>
      <c r="AK1132" s="1"/>
      <c r="AL1132" s="1"/>
      <c r="AM1132" s="1"/>
      <c r="AN1132" s="1"/>
      <c r="AO1132" s="1"/>
      <c r="AP1132" s="1" t="s">
        <v>4777</v>
      </c>
      <c r="AQ1132" s="1"/>
      <c r="AR1132" s="1"/>
      <c r="AS1132" s="1"/>
      <c r="AT1132" s="1" t="s">
        <v>403</v>
      </c>
      <c r="AU1132" s="1">
        <v>2021</v>
      </c>
      <c r="AV1132" s="1">
        <v>9</v>
      </c>
      <c r="AW1132" s="1">
        <v>12</v>
      </c>
      <c r="AX1132" s="1"/>
      <c r="AY1132" s="1"/>
      <c r="AZ1132" s="1"/>
      <c r="BA1132" s="1"/>
      <c r="BB1132" s="1"/>
      <c r="BC1132" s="1"/>
      <c r="BD1132" s="1">
        <v>212</v>
      </c>
      <c r="BE1132" s="1" t="s">
        <v>7321</v>
      </c>
      <c r="BF1132" s="1" t="str">
        <f>HYPERLINK("http://dx.doi.org/10.3390/risks9120212","http://dx.doi.org/10.3390/risks9120212")</f>
        <v>http://dx.doi.org/10.3390/risks9120212</v>
      </c>
      <c r="BG1132" s="1"/>
      <c r="BH1132" s="1"/>
      <c r="BI1132" s="1"/>
      <c r="BJ1132" s="1"/>
      <c r="BK1132" s="1"/>
      <c r="BL1132" s="1"/>
      <c r="BM1132" s="1"/>
      <c r="BN1132" s="1"/>
      <c r="BO1132" s="1"/>
      <c r="BP1132" s="1"/>
      <c r="BQ1132" s="1"/>
      <c r="BR1132" s="1"/>
      <c r="BS1132" s="1" t="s">
        <v>7322</v>
      </c>
      <c r="BT1132" s="1" t="str">
        <f>HYPERLINK("https%3A%2F%2Fwww.webofscience.com%2Fwos%2Fwoscc%2Ffull-record%2FWOS:000738338000001","View Full Record in Web of Science")</f>
        <v>View Full Record in Web of Science</v>
      </c>
      <c r="BU1132" s="1"/>
      <c r="BV1132" s="1"/>
      <c r="BW1132" s="1"/>
    </row>
    <row r="1133" spans="1:75" ht="12.75" customHeight="1" x14ac:dyDescent="0.2">
      <c r="A1133" s="1" t="s">
        <v>72</v>
      </c>
      <c r="B1133" s="1" t="s">
        <v>7323</v>
      </c>
      <c r="C1133" s="1"/>
      <c r="D1133" s="1"/>
      <c r="E1133" s="1"/>
      <c r="F1133" s="1" t="s">
        <v>7324</v>
      </c>
      <c r="G1133" s="1"/>
      <c r="H1133" s="1"/>
      <c r="I1133" s="1" t="s">
        <v>7325</v>
      </c>
      <c r="J1133" s="1" t="s">
        <v>95</v>
      </c>
      <c r="K1133" s="1"/>
      <c r="L1133" s="1"/>
      <c r="M1133" s="1"/>
      <c r="N1133" s="1"/>
      <c r="O1133" s="1"/>
      <c r="P1133" s="1"/>
      <c r="Q1133" s="1"/>
      <c r="R1133" s="1"/>
      <c r="S1133" s="1"/>
      <c r="T1133" s="1"/>
      <c r="U1133" s="1"/>
      <c r="V1133" s="1"/>
      <c r="W1133" s="1"/>
      <c r="X1133" s="1"/>
      <c r="Y1133" s="1"/>
      <c r="Z1133" s="1"/>
      <c r="AA1133" s="1" t="s">
        <v>7326</v>
      </c>
      <c r="AB1133" s="1" t="s">
        <v>7327</v>
      </c>
      <c r="AC1133" s="1"/>
      <c r="AD1133" s="1"/>
      <c r="AE1133" s="1"/>
      <c r="AF1133" s="1"/>
      <c r="AG1133" s="1"/>
      <c r="AH1133" s="1"/>
      <c r="AI1133" s="1"/>
      <c r="AJ1133" s="1"/>
      <c r="AK1133" s="1"/>
      <c r="AL1133" s="1"/>
      <c r="AM1133" s="1"/>
      <c r="AN1133" s="1"/>
      <c r="AO1133" s="1" t="s">
        <v>98</v>
      </c>
      <c r="AP1133" s="1" t="s">
        <v>99</v>
      </c>
      <c r="AQ1133" s="1"/>
      <c r="AR1133" s="1"/>
      <c r="AS1133" s="1"/>
      <c r="AT1133" s="1"/>
      <c r="AU1133" s="1">
        <v>2021</v>
      </c>
      <c r="AV1133" s="1"/>
      <c r="AW1133" s="1">
        <v>4</v>
      </c>
      <c r="AX1133" s="1"/>
      <c r="AY1133" s="1"/>
      <c r="AZ1133" s="1"/>
      <c r="BA1133" s="1"/>
      <c r="BB1133" s="1">
        <v>174</v>
      </c>
      <c r="BC1133" s="1">
        <v>180</v>
      </c>
      <c r="BD1133" s="1"/>
      <c r="BE1133" s="1" t="s">
        <v>7328</v>
      </c>
      <c r="BF1133" s="1" t="str">
        <f>HYPERLINK("http://dx.doi.org/10.25750/1995-4301-2021-4-174-180","http://dx.doi.org/10.25750/1995-4301-2021-4-174-180")</f>
        <v>http://dx.doi.org/10.25750/1995-4301-2021-4-174-180</v>
      </c>
      <c r="BG1133" s="1"/>
      <c r="BH1133" s="1"/>
      <c r="BI1133" s="1"/>
      <c r="BJ1133" s="1"/>
      <c r="BK1133" s="1"/>
      <c r="BL1133" s="1"/>
      <c r="BM1133" s="1"/>
      <c r="BN1133" s="1"/>
      <c r="BO1133" s="1"/>
      <c r="BP1133" s="1"/>
      <c r="BQ1133" s="1"/>
      <c r="BR1133" s="1"/>
      <c r="BS1133" s="1" t="s">
        <v>7329</v>
      </c>
      <c r="BT1133" s="1" t="str">
        <f>HYPERLINK("https%3A%2F%2Fwww.webofscience.com%2Fwos%2Fwoscc%2Ffull-record%2FWOS:000755154100025","View Full Record in Web of Science")</f>
        <v>View Full Record in Web of Science</v>
      </c>
      <c r="BU1133" s="1"/>
      <c r="BV1133" s="1"/>
      <c r="BW1133" s="1"/>
    </row>
    <row r="1134" spans="1:75" ht="12.75" customHeight="1" x14ac:dyDescent="0.2">
      <c r="A1134" s="1" t="s">
        <v>72</v>
      </c>
      <c r="B1134" s="1" t="s">
        <v>6837</v>
      </c>
      <c r="C1134" s="1"/>
      <c r="D1134" s="1"/>
      <c r="E1134" s="1"/>
      <c r="F1134" s="1" t="s">
        <v>6838</v>
      </c>
      <c r="G1134" s="1"/>
      <c r="H1134" s="1"/>
      <c r="I1134" s="1" t="s">
        <v>7330</v>
      </c>
      <c r="J1134" s="1" t="s">
        <v>6963</v>
      </c>
      <c r="K1134" s="1"/>
      <c r="L1134" s="1"/>
      <c r="M1134" s="1"/>
      <c r="N1134" s="1"/>
      <c r="O1134" s="1"/>
      <c r="P1134" s="1"/>
      <c r="Q1134" s="1"/>
      <c r="R1134" s="1"/>
      <c r="S1134" s="1"/>
      <c r="T1134" s="1"/>
      <c r="U1134" s="1"/>
      <c r="V1134" s="1"/>
      <c r="W1134" s="1"/>
      <c r="X1134" s="1"/>
      <c r="Y1134" s="1"/>
      <c r="Z1134" s="1"/>
      <c r="AA1134" s="1" t="s">
        <v>6058</v>
      </c>
      <c r="AB1134" s="1"/>
      <c r="AC1134" s="1"/>
      <c r="AD1134" s="1"/>
      <c r="AE1134" s="1"/>
      <c r="AF1134" s="1"/>
      <c r="AG1134" s="1"/>
      <c r="AH1134" s="1"/>
      <c r="AI1134" s="1"/>
      <c r="AJ1134" s="1"/>
      <c r="AK1134" s="1"/>
      <c r="AL1134" s="1"/>
      <c r="AM1134" s="1"/>
      <c r="AN1134" s="1"/>
      <c r="AO1134" s="1" t="s">
        <v>6964</v>
      </c>
      <c r="AP1134" s="1" t="s">
        <v>6965</v>
      </c>
      <c r="AQ1134" s="1"/>
      <c r="AR1134" s="1"/>
      <c r="AS1134" s="1"/>
      <c r="AT1134" s="1" t="s">
        <v>125</v>
      </c>
      <c r="AU1134" s="1">
        <v>2020</v>
      </c>
      <c r="AV1134" s="1">
        <v>61</v>
      </c>
      <c r="AW1134" s="1">
        <v>4</v>
      </c>
      <c r="AX1134" s="1"/>
      <c r="AY1134" s="1"/>
      <c r="AZ1134" s="1"/>
      <c r="BA1134" s="1"/>
      <c r="BB1134" s="1">
        <v>599</v>
      </c>
      <c r="BC1134" s="1">
        <v>610</v>
      </c>
      <c r="BD1134" s="1"/>
      <c r="BE1134" s="1" t="s">
        <v>7331</v>
      </c>
      <c r="BF1134" s="1" t="str">
        <f>HYPERLINK("http://dx.doi.org/10.1134/S0021894420040148","http://dx.doi.org/10.1134/S0021894420040148")</f>
        <v>http://dx.doi.org/10.1134/S0021894420040148</v>
      </c>
      <c r="BG1134" s="1"/>
      <c r="BH1134" s="1"/>
      <c r="BI1134" s="1"/>
      <c r="BJ1134" s="1"/>
      <c r="BK1134" s="1"/>
      <c r="BL1134" s="1"/>
      <c r="BM1134" s="1"/>
      <c r="BN1134" s="1"/>
      <c r="BO1134" s="1"/>
      <c r="BP1134" s="1"/>
      <c r="BQ1134" s="1"/>
      <c r="BR1134" s="1"/>
      <c r="BS1134" s="1" t="s">
        <v>7332</v>
      </c>
      <c r="BT1134" s="1" t="str">
        <f>HYPERLINK("https%3A%2F%2Fwww.webofscience.com%2Fwos%2Fwoscc%2Ffull-record%2FWOS:000574746500014","View Full Record in Web of Science")</f>
        <v>View Full Record in Web of Science</v>
      </c>
      <c r="BU1134" s="1"/>
      <c r="BV1134" s="1"/>
      <c r="BW1134" s="1"/>
    </row>
    <row r="1135" spans="1:75" ht="12.75" customHeight="1" x14ac:dyDescent="0.2">
      <c r="A1135" s="1" t="s">
        <v>72</v>
      </c>
      <c r="B1135" s="1" t="s">
        <v>7069</v>
      </c>
      <c r="C1135" s="1"/>
      <c r="D1135" s="1"/>
      <c r="E1135" s="1"/>
      <c r="F1135" s="1" t="s">
        <v>7070</v>
      </c>
      <c r="G1135" s="1"/>
      <c r="H1135" s="1"/>
      <c r="I1135" s="1" t="s">
        <v>7333</v>
      </c>
      <c r="J1135" s="1" t="s">
        <v>95</v>
      </c>
      <c r="K1135" s="1"/>
      <c r="L1135" s="1"/>
      <c r="M1135" s="1"/>
      <c r="N1135" s="1"/>
      <c r="O1135" s="1"/>
      <c r="P1135" s="1"/>
      <c r="Q1135" s="1"/>
      <c r="R1135" s="1"/>
      <c r="S1135" s="1"/>
      <c r="T1135" s="1"/>
      <c r="U1135" s="1"/>
      <c r="V1135" s="1"/>
      <c r="W1135" s="1"/>
      <c r="X1135" s="1"/>
      <c r="Y1135" s="1"/>
      <c r="Z1135" s="1"/>
      <c r="AA1135" s="1" t="s">
        <v>7334</v>
      </c>
      <c r="AB1135" s="1" t="s">
        <v>7327</v>
      </c>
      <c r="AC1135" s="1"/>
      <c r="AD1135" s="1"/>
      <c r="AE1135" s="1"/>
      <c r="AF1135" s="1"/>
      <c r="AG1135" s="1"/>
      <c r="AH1135" s="1"/>
      <c r="AI1135" s="1"/>
      <c r="AJ1135" s="1"/>
      <c r="AK1135" s="1"/>
      <c r="AL1135" s="1"/>
      <c r="AM1135" s="1"/>
      <c r="AN1135" s="1"/>
      <c r="AO1135" s="1" t="s">
        <v>98</v>
      </c>
      <c r="AP1135" s="1" t="s">
        <v>99</v>
      </c>
      <c r="AQ1135" s="1"/>
      <c r="AR1135" s="1"/>
      <c r="AS1135" s="1"/>
      <c r="AT1135" s="1"/>
      <c r="AU1135" s="1">
        <v>2020</v>
      </c>
      <c r="AV1135" s="1"/>
      <c r="AW1135" s="1">
        <v>1</v>
      </c>
      <c r="AX1135" s="1"/>
      <c r="AY1135" s="1"/>
      <c r="AZ1135" s="1"/>
      <c r="BA1135" s="1"/>
      <c r="BB1135" s="1">
        <v>160</v>
      </c>
      <c r="BC1135" s="1">
        <v>166</v>
      </c>
      <c r="BD1135" s="1"/>
      <c r="BE1135" s="1" t="s">
        <v>7335</v>
      </c>
      <c r="BF1135" s="1" t="str">
        <f>HYPERLINK("http://dx.doi.org/10.25750/1995-4301-2020-1-160-166","http://dx.doi.org/10.25750/1995-4301-2020-1-160-166")</f>
        <v>http://dx.doi.org/10.25750/1995-4301-2020-1-160-166</v>
      </c>
      <c r="BG1135" s="1"/>
      <c r="BH1135" s="1"/>
      <c r="BI1135" s="1"/>
      <c r="BJ1135" s="1"/>
      <c r="BK1135" s="1"/>
      <c r="BL1135" s="1"/>
      <c r="BM1135" s="1"/>
      <c r="BN1135" s="1"/>
      <c r="BO1135" s="1"/>
      <c r="BP1135" s="1"/>
      <c r="BQ1135" s="1"/>
      <c r="BR1135" s="1"/>
      <c r="BS1135" s="1" t="s">
        <v>7336</v>
      </c>
      <c r="BT1135" s="1" t="str">
        <f>HYPERLINK("https%3A%2F%2Fwww.webofscience.com%2Fwos%2Fwoscc%2Ffull-record%2FWOS:000522789400023","View Full Record in Web of Science")</f>
        <v>View Full Record in Web of Science</v>
      </c>
      <c r="BU1135" s="1"/>
      <c r="BV1135" s="1"/>
      <c r="BW1135" s="1"/>
    </row>
    <row r="1136" spans="1:75" ht="12.75" customHeight="1" x14ac:dyDescent="0.2">
      <c r="A1136" s="1" t="s">
        <v>147</v>
      </c>
      <c r="B1136" s="1" t="s">
        <v>7337</v>
      </c>
      <c r="C1136" s="1"/>
      <c r="D1136" s="1" t="s">
        <v>7338</v>
      </c>
      <c r="E1136" s="1"/>
      <c r="F1136" s="1" t="s">
        <v>7339</v>
      </c>
      <c r="G1136" s="1"/>
      <c r="H1136" s="1"/>
      <c r="I1136" s="1" t="s">
        <v>7340</v>
      </c>
      <c r="J1136" s="1" t="s">
        <v>7341</v>
      </c>
      <c r="K1136" s="1" t="s">
        <v>253</v>
      </c>
      <c r="L1136" s="1"/>
      <c r="M1136" s="1"/>
      <c r="N1136" s="1"/>
      <c r="O1136" s="1" t="s">
        <v>7342</v>
      </c>
      <c r="P1136" s="1" t="s">
        <v>7343</v>
      </c>
      <c r="Q1136" s="1" t="s">
        <v>6348</v>
      </c>
      <c r="R1136" s="1"/>
      <c r="S1136" s="1" t="s">
        <v>6349</v>
      </c>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t="s">
        <v>259</v>
      </c>
      <c r="AQ1136" s="1"/>
      <c r="AR1136" s="1"/>
      <c r="AS1136" s="1"/>
      <c r="AT1136" s="1"/>
      <c r="AU1136" s="1">
        <v>2019</v>
      </c>
      <c r="AV1136" s="1">
        <v>73</v>
      </c>
      <c r="AW1136" s="1"/>
      <c r="AX1136" s="1"/>
      <c r="AY1136" s="1"/>
      <c r="AZ1136" s="1"/>
      <c r="BA1136" s="1"/>
      <c r="BB1136" s="1">
        <v>127</v>
      </c>
      <c r="BC1136" s="1">
        <v>135</v>
      </c>
      <c r="BD1136" s="1"/>
      <c r="BE1136" s="1" t="s">
        <v>7344</v>
      </c>
      <c r="BF1136" s="1" t="str">
        <f>HYPERLINK("http://dx.doi.org/10.15405/epsbs.2019.12.15","http://dx.doi.org/10.15405/epsbs.2019.12.15")</f>
        <v>http://dx.doi.org/10.15405/epsbs.2019.12.15</v>
      </c>
      <c r="BG1136" s="1"/>
      <c r="BH1136" s="1"/>
      <c r="BI1136" s="1"/>
      <c r="BJ1136" s="1"/>
      <c r="BK1136" s="1"/>
      <c r="BL1136" s="1"/>
      <c r="BM1136" s="1"/>
      <c r="BN1136" s="1"/>
      <c r="BO1136" s="1"/>
      <c r="BP1136" s="1"/>
      <c r="BQ1136" s="1"/>
      <c r="BR1136" s="1"/>
      <c r="BS1136" s="1" t="s">
        <v>7345</v>
      </c>
      <c r="BT1136" s="1" t="str">
        <f>HYPERLINK("https%3A%2F%2Fwww.webofscience.com%2Fwos%2Fwoscc%2Ffull-record%2FWOS:000758186600015","View Full Record in Web of Science")</f>
        <v>View Full Record in Web of Science</v>
      </c>
      <c r="BU1136" s="1"/>
      <c r="BV1136" s="1"/>
      <c r="BW1136" s="1"/>
    </row>
    <row r="1137" spans="1:75" ht="12.75" customHeight="1" x14ac:dyDescent="0.2">
      <c r="A1137" s="1" t="s">
        <v>72</v>
      </c>
      <c r="B1137" s="1" t="s">
        <v>5484</v>
      </c>
      <c r="C1137" s="1"/>
      <c r="D1137" s="1"/>
      <c r="E1137" s="1"/>
      <c r="F1137" s="1" t="s">
        <v>5485</v>
      </c>
      <c r="G1137" s="1"/>
      <c r="H1137" s="1"/>
      <c r="I1137" s="1" t="s">
        <v>7346</v>
      </c>
      <c r="J1137" s="1" t="s">
        <v>6963</v>
      </c>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t="s">
        <v>6964</v>
      </c>
      <c r="AP1137" s="1" t="s">
        <v>6965</v>
      </c>
      <c r="AQ1137" s="1"/>
      <c r="AR1137" s="1"/>
      <c r="AS1137" s="1"/>
      <c r="AT1137" s="1" t="s">
        <v>198</v>
      </c>
      <c r="AU1137" s="1">
        <v>2023</v>
      </c>
      <c r="AV1137" s="1">
        <v>64</v>
      </c>
      <c r="AW1137" s="1">
        <v>2</v>
      </c>
      <c r="AX1137" s="1"/>
      <c r="AY1137" s="1"/>
      <c r="AZ1137" s="1"/>
      <c r="BA1137" s="1"/>
      <c r="BB1137" s="1">
        <v>308</v>
      </c>
      <c r="BC1137" s="1">
        <v>324</v>
      </c>
      <c r="BD1137" s="1"/>
      <c r="BE1137" s="1" t="s">
        <v>7347</v>
      </c>
      <c r="BF1137" s="1" t="str">
        <f>HYPERLINK("http://dx.doi.org/10.1134/S0021894423020153","http://dx.doi.org/10.1134/S0021894423020153")</f>
        <v>http://dx.doi.org/10.1134/S0021894423020153</v>
      </c>
      <c r="BG1137" s="1"/>
      <c r="BH1137" s="1"/>
      <c r="BI1137" s="1"/>
      <c r="BJ1137" s="1"/>
      <c r="BK1137" s="1"/>
      <c r="BL1137" s="1"/>
      <c r="BM1137" s="1"/>
      <c r="BN1137" s="1"/>
      <c r="BO1137" s="1"/>
      <c r="BP1137" s="1"/>
      <c r="BQ1137" s="1"/>
      <c r="BR1137" s="1"/>
      <c r="BS1137" s="1" t="s">
        <v>7348</v>
      </c>
      <c r="BT1137" s="1" t="str">
        <f>HYPERLINK("https%3A%2F%2Fwww.webofscience.com%2Fwos%2Fwoscc%2Ffull-record%2FWOS:001000528300015","View Full Record in Web of Science")</f>
        <v>View Full Record in Web of Science</v>
      </c>
      <c r="BU1137" s="1"/>
      <c r="BV1137" s="1"/>
      <c r="BW1137" s="1"/>
    </row>
    <row r="1138" spans="1:75" ht="12.75" customHeight="1" x14ac:dyDescent="0.2">
      <c r="A1138" s="1" t="s">
        <v>72</v>
      </c>
      <c r="B1138" s="1" t="s">
        <v>7113</v>
      </c>
      <c r="C1138" s="1"/>
      <c r="D1138" s="1"/>
      <c r="E1138" s="1"/>
      <c r="F1138" s="1" t="s">
        <v>7349</v>
      </c>
      <c r="G1138" s="1"/>
      <c r="H1138" s="1"/>
      <c r="I1138" s="1" t="s">
        <v>7350</v>
      </c>
      <c r="J1138" s="1" t="s">
        <v>716</v>
      </c>
      <c r="K1138" s="1"/>
      <c r="L1138" s="1"/>
      <c r="M1138" s="1"/>
      <c r="N1138" s="1"/>
      <c r="O1138" s="1"/>
      <c r="P1138" s="1"/>
      <c r="Q1138" s="1"/>
      <c r="R1138" s="1"/>
      <c r="S1138" s="1"/>
      <c r="T1138" s="1"/>
      <c r="U1138" s="1"/>
      <c r="V1138" s="1"/>
      <c r="W1138" s="1"/>
      <c r="X1138" s="1"/>
      <c r="Y1138" s="1"/>
      <c r="Z1138" s="1"/>
      <c r="AA1138" s="1" t="s">
        <v>7351</v>
      </c>
      <c r="AB1138" s="1" t="s">
        <v>7352</v>
      </c>
      <c r="AC1138" s="1"/>
      <c r="AD1138" s="1"/>
      <c r="AE1138" s="1"/>
      <c r="AF1138" s="1"/>
      <c r="AG1138" s="1"/>
      <c r="AH1138" s="1"/>
      <c r="AI1138" s="1"/>
      <c r="AJ1138" s="1"/>
      <c r="AK1138" s="1"/>
      <c r="AL1138" s="1"/>
      <c r="AM1138" s="1"/>
      <c r="AN1138" s="1"/>
      <c r="AO1138" s="1" t="s">
        <v>719</v>
      </c>
      <c r="AP1138" s="1" t="s">
        <v>720</v>
      </c>
      <c r="AQ1138" s="1"/>
      <c r="AR1138" s="1"/>
      <c r="AS1138" s="1"/>
      <c r="AT1138" s="1" t="s">
        <v>88</v>
      </c>
      <c r="AU1138" s="1">
        <v>2019</v>
      </c>
      <c r="AV1138" s="1"/>
      <c r="AW1138" s="1">
        <v>442</v>
      </c>
      <c r="AX1138" s="1"/>
      <c r="AY1138" s="1"/>
      <c r="AZ1138" s="1"/>
      <c r="BA1138" s="1"/>
      <c r="BB1138" s="1">
        <v>237</v>
      </c>
      <c r="BC1138" s="1">
        <v>247</v>
      </c>
      <c r="BD1138" s="1"/>
      <c r="BE1138" s="1" t="s">
        <v>7353</v>
      </c>
      <c r="BF1138" s="1" t="str">
        <f>HYPERLINK("http://dx.doi.org/10.17223/15617793/442/30","http://dx.doi.org/10.17223/15617793/442/30")</f>
        <v>http://dx.doi.org/10.17223/15617793/442/30</v>
      </c>
      <c r="BG1138" s="1"/>
      <c r="BH1138" s="1"/>
      <c r="BI1138" s="1"/>
      <c r="BJ1138" s="1"/>
      <c r="BK1138" s="1"/>
      <c r="BL1138" s="1"/>
      <c r="BM1138" s="1"/>
      <c r="BN1138" s="1"/>
      <c r="BO1138" s="1"/>
      <c r="BP1138" s="1"/>
      <c r="BQ1138" s="1"/>
      <c r="BR1138" s="1"/>
      <c r="BS1138" s="1" t="s">
        <v>7354</v>
      </c>
      <c r="BT1138" s="1" t="str">
        <f>HYPERLINK("https%3A%2F%2Fwww.webofscience.com%2Fwos%2Fwoscc%2Ffull-record%2FWOS:000475492100030","View Full Record in Web of Science")</f>
        <v>View Full Record in Web of Science</v>
      </c>
      <c r="BU1138" s="1"/>
      <c r="BV1138" s="1"/>
      <c r="BW1138" s="1"/>
    </row>
    <row r="1139" spans="1:75" ht="12.75" customHeight="1" x14ac:dyDescent="0.2">
      <c r="A1139" s="1" t="s">
        <v>147</v>
      </c>
      <c r="B1139" s="1" t="s">
        <v>7355</v>
      </c>
      <c r="C1139" s="1" t="s">
        <v>1232</v>
      </c>
      <c r="D1139" s="1"/>
      <c r="E1139" s="1"/>
      <c r="F1139" s="1" t="s">
        <v>7356</v>
      </c>
      <c r="G1139" s="1" t="s">
        <v>1232</v>
      </c>
      <c r="H1139" s="1"/>
      <c r="I1139" s="1" t="s">
        <v>7357</v>
      </c>
      <c r="J1139" s="1" t="s">
        <v>1235</v>
      </c>
      <c r="K1139" s="1" t="s">
        <v>1236</v>
      </c>
      <c r="L1139" s="1"/>
      <c r="M1139" s="1"/>
      <c r="N1139" s="1"/>
      <c r="O1139" s="1" t="s">
        <v>1237</v>
      </c>
      <c r="P1139" s="1" t="s">
        <v>1238</v>
      </c>
      <c r="Q1139" s="1" t="s">
        <v>910</v>
      </c>
      <c r="R1139" s="1" t="s">
        <v>1239</v>
      </c>
      <c r="S1139" s="1"/>
      <c r="T1139" s="1"/>
      <c r="U1139" s="1"/>
      <c r="V1139" s="1"/>
      <c r="W1139" s="1"/>
      <c r="X1139" s="1"/>
      <c r="Y1139" s="1"/>
      <c r="Z1139" s="1"/>
      <c r="AA1139" s="1" t="s">
        <v>7358</v>
      </c>
      <c r="AB1139" s="1" t="s">
        <v>7359</v>
      </c>
      <c r="AC1139" s="1"/>
      <c r="AD1139" s="1"/>
      <c r="AE1139" s="1"/>
      <c r="AF1139" s="1"/>
      <c r="AG1139" s="1"/>
      <c r="AH1139" s="1"/>
      <c r="AI1139" s="1"/>
      <c r="AJ1139" s="1"/>
      <c r="AK1139" s="1"/>
      <c r="AL1139" s="1"/>
      <c r="AM1139" s="1"/>
      <c r="AN1139" s="1"/>
      <c r="AO1139" s="1" t="s">
        <v>1240</v>
      </c>
      <c r="AP1139" s="1"/>
      <c r="AQ1139" s="1"/>
      <c r="AR1139" s="1"/>
      <c r="AS1139" s="1"/>
      <c r="AT1139" s="1"/>
      <c r="AU1139" s="1">
        <v>2019</v>
      </c>
      <c r="AV1139" s="1">
        <v>110</v>
      </c>
      <c r="AW1139" s="1"/>
      <c r="AX1139" s="1"/>
      <c r="AY1139" s="1"/>
      <c r="AZ1139" s="1"/>
      <c r="BA1139" s="1"/>
      <c r="BB1139" s="1"/>
      <c r="BC1139" s="1"/>
      <c r="BD1139" s="1">
        <v>2152</v>
      </c>
      <c r="BE1139" s="1" t="s">
        <v>7360</v>
      </c>
      <c r="BF1139" s="1" t="str">
        <f>HYPERLINK("http://dx.doi.org/10.1051/e3sconf/201911002152","http://dx.doi.org/10.1051/e3sconf/201911002152")</f>
        <v>http://dx.doi.org/10.1051/e3sconf/201911002152</v>
      </c>
      <c r="BG1139" s="1"/>
      <c r="BH1139" s="1"/>
      <c r="BI1139" s="1"/>
      <c r="BJ1139" s="1"/>
      <c r="BK1139" s="1"/>
      <c r="BL1139" s="1"/>
      <c r="BM1139" s="1"/>
      <c r="BN1139" s="1"/>
      <c r="BO1139" s="1"/>
      <c r="BP1139" s="1"/>
      <c r="BQ1139" s="1"/>
      <c r="BR1139" s="1"/>
      <c r="BS1139" s="1" t="s">
        <v>7361</v>
      </c>
      <c r="BT1139" s="1" t="str">
        <f>HYPERLINK("https%3A%2F%2Fwww.webofscience.com%2Fwos%2Fwoscc%2Ffull-record%2FWOS:000569050000241","View Full Record in Web of Science")</f>
        <v>View Full Record in Web of Science</v>
      </c>
      <c r="BU1139" s="1"/>
      <c r="BV1139" s="1"/>
      <c r="BW1139" s="1"/>
    </row>
    <row r="1140" spans="1:75" ht="12.75" customHeight="1" x14ac:dyDescent="0.2">
      <c r="A1140" s="1" t="s">
        <v>72</v>
      </c>
      <c r="B1140" s="1" t="s">
        <v>7362</v>
      </c>
      <c r="C1140" s="1"/>
      <c r="D1140" s="1"/>
      <c r="E1140" s="1"/>
      <c r="F1140" s="1" t="s">
        <v>7363</v>
      </c>
      <c r="G1140" s="1"/>
      <c r="H1140" s="1"/>
      <c r="I1140" s="1" t="s">
        <v>7364</v>
      </c>
      <c r="J1140" s="1" t="s">
        <v>3996</v>
      </c>
      <c r="K1140" s="1"/>
      <c r="L1140" s="1"/>
      <c r="M1140" s="1"/>
      <c r="N1140" s="1"/>
      <c r="O1140" s="1"/>
      <c r="P1140" s="1"/>
      <c r="Q1140" s="1"/>
      <c r="R1140" s="1"/>
      <c r="S1140" s="1"/>
      <c r="T1140" s="1"/>
      <c r="U1140" s="1"/>
      <c r="V1140" s="1"/>
      <c r="W1140" s="1"/>
      <c r="X1140" s="1"/>
      <c r="Y1140" s="1"/>
      <c r="Z1140" s="1"/>
      <c r="AA1140" s="1" t="s">
        <v>7365</v>
      </c>
      <c r="AB1140" s="1" t="s">
        <v>7366</v>
      </c>
      <c r="AC1140" s="1"/>
      <c r="AD1140" s="1"/>
      <c r="AE1140" s="1"/>
      <c r="AF1140" s="1"/>
      <c r="AG1140" s="1"/>
      <c r="AH1140" s="1"/>
      <c r="AI1140" s="1"/>
      <c r="AJ1140" s="1"/>
      <c r="AK1140" s="1"/>
      <c r="AL1140" s="1"/>
      <c r="AM1140" s="1"/>
      <c r="AN1140" s="1"/>
      <c r="AO1140" s="1" t="s">
        <v>3999</v>
      </c>
      <c r="AP1140" s="1" t="s">
        <v>4000</v>
      </c>
      <c r="AQ1140" s="1"/>
      <c r="AR1140" s="1"/>
      <c r="AS1140" s="1"/>
      <c r="AT1140" s="1" t="s">
        <v>125</v>
      </c>
      <c r="AU1140" s="1">
        <v>2018</v>
      </c>
      <c r="AV1140" s="1">
        <v>165</v>
      </c>
      <c r="AW1140" s="1">
        <v>3</v>
      </c>
      <c r="AX1140" s="1"/>
      <c r="AY1140" s="1"/>
      <c r="AZ1140" s="1"/>
      <c r="BA1140" s="1"/>
      <c r="BB1140" s="1">
        <v>403</v>
      </c>
      <c r="BC1140" s="1">
        <v>407</v>
      </c>
      <c r="BD1140" s="1"/>
      <c r="BE1140" s="1" t="s">
        <v>7367</v>
      </c>
      <c r="BF1140" s="1" t="str">
        <f>HYPERLINK("http://dx.doi.org/10.1007/s10517-018-4180-0","http://dx.doi.org/10.1007/s10517-018-4180-0")</f>
        <v>http://dx.doi.org/10.1007/s10517-018-4180-0</v>
      </c>
      <c r="BG1140" s="1"/>
      <c r="BH1140" s="1"/>
      <c r="BI1140" s="1"/>
      <c r="BJ1140" s="1"/>
      <c r="BK1140" s="1"/>
      <c r="BL1140" s="1"/>
      <c r="BM1140" s="1"/>
      <c r="BN1140" s="1">
        <v>30006875</v>
      </c>
      <c r="BO1140" s="1"/>
      <c r="BP1140" s="1"/>
      <c r="BQ1140" s="1"/>
      <c r="BR1140" s="1"/>
      <c r="BS1140" s="1" t="s">
        <v>7368</v>
      </c>
      <c r="BT1140" s="1" t="str">
        <f>HYPERLINK("https%3A%2F%2Fwww.webofscience.com%2Fwos%2Fwoscc%2Ffull-record%2FWOS:000439334000027","View Full Record in Web of Science")</f>
        <v>View Full Record in Web of Science</v>
      </c>
      <c r="BU1140" s="1"/>
      <c r="BV1140" s="1"/>
      <c r="BW1140" s="1"/>
    </row>
    <row r="1141" spans="1:75" ht="12.75" customHeight="1" x14ac:dyDescent="0.2">
      <c r="A1141" s="1" t="s">
        <v>147</v>
      </c>
      <c r="B1141" s="1" t="s">
        <v>7369</v>
      </c>
      <c r="C1141" s="1"/>
      <c r="D1141" s="1" t="s">
        <v>4271</v>
      </c>
      <c r="E1141" s="1"/>
      <c r="F1141" s="1" t="s">
        <v>7370</v>
      </c>
      <c r="G1141" s="1"/>
      <c r="H1141" s="1"/>
      <c r="I1141" s="1" t="s">
        <v>7371</v>
      </c>
      <c r="J1141" s="1" t="s">
        <v>4273</v>
      </c>
      <c r="K1141" s="1" t="s">
        <v>1276</v>
      </c>
      <c r="L1141" s="1"/>
      <c r="M1141" s="1"/>
      <c r="N1141" s="1"/>
      <c r="O1141" s="1" t="s">
        <v>1237</v>
      </c>
      <c r="P1141" s="1" t="s">
        <v>4274</v>
      </c>
      <c r="Q1141" s="1" t="s">
        <v>4275</v>
      </c>
      <c r="R1141" s="1"/>
      <c r="S1141" s="1" t="s">
        <v>4276</v>
      </c>
      <c r="T1141" s="1"/>
      <c r="U1141" s="1"/>
      <c r="V1141" s="1"/>
      <c r="W1141" s="1"/>
      <c r="X1141" s="1"/>
      <c r="Y1141" s="1"/>
      <c r="Z1141" s="1"/>
      <c r="AA1141" s="1" t="s">
        <v>7372</v>
      </c>
      <c r="AB1141" s="1" t="s">
        <v>7373</v>
      </c>
      <c r="AC1141" s="1"/>
      <c r="AD1141" s="1"/>
      <c r="AE1141" s="1"/>
      <c r="AF1141" s="1"/>
      <c r="AG1141" s="1"/>
      <c r="AH1141" s="1"/>
      <c r="AI1141" s="1"/>
      <c r="AJ1141" s="1"/>
      <c r="AK1141" s="1"/>
      <c r="AL1141" s="1"/>
      <c r="AM1141" s="1"/>
      <c r="AN1141" s="1"/>
      <c r="AO1141" s="1" t="s">
        <v>1282</v>
      </c>
      <c r="AP1141" s="1"/>
      <c r="AQ1141" s="1"/>
      <c r="AR1141" s="1"/>
      <c r="AS1141" s="1"/>
      <c r="AT1141" s="1"/>
      <c r="AU1141" s="1">
        <v>2018</v>
      </c>
      <c r="AV1141" s="1">
        <v>170</v>
      </c>
      <c r="AW1141" s="1"/>
      <c r="AX1141" s="1"/>
      <c r="AY1141" s="1"/>
      <c r="AZ1141" s="1"/>
      <c r="BA1141" s="1"/>
      <c r="BB1141" s="1"/>
      <c r="BC1141" s="1"/>
      <c r="BD1141" s="1">
        <v>1046</v>
      </c>
      <c r="BE1141" s="1" t="s">
        <v>7374</v>
      </c>
      <c r="BF1141" s="1" t="str">
        <f>HYPERLINK("http://dx.doi.org/10.1051/matecconf/201817001046","http://dx.doi.org/10.1051/matecconf/201817001046")</f>
        <v>http://dx.doi.org/10.1051/matecconf/201817001046</v>
      </c>
      <c r="BG1141" s="1"/>
      <c r="BH1141" s="1"/>
      <c r="BI1141" s="1"/>
      <c r="BJ1141" s="1"/>
      <c r="BK1141" s="1"/>
      <c r="BL1141" s="1"/>
      <c r="BM1141" s="1"/>
      <c r="BN1141" s="1"/>
      <c r="BO1141" s="1"/>
      <c r="BP1141" s="1"/>
      <c r="BQ1141" s="1"/>
      <c r="BR1141" s="1"/>
      <c r="BS1141" s="1" t="s">
        <v>7375</v>
      </c>
      <c r="BT1141" s="1" t="str">
        <f>HYPERLINK("https%3A%2F%2Fwww.webofscience.com%2Fwos%2Fwoscc%2Ffull-record%2FWOS:000449660800046","View Full Record in Web of Science")</f>
        <v>View Full Record in Web of Science</v>
      </c>
      <c r="BU1141" s="1"/>
      <c r="BV1141" s="1"/>
      <c r="BW1141" s="1"/>
    </row>
    <row r="1142" spans="1:75" ht="12.75" customHeight="1" x14ac:dyDescent="0.2">
      <c r="A1142" s="1" t="s">
        <v>147</v>
      </c>
      <c r="B1142" s="1" t="s">
        <v>7376</v>
      </c>
      <c r="C1142" s="1"/>
      <c r="D1142" s="1" t="s">
        <v>2517</v>
      </c>
      <c r="E1142" s="1"/>
      <c r="F1142" s="1" t="s">
        <v>7377</v>
      </c>
      <c r="G1142" s="1"/>
      <c r="H1142" s="1"/>
      <c r="I1142" s="1" t="s">
        <v>7378</v>
      </c>
      <c r="J1142" s="1" t="s">
        <v>5028</v>
      </c>
      <c r="K1142" s="1" t="s">
        <v>2521</v>
      </c>
      <c r="L1142" s="1"/>
      <c r="M1142" s="1"/>
      <c r="N1142" s="1"/>
      <c r="O1142" s="1" t="s">
        <v>5029</v>
      </c>
      <c r="P1142" s="1" t="s">
        <v>5030</v>
      </c>
      <c r="Q1142" s="1" t="s">
        <v>2524</v>
      </c>
      <c r="R1142" s="1" t="s">
        <v>2525</v>
      </c>
      <c r="S1142" s="1"/>
      <c r="T1142" s="1"/>
      <c r="U1142" s="1"/>
      <c r="V1142" s="1"/>
      <c r="W1142" s="1"/>
      <c r="X1142" s="1"/>
      <c r="Y1142" s="1"/>
      <c r="Z1142" s="1"/>
      <c r="AA1142" s="1" t="s">
        <v>7379</v>
      </c>
      <c r="AB1142" s="1" t="s">
        <v>7380</v>
      </c>
      <c r="AC1142" s="1"/>
      <c r="AD1142" s="1"/>
      <c r="AE1142" s="1"/>
      <c r="AF1142" s="1"/>
      <c r="AG1142" s="1"/>
      <c r="AH1142" s="1"/>
      <c r="AI1142" s="1"/>
      <c r="AJ1142" s="1"/>
      <c r="AK1142" s="1"/>
      <c r="AL1142" s="1"/>
      <c r="AM1142" s="1"/>
      <c r="AN1142" s="1"/>
      <c r="AO1142" s="1" t="s">
        <v>2527</v>
      </c>
      <c r="AP1142" s="1" t="s">
        <v>2528</v>
      </c>
      <c r="AQ1142" s="1"/>
      <c r="AR1142" s="1"/>
      <c r="AS1142" s="1"/>
      <c r="AT1142" s="1"/>
      <c r="AU1142" s="1">
        <v>2020</v>
      </c>
      <c r="AV1142" s="1"/>
      <c r="AW1142" s="1"/>
      <c r="AX1142" s="1"/>
      <c r="AY1142" s="1"/>
      <c r="AZ1142" s="1"/>
      <c r="BA1142" s="1"/>
      <c r="BB1142" s="1">
        <v>1338</v>
      </c>
      <c r="BC1142" s="1">
        <v>1348</v>
      </c>
      <c r="BD1142" s="1"/>
      <c r="BE1142" s="1" t="s">
        <v>7381</v>
      </c>
      <c r="BF1142" s="1" t="str">
        <f>HYPERLINK("http://dx.doi.org/10.22616/ERDev.2020.19.TF334","http://dx.doi.org/10.22616/ERDev.2020.19.TF334")</f>
        <v>http://dx.doi.org/10.22616/ERDev.2020.19.TF334</v>
      </c>
      <c r="BG1142" s="1"/>
      <c r="BH1142" s="1"/>
      <c r="BI1142" s="1"/>
      <c r="BJ1142" s="1"/>
      <c r="BK1142" s="1"/>
      <c r="BL1142" s="1"/>
      <c r="BM1142" s="1"/>
      <c r="BN1142" s="1"/>
      <c r="BO1142" s="1"/>
      <c r="BP1142" s="1"/>
      <c r="BQ1142" s="1"/>
      <c r="BR1142" s="1"/>
      <c r="BS1142" s="1" t="s">
        <v>7382</v>
      </c>
      <c r="BT1142" s="1" t="str">
        <f>HYPERLINK("https%3A%2F%2Fwww.webofscience.com%2Fwos%2Fwoscc%2Ffull-record%2FWOS:000815085500192","View Full Record in Web of Science")</f>
        <v>View Full Record in Web of Science</v>
      </c>
      <c r="BU1142" s="1"/>
      <c r="BV1142" s="1"/>
      <c r="BW1142" s="1"/>
    </row>
    <row r="1143" spans="1:75" ht="12.75" customHeight="1" x14ac:dyDescent="0.2">
      <c r="A1143" s="1" t="s">
        <v>72</v>
      </c>
      <c r="B1143" s="1" t="s">
        <v>7383</v>
      </c>
      <c r="C1143" s="1"/>
      <c r="D1143" s="1"/>
      <c r="E1143" s="1"/>
      <c r="F1143" s="1" t="s">
        <v>7384</v>
      </c>
      <c r="G1143" s="1"/>
      <c r="H1143" s="1"/>
      <c r="I1143" s="1" t="s">
        <v>7385</v>
      </c>
      <c r="J1143" s="1" t="s">
        <v>6799</v>
      </c>
      <c r="K1143" s="1"/>
      <c r="L1143" s="1"/>
      <c r="M1143" s="1"/>
      <c r="N1143" s="1"/>
      <c r="O1143" s="1"/>
      <c r="P1143" s="1"/>
      <c r="Q1143" s="1"/>
      <c r="R1143" s="1"/>
      <c r="S1143" s="1"/>
      <c r="T1143" s="1"/>
      <c r="U1143" s="1"/>
      <c r="V1143" s="1"/>
      <c r="W1143" s="1"/>
      <c r="X1143" s="1"/>
      <c r="Y1143" s="1"/>
      <c r="Z1143" s="1"/>
      <c r="AA1143" s="1" t="s">
        <v>7386</v>
      </c>
      <c r="AB1143" s="1" t="s">
        <v>7387</v>
      </c>
      <c r="AC1143" s="1"/>
      <c r="AD1143" s="1"/>
      <c r="AE1143" s="1"/>
      <c r="AF1143" s="1"/>
      <c r="AG1143" s="1"/>
      <c r="AH1143" s="1"/>
      <c r="AI1143" s="1"/>
      <c r="AJ1143" s="1"/>
      <c r="AK1143" s="1"/>
      <c r="AL1143" s="1"/>
      <c r="AM1143" s="1"/>
      <c r="AN1143" s="1"/>
      <c r="AO1143" s="1" t="s">
        <v>6802</v>
      </c>
      <c r="AP1143" s="1" t="s">
        <v>6803</v>
      </c>
      <c r="AQ1143" s="1"/>
      <c r="AR1143" s="1"/>
      <c r="AS1143" s="1"/>
      <c r="AT1143" s="1" t="s">
        <v>403</v>
      </c>
      <c r="AU1143" s="1">
        <v>2018</v>
      </c>
      <c r="AV1143" s="1">
        <v>120</v>
      </c>
      <c r="AW1143" s="1"/>
      <c r="AX1143" s="1" t="s">
        <v>231</v>
      </c>
      <c r="AY1143" s="1"/>
      <c r="AZ1143" s="1"/>
      <c r="BA1143" s="1"/>
      <c r="BB1143" s="1">
        <v>2225</v>
      </c>
      <c r="BC1143" s="1">
        <v>2233</v>
      </c>
      <c r="BD1143" s="1"/>
      <c r="BE1143" s="1" t="s">
        <v>7388</v>
      </c>
      <c r="BF1143" s="1" t="str">
        <f>HYPERLINK("http://dx.doi.org/10.1016/j.ijbiomac.2018.07.078","http://dx.doi.org/10.1016/j.ijbiomac.2018.07.078")</f>
        <v>http://dx.doi.org/10.1016/j.ijbiomac.2018.07.078</v>
      </c>
      <c r="BG1143" s="1"/>
      <c r="BH1143" s="1"/>
      <c r="BI1143" s="1"/>
      <c r="BJ1143" s="1"/>
      <c r="BK1143" s="1"/>
      <c r="BL1143" s="1"/>
      <c r="BM1143" s="1"/>
      <c r="BN1143" s="1">
        <v>30012483</v>
      </c>
      <c r="BO1143" s="1"/>
      <c r="BP1143" s="1"/>
      <c r="BQ1143" s="1"/>
      <c r="BR1143" s="1"/>
      <c r="BS1143" s="1" t="s">
        <v>7389</v>
      </c>
      <c r="BT1143" s="1" t="str">
        <f>HYPERLINK("https%3A%2F%2Fwww.webofscience.com%2Fwos%2Fwoscc%2Ffull-record%2FWOS:000449892800095","View Full Record in Web of Science")</f>
        <v>View Full Record in Web of Science</v>
      </c>
      <c r="BU1143" s="1"/>
      <c r="BV1143" s="1"/>
      <c r="BW1143" s="1"/>
    </row>
    <row r="1144" spans="1:75" ht="12.75" customHeight="1" x14ac:dyDescent="0.2">
      <c r="A1144" s="1" t="s">
        <v>147</v>
      </c>
      <c r="B1144" s="1" t="s">
        <v>7390</v>
      </c>
      <c r="C1144" s="1"/>
      <c r="D1144" s="1" t="s">
        <v>7391</v>
      </c>
      <c r="E1144" s="1"/>
      <c r="F1144" s="1" t="s">
        <v>7392</v>
      </c>
      <c r="G1144" s="1"/>
      <c r="H1144" s="1"/>
      <c r="I1144" s="1" t="s">
        <v>7393</v>
      </c>
      <c r="J1144" s="1" t="s">
        <v>7394</v>
      </c>
      <c r="K1144" s="1" t="s">
        <v>253</v>
      </c>
      <c r="L1144" s="1"/>
      <c r="M1144" s="1"/>
      <c r="N1144" s="1"/>
      <c r="O1144" s="1" t="s">
        <v>7395</v>
      </c>
      <c r="P1144" s="1" t="s">
        <v>7396</v>
      </c>
      <c r="Q1144" s="1" t="s">
        <v>7397</v>
      </c>
      <c r="R1144" s="1"/>
      <c r="S1144" s="1" t="s">
        <v>7398</v>
      </c>
      <c r="T1144" s="1"/>
      <c r="U1144" s="1"/>
      <c r="V1144" s="1"/>
      <c r="W1144" s="1"/>
      <c r="X1144" s="1"/>
      <c r="Y1144" s="1"/>
      <c r="Z1144" s="1"/>
      <c r="AA1144" s="1" t="s">
        <v>7399</v>
      </c>
      <c r="AB1144" s="1" t="s">
        <v>7400</v>
      </c>
      <c r="AC1144" s="1"/>
      <c r="AD1144" s="1"/>
      <c r="AE1144" s="1"/>
      <c r="AF1144" s="1"/>
      <c r="AG1144" s="1"/>
      <c r="AH1144" s="1"/>
      <c r="AI1144" s="1"/>
      <c r="AJ1144" s="1"/>
      <c r="AK1144" s="1"/>
      <c r="AL1144" s="1"/>
      <c r="AM1144" s="1"/>
      <c r="AN1144" s="1"/>
      <c r="AO1144" s="1" t="s">
        <v>259</v>
      </c>
      <c r="AP1144" s="1"/>
      <c r="AQ1144" s="1"/>
      <c r="AR1144" s="1"/>
      <c r="AS1144" s="1"/>
      <c r="AT1144" s="1"/>
      <c r="AU1144" s="1">
        <v>2017</v>
      </c>
      <c r="AV1144" s="1">
        <v>28</v>
      </c>
      <c r="AW1144" s="1"/>
      <c r="AX1144" s="1"/>
      <c r="AY1144" s="1"/>
      <c r="AZ1144" s="1"/>
      <c r="BA1144" s="1"/>
      <c r="BB1144" s="1">
        <v>9</v>
      </c>
      <c r="BC1144" s="1">
        <v>16</v>
      </c>
      <c r="BD1144" s="1"/>
      <c r="BE1144" s="1" t="s">
        <v>7401</v>
      </c>
      <c r="BF1144" s="1" t="str">
        <f>HYPERLINK("http://dx.doi.org/10.15405/epsbs.2017.08.2","http://dx.doi.org/10.15405/epsbs.2017.08.2")</f>
        <v>http://dx.doi.org/10.15405/epsbs.2017.08.2</v>
      </c>
      <c r="BG1144" s="1"/>
      <c r="BH1144" s="1"/>
      <c r="BI1144" s="1"/>
      <c r="BJ1144" s="1"/>
      <c r="BK1144" s="1"/>
      <c r="BL1144" s="1"/>
      <c r="BM1144" s="1"/>
      <c r="BN1144" s="1"/>
      <c r="BO1144" s="1"/>
      <c r="BP1144" s="1"/>
      <c r="BQ1144" s="1"/>
      <c r="BR1144" s="1"/>
      <c r="BS1144" s="1" t="s">
        <v>7402</v>
      </c>
      <c r="BT1144" s="1" t="str">
        <f>HYPERLINK("https%3A%2F%2Fwww.webofscience.com%2Fwos%2Fwoscc%2Ffull-record%2FWOS:000416073800002","View Full Record in Web of Science")</f>
        <v>View Full Record in Web of Science</v>
      </c>
      <c r="BU1144" s="1"/>
      <c r="BV1144" s="1"/>
      <c r="BW1144" s="1"/>
    </row>
    <row r="1145" spans="1:75" ht="12.75" customHeight="1" x14ac:dyDescent="0.2">
      <c r="A1145" s="1" t="s">
        <v>147</v>
      </c>
      <c r="B1145" s="1" t="s">
        <v>7403</v>
      </c>
      <c r="C1145" s="1"/>
      <c r="D1145" s="1" t="s">
        <v>7404</v>
      </c>
      <c r="E1145" s="1"/>
      <c r="F1145" s="1" t="s">
        <v>7405</v>
      </c>
      <c r="G1145" s="1"/>
      <c r="H1145" s="1"/>
      <c r="I1145" s="1" t="s">
        <v>7406</v>
      </c>
      <c r="J1145" s="1" t="s">
        <v>7407</v>
      </c>
      <c r="K1145" s="1" t="s">
        <v>818</v>
      </c>
      <c r="L1145" s="1"/>
      <c r="M1145" s="1"/>
      <c r="N1145" s="1"/>
      <c r="O1145" s="1" t="s">
        <v>7408</v>
      </c>
      <c r="P1145" s="1" t="s">
        <v>7409</v>
      </c>
      <c r="Q1145" s="1" t="s">
        <v>1628</v>
      </c>
      <c r="R1145" s="1"/>
      <c r="S1145" s="1"/>
      <c r="T1145" s="1"/>
      <c r="U1145" s="1"/>
      <c r="V1145" s="1"/>
      <c r="W1145" s="1"/>
      <c r="X1145" s="1"/>
      <c r="Y1145" s="1"/>
      <c r="Z1145" s="1"/>
      <c r="AA1145" s="1" t="s">
        <v>7410</v>
      </c>
      <c r="AB1145" s="1"/>
      <c r="AC1145" s="1"/>
      <c r="AD1145" s="1"/>
      <c r="AE1145" s="1"/>
      <c r="AF1145" s="1"/>
      <c r="AG1145" s="1"/>
      <c r="AH1145" s="1"/>
      <c r="AI1145" s="1"/>
      <c r="AJ1145" s="1"/>
      <c r="AK1145" s="1"/>
      <c r="AL1145" s="1"/>
      <c r="AM1145" s="1"/>
      <c r="AN1145" s="1"/>
      <c r="AO1145" s="1" t="s">
        <v>822</v>
      </c>
      <c r="AP1145" s="1" t="s">
        <v>823</v>
      </c>
      <c r="AQ1145" s="1" t="s">
        <v>7411</v>
      </c>
      <c r="AR1145" s="1"/>
      <c r="AS1145" s="1"/>
      <c r="AT1145" s="1"/>
      <c r="AU1145" s="1">
        <v>2022</v>
      </c>
      <c r="AV1145" s="1"/>
      <c r="AW1145" s="1"/>
      <c r="AX1145" s="1"/>
      <c r="AY1145" s="1"/>
      <c r="AZ1145" s="1"/>
      <c r="BA1145" s="1"/>
      <c r="BB1145" s="1">
        <v>9</v>
      </c>
      <c r="BC1145" s="1">
        <v>24</v>
      </c>
      <c r="BD1145" s="1"/>
      <c r="BE1145" s="1" t="s">
        <v>7412</v>
      </c>
      <c r="BF1145" s="1" t="str">
        <f>HYPERLINK("http://dx.doi.org/10.1007/978-981-16-8806-5_2","http://dx.doi.org/10.1007/978-981-16-8806-5_2")</f>
        <v>http://dx.doi.org/10.1007/978-981-16-8806-5_2</v>
      </c>
      <c r="BG1145" s="1"/>
      <c r="BH1145" s="1"/>
      <c r="BI1145" s="1"/>
      <c r="BJ1145" s="1"/>
      <c r="BK1145" s="1"/>
      <c r="BL1145" s="1"/>
      <c r="BM1145" s="1"/>
      <c r="BN1145" s="1"/>
      <c r="BO1145" s="1"/>
      <c r="BP1145" s="1"/>
      <c r="BQ1145" s="1"/>
      <c r="BR1145" s="1"/>
      <c r="BS1145" s="1" t="s">
        <v>7413</v>
      </c>
      <c r="BT1145" s="1" t="str">
        <f>HYPERLINK("https%3A%2F%2Fwww.webofscience.com%2Fwos%2Fwoscc%2Ffull-record%2FWOS:000789412600002","View Full Record in Web of Science")</f>
        <v>View Full Record in Web of Science</v>
      </c>
      <c r="BU1145" s="1"/>
      <c r="BV1145" s="1"/>
      <c r="BW1145" s="1"/>
    </row>
    <row r="1146" spans="1:75" ht="12.75" customHeight="1" x14ac:dyDescent="0.2">
      <c r="A1146" s="1" t="s">
        <v>147</v>
      </c>
      <c r="B1146" s="1" t="s">
        <v>7414</v>
      </c>
      <c r="C1146" s="1"/>
      <c r="D1146" s="1" t="s">
        <v>7415</v>
      </c>
      <c r="E1146" s="1"/>
      <c r="F1146" s="1" t="s">
        <v>7416</v>
      </c>
      <c r="G1146" s="1"/>
      <c r="H1146" s="1"/>
      <c r="I1146" s="1" t="s">
        <v>7417</v>
      </c>
      <c r="J1146" s="1" t="s">
        <v>7418</v>
      </c>
      <c r="K1146" s="1" t="s">
        <v>1219</v>
      </c>
      <c r="L1146" s="1"/>
      <c r="M1146" s="1"/>
      <c r="N1146" s="1"/>
      <c r="O1146" s="1" t="s">
        <v>7419</v>
      </c>
      <c r="P1146" s="1" t="s">
        <v>7420</v>
      </c>
      <c r="Q1146" s="1" t="s">
        <v>7421</v>
      </c>
      <c r="R1146" s="1" t="s">
        <v>7422</v>
      </c>
      <c r="S1146" s="1" t="s">
        <v>7423</v>
      </c>
      <c r="T1146" s="1"/>
      <c r="U1146" s="1"/>
      <c r="V1146" s="1"/>
      <c r="W1146" s="1"/>
      <c r="X1146" s="1"/>
      <c r="Y1146" s="1"/>
      <c r="Z1146" s="1"/>
      <c r="AA1146" s="1" t="s">
        <v>7424</v>
      </c>
      <c r="AB1146" s="1" t="s">
        <v>7425</v>
      </c>
      <c r="AC1146" s="1"/>
      <c r="AD1146" s="1"/>
      <c r="AE1146" s="1"/>
      <c r="AF1146" s="1"/>
      <c r="AG1146" s="1"/>
      <c r="AH1146" s="1"/>
      <c r="AI1146" s="1"/>
      <c r="AJ1146" s="1"/>
      <c r="AK1146" s="1"/>
      <c r="AL1146" s="1"/>
      <c r="AM1146" s="1"/>
      <c r="AN1146" s="1"/>
      <c r="AO1146" s="1" t="s">
        <v>1223</v>
      </c>
      <c r="AP1146" s="1"/>
      <c r="AQ1146" s="1"/>
      <c r="AR1146" s="1"/>
      <c r="AS1146" s="1"/>
      <c r="AT1146" s="1"/>
      <c r="AU1146" s="1">
        <v>2020</v>
      </c>
      <c r="AV1146" s="1">
        <v>17</v>
      </c>
      <c r="AW1146" s="1"/>
      <c r="AX1146" s="1"/>
      <c r="AY1146" s="1"/>
      <c r="AZ1146" s="1"/>
      <c r="BA1146" s="1"/>
      <c r="BB1146" s="1"/>
      <c r="BC1146" s="1"/>
      <c r="BD1146" s="1">
        <v>118</v>
      </c>
      <c r="BE1146" s="1" t="s">
        <v>7426</v>
      </c>
      <c r="BF1146" s="1" t="str">
        <f>HYPERLINK("http://dx.doi.org/10.1051/bioconf/20201700118","http://dx.doi.org/10.1051/bioconf/20201700118")</f>
        <v>http://dx.doi.org/10.1051/bioconf/20201700118</v>
      </c>
      <c r="BG1146" s="1"/>
      <c r="BH1146" s="1"/>
      <c r="BI1146" s="1"/>
      <c r="BJ1146" s="1"/>
      <c r="BK1146" s="1"/>
      <c r="BL1146" s="1"/>
      <c r="BM1146" s="1"/>
      <c r="BN1146" s="1"/>
      <c r="BO1146" s="1"/>
      <c r="BP1146" s="1"/>
      <c r="BQ1146" s="1"/>
      <c r="BR1146" s="1"/>
      <c r="BS1146" s="1" t="s">
        <v>7427</v>
      </c>
      <c r="BT1146" s="1" t="str">
        <f>HYPERLINK("https%3A%2F%2Fwww.webofscience.com%2Fwos%2Fwoscc%2Ffull-record%2FWOS:000570248200117","View Full Record in Web of Science")</f>
        <v>View Full Record in Web of Science</v>
      </c>
      <c r="BU1146" s="1"/>
      <c r="BV1146" s="1"/>
      <c r="BW1146" s="1"/>
    </row>
    <row r="1147" spans="1:75" ht="12.75" customHeight="1" x14ac:dyDescent="0.2">
      <c r="A1147" s="1" t="s">
        <v>147</v>
      </c>
      <c r="B1147" s="1" t="s">
        <v>7183</v>
      </c>
      <c r="C1147" s="1"/>
      <c r="D1147" s="1" t="s">
        <v>2517</v>
      </c>
      <c r="E1147" s="1"/>
      <c r="F1147" s="1" t="s">
        <v>7184</v>
      </c>
      <c r="G1147" s="1"/>
      <c r="H1147" s="1"/>
      <c r="I1147" s="1" t="s">
        <v>7428</v>
      </c>
      <c r="J1147" s="1" t="s">
        <v>7429</v>
      </c>
      <c r="K1147" s="1" t="s">
        <v>2521</v>
      </c>
      <c r="L1147" s="1"/>
      <c r="M1147" s="1"/>
      <c r="N1147" s="1"/>
      <c r="O1147" s="1" t="s">
        <v>7430</v>
      </c>
      <c r="P1147" s="1" t="s">
        <v>7431</v>
      </c>
      <c r="Q1147" s="1" t="s">
        <v>7432</v>
      </c>
      <c r="R1147" s="1"/>
      <c r="S1147" s="1" t="s">
        <v>7433</v>
      </c>
      <c r="T1147" s="1"/>
      <c r="U1147" s="1"/>
      <c r="V1147" s="1"/>
      <c r="W1147" s="1"/>
      <c r="X1147" s="1"/>
      <c r="Y1147" s="1"/>
      <c r="Z1147" s="1"/>
      <c r="AA1147" s="1" t="s">
        <v>7186</v>
      </c>
      <c r="AB1147" s="1" t="s">
        <v>7187</v>
      </c>
      <c r="AC1147" s="1"/>
      <c r="AD1147" s="1"/>
      <c r="AE1147" s="1"/>
      <c r="AF1147" s="1"/>
      <c r="AG1147" s="1"/>
      <c r="AH1147" s="1"/>
      <c r="AI1147" s="1"/>
      <c r="AJ1147" s="1"/>
      <c r="AK1147" s="1"/>
      <c r="AL1147" s="1"/>
      <c r="AM1147" s="1"/>
      <c r="AN1147" s="1"/>
      <c r="AO1147" s="1" t="s">
        <v>2527</v>
      </c>
      <c r="AP1147" s="1" t="s">
        <v>2528</v>
      </c>
      <c r="AQ1147" s="1"/>
      <c r="AR1147" s="1"/>
      <c r="AS1147" s="1"/>
      <c r="AT1147" s="1"/>
      <c r="AU1147" s="1">
        <v>2017</v>
      </c>
      <c r="AV1147" s="1"/>
      <c r="AW1147" s="1"/>
      <c r="AX1147" s="1"/>
      <c r="AY1147" s="1"/>
      <c r="AZ1147" s="1"/>
      <c r="BA1147" s="1"/>
      <c r="BB1147" s="1">
        <v>1225</v>
      </c>
      <c r="BC1147" s="1">
        <v>1232</v>
      </c>
      <c r="BD1147" s="1"/>
      <c r="BE1147" s="1" t="s">
        <v>7434</v>
      </c>
      <c r="BF1147" s="1" t="str">
        <f>HYPERLINK("http://dx.doi.org/10.22616/ERDev2017.16.N269","http://dx.doi.org/10.22616/ERDev2017.16.N269")</f>
        <v>http://dx.doi.org/10.22616/ERDev2017.16.N269</v>
      </c>
      <c r="BG1147" s="1"/>
      <c r="BH1147" s="1"/>
      <c r="BI1147" s="1"/>
      <c r="BJ1147" s="1"/>
      <c r="BK1147" s="1"/>
      <c r="BL1147" s="1"/>
      <c r="BM1147" s="1"/>
      <c r="BN1147" s="1"/>
      <c r="BO1147" s="1"/>
      <c r="BP1147" s="1"/>
      <c r="BQ1147" s="1"/>
      <c r="BR1147" s="1"/>
      <c r="BS1147" s="1" t="s">
        <v>7435</v>
      </c>
      <c r="BT1147" s="1" t="str">
        <f>HYPERLINK("https%3A%2F%2Fwww.webofscience.com%2Fwos%2Fwoscc%2Ffull-record%2FWOS:000416378300189","View Full Record in Web of Science")</f>
        <v>View Full Record in Web of Science</v>
      </c>
      <c r="BU1147" s="1"/>
      <c r="BV1147" s="1"/>
      <c r="BW1147" s="1"/>
    </row>
    <row r="1148" spans="1:75" ht="12.75" customHeight="1" x14ac:dyDescent="0.2">
      <c r="A1148" s="1" t="s">
        <v>72</v>
      </c>
      <c r="B1148" s="1" t="s">
        <v>7436</v>
      </c>
      <c r="C1148" s="1"/>
      <c r="D1148" s="1"/>
      <c r="E1148" s="1"/>
      <c r="F1148" s="1" t="s">
        <v>7437</v>
      </c>
      <c r="G1148" s="1"/>
      <c r="H1148" s="1"/>
      <c r="I1148" s="1" t="s">
        <v>7438</v>
      </c>
      <c r="J1148" s="1" t="s">
        <v>6419</v>
      </c>
      <c r="K1148" s="1"/>
      <c r="L1148" s="1"/>
      <c r="M1148" s="1"/>
      <c r="N1148" s="1"/>
      <c r="O1148" s="1"/>
      <c r="P1148" s="1"/>
      <c r="Q1148" s="1"/>
      <c r="R1148" s="1"/>
      <c r="S1148" s="1"/>
      <c r="T1148" s="1"/>
      <c r="U1148" s="1"/>
      <c r="V1148" s="1"/>
      <c r="W1148" s="1"/>
      <c r="X1148" s="1"/>
      <c r="Y1148" s="1"/>
      <c r="Z1148" s="1"/>
      <c r="AA1148" s="1" t="s">
        <v>6420</v>
      </c>
      <c r="AB1148" s="1" t="s">
        <v>6421</v>
      </c>
      <c r="AC1148" s="1"/>
      <c r="AD1148" s="1"/>
      <c r="AE1148" s="1"/>
      <c r="AF1148" s="1"/>
      <c r="AG1148" s="1"/>
      <c r="AH1148" s="1"/>
      <c r="AI1148" s="1"/>
      <c r="AJ1148" s="1"/>
      <c r="AK1148" s="1"/>
      <c r="AL1148" s="1"/>
      <c r="AM1148" s="1"/>
      <c r="AN1148" s="1"/>
      <c r="AO1148" s="1" t="s">
        <v>6422</v>
      </c>
      <c r="AP1148" s="1" t="s">
        <v>6423</v>
      </c>
      <c r="AQ1148" s="1"/>
      <c r="AR1148" s="1"/>
      <c r="AS1148" s="1"/>
      <c r="AT1148" s="1" t="s">
        <v>403</v>
      </c>
      <c r="AU1148" s="1">
        <v>2012</v>
      </c>
      <c r="AV1148" s="1">
        <v>38</v>
      </c>
      <c r="AW1148" s="1">
        <v>7</v>
      </c>
      <c r="AX1148" s="1"/>
      <c r="AY1148" s="1"/>
      <c r="AZ1148" s="1"/>
      <c r="BA1148" s="1"/>
      <c r="BB1148" s="1">
        <v>702</v>
      </c>
      <c r="BC1148" s="1">
        <v>706</v>
      </c>
      <c r="BD1148" s="1"/>
      <c r="BE1148" s="1" t="s">
        <v>7439</v>
      </c>
      <c r="BF1148" s="1" t="str">
        <f>HYPERLINK("http://dx.doi.org/10.1134/S1068162012070242","http://dx.doi.org/10.1134/S1068162012070242")</f>
        <v>http://dx.doi.org/10.1134/S1068162012070242</v>
      </c>
      <c r="BG1148" s="1"/>
      <c r="BH1148" s="1"/>
      <c r="BI1148" s="1"/>
      <c r="BJ1148" s="1"/>
      <c r="BK1148" s="1"/>
      <c r="BL1148" s="1"/>
      <c r="BM1148" s="1"/>
      <c r="BN1148" s="1"/>
      <c r="BO1148" s="1"/>
      <c r="BP1148" s="1"/>
      <c r="BQ1148" s="1"/>
      <c r="BR1148" s="1"/>
      <c r="BS1148" s="1" t="s">
        <v>7440</v>
      </c>
      <c r="BT1148" s="1" t="str">
        <f>HYPERLINK("https%3A%2F%2Fwww.webofscience.com%2Fwos%2Fwoscc%2Ffull-record%2FWOS:000312062700004","View Full Record in Web of Science")</f>
        <v>View Full Record in Web of Science</v>
      </c>
      <c r="BU1148" s="1"/>
      <c r="BV1148" s="1"/>
      <c r="BW1148" s="1"/>
    </row>
    <row r="1149" spans="1:75" ht="12.75" customHeight="1" x14ac:dyDescent="0.2">
      <c r="A1149" s="1" t="s">
        <v>72</v>
      </c>
      <c r="B1149" s="1" t="s">
        <v>7441</v>
      </c>
      <c r="C1149" s="1"/>
      <c r="D1149" s="1"/>
      <c r="E1149" s="1"/>
      <c r="F1149" s="1" t="s">
        <v>7442</v>
      </c>
      <c r="G1149" s="1"/>
      <c r="H1149" s="1"/>
      <c r="I1149" s="1" t="s">
        <v>7443</v>
      </c>
      <c r="J1149" s="1" t="s">
        <v>166</v>
      </c>
      <c r="K1149" s="1"/>
      <c r="L1149" s="1"/>
      <c r="M1149" s="1"/>
      <c r="N1149" s="1"/>
      <c r="O1149" s="1"/>
      <c r="P1149" s="1"/>
      <c r="Q1149" s="1"/>
      <c r="R1149" s="1"/>
      <c r="S1149" s="1"/>
      <c r="T1149" s="1"/>
      <c r="U1149" s="1"/>
      <c r="V1149" s="1"/>
      <c r="W1149" s="1"/>
      <c r="X1149" s="1"/>
      <c r="Y1149" s="1"/>
      <c r="Z1149" s="1"/>
      <c r="AA1149" s="1" t="s">
        <v>2077</v>
      </c>
      <c r="AB1149" s="1" t="s">
        <v>6522</v>
      </c>
      <c r="AC1149" s="1"/>
      <c r="AD1149" s="1"/>
      <c r="AE1149" s="1"/>
      <c r="AF1149" s="1"/>
      <c r="AG1149" s="1"/>
      <c r="AH1149" s="1"/>
      <c r="AI1149" s="1"/>
      <c r="AJ1149" s="1"/>
      <c r="AK1149" s="1"/>
      <c r="AL1149" s="1"/>
      <c r="AM1149" s="1"/>
      <c r="AN1149" s="1"/>
      <c r="AO1149" s="1" t="s">
        <v>169</v>
      </c>
      <c r="AP1149" s="1" t="s">
        <v>170</v>
      </c>
      <c r="AQ1149" s="1"/>
      <c r="AR1149" s="1"/>
      <c r="AS1149" s="1"/>
      <c r="AT1149" s="1" t="s">
        <v>403</v>
      </c>
      <c r="AU1149" s="1">
        <v>2021</v>
      </c>
      <c r="AV1149" s="1">
        <v>10</v>
      </c>
      <c r="AW1149" s="1">
        <v>4</v>
      </c>
      <c r="AX1149" s="1"/>
      <c r="AY1149" s="1"/>
      <c r="AZ1149" s="1"/>
      <c r="BA1149" s="1"/>
      <c r="BB1149" s="1">
        <v>943</v>
      </c>
      <c r="BC1149" s="1">
        <v>957</v>
      </c>
      <c r="BD1149" s="1"/>
      <c r="BE1149" s="1" t="s">
        <v>7444</v>
      </c>
      <c r="BF1149" s="1" t="str">
        <f>HYPERLINK("http://dx.doi.org/10.13187/ejced.2021.4.943","http://dx.doi.org/10.13187/ejced.2021.4.943")</f>
        <v>http://dx.doi.org/10.13187/ejced.2021.4.943</v>
      </c>
      <c r="BG1149" s="1"/>
      <c r="BH1149" s="1"/>
      <c r="BI1149" s="1"/>
      <c r="BJ1149" s="1"/>
      <c r="BK1149" s="1"/>
      <c r="BL1149" s="1"/>
      <c r="BM1149" s="1"/>
      <c r="BN1149" s="1"/>
      <c r="BO1149" s="1"/>
      <c r="BP1149" s="1"/>
      <c r="BQ1149" s="1"/>
      <c r="BR1149" s="1"/>
      <c r="BS1149" s="1" t="s">
        <v>7445</v>
      </c>
      <c r="BT1149" s="1" t="str">
        <f>HYPERLINK("https%3A%2F%2Fwww.webofscience.com%2Fwos%2Fwoscc%2Ffull-record%2FWOS:000739150200009","View Full Record in Web of Science")</f>
        <v>View Full Record in Web of Science</v>
      </c>
      <c r="BU1149" s="1"/>
      <c r="BV1149" s="1"/>
      <c r="BW1149" s="1"/>
    </row>
    <row r="1150" spans="1:75" ht="12.75" customHeight="1" x14ac:dyDescent="0.2">
      <c r="A1150" s="1" t="s">
        <v>72</v>
      </c>
      <c r="B1150" s="1" t="s">
        <v>7446</v>
      </c>
      <c r="C1150" s="1"/>
      <c r="D1150" s="1"/>
      <c r="E1150" s="1"/>
      <c r="F1150" s="1" t="s">
        <v>7447</v>
      </c>
      <c r="G1150" s="1"/>
      <c r="H1150" s="1"/>
      <c r="I1150" s="1" t="s">
        <v>7448</v>
      </c>
      <c r="J1150" s="1" t="s">
        <v>95</v>
      </c>
      <c r="K1150" s="1"/>
      <c r="L1150" s="1"/>
      <c r="M1150" s="1"/>
      <c r="N1150" s="1"/>
      <c r="O1150" s="1"/>
      <c r="P1150" s="1"/>
      <c r="Q1150" s="1"/>
      <c r="R1150" s="1"/>
      <c r="S1150" s="1"/>
      <c r="T1150" s="1"/>
      <c r="U1150" s="1"/>
      <c r="V1150" s="1"/>
      <c r="W1150" s="1"/>
      <c r="X1150" s="1"/>
      <c r="Y1150" s="1"/>
      <c r="Z1150" s="1"/>
      <c r="AA1150" s="1" t="s">
        <v>7239</v>
      </c>
      <c r="AB1150" s="1" t="s">
        <v>7073</v>
      </c>
      <c r="AC1150" s="1"/>
      <c r="AD1150" s="1"/>
      <c r="AE1150" s="1"/>
      <c r="AF1150" s="1"/>
      <c r="AG1150" s="1"/>
      <c r="AH1150" s="1"/>
      <c r="AI1150" s="1"/>
      <c r="AJ1150" s="1"/>
      <c r="AK1150" s="1"/>
      <c r="AL1150" s="1"/>
      <c r="AM1150" s="1"/>
      <c r="AN1150" s="1"/>
      <c r="AO1150" s="1" t="s">
        <v>98</v>
      </c>
      <c r="AP1150" s="1" t="s">
        <v>99</v>
      </c>
      <c r="AQ1150" s="1"/>
      <c r="AR1150" s="1"/>
      <c r="AS1150" s="1"/>
      <c r="AT1150" s="1"/>
      <c r="AU1150" s="1">
        <v>2021</v>
      </c>
      <c r="AV1150" s="1"/>
      <c r="AW1150" s="1">
        <v>2</v>
      </c>
      <c r="AX1150" s="1"/>
      <c r="AY1150" s="1"/>
      <c r="AZ1150" s="1"/>
      <c r="BA1150" s="1"/>
      <c r="BB1150" s="1">
        <v>107</v>
      </c>
      <c r="BC1150" s="1">
        <v>114</v>
      </c>
      <c r="BD1150" s="1"/>
      <c r="BE1150" s="1" t="s">
        <v>7449</v>
      </c>
      <c r="BF1150" s="1" t="str">
        <f>HYPERLINK("http://dx.doi.org/10.25750/1995-4301-2021-2-107-114","http://dx.doi.org/10.25750/1995-4301-2021-2-107-114")</f>
        <v>http://dx.doi.org/10.25750/1995-4301-2021-2-107-114</v>
      </c>
      <c r="BG1150" s="1"/>
      <c r="BH1150" s="1"/>
      <c r="BI1150" s="1"/>
      <c r="BJ1150" s="1"/>
      <c r="BK1150" s="1"/>
      <c r="BL1150" s="1"/>
      <c r="BM1150" s="1"/>
      <c r="BN1150" s="1"/>
      <c r="BO1150" s="1"/>
      <c r="BP1150" s="1"/>
      <c r="BQ1150" s="1"/>
      <c r="BR1150" s="1"/>
      <c r="BS1150" s="1" t="s">
        <v>7450</v>
      </c>
      <c r="BT1150" s="1" t="str">
        <f>HYPERLINK("https%3A%2F%2Fwww.webofscience.com%2Fwos%2Fwoscc%2Ffull-record%2FWOS:000667025400015","View Full Record in Web of Science")</f>
        <v>View Full Record in Web of Science</v>
      </c>
      <c r="BU1150" s="1"/>
      <c r="BV1150" s="1"/>
      <c r="BW1150" s="1"/>
    </row>
    <row r="1151" spans="1:75" ht="12.75" customHeight="1" x14ac:dyDescent="0.2">
      <c r="A1151" s="1" t="s">
        <v>72</v>
      </c>
      <c r="B1151" s="1" t="s">
        <v>6934</v>
      </c>
      <c r="C1151" s="1"/>
      <c r="D1151" s="1"/>
      <c r="E1151" s="1"/>
      <c r="F1151" s="1" t="s">
        <v>6935</v>
      </c>
      <c r="G1151" s="1"/>
      <c r="H1151" s="1"/>
      <c r="I1151" s="1" t="s">
        <v>7451</v>
      </c>
      <c r="J1151" s="1" t="s">
        <v>95</v>
      </c>
      <c r="K1151" s="1"/>
      <c r="L1151" s="1"/>
      <c r="M1151" s="1"/>
      <c r="N1151" s="1"/>
      <c r="O1151" s="1"/>
      <c r="P1151" s="1"/>
      <c r="Q1151" s="1"/>
      <c r="R1151" s="1"/>
      <c r="S1151" s="1"/>
      <c r="T1151" s="1"/>
      <c r="U1151" s="1"/>
      <c r="V1151" s="1"/>
      <c r="W1151" s="1"/>
      <c r="X1151" s="1"/>
      <c r="Y1151" s="1"/>
      <c r="Z1151" s="1"/>
      <c r="AA1151" s="1" t="s">
        <v>7452</v>
      </c>
      <c r="AB1151" s="1" t="s">
        <v>7453</v>
      </c>
      <c r="AC1151" s="1"/>
      <c r="AD1151" s="1"/>
      <c r="AE1151" s="1"/>
      <c r="AF1151" s="1"/>
      <c r="AG1151" s="1"/>
      <c r="AH1151" s="1"/>
      <c r="AI1151" s="1"/>
      <c r="AJ1151" s="1"/>
      <c r="AK1151" s="1"/>
      <c r="AL1151" s="1"/>
      <c r="AM1151" s="1"/>
      <c r="AN1151" s="1"/>
      <c r="AO1151" s="1" t="s">
        <v>98</v>
      </c>
      <c r="AP1151" s="1" t="s">
        <v>99</v>
      </c>
      <c r="AQ1151" s="1"/>
      <c r="AR1151" s="1"/>
      <c r="AS1151" s="1"/>
      <c r="AT1151" s="1"/>
      <c r="AU1151" s="1">
        <v>2020</v>
      </c>
      <c r="AV1151" s="1"/>
      <c r="AW1151" s="1">
        <v>3</v>
      </c>
      <c r="AX1151" s="1"/>
      <c r="AY1151" s="1"/>
      <c r="AZ1151" s="1"/>
      <c r="BA1151" s="1"/>
      <c r="BB1151" s="1">
        <v>36</v>
      </c>
      <c r="BC1151" s="1">
        <v>40</v>
      </c>
      <c r="BD1151" s="1"/>
      <c r="BE1151" s="1" t="s">
        <v>7454</v>
      </c>
      <c r="BF1151" s="1" t="str">
        <f>HYPERLINK("http://dx.doi.org/10.25750/1995-4301-2020-3-036-040","http://dx.doi.org/10.25750/1995-4301-2020-3-036-040")</f>
        <v>http://dx.doi.org/10.25750/1995-4301-2020-3-036-040</v>
      </c>
      <c r="BG1151" s="1"/>
      <c r="BH1151" s="1"/>
      <c r="BI1151" s="1"/>
      <c r="BJ1151" s="1"/>
      <c r="BK1151" s="1"/>
      <c r="BL1151" s="1"/>
      <c r="BM1151" s="1"/>
      <c r="BN1151" s="1"/>
      <c r="BO1151" s="1"/>
      <c r="BP1151" s="1"/>
      <c r="BQ1151" s="1"/>
      <c r="BR1151" s="1"/>
      <c r="BS1151" s="1" t="s">
        <v>7455</v>
      </c>
      <c r="BT1151" s="1" t="str">
        <f>HYPERLINK("https%3A%2F%2Fwww.webofscience.com%2Fwos%2Fwoscc%2Ffull-record%2FWOS:000580337700005","View Full Record in Web of Science")</f>
        <v>View Full Record in Web of Science</v>
      </c>
      <c r="BU1151" s="1"/>
      <c r="BV1151" s="1"/>
      <c r="BW1151" s="1"/>
    </row>
    <row r="1152" spans="1:75" ht="12.75" customHeight="1" x14ac:dyDescent="0.2">
      <c r="A1152" s="1" t="s">
        <v>72</v>
      </c>
      <c r="B1152" s="1" t="s">
        <v>7456</v>
      </c>
      <c r="C1152" s="1"/>
      <c r="D1152" s="1"/>
      <c r="E1152" s="1"/>
      <c r="F1152" s="1" t="s">
        <v>7457</v>
      </c>
      <c r="G1152" s="1"/>
      <c r="H1152" s="1"/>
      <c r="I1152" s="1" t="s">
        <v>7458</v>
      </c>
      <c r="J1152" s="1" t="s">
        <v>6799</v>
      </c>
      <c r="K1152" s="1"/>
      <c r="L1152" s="1"/>
      <c r="M1152" s="1"/>
      <c r="N1152" s="1"/>
      <c r="O1152" s="1"/>
      <c r="P1152" s="1"/>
      <c r="Q1152" s="1"/>
      <c r="R1152" s="1"/>
      <c r="S1152" s="1"/>
      <c r="T1152" s="1"/>
      <c r="U1152" s="1"/>
      <c r="V1152" s="1"/>
      <c r="W1152" s="1"/>
      <c r="X1152" s="1"/>
      <c r="Y1152" s="1"/>
      <c r="Z1152" s="1"/>
      <c r="AA1152" s="1" t="s">
        <v>7459</v>
      </c>
      <c r="AB1152" s="1" t="s">
        <v>7460</v>
      </c>
      <c r="AC1152" s="1"/>
      <c r="AD1152" s="1"/>
      <c r="AE1152" s="1"/>
      <c r="AF1152" s="1"/>
      <c r="AG1152" s="1"/>
      <c r="AH1152" s="1"/>
      <c r="AI1152" s="1"/>
      <c r="AJ1152" s="1"/>
      <c r="AK1152" s="1"/>
      <c r="AL1152" s="1"/>
      <c r="AM1152" s="1"/>
      <c r="AN1152" s="1"/>
      <c r="AO1152" s="1" t="s">
        <v>6802</v>
      </c>
      <c r="AP1152" s="1" t="s">
        <v>6803</v>
      </c>
      <c r="AQ1152" s="1"/>
      <c r="AR1152" s="1"/>
      <c r="AS1152" s="1"/>
      <c r="AT1152" s="1" t="s">
        <v>7461</v>
      </c>
      <c r="AU1152" s="1">
        <v>2019</v>
      </c>
      <c r="AV1152" s="1">
        <v>138</v>
      </c>
      <c r="AW1152" s="1"/>
      <c r="AX1152" s="1"/>
      <c r="AY1152" s="1"/>
      <c r="AZ1152" s="1"/>
      <c r="BA1152" s="1"/>
      <c r="BB1152" s="1">
        <v>629</v>
      </c>
      <c r="BC1152" s="1">
        <v>635</v>
      </c>
      <c r="BD1152" s="1"/>
      <c r="BE1152" s="1" t="s">
        <v>7462</v>
      </c>
      <c r="BF1152" s="1" t="str">
        <f>HYPERLINK("http://dx.doi.org/10.1016/j.ijbiomac.2019.07.122","http://dx.doi.org/10.1016/j.ijbiomac.2019.07.122")</f>
        <v>http://dx.doi.org/10.1016/j.ijbiomac.2019.07.122</v>
      </c>
      <c r="BG1152" s="1"/>
      <c r="BH1152" s="1"/>
      <c r="BI1152" s="1"/>
      <c r="BJ1152" s="1"/>
      <c r="BK1152" s="1"/>
      <c r="BL1152" s="1"/>
      <c r="BM1152" s="1"/>
      <c r="BN1152" s="1">
        <v>31336115</v>
      </c>
      <c r="BO1152" s="1"/>
      <c r="BP1152" s="1"/>
      <c r="BQ1152" s="1"/>
      <c r="BR1152" s="1"/>
      <c r="BS1152" s="1" t="s">
        <v>7463</v>
      </c>
      <c r="BT1152" s="1" t="str">
        <f>HYPERLINK("https%3A%2F%2Fwww.webofscience.com%2Fwos%2Fwoscc%2Ffull-record%2FWOS:000487569000066","View Full Record in Web of Science")</f>
        <v>View Full Record in Web of Science</v>
      </c>
      <c r="BU1152" s="1"/>
      <c r="BV1152" s="1"/>
      <c r="BW1152" s="1"/>
    </row>
    <row r="1153" spans="1:75" ht="12.75" customHeight="1" x14ac:dyDescent="0.2">
      <c r="A1153" s="1" t="s">
        <v>72</v>
      </c>
      <c r="B1153" s="1" t="s">
        <v>7464</v>
      </c>
      <c r="C1153" s="1"/>
      <c r="D1153" s="1"/>
      <c r="E1153" s="1"/>
      <c r="F1153" s="1" t="s">
        <v>7465</v>
      </c>
      <c r="G1153" s="1"/>
      <c r="H1153" s="1"/>
      <c r="I1153" s="1" t="s">
        <v>7466</v>
      </c>
      <c r="J1153" s="1" t="s">
        <v>7100</v>
      </c>
      <c r="K1153" s="1"/>
      <c r="L1153" s="1"/>
      <c r="M1153" s="1"/>
      <c r="N1153" s="1"/>
      <c r="O1153" s="1"/>
      <c r="P1153" s="1"/>
      <c r="Q1153" s="1"/>
      <c r="R1153" s="1"/>
      <c r="S1153" s="1"/>
      <c r="T1153" s="1"/>
      <c r="U1153" s="1"/>
      <c r="V1153" s="1"/>
      <c r="W1153" s="1"/>
      <c r="X1153" s="1"/>
      <c r="Y1153" s="1"/>
      <c r="Z1153" s="1"/>
      <c r="AA1153" s="1" t="s">
        <v>7467</v>
      </c>
      <c r="AB1153" s="1" t="s">
        <v>7468</v>
      </c>
      <c r="AC1153" s="1"/>
      <c r="AD1153" s="1"/>
      <c r="AE1153" s="1"/>
      <c r="AF1153" s="1"/>
      <c r="AG1153" s="1"/>
      <c r="AH1153" s="1"/>
      <c r="AI1153" s="1"/>
      <c r="AJ1153" s="1"/>
      <c r="AK1153" s="1"/>
      <c r="AL1153" s="1"/>
      <c r="AM1153" s="1"/>
      <c r="AN1153" s="1"/>
      <c r="AO1153" s="1" t="s">
        <v>7103</v>
      </c>
      <c r="AP1153" s="1" t="s">
        <v>7104</v>
      </c>
      <c r="AQ1153" s="1"/>
      <c r="AR1153" s="1"/>
      <c r="AS1153" s="1"/>
      <c r="AT1153" s="1" t="s">
        <v>7469</v>
      </c>
      <c r="AU1153" s="1">
        <v>2019</v>
      </c>
      <c r="AV1153" s="1">
        <v>216</v>
      </c>
      <c r="AW1153" s="1"/>
      <c r="AX1153" s="1"/>
      <c r="AY1153" s="1"/>
      <c r="AZ1153" s="1"/>
      <c r="BA1153" s="1"/>
      <c r="BB1153" s="1">
        <v>238</v>
      </c>
      <c r="BC1153" s="1">
        <v>246</v>
      </c>
      <c r="BD1153" s="1"/>
      <c r="BE1153" s="1" t="s">
        <v>7470</v>
      </c>
      <c r="BF1153" s="1" t="str">
        <f>HYPERLINK("http://dx.doi.org/10.1016/j.carbpol.2019.03.087","http://dx.doi.org/10.1016/j.carbpol.2019.03.087")</f>
        <v>http://dx.doi.org/10.1016/j.carbpol.2019.03.087</v>
      </c>
      <c r="BG1153" s="1"/>
      <c r="BH1153" s="1"/>
      <c r="BI1153" s="1"/>
      <c r="BJ1153" s="1"/>
      <c r="BK1153" s="1"/>
      <c r="BL1153" s="1"/>
      <c r="BM1153" s="1"/>
      <c r="BN1153" s="1">
        <v>31047063</v>
      </c>
      <c r="BO1153" s="1"/>
      <c r="BP1153" s="1"/>
      <c r="BQ1153" s="1"/>
      <c r="BR1153" s="1"/>
      <c r="BS1153" s="1" t="s">
        <v>7471</v>
      </c>
      <c r="BT1153" s="1" t="str">
        <f>HYPERLINK("https%3A%2F%2Fwww.webofscience.com%2Fwos%2Fwoscc%2Ffull-record%2FWOS:000466353300025","View Full Record in Web of Science")</f>
        <v>View Full Record in Web of Science</v>
      </c>
      <c r="BU1153" s="1"/>
      <c r="BV1153" s="1"/>
      <c r="BW1153" s="1"/>
    </row>
    <row r="1154" spans="1:75" ht="12.75" customHeight="1" x14ac:dyDescent="0.2">
      <c r="A1154" s="1" t="s">
        <v>72</v>
      </c>
      <c r="B1154" s="1" t="s">
        <v>7472</v>
      </c>
      <c r="C1154" s="1"/>
      <c r="D1154" s="1"/>
      <c r="E1154" s="1"/>
      <c r="F1154" s="1" t="s">
        <v>7473</v>
      </c>
      <c r="G1154" s="1"/>
      <c r="H1154" s="1"/>
      <c r="I1154" s="1" t="s">
        <v>7474</v>
      </c>
      <c r="J1154" s="1" t="s">
        <v>95</v>
      </c>
      <c r="K1154" s="1"/>
      <c r="L1154" s="1"/>
      <c r="M1154" s="1"/>
      <c r="N1154" s="1"/>
      <c r="O1154" s="1"/>
      <c r="P1154" s="1"/>
      <c r="Q1154" s="1"/>
      <c r="R1154" s="1"/>
      <c r="S1154" s="1"/>
      <c r="T1154" s="1"/>
      <c r="U1154" s="1"/>
      <c r="V1154" s="1"/>
      <c r="W1154" s="1"/>
      <c r="X1154" s="1"/>
      <c r="Y1154" s="1"/>
      <c r="Z1154" s="1"/>
      <c r="AA1154" s="1" t="s">
        <v>7475</v>
      </c>
      <c r="AB1154" s="1" t="s">
        <v>7476</v>
      </c>
      <c r="AC1154" s="1"/>
      <c r="AD1154" s="1"/>
      <c r="AE1154" s="1"/>
      <c r="AF1154" s="1"/>
      <c r="AG1154" s="1"/>
      <c r="AH1154" s="1"/>
      <c r="AI1154" s="1"/>
      <c r="AJ1154" s="1"/>
      <c r="AK1154" s="1"/>
      <c r="AL1154" s="1"/>
      <c r="AM1154" s="1"/>
      <c r="AN1154" s="1"/>
      <c r="AO1154" s="1" t="s">
        <v>98</v>
      </c>
      <c r="AP1154" s="1" t="s">
        <v>99</v>
      </c>
      <c r="AQ1154" s="1"/>
      <c r="AR1154" s="1"/>
      <c r="AS1154" s="1"/>
      <c r="AT1154" s="1"/>
      <c r="AU1154" s="1">
        <v>2019</v>
      </c>
      <c r="AV1154" s="1"/>
      <c r="AW1154" s="1">
        <v>2</v>
      </c>
      <c r="AX1154" s="1"/>
      <c r="AY1154" s="1"/>
      <c r="AZ1154" s="1"/>
      <c r="BA1154" s="1"/>
      <c r="BB1154" s="1">
        <v>39</v>
      </c>
      <c r="BC1154" s="1">
        <v>43</v>
      </c>
      <c r="BD1154" s="1"/>
      <c r="BE1154" s="1" t="s">
        <v>7477</v>
      </c>
      <c r="BF1154" s="1" t="str">
        <f>HYPERLINK("http://dx.doi.org/10.25750/1995-4301-2019-2-039-043","http://dx.doi.org/10.25750/1995-4301-2019-2-039-043")</f>
        <v>http://dx.doi.org/10.25750/1995-4301-2019-2-039-043</v>
      </c>
      <c r="BG1154" s="1"/>
      <c r="BH1154" s="1"/>
      <c r="BI1154" s="1"/>
      <c r="BJ1154" s="1"/>
      <c r="BK1154" s="1"/>
      <c r="BL1154" s="1"/>
      <c r="BM1154" s="1"/>
      <c r="BN1154" s="1"/>
      <c r="BO1154" s="1"/>
      <c r="BP1154" s="1"/>
      <c r="BQ1154" s="1"/>
      <c r="BR1154" s="1"/>
      <c r="BS1154" s="1" t="s">
        <v>7478</v>
      </c>
      <c r="BT1154" s="1" t="str">
        <f>HYPERLINK("https%3A%2F%2Fwww.webofscience.com%2Fwos%2Fwoscc%2Ffull-record%2FWOS:000477826000004","View Full Record in Web of Science")</f>
        <v>View Full Record in Web of Science</v>
      </c>
      <c r="BU1154" s="1"/>
      <c r="BV1154" s="1"/>
      <c r="BW1154" s="1"/>
    </row>
    <row r="1155" spans="1:75" ht="12.75" customHeight="1" x14ac:dyDescent="0.2">
      <c r="A1155" s="1" t="s">
        <v>72</v>
      </c>
      <c r="B1155" s="1" t="s">
        <v>7479</v>
      </c>
      <c r="C1155" s="1"/>
      <c r="D1155" s="1"/>
      <c r="E1155" s="1"/>
      <c r="F1155" s="1" t="s">
        <v>7480</v>
      </c>
      <c r="G1155" s="1"/>
      <c r="H1155" s="1"/>
      <c r="I1155" s="1" t="s">
        <v>7481</v>
      </c>
      <c r="J1155" s="1" t="s">
        <v>95</v>
      </c>
      <c r="K1155" s="1"/>
      <c r="L1155" s="1"/>
      <c r="M1155" s="1"/>
      <c r="N1155" s="1"/>
      <c r="O1155" s="1"/>
      <c r="P1155" s="1"/>
      <c r="Q1155" s="1"/>
      <c r="R1155" s="1"/>
      <c r="S1155" s="1"/>
      <c r="T1155" s="1"/>
      <c r="U1155" s="1"/>
      <c r="V1155" s="1"/>
      <c r="W1155" s="1"/>
      <c r="X1155" s="1"/>
      <c r="Y1155" s="1"/>
      <c r="Z1155" s="1"/>
      <c r="AA1155" s="1" t="s">
        <v>7482</v>
      </c>
      <c r="AB1155" s="1" t="s">
        <v>7483</v>
      </c>
      <c r="AC1155" s="1"/>
      <c r="AD1155" s="1"/>
      <c r="AE1155" s="1"/>
      <c r="AF1155" s="1"/>
      <c r="AG1155" s="1"/>
      <c r="AH1155" s="1"/>
      <c r="AI1155" s="1"/>
      <c r="AJ1155" s="1"/>
      <c r="AK1155" s="1"/>
      <c r="AL1155" s="1"/>
      <c r="AM1155" s="1"/>
      <c r="AN1155" s="1"/>
      <c r="AO1155" s="1" t="s">
        <v>98</v>
      </c>
      <c r="AP1155" s="1" t="s">
        <v>99</v>
      </c>
      <c r="AQ1155" s="1"/>
      <c r="AR1155" s="1"/>
      <c r="AS1155" s="1"/>
      <c r="AT1155" s="1"/>
      <c r="AU1155" s="1">
        <v>2018</v>
      </c>
      <c r="AV1155" s="1"/>
      <c r="AW1155" s="1">
        <v>2</v>
      </c>
      <c r="AX1155" s="1"/>
      <c r="AY1155" s="1"/>
      <c r="AZ1155" s="1"/>
      <c r="BA1155" s="1"/>
      <c r="BB1155" s="1">
        <v>35</v>
      </c>
      <c r="BC1155" s="1">
        <v>37</v>
      </c>
      <c r="BD1155" s="1"/>
      <c r="BE1155" s="1" t="s">
        <v>7484</v>
      </c>
      <c r="BF1155" s="1" t="str">
        <f>HYPERLINK("http://dx.doi.org/10.25750/1995-4301-2018-2-035-037","http://dx.doi.org/10.25750/1995-4301-2018-2-035-037")</f>
        <v>http://dx.doi.org/10.25750/1995-4301-2018-2-035-037</v>
      </c>
      <c r="BG1155" s="1"/>
      <c r="BH1155" s="1"/>
      <c r="BI1155" s="1"/>
      <c r="BJ1155" s="1"/>
      <c r="BK1155" s="1"/>
      <c r="BL1155" s="1"/>
      <c r="BM1155" s="1"/>
      <c r="BN1155" s="1"/>
      <c r="BO1155" s="1"/>
      <c r="BP1155" s="1"/>
      <c r="BQ1155" s="1"/>
      <c r="BR1155" s="1"/>
      <c r="BS1155" s="1" t="s">
        <v>7485</v>
      </c>
      <c r="BT1155" s="1" t="str">
        <f>HYPERLINK("https%3A%2F%2Fwww.webofscience.com%2Fwos%2Fwoscc%2Ffull-record%2FWOS:000468564500004","View Full Record in Web of Science")</f>
        <v>View Full Record in Web of Science</v>
      </c>
      <c r="BU1155" s="1"/>
      <c r="BV1155" s="1"/>
      <c r="BW1155" s="1"/>
    </row>
    <row r="1156" spans="1:75" ht="12.75" customHeight="1" x14ac:dyDescent="0.2">
      <c r="A1156" s="1" t="s">
        <v>72</v>
      </c>
      <c r="B1156" s="1" t="s">
        <v>7486</v>
      </c>
      <c r="C1156" s="1"/>
      <c r="D1156" s="1"/>
      <c r="E1156" s="1"/>
      <c r="F1156" s="1" t="s">
        <v>7487</v>
      </c>
      <c r="G1156" s="1"/>
      <c r="H1156" s="1"/>
      <c r="I1156" s="1" t="s">
        <v>7488</v>
      </c>
      <c r="J1156" s="1" t="s">
        <v>7079</v>
      </c>
      <c r="K1156" s="1"/>
      <c r="L1156" s="1"/>
      <c r="M1156" s="1"/>
      <c r="N1156" s="1"/>
      <c r="O1156" s="1"/>
      <c r="P1156" s="1"/>
      <c r="Q1156" s="1"/>
      <c r="R1156" s="1"/>
      <c r="S1156" s="1"/>
      <c r="T1156" s="1"/>
      <c r="U1156" s="1"/>
      <c r="V1156" s="1"/>
      <c r="W1156" s="1"/>
      <c r="X1156" s="1"/>
      <c r="Y1156" s="1"/>
      <c r="Z1156" s="1"/>
      <c r="AA1156" s="1" t="s">
        <v>7489</v>
      </c>
      <c r="AB1156" s="1" t="s">
        <v>7490</v>
      </c>
      <c r="AC1156" s="1"/>
      <c r="AD1156" s="1"/>
      <c r="AE1156" s="1"/>
      <c r="AF1156" s="1"/>
      <c r="AG1156" s="1"/>
      <c r="AH1156" s="1"/>
      <c r="AI1156" s="1"/>
      <c r="AJ1156" s="1"/>
      <c r="AK1156" s="1"/>
      <c r="AL1156" s="1"/>
      <c r="AM1156" s="1"/>
      <c r="AN1156" s="1"/>
      <c r="AO1156" s="1" t="s">
        <v>7082</v>
      </c>
      <c r="AP1156" s="1" t="s">
        <v>7083</v>
      </c>
      <c r="AQ1156" s="1"/>
      <c r="AR1156" s="1"/>
      <c r="AS1156" s="1"/>
      <c r="AT1156" s="1" t="s">
        <v>830</v>
      </c>
      <c r="AU1156" s="1">
        <v>2017</v>
      </c>
      <c r="AV1156" s="1">
        <v>105</v>
      </c>
      <c r="AW1156" s="1">
        <v>9</v>
      </c>
      <c r="AX1156" s="1"/>
      <c r="AY1156" s="1"/>
      <c r="AZ1156" s="1"/>
      <c r="BA1156" s="1"/>
      <c r="BB1156" s="1">
        <v>2572</v>
      </c>
      <c r="BC1156" s="1">
        <v>2581</v>
      </c>
      <c r="BD1156" s="1"/>
      <c r="BE1156" s="1" t="s">
        <v>7491</v>
      </c>
      <c r="BF1156" s="1" t="str">
        <f>HYPERLINK("http://dx.doi.org/10.1002/jbm.a.36116","http://dx.doi.org/10.1002/jbm.a.36116")</f>
        <v>http://dx.doi.org/10.1002/jbm.a.36116</v>
      </c>
      <c r="BG1156" s="1"/>
      <c r="BH1156" s="1"/>
      <c r="BI1156" s="1"/>
      <c r="BJ1156" s="1"/>
      <c r="BK1156" s="1"/>
      <c r="BL1156" s="1"/>
      <c r="BM1156" s="1"/>
      <c r="BN1156" s="1">
        <v>28544261</v>
      </c>
      <c r="BO1156" s="1"/>
      <c r="BP1156" s="1"/>
      <c r="BQ1156" s="1"/>
      <c r="BR1156" s="1"/>
      <c r="BS1156" s="1" t="s">
        <v>7492</v>
      </c>
      <c r="BT1156" s="1" t="str">
        <f>HYPERLINK("https%3A%2F%2Fwww.webofscience.com%2Fwos%2Fwoscc%2Ffull-record%2FWOS:000406308500018","View Full Record in Web of Science")</f>
        <v>View Full Record in Web of Science</v>
      </c>
      <c r="BU1156" s="1"/>
      <c r="BV1156" s="1"/>
      <c r="BW1156" s="1"/>
    </row>
    <row r="1157" spans="1:75" ht="12.75" customHeight="1" x14ac:dyDescent="0.2">
      <c r="A1157" s="1" t="s">
        <v>72</v>
      </c>
      <c r="B1157" s="1" t="s">
        <v>7493</v>
      </c>
      <c r="C1157" s="1"/>
      <c r="D1157" s="1"/>
      <c r="E1157" s="1"/>
      <c r="F1157" s="1" t="s">
        <v>7494</v>
      </c>
      <c r="G1157" s="1"/>
      <c r="H1157" s="1"/>
      <c r="I1157" s="1" t="s">
        <v>7495</v>
      </c>
      <c r="J1157" s="1" t="s">
        <v>5139</v>
      </c>
      <c r="K1157" s="1"/>
      <c r="L1157" s="1"/>
      <c r="M1157" s="1"/>
      <c r="N1157" s="1"/>
      <c r="O1157" s="1"/>
      <c r="P1157" s="1"/>
      <c r="Q1157" s="1"/>
      <c r="R1157" s="1"/>
      <c r="S1157" s="1"/>
      <c r="T1157" s="1"/>
      <c r="U1157" s="1"/>
      <c r="V1157" s="1"/>
      <c r="W1157" s="1"/>
      <c r="X1157" s="1"/>
      <c r="Y1157" s="1"/>
      <c r="Z1157" s="1"/>
      <c r="AA1157" s="1" t="s">
        <v>7496</v>
      </c>
      <c r="AB1157" s="1" t="s">
        <v>7497</v>
      </c>
      <c r="AC1157" s="1"/>
      <c r="AD1157" s="1"/>
      <c r="AE1157" s="1"/>
      <c r="AF1157" s="1"/>
      <c r="AG1157" s="1"/>
      <c r="AH1157" s="1"/>
      <c r="AI1157" s="1"/>
      <c r="AJ1157" s="1"/>
      <c r="AK1157" s="1"/>
      <c r="AL1157" s="1"/>
      <c r="AM1157" s="1"/>
      <c r="AN1157" s="1"/>
      <c r="AO1157" s="1" t="s">
        <v>5142</v>
      </c>
      <c r="AP1157" s="1" t="s">
        <v>5143</v>
      </c>
      <c r="AQ1157" s="1"/>
      <c r="AR1157" s="1"/>
      <c r="AS1157" s="1"/>
      <c r="AT1157" s="1" t="s">
        <v>125</v>
      </c>
      <c r="AU1157" s="1">
        <v>2017</v>
      </c>
      <c r="AV1157" s="1">
        <v>13</v>
      </c>
      <c r="AW1157" s="1">
        <v>7</v>
      </c>
      <c r="AX1157" s="1"/>
      <c r="AY1157" s="1"/>
      <c r="AZ1157" s="1"/>
      <c r="BA1157" s="1"/>
      <c r="BB1157" s="1">
        <v>2805</v>
      </c>
      <c r="BC1157" s="1">
        <v>2819</v>
      </c>
      <c r="BD1157" s="1"/>
      <c r="BE1157" s="1" t="s">
        <v>7498</v>
      </c>
      <c r="BF1157" s="1" t="str">
        <f>HYPERLINK("http://dx.doi.org/10.12973/eurasia.2017.00719a","http://dx.doi.org/10.12973/eurasia.2017.00719a")</f>
        <v>http://dx.doi.org/10.12973/eurasia.2017.00719a</v>
      </c>
      <c r="BG1157" s="1"/>
      <c r="BH1157" s="1"/>
      <c r="BI1157" s="1"/>
      <c r="BJ1157" s="1"/>
      <c r="BK1157" s="1"/>
      <c r="BL1157" s="1"/>
      <c r="BM1157" s="1"/>
      <c r="BN1157" s="1"/>
      <c r="BO1157" s="1"/>
      <c r="BP1157" s="1"/>
      <c r="BQ1157" s="1"/>
      <c r="BR1157" s="1"/>
      <c r="BS1157" s="1" t="s">
        <v>7499</v>
      </c>
      <c r="BT1157" s="1" t="str">
        <f>HYPERLINK("https%3A%2F%2Fwww.webofscience.com%2Fwos%2Fwoscc%2Ffull-record%2FWOS:000404607800001","View Full Record in Web of Science")</f>
        <v>View Full Record in Web of Science</v>
      </c>
      <c r="BU1157" s="1"/>
      <c r="BV1157" s="1"/>
      <c r="BW1157" s="1"/>
    </row>
    <row r="1158" spans="1:75" ht="12.75" customHeight="1" x14ac:dyDescent="0.2">
      <c r="A1158" s="1" t="s">
        <v>72</v>
      </c>
      <c r="B1158" s="1" t="s">
        <v>7500</v>
      </c>
      <c r="C1158" s="1"/>
      <c r="D1158" s="1"/>
      <c r="E1158" s="1"/>
      <c r="F1158" s="1" t="s">
        <v>7501</v>
      </c>
      <c r="G1158" s="1"/>
      <c r="H1158" s="1"/>
      <c r="I1158" s="1" t="s">
        <v>7502</v>
      </c>
      <c r="J1158" s="1" t="s">
        <v>6419</v>
      </c>
      <c r="K1158" s="1"/>
      <c r="L1158" s="1"/>
      <c r="M1158" s="1"/>
      <c r="N1158" s="1"/>
      <c r="O1158" s="1"/>
      <c r="P1158" s="1"/>
      <c r="Q1158" s="1"/>
      <c r="R1158" s="1"/>
      <c r="S1158" s="1"/>
      <c r="T1158" s="1"/>
      <c r="U1158" s="1"/>
      <c r="V1158" s="1"/>
      <c r="W1158" s="1"/>
      <c r="X1158" s="1"/>
      <c r="Y1158" s="1"/>
      <c r="Z1158" s="1"/>
      <c r="AA1158" s="1" t="s">
        <v>6420</v>
      </c>
      <c r="AB1158" s="1" t="s">
        <v>6421</v>
      </c>
      <c r="AC1158" s="1"/>
      <c r="AD1158" s="1"/>
      <c r="AE1158" s="1"/>
      <c r="AF1158" s="1"/>
      <c r="AG1158" s="1"/>
      <c r="AH1158" s="1"/>
      <c r="AI1158" s="1"/>
      <c r="AJ1158" s="1"/>
      <c r="AK1158" s="1"/>
      <c r="AL1158" s="1"/>
      <c r="AM1158" s="1"/>
      <c r="AN1158" s="1"/>
      <c r="AO1158" s="1" t="s">
        <v>6422</v>
      </c>
      <c r="AP1158" s="1" t="s">
        <v>6423</v>
      </c>
      <c r="AQ1158" s="1"/>
      <c r="AR1158" s="1"/>
      <c r="AS1158" s="1"/>
      <c r="AT1158" s="1" t="s">
        <v>171</v>
      </c>
      <c r="AU1158" s="1">
        <v>2014</v>
      </c>
      <c r="AV1158" s="1">
        <v>40</v>
      </c>
      <c r="AW1158" s="1">
        <v>2</v>
      </c>
      <c r="AX1158" s="1"/>
      <c r="AY1158" s="1"/>
      <c r="AZ1158" s="1"/>
      <c r="BA1158" s="1"/>
      <c r="BB1158" s="1">
        <v>193</v>
      </c>
      <c r="BC1158" s="1">
        <v>197</v>
      </c>
      <c r="BD1158" s="1"/>
      <c r="BE1158" s="1" t="s">
        <v>7503</v>
      </c>
      <c r="BF1158" s="1" t="str">
        <f>HYPERLINK("http://dx.doi.org/10.1134/S1068162014020162","http://dx.doi.org/10.1134/S1068162014020162")</f>
        <v>http://dx.doi.org/10.1134/S1068162014020162</v>
      </c>
      <c r="BG1158" s="1"/>
      <c r="BH1158" s="1"/>
      <c r="BI1158" s="1"/>
      <c r="BJ1158" s="1"/>
      <c r="BK1158" s="1"/>
      <c r="BL1158" s="1"/>
      <c r="BM1158" s="1"/>
      <c r="BN1158" s="1"/>
      <c r="BO1158" s="1"/>
      <c r="BP1158" s="1"/>
      <c r="BQ1158" s="1"/>
      <c r="BR1158" s="1"/>
      <c r="BS1158" s="1" t="s">
        <v>7504</v>
      </c>
      <c r="BT1158" s="1" t="str">
        <f>HYPERLINK("https%3A%2F%2Fwww.webofscience.com%2Fwos%2Fwoscc%2Ffull-record%2FWOS:000336053700010","View Full Record in Web of Science")</f>
        <v>View Full Record in Web of Science</v>
      </c>
      <c r="BU1158" s="1"/>
      <c r="BV1158" s="1"/>
      <c r="BW1158" s="1"/>
    </row>
    <row r="1159" spans="1:75" ht="12.75" customHeight="1" x14ac:dyDescent="0.2">
      <c r="A1159" s="1" t="s">
        <v>72</v>
      </c>
      <c r="B1159" s="1" t="s">
        <v>7505</v>
      </c>
      <c r="C1159" s="1"/>
      <c r="D1159" s="1"/>
      <c r="E1159" s="1"/>
      <c r="F1159" s="1" t="s">
        <v>7506</v>
      </c>
      <c r="G1159" s="1"/>
      <c r="H1159" s="1"/>
      <c r="I1159" s="1" t="s">
        <v>7507</v>
      </c>
      <c r="J1159" s="1" t="s">
        <v>1005</v>
      </c>
      <c r="K1159" s="1"/>
      <c r="L1159" s="1"/>
      <c r="M1159" s="1"/>
      <c r="N1159" s="1"/>
      <c r="O1159" s="1"/>
      <c r="P1159" s="1"/>
      <c r="Q1159" s="1"/>
      <c r="R1159" s="1"/>
      <c r="S1159" s="1"/>
      <c r="T1159" s="1"/>
      <c r="U1159" s="1"/>
      <c r="V1159" s="1"/>
      <c r="W1159" s="1"/>
      <c r="X1159" s="1"/>
      <c r="Y1159" s="1"/>
      <c r="Z1159" s="1"/>
      <c r="AA1159" s="1" t="s">
        <v>7251</v>
      </c>
      <c r="AB1159" s="1" t="s">
        <v>6972</v>
      </c>
      <c r="AC1159" s="1"/>
      <c r="AD1159" s="1"/>
      <c r="AE1159" s="1"/>
      <c r="AF1159" s="1"/>
      <c r="AG1159" s="1"/>
      <c r="AH1159" s="1"/>
      <c r="AI1159" s="1"/>
      <c r="AJ1159" s="1"/>
      <c r="AK1159" s="1"/>
      <c r="AL1159" s="1"/>
      <c r="AM1159" s="1"/>
      <c r="AN1159" s="1"/>
      <c r="AO1159" s="1" t="s">
        <v>1006</v>
      </c>
      <c r="AP1159" s="1" t="s">
        <v>1007</v>
      </c>
      <c r="AQ1159" s="1"/>
      <c r="AR1159" s="1"/>
      <c r="AS1159" s="1"/>
      <c r="AT1159" s="1" t="s">
        <v>403</v>
      </c>
      <c r="AU1159" s="1">
        <v>2010</v>
      </c>
      <c r="AV1159" s="1">
        <v>79</v>
      </c>
      <c r="AW1159" s="1">
        <v>6</v>
      </c>
      <c r="AX1159" s="1"/>
      <c r="AY1159" s="1"/>
      <c r="AZ1159" s="1"/>
      <c r="BA1159" s="1"/>
      <c r="BB1159" s="1">
        <v>871</v>
      </c>
      <c r="BC1159" s="1">
        <v>876</v>
      </c>
      <c r="BD1159" s="1"/>
      <c r="BE1159" s="1" t="s">
        <v>7508</v>
      </c>
      <c r="BF1159" s="1" t="str">
        <f>HYPERLINK("http://dx.doi.org/10.1134/S0026261710060263","http://dx.doi.org/10.1134/S0026261710060263")</f>
        <v>http://dx.doi.org/10.1134/S0026261710060263</v>
      </c>
      <c r="BG1159" s="1"/>
      <c r="BH1159" s="1"/>
      <c r="BI1159" s="1"/>
      <c r="BJ1159" s="1"/>
      <c r="BK1159" s="1"/>
      <c r="BL1159" s="1"/>
      <c r="BM1159" s="1"/>
      <c r="BN1159" s="1"/>
      <c r="BO1159" s="1"/>
      <c r="BP1159" s="1"/>
      <c r="BQ1159" s="1"/>
      <c r="BR1159" s="1"/>
      <c r="BS1159" s="1" t="s">
        <v>7509</v>
      </c>
      <c r="BT1159" s="1" t="str">
        <f>HYPERLINK("https%3A%2F%2Fwww.webofscience.com%2Fwos%2Fwoscc%2Ffull-record%2FWOS:000285067700025","View Full Record in Web of Science")</f>
        <v>View Full Record in Web of Science</v>
      </c>
      <c r="BU1159" s="1"/>
      <c r="BV1159" s="1"/>
      <c r="BW1159" s="1"/>
    </row>
    <row r="1160" spans="1:75" ht="12.75" customHeight="1" x14ac:dyDescent="0.2">
      <c r="A1160" s="1" t="s">
        <v>72</v>
      </c>
      <c r="B1160" s="1" t="s">
        <v>7510</v>
      </c>
      <c r="C1160" s="1"/>
      <c r="D1160" s="1"/>
      <c r="E1160" s="1"/>
      <c r="F1160" s="1" t="s">
        <v>7511</v>
      </c>
      <c r="G1160" s="1"/>
      <c r="H1160" s="1"/>
      <c r="I1160" s="1" t="s">
        <v>7512</v>
      </c>
      <c r="J1160" s="1" t="s">
        <v>7513</v>
      </c>
      <c r="K1160" s="1"/>
      <c r="L1160" s="1"/>
      <c r="M1160" s="1"/>
      <c r="N1160" s="1"/>
      <c r="O1160" s="1"/>
      <c r="P1160" s="1"/>
      <c r="Q1160" s="1"/>
      <c r="R1160" s="1"/>
      <c r="S1160" s="1"/>
      <c r="T1160" s="1"/>
      <c r="U1160" s="1"/>
      <c r="V1160" s="1"/>
      <c r="W1160" s="1"/>
      <c r="X1160" s="1"/>
      <c r="Y1160" s="1"/>
      <c r="Z1160" s="1"/>
      <c r="AA1160" s="1" t="s">
        <v>7514</v>
      </c>
      <c r="AB1160" s="1" t="s">
        <v>7515</v>
      </c>
      <c r="AC1160" s="1"/>
      <c r="AD1160" s="1"/>
      <c r="AE1160" s="1"/>
      <c r="AF1160" s="1"/>
      <c r="AG1160" s="1"/>
      <c r="AH1160" s="1"/>
      <c r="AI1160" s="1"/>
      <c r="AJ1160" s="1"/>
      <c r="AK1160" s="1"/>
      <c r="AL1160" s="1"/>
      <c r="AM1160" s="1"/>
      <c r="AN1160" s="1"/>
      <c r="AO1160" s="1"/>
      <c r="AP1160" s="1" t="s">
        <v>7516</v>
      </c>
      <c r="AQ1160" s="1"/>
      <c r="AR1160" s="1"/>
      <c r="AS1160" s="1"/>
      <c r="AT1160" s="1" t="s">
        <v>403</v>
      </c>
      <c r="AU1160" s="1">
        <v>2022</v>
      </c>
      <c r="AV1160" s="1">
        <v>33</v>
      </c>
      <c r="AW1160" s="1"/>
      <c r="AX1160" s="1"/>
      <c r="AY1160" s="1"/>
      <c r="AZ1160" s="1"/>
      <c r="BA1160" s="1"/>
      <c r="BB1160" s="1"/>
      <c r="BC1160" s="1"/>
      <c r="BD1160" s="1">
        <v>104986</v>
      </c>
      <c r="BE1160" s="1" t="s">
        <v>7517</v>
      </c>
      <c r="BF1160" s="1" t="str">
        <f>HYPERLINK("http://dx.doi.org/10.1016/j.mtcomm.2022.104986","http://dx.doi.org/10.1016/j.mtcomm.2022.104986")</f>
        <v>http://dx.doi.org/10.1016/j.mtcomm.2022.104986</v>
      </c>
      <c r="BG1160" s="1"/>
      <c r="BH1160" s="1" t="s">
        <v>7518</v>
      </c>
      <c r="BI1160" s="1"/>
      <c r="BJ1160" s="1"/>
      <c r="BK1160" s="1"/>
      <c r="BL1160" s="1"/>
      <c r="BM1160" s="1"/>
      <c r="BN1160" s="1"/>
      <c r="BO1160" s="1"/>
      <c r="BP1160" s="1"/>
      <c r="BQ1160" s="1"/>
      <c r="BR1160" s="1"/>
      <c r="BS1160" s="1" t="s">
        <v>7519</v>
      </c>
      <c r="BT1160" s="1" t="str">
        <f>HYPERLINK("https%3A%2F%2Fwww.webofscience.com%2Fwos%2Fwoscc%2Ffull-record%2FWOS:000892588700003","View Full Record in Web of Science")</f>
        <v>View Full Record in Web of Science</v>
      </c>
      <c r="BU1160" s="1"/>
      <c r="BV1160" s="1"/>
      <c r="BW1160" s="1"/>
    </row>
    <row r="1161" spans="1:75" ht="12.75" customHeight="1" x14ac:dyDescent="0.2">
      <c r="A1161" s="1" t="s">
        <v>72</v>
      </c>
      <c r="B1161" s="1" t="s">
        <v>7520</v>
      </c>
      <c r="C1161" s="1"/>
      <c r="D1161" s="1"/>
      <c r="E1161" s="1"/>
      <c r="F1161" s="1" t="s">
        <v>7521</v>
      </c>
      <c r="G1161" s="1"/>
      <c r="H1161" s="1"/>
      <c r="I1161" s="1" t="s">
        <v>7522</v>
      </c>
      <c r="J1161" s="1" t="s">
        <v>6419</v>
      </c>
      <c r="K1161" s="1"/>
      <c r="L1161" s="1"/>
      <c r="M1161" s="1"/>
      <c r="N1161" s="1"/>
      <c r="O1161" s="1"/>
      <c r="P1161" s="1"/>
      <c r="Q1161" s="1"/>
      <c r="R1161" s="1"/>
      <c r="S1161" s="1"/>
      <c r="T1161" s="1"/>
      <c r="U1161" s="1"/>
      <c r="V1161" s="1"/>
      <c r="W1161" s="1"/>
      <c r="X1161" s="1"/>
      <c r="Y1161" s="1"/>
      <c r="Z1161" s="1"/>
      <c r="AA1161" s="1" t="s">
        <v>7523</v>
      </c>
      <c r="AB1161" s="1" t="s">
        <v>7524</v>
      </c>
      <c r="AC1161" s="1"/>
      <c r="AD1161" s="1"/>
      <c r="AE1161" s="1"/>
      <c r="AF1161" s="1"/>
      <c r="AG1161" s="1"/>
      <c r="AH1161" s="1"/>
      <c r="AI1161" s="1"/>
      <c r="AJ1161" s="1"/>
      <c r="AK1161" s="1"/>
      <c r="AL1161" s="1"/>
      <c r="AM1161" s="1"/>
      <c r="AN1161" s="1"/>
      <c r="AO1161" s="1" t="s">
        <v>6422</v>
      </c>
      <c r="AP1161" s="1" t="s">
        <v>6423</v>
      </c>
      <c r="AQ1161" s="1"/>
      <c r="AR1161" s="1"/>
      <c r="AS1161" s="1"/>
      <c r="AT1161" s="1" t="s">
        <v>830</v>
      </c>
      <c r="AU1161" s="1">
        <v>2021</v>
      </c>
      <c r="AV1161" s="1">
        <v>47</v>
      </c>
      <c r="AW1161" s="1">
        <v>5</v>
      </c>
      <c r="AX1161" s="1"/>
      <c r="AY1161" s="1"/>
      <c r="AZ1161" s="1"/>
      <c r="BA1161" s="1"/>
      <c r="BB1161" s="1">
        <v>1066</v>
      </c>
      <c r="BC1161" s="1">
        <v>1076</v>
      </c>
      <c r="BD1161" s="1"/>
      <c r="BE1161" s="1" t="s">
        <v>7525</v>
      </c>
      <c r="BF1161" s="1" t="str">
        <f>HYPERLINK("http://dx.doi.org/10.1134/S1068162021040099","http://dx.doi.org/10.1134/S1068162021040099")</f>
        <v>http://dx.doi.org/10.1134/S1068162021040099</v>
      </c>
      <c r="BG1161" s="1"/>
      <c r="BH1161" s="1"/>
      <c r="BI1161" s="1"/>
      <c r="BJ1161" s="1"/>
      <c r="BK1161" s="1"/>
      <c r="BL1161" s="1"/>
      <c r="BM1161" s="1"/>
      <c r="BN1161" s="1"/>
      <c r="BO1161" s="1"/>
      <c r="BP1161" s="1"/>
      <c r="BQ1161" s="1"/>
      <c r="BR1161" s="1"/>
      <c r="BS1161" s="1" t="s">
        <v>7526</v>
      </c>
      <c r="BT1161" s="1" t="str">
        <f>HYPERLINK("https%3A%2F%2Fwww.webofscience.com%2Fwos%2Fwoscc%2Ffull-record%2FWOS:000709344500012","View Full Record in Web of Science")</f>
        <v>View Full Record in Web of Science</v>
      </c>
      <c r="BU1161" s="1"/>
      <c r="BV1161" s="1"/>
      <c r="BW1161" s="1"/>
    </row>
    <row r="1162" spans="1:75" ht="12.75" customHeight="1" x14ac:dyDescent="0.2">
      <c r="A1162" s="1" t="s">
        <v>72</v>
      </c>
      <c r="B1162" s="1" t="s">
        <v>7527</v>
      </c>
      <c r="C1162" s="1"/>
      <c r="D1162" s="1"/>
      <c r="E1162" s="1"/>
      <c r="F1162" s="1" t="s">
        <v>7528</v>
      </c>
      <c r="G1162" s="1"/>
      <c r="H1162" s="1"/>
      <c r="I1162" s="1" t="s">
        <v>7529</v>
      </c>
      <c r="J1162" s="1" t="s">
        <v>95</v>
      </c>
      <c r="K1162" s="1"/>
      <c r="L1162" s="1"/>
      <c r="M1162" s="1"/>
      <c r="N1162" s="1"/>
      <c r="O1162" s="1"/>
      <c r="P1162" s="1"/>
      <c r="Q1162" s="1"/>
      <c r="R1162" s="1"/>
      <c r="S1162" s="1"/>
      <c r="T1162" s="1"/>
      <c r="U1162" s="1"/>
      <c r="V1162" s="1"/>
      <c r="W1162" s="1"/>
      <c r="X1162" s="1"/>
      <c r="Y1162" s="1"/>
      <c r="Z1162" s="1"/>
      <c r="AA1162" s="1" t="s">
        <v>7530</v>
      </c>
      <c r="AB1162" s="1" t="s">
        <v>7531</v>
      </c>
      <c r="AC1162" s="1"/>
      <c r="AD1162" s="1"/>
      <c r="AE1162" s="1"/>
      <c r="AF1162" s="1"/>
      <c r="AG1162" s="1"/>
      <c r="AH1162" s="1"/>
      <c r="AI1162" s="1"/>
      <c r="AJ1162" s="1"/>
      <c r="AK1162" s="1"/>
      <c r="AL1162" s="1"/>
      <c r="AM1162" s="1"/>
      <c r="AN1162" s="1"/>
      <c r="AO1162" s="1" t="s">
        <v>98</v>
      </c>
      <c r="AP1162" s="1" t="s">
        <v>99</v>
      </c>
      <c r="AQ1162" s="1"/>
      <c r="AR1162" s="1"/>
      <c r="AS1162" s="1"/>
      <c r="AT1162" s="1"/>
      <c r="AU1162" s="1">
        <v>2021</v>
      </c>
      <c r="AV1162" s="1"/>
      <c r="AW1162" s="1">
        <v>4</v>
      </c>
      <c r="AX1162" s="1"/>
      <c r="AY1162" s="1"/>
      <c r="AZ1162" s="1"/>
      <c r="BA1162" s="1"/>
      <c r="BB1162" s="1">
        <v>218</v>
      </c>
      <c r="BC1162" s="1">
        <v>223</v>
      </c>
      <c r="BD1162" s="1"/>
      <c r="BE1162" s="1" t="s">
        <v>7532</v>
      </c>
      <c r="BF1162" s="1" t="str">
        <f>HYPERLINK("http://dx.doi.org/10.25750/1995-4301-2021-4-218-223","http://dx.doi.org/10.25750/1995-4301-2021-4-218-223")</f>
        <v>http://dx.doi.org/10.25750/1995-4301-2021-4-218-223</v>
      </c>
      <c r="BG1162" s="1"/>
      <c r="BH1162" s="1"/>
      <c r="BI1162" s="1"/>
      <c r="BJ1162" s="1"/>
      <c r="BK1162" s="1"/>
      <c r="BL1162" s="1"/>
      <c r="BM1162" s="1"/>
      <c r="BN1162" s="1"/>
      <c r="BO1162" s="1"/>
      <c r="BP1162" s="1"/>
      <c r="BQ1162" s="1"/>
      <c r="BR1162" s="1"/>
      <c r="BS1162" s="1" t="s">
        <v>7533</v>
      </c>
      <c r="BT1162" s="1" t="str">
        <f>HYPERLINK("https%3A%2F%2Fwww.webofscience.com%2Fwos%2Fwoscc%2Ffull-record%2FWOS:000755154100031","View Full Record in Web of Science")</f>
        <v>View Full Record in Web of Science</v>
      </c>
      <c r="BU1162" s="1"/>
      <c r="BV1162" s="1"/>
      <c r="BW1162" s="1"/>
    </row>
    <row r="1163" spans="1:75" ht="12.75" customHeight="1" x14ac:dyDescent="0.2">
      <c r="A1163" s="1" t="s">
        <v>72</v>
      </c>
      <c r="B1163" s="1" t="s">
        <v>7534</v>
      </c>
      <c r="C1163" s="1"/>
      <c r="D1163" s="1"/>
      <c r="E1163" s="1"/>
      <c r="F1163" s="1" t="s">
        <v>7535</v>
      </c>
      <c r="G1163" s="1"/>
      <c r="H1163" s="1"/>
      <c r="I1163" s="1" t="s">
        <v>7536</v>
      </c>
      <c r="J1163" s="1" t="s">
        <v>6799</v>
      </c>
      <c r="K1163" s="1"/>
      <c r="L1163" s="1"/>
      <c r="M1163" s="1"/>
      <c r="N1163" s="1"/>
      <c r="O1163" s="1"/>
      <c r="P1163" s="1"/>
      <c r="Q1163" s="1"/>
      <c r="R1163" s="1"/>
      <c r="S1163" s="1"/>
      <c r="T1163" s="1"/>
      <c r="U1163" s="1"/>
      <c r="V1163" s="1"/>
      <c r="W1163" s="1"/>
      <c r="X1163" s="1"/>
      <c r="Y1163" s="1"/>
      <c r="Z1163" s="1"/>
      <c r="AA1163" s="1" t="s">
        <v>7537</v>
      </c>
      <c r="AB1163" s="1" t="s">
        <v>7538</v>
      </c>
      <c r="AC1163" s="1"/>
      <c r="AD1163" s="1"/>
      <c r="AE1163" s="1"/>
      <c r="AF1163" s="1"/>
      <c r="AG1163" s="1"/>
      <c r="AH1163" s="1"/>
      <c r="AI1163" s="1"/>
      <c r="AJ1163" s="1"/>
      <c r="AK1163" s="1"/>
      <c r="AL1163" s="1"/>
      <c r="AM1163" s="1"/>
      <c r="AN1163" s="1"/>
      <c r="AO1163" s="1" t="s">
        <v>6802</v>
      </c>
      <c r="AP1163" s="1" t="s">
        <v>6803</v>
      </c>
      <c r="AQ1163" s="1"/>
      <c r="AR1163" s="1"/>
      <c r="AS1163" s="1"/>
      <c r="AT1163" s="1" t="s">
        <v>7539</v>
      </c>
      <c r="AU1163" s="1">
        <v>2020</v>
      </c>
      <c r="AV1163" s="1">
        <v>156</v>
      </c>
      <c r="AW1163" s="1"/>
      <c r="AX1163" s="1"/>
      <c r="AY1163" s="1"/>
      <c r="AZ1163" s="1"/>
      <c r="BA1163" s="1"/>
      <c r="BB1163" s="1">
        <v>841</v>
      </c>
      <c r="BC1163" s="1">
        <v>850</v>
      </c>
      <c r="BD1163" s="1"/>
      <c r="BE1163" s="1" t="s">
        <v>7540</v>
      </c>
      <c r="BF1163" s="1" t="str">
        <f>HYPERLINK("http://dx.doi.org/10.1016/j.ijbiomac.2020.04.055","http://dx.doi.org/10.1016/j.ijbiomac.2020.04.055")</f>
        <v>http://dx.doi.org/10.1016/j.ijbiomac.2020.04.055</v>
      </c>
      <c r="BG1163" s="1"/>
      <c r="BH1163" s="1"/>
      <c r="BI1163" s="1"/>
      <c r="BJ1163" s="1"/>
      <c r="BK1163" s="1"/>
      <c r="BL1163" s="1"/>
      <c r="BM1163" s="1"/>
      <c r="BN1163" s="1">
        <v>32305368</v>
      </c>
      <c r="BO1163" s="1"/>
      <c r="BP1163" s="1"/>
      <c r="BQ1163" s="1"/>
      <c r="BR1163" s="1"/>
      <c r="BS1163" s="1" t="s">
        <v>7541</v>
      </c>
      <c r="BT1163" s="1" t="str">
        <f>HYPERLINK("https%3A%2F%2Fwww.webofscience.com%2Fwos%2Fwoscc%2Ffull-record%2FWOS:000538104200086","View Full Record in Web of Science")</f>
        <v>View Full Record in Web of Science</v>
      </c>
      <c r="BU1163" s="1"/>
      <c r="BV1163" s="1"/>
      <c r="BW1163" s="1"/>
    </row>
    <row r="1164" spans="1:75" ht="12.75" customHeight="1" x14ac:dyDescent="0.2">
      <c r="A1164" s="1" t="s">
        <v>72</v>
      </c>
      <c r="B1164" s="1" t="s">
        <v>7542</v>
      </c>
      <c r="C1164" s="1"/>
      <c r="D1164" s="1"/>
      <c r="E1164" s="1"/>
      <c r="F1164" s="1" t="s">
        <v>7543</v>
      </c>
      <c r="G1164" s="1"/>
      <c r="H1164" s="1"/>
      <c r="I1164" s="1" t="s">
        <v>7544</v>
      </c>
      <c r="J1164" s="1" t="s">
        <v>7545</v>
      </c>
      <c r="K1164" s="1"/>
      <c r="L1164" s="1"/>
      <c r="M1164" s="1"/>
      <c r="N1164" s="1"/>
      <c r="O1164" s="1"/>
      <c r="P1164" s="1"/>
      <c r="Q1164" s="1"/>
      <c r="R1164" s="1"/>
      <c r="S1164" s="1"/>
      <c r="T1164" s="1"/>
      <c r="U1164" s="1"/>
      <c r="V1164" s="1"/>
      <c r="W1164" s="1"/>
      <c r="X1164" s="1"/>
      <c r="Y1164" s="1"/>
      <c r="Z1164" s="1"/>
      <c r="AA1164" s="1" t="s">
        <v>7546</v>
      </c>
      <c r="AB1164" s="1" t="s">
        <v>7547</v>
      </c>
      <c r="AC1164" s="1"/>
      <c r="AD1164" s="1"/>
      <c r="AE1164" s="1"/>
      <c r="AF1164" s="1"/>
      <c r="AG1164" s="1"/>
      <c r="AH1164" s="1"/>
      <c r="AI1164" s="1"/>
      <c r="AJ1164" s="1"/>
      <c r="AK1164" s="1"/>
      <c r="AL1164" s="1"/>
      <c r="AM1164" s="1"/>
      <c r="AN1164" s="1"/>
      <c r="AO1164" s="1" t="s">
        <v>7548</v>
      </c>
      <c r="AP1164" s="1" t="s">
        <v>7549</v>
      </c>
      <c r="AQ1164" s="1"/>
      <c r="AR1164" s="1"/>
      <c r="AS1164" s="1"/>
      <c r="AT1164" s="1" t="s">
        <v>7550</v>
      </c>
      <c r="AU1164" s="1">
        <v>2020</v>
      </c>
      <c r="AV1164" s="1">
        <v>723</v>
      </c>
      <c r="AW1164" s="1"/>
      <c r="AX1164" s="1"/>
      <c r="AY1164" s="1"/>
      <c r="AZ1164" s="1"/>
      <c r="BA1164" s="1"/>
      <c r="BB1164" s="1"/>
      <c r="BC1164" s="1"/>
      <c r="BD1164" s="1">
        <v>137920</v>
      </c>
      <c r="BE1164" s="1" t="s">
        <v>7551</v>
      </c>
      <c r="BF1164" s="1" t="str">
        <f>HYPERLINK("http://dx.doi.org/10.1016/j.scitotenv.2020.137920","http://dx.doi.org/10.1016/j.scitotenv.2020.137920")</f>
        <v>http://dx.doi.org/10.1016/j.scitotenv.2020.137920</v>
      </c>
      <c r="BG1164" s="1"/>
      <c r="BH1164" s="1"/>
      <c r="BI1164" s="1"/>
      <c r="BJ1164" s="1"/>
      <c r="BK1164" s="1"/>
      <c r="BL1164" s="1"/>
      <c r="BM1164" s="1"/>
      <c r="BN1164" s="1">
        <v>32213403</v>
      </c>
      <c r="BO1164" s="1"/>
      <c r="BP1164" s="1"/>
      <c r="BQ1164" s="1"/>
      <c r="BR1164" s="1"/>
      <c r="BS1164" s="1" t="s">
        <v>7552</v>
      </c>
      <c r="BT1164" s="1" t="str">
        <f>HYPERLINK("https%3A%2F%2Fwww.webofscience.com%2Fwos%2Fwoscc%2Ffull-record%2FWOS:000535465200014","View Full Record in Web of Science")</f>
        <v>View Full Record in Web of Science</v>
      </c>
      <c r="BU1164" s="1"/>
      <c r="BV1164" s="1"/>
      <c r="BW1164" s="1"/>
    </row>
    <row r="1165" spans="1:75" ht="12.75" customHeight="1" x14ac:dyDescent="0.2">
      <c r="A1165" s="1" t="s">
        <v>72</v>
      </c>
      <c r="B1165" s="1" t="s">
        <v>7553</v>
      </c>
      <c r="C1165" s="1"/>
      <c r="D1165" s="1"/>
      <c r="E1165" s="1"/>
      <c r="F1165" s="1" t="s">
        <v>7554</v>
      </c>
      <c r="G1165" s="1"/>
      <c r="H1165" s="1"/>
      <c r="I1165" s="1" t="s">
        <v>7555</v>
      </c>
      <c r="J1165" s="1" t="s">
        <v>95</v>
      </c>
      <c r="K1165" s="1"/>
      <c r="L1165" s="1"/>
      <c r="M1165" s="1"/>
      <c r="N1165" s="1"/>
      <c r="O1165" s="1"/>
      <c r="P1165" s="1"/>
      <c r="Q1165" s="1"/>
      <c r="R1165" s="1"/>
      <c r="S1165" s="1"/>
      <c r="T1165" s="1"/>
      <c r="U1165" s="1"/>
      <c r="V1165" s="1"/>
      <c r="W1165" s="1"/>
      <c r="X1165" s="1"/>
      <c r="Y1165" s="1"/>
      <c r="Z1165" s="1"/>
      <c r="AA1165" s="1" t="s">
        <v>7556</v>
      </c>
      <c r="AB1165" s="1" t="s">
        <v>7557</v>
      </c>
      <c r="AC1165" s="1"/>
      <c r="AD1165" s="1"/>
      <c r="AE1165" s="1"/>
      <c r="AF1165" s="1"/>
      <c r="AG1165" s="1"/>
      <c r="AH1165" s="1"/>
      <c r="AI1165" s="1"/>
      <c r="AJ1165" s="1"/>
      <c r="AK1165" s="1"/>
      <c r="AL1165" s="1"/>
      <c r="AM1165" s="1"/>
      <c r="AN1165" s="1"/>
      <c r="AO1165" s="1" t="s">
        <v>98</v>
      </c>
      <c r="AP1165" s="1" t="s">
        <v>99</v>
      </c>
      <c r="AQ1165" s="1"/>
      <c r="AR1165" s="1"/>
      <c r="AS1165" s="1"/>
      <c r="AT1165" s="1"/>
      <c r="AU1165" s="1">
        <v>2019</v>
      </c>
      <c r="AV1165" s="1"/>
      <c r="AW1165" s="1">
        <v>2</v>
      </c>
      <c r="AX1165" s="1"/>
      <c r="AY1165" s="1"/>
      <c r="AZ1165" s="1"/>
      <c r="BA1165" s="1"/>
      <c r="BB1165" s="1">
        <v>44</v>
      </c>
      <c r="BC1165" s="1">
        <v>52</v>
      </c>
      <c r="BD1165" s="1"/>
      <c r="BE1165" s="1" t="s">
        <v>7558</v>
      </c>
      <c r="BF1165" s="1" t="str">
        <f>HYPERLINK("http://dx.doi.org/10.25750/1995-4301-2019-2-044-052","http://dx.doi.org/10.25750/1995-4301-2019-2-044-052")</f>
        <v>http://dx.doi.org/10.25750/1995-4301-2019-2-044-052</v>
      </c>
      <c r="BG1165" s="1"/>
      <c r="BH1165" s="1"/>
      <c r="BI1165" s="1"/>
      <c r="BJ1165" s="1"/>
      <c r="BK1165" s="1"/>
      <c r="BL1165" s="1"/>
      <c r="BM1165" s="1"/>
      <c r="BN1165" s="1"/>
      <c r="BO1165" s="1"/>
      <c r="BP1165" s="1"/>
      <c r="BQ1165" s="1"/>
      <c r="BR1165" s="1"/>
      <c r="BS1165" s="1" t="s">
        <v>7559</v>
      </c>
      <c r="BT1165" s="1" t="str">
        <f>HYPERLINK("https%3A%2F%2Fwww.webofscience.com%2Fwos%2Fwoscc%2Ffull-record%2FWOS:000477826000005","View Full Record in Web of Science")</f>
        <v>View Full Record in Web of Science</v>
      </c>
      <c r="BU1165" s="1"/>
      <c r="BV1165" s="1"/>
      <c r="BW1165" s="1"/>
    </row>
    <row r="1166" spans="1:75" ht="12.75" customHeight="1" x14ac:dyDescent="0.2">
      <c r="A1166" s="1" t="s">
        <v>72</v>
      </c>
      <c r="B1166" s="1" t="s">
        <v>7560</v>
      </c>
      <c r="C1166" s="1"/>
      <c r="D1166" s="1"/>
      <c r="E1166" s="1"/>
      <c r="F1166" s="1" t="s">
        <v>7561</v>
      </c>
      <c r="G1166" s="1"/>
      <c r="H1166" s="1"/>
      <c r="I1166" s="1" t="s">
        <v>7562</v>
      </c>
      <c r="J1166" s="1" t="s">
        <v>325</v>
      </c>
      <c r="K1166" s="1"/>
      <c r="L1166" s="1"/>
      <c r="M1166" s="1"/>
      <c r="N1166" s="1"/>
      <c r="O1166" s="1"/>
      <c r="P1166" s="1"/>
      <c r="Q1166" s="1"/>
      <c r="R1166" s="1"/>
      <c r="S1166" s="1"/>
      <c r="T1166" s="1"/>
      <c r="U1166" s="1"/>
      <c r="V1166" s="1"/>
      <c r="W1166" s="1"/>
      <c r="X1166" s="1"/>
      <c r="Y1166" s="1"/>
      <c r="Z1166" s="1"/>
      <c r="AA1166" s="1" t="s">
        <v>6509</v>
      </c>
      <c r="AB1166" s="1" t="s">
        <v>6510</v>
      </c>
      <c r="AC1166" s="1"/>
      <c r="AD1166" s="1"/>
      <c r="AE1166" s="1"/>
      <c r="AF1166" s="1"/>
      <c r="AG1166" s="1"/>
      <c r="AH1166" s="1"/>
      <c r="AI1166" s="1"/>
      <c r="AJ1166" s="1"/>
      <c r="AK1166" s="1"/>
      <c r="AL1166" s="1"/>
      <c r="AM1166" s="1"/>
      <c r="AN1166" s="1"/>
      <c r="AO1166" s="1" t="s">
        <v>328</v>
      </c>
      <c r="AP1166" s="1" t="s">
        <v>329</v>
      </c>
      <c r="AQ1166" s="1"/>
      <c r="AR1166" s="1"/>
      <c r="AS1166" s="1"/>
      <c r="AT1166" s="1"/>
      <c r="AU1166" s="1">
        <v>2019</v>
      </c>
      <c r="AV1166" s="1">
        <v>13</v>
      </c>
      <c r="AW1166" s="1">
        <v>4</v>
      </c>
      <c r="AX1166" s="1"/>
      <c r="AY1166" s="1"/>
      <c r="AZ1166" s="1"/>
      <c r="BA1166" s="1"/>
      <c r="BB1166" s="1">
        <v>915</v>
      </c>
      <c r="BC1166" s="1">
        <v>929</v>
      </c>
      <c r="BD1166" s="1"/>
      <c r="BE1166" s="1" t="s">
        <v>7563</v>
      </c>
      <c r="BF1166" s="1" t="str">
        <f>HYPERLINK("http://dx.doi.org/10.24874/IJQR13.04-12","http://dx.doi.org/10.24874/IJQR13.04-12")</f>
        <v>http://dx.doi.org/10.24874/IJQR13.04-12</v>
      </c>
      <c r="BG1166" s="1"/>
      <c r="BH1166" s="1"/>
      <c r="BI1166" s="1"/>
      <c r="BJ1166" s="1"/>
      <c r="BK1166" s="1"/>
      <c r="BL1166" s="1"/>
      <c r="BM1166" s="1"/>
      <c r="BN1166" s="1"/>
      <c r="BO1166" s="1"/>
      <c r="BP1166" s="1"/>
      <c r="BQ1166" s="1"/>
      <c r="BR1166" s="1"/>
      <c r="BS1166" s="1" t="s">
        <v>7564</v>
      </c>
      <c r="BT1166" s="1" t="str">
        <f>HYPERLINK("https%3A%2F%2Fwww.webofscience.com%2Fwos%2Fwoscc%2Ffull-record%2FWOS:000498886400012","View Full Record in Web of Science")</f>
        <v>View Full Record in Web of Science</v>
      </c>
      <c r="BU1166" s="1"/>
      <c r="BV1166" s="1"/>
      <c r="BW1166" s="1"/>
    </row>
    <row r="1167" spans="1:75" ht="12.75" customHeight="1" x14ac:dyDescent="0.2">
      <c r="A1167" s="1" t="s">
        <v>72</v>
      </c>
      <c r="B1167" s="1" t="s">
        <v>7565</v>
      </c>
      <c r="C1167" s="1"/>
      <c r="D1167" s="1"/>
      <c r="E1167" s="1"/>
      <c r="F1167" s="1" t="s">
        <v>7566</v>
      </c>
      <c r="G1167" s="1"/>
      <c r="H1167" s="1"/>
      <c r="I1167" s="1" t="s">
        <v>7567</v>
      </c>
      <c r="J1167" s="1" t="s">
        <v>95</v>
      </c>
      <c r="K1167" s="1"/>
      <c r="L1167" s="1"/>
      <c r="M1167" s="1"/>
      <c r="N1167" s="1"/>
      <c r="O1167" s="1"/>
      <c r="P1167" s="1"/>
      <c r="Q1167" s="1"/>
      <c r="R1167" s="1"/>
      <c r="S1167" s="1"/>
      <c r="T1167" s="1"/>
      <c r="U1167" s="1"/>
      <c r="V1167" s="1"/>
      <c r="W1167" s="1"/>
      <c r="X1167" s="1"/>
      <c r="Y1167" s="1"/>
      <c r="Z1167" s="1"/>
      <c r="AA1167" s="1" t="s">
        <v>7568</v>
      </c>
      <c r="AB1167" s="1" t="s">
        <v>7569</v>
      </c>
      <c r="AC1167" s="1"/>
      <c r="AD1167" s="1"/>
      <c r="AE1167" s="1"/>
      <c r="AF1167" s="1"/>
      <c r="AG1167" s="1"/>
      <c r="AH1167" s="1"/>
      <c r="AI1167" s="1"/>
      <c r="AJ1167" s="1"/>
      <c r="AK1167" s="1"/>
      <c r="AL1167" s="1"/>
      <c r="AM1167" s="1"/>
      <c r="AN1167" s="1"/>
      <c r="AO1167" s="1" t="s">
        <v>98</v>
      </c>
      <c r="AP1167" s="1" t="s">
        <v>99</v>
      </c>
      <c r="AQ1167" s="1"/>
      <c r="AR1167" s="1"/>
      <c r="AS1167" s="1"/>
      <c r="AT1167" s="1"/>
      <c r="AU1167" s="1">
        <v>2019</v>
      </c>
      <c r="AV1167" s="1"/>
      <c r="AW1167" s="1">
        <v>1</v>
      </c>
      <c r="AX1167" s="1"/>
      <c r="AY1167" s="1"/>
      <c r="AZ1167" s="1"/>
      <c r="BA1167" s="1"/>
      <c r="BB1167" s="1">
        <v>102</v>
      </c>
      <c r="BC1167" s="1" t="s">
        <v>107</v>
      </c>
      <c r="BD1167" s="1"/>
      <c r="BE1167" s="1" t="s">
        <v>7570</v>
      </c>
      <c r="BF1167" s="1" t="str">
        <f>HYPERLINK("http://dx.doi.org/10.25750/1995-4301-2019-1-102-110","http://dx.doi.org/10.25750/1995-4301-2019-1-102-110")</f>
        <v>http://dx.doi.org/10.25750/1995-4301-2019-1-102-110</v>
      </c>
      <c r="BG1167" s="1"/>
      <c r="BH1167" s="1"/>
      <c r="BI1167" s="1"/>
      <c r="BJ1167" s="1"/>
      <c r="BK1167" s="1"/>
      <c r="BL1167" s="1"/>
      <c r="BM1167" s="1"/>
      <c r="BN1167" s="1"/>
      <c r="BO1167" s="1"/>
      <c r="BP1167" s="1"/>
      <c r="BQ1167" s="1"/>
      <c r="BR1167" s="1"/>
      <c r="BS1167" s="1" t="s">
        <v>7571</v>
      </c>
      <c r="BT1167" s="1" t="str">
        <f>HYPERLINK("https%3A%2F%2Fwww.webofscience.com%2Fwos%2Fwoscc%2Ffull-record%2FWOS:000468565900015","View Full Record in Web of Science")</f>
        <v>View Full Record in Web of Science</v>
      </c>
      <c r="BU1167" s="1"/>
      <c r="BV1167" s="1"/>
      <c r="BW1167" s="1"/>
    </row>
    <row r="1168" spans="1:75" ht="12.75" customHeight="1" x14ac:dyDescent="0.2">
      <c r="A1168" s="1" t="s">
        <v>72</v>
      </c>
      <c r="B1168" s="1" t="s">
        <v>7572</v>
      </c>
      <c r="C1168" s="1"/>
      <c r="D1168" s="1"/>
      <c r="E1168" s="1"/>
      <c r="F1168" s="1" t="s">
        <v>7573</v>
      </c>
      <c r="G1168" s="1"/>
      <c r="H1168" s="1"/>
      <c r="I1168" s="1" t="s">
        <v>7574</v>
      </c>
      <c r="J1168" s="1" t="s">
        <v>5139</v>
      </c>
      <c r="K1168" s="1"/>
      <c r="L1168" s="1"/>
      <c r="M1168" s="1"/>
      <c r="N1168" s="1"/>
      <c r="O1168" s="1"/>
      <c r="P1168" s="1"/>
      <c r="Q1168" s="1"/>
      <c r="R1168" s="1"/>
      <c r="S1168" s="1"/>
      <c r="T1168" s="1"/>
      <c r="U1168" s="1"/>
      <c r="V1168" s="1"/>
      <c r="W1168" s="1"/>
      <c r="X1168" s="1"/>
      <c r="Y1168" s="1"/>
      <c r="Z1168" s="1"/>
      <c r="AA1168" s="1" t="s">
        <v>7575</v>
      </c>
      <c r="AB1168" s="1" t="s">
        <v>7576</v>
      </c>
      <c r="AC1168" s="1"/>
      <c r="AD1168" s="1"/>
      <c r="AE1168" s="1"/>
      <c r="AF1168" s="1"/>
      <c r="AG1168" s="1"/>
      <c r="AH1168" s="1"/>
      <c r="AI1168" s="1"/>
      <c r="AJ1168" s="1"/>
      <c r="AK1168" s="1"/>
      <c r="AL1168" s="1"/>
      <c r="AM1168" s="1"/>
      <c r="AN1168" s="1"/>
      <c r="AO1168" s="1" t="s">
        <v>5142</v>
      </c>
      <c r="AP1168" s="1" t="s">
        <v>5143</v>
      </c>
      <c r="AQ1168" s="1"/>
      <c r="AR1168" s="1"/>
      <c r="AS1168" s="1"/>
      <c r="AT1168" s="1" t="s">
        <v>125</v>
      </c>
      <c r="AU1168" s="1">
        <v>2017</v>
      </c>
      <c r="AV1168" s="1">
        <v>13</v>
      </c>
      <c r="AW1168" s="1">
        <v>7</v>
      </c>
      <c r="AX1168" s="1"/>
      <c r="AY1168" s="1"/>
      <c r="AZ1168" s="1"/>
      <c r="BA1168" s="1"/>
      <c r="BB1168" s="1">
        <v>3539</v>
      </c>
      <c r="BC1168" s="1">
        <v>3552</v>
      </c>
      <c r="BD1168" s="1"/>
      <c r="BE1168" s="1" t="s">
        <v>7577</v>
      </c>
      <c r="BF1168" s="1" t="str">
        <f>HYPERLINK("http://dx.doi.org/10.12973/eurasia.2017.00743a","http://dx.doi.org/10.12973/eurasia.2017.00743a")</f>
        <v>http://dx.doi.org/10.12973/eurasia.2017.00743a</v>
      </c>
      <c r="BG1168" s="1"/>
      <c r="BH1168" s="1"/>
      <c r="BI1168" s="1"/>
      <c r="BJ1168" s="1"/>
      <c r="BK1168" s="1"/>
      <c r="BL1168" s="1"/>
      <c r="BM1168" s="1"/>
      <c r="BN1168" s="1"/>
      <c r="BO1168" s="1"/>
      <c r="BP1168" s="1"/>
      <c r="BQ1168" s="1"/>
      <c r="BR1168" s="1"/>
      <c r="BS1168" s="1" t="s">
        <v>7578</v>
      </c>
      <c r="BT1168" s="1" t="str">
        <f>HYPERLINK("https%3A%2F%2Fwww.webofscience.com%2Fwos%2Fwoscc%2Ffull-record%2FWOS:000404607800043","View Full Record in Web of Science")</f>
        <v>View Full Record in Web of Science</v>
      </c>
      <c r="BU1168" s="1"/>
      <c r="BV1168" s="1"/>
      <c r="BW1168" s="1"/>
    </row>
    <row r="1169" spans="1:75" ht="12.75" customHeight="1" x14ac:dyDescent="0.2">
      <c r="A1169" s="1" t="s">
        <v>72</v>
      </c>
      <c r="B1169" s="1" t="s">
        <v>7579</v>
      </c>
      <c r="C1169" s="1"/>
      <c r="D1169" s="1"/>
      <c r="E1169" s="1"/>
      <c r="F1169" s="1" t="s">
        <v>7580</v>
      </c>
      <c r="G1169" s="1"/>
      <c r="H1169" s="1"/>
      <c r="I1169" s="1" t="s">
        <v>7581</v>
      </c>
      <c r="J1169" s="1" t="s">
        <v>95</v>
      </c>
      <c r="K1169" s="1"/>
      <c r="L1169" s="1"/>
      <c r="M1169" s="1"/>
      <c r="N1169" s="1"/>
      <c r="O1169" s="1"/>
      <c r="P1169" s="1"/>
      <c r="Q1169" s="1"/>
      <c r="R1169" s="1"/>
      <c r="S1169" s="1"/>
      <c r="T1169" s="1"/>
      <c r="U1169" s="1"/>
      <c r="V1169" s="1"/>
      <c r="W1169" s="1"/>
      <c r="X1169" s="1"/>
      <c r="Y1169" s="1"/>
      <c r="Z1169" s="1"/>
      <c r="AA1169" s="1" t="s">
        <v>7582</v>
      </c>
      <c r="AB1169" s="1"/>
      <c r="AC1169" s="1"/>
      <c r="AD1169" s="1"/>
      <c r="AE1169" s="1"/>
      <c r="AF1169" s="1"/>
      <c r="AG1169" s="1"/>
      <c r="AH1169" s="1"/>
      <c r="AI1169" s="1"/>
      <c r="AJ1169" s="1"/>
      <c r="AK1169" s="1"/>
      <c r="AL1169" s="1"/>
      <c r="AM1169" s="1"/>
      <c r="AN1169" s="1"/>
      <c r="AO1169" s="1" t="s">
        <v>98</v>
      </c>
      <c r="AP1169" s="1" t="s">
        <v>99</v>
      </c>
      <c r="AQ1169" s="1"/>
      <c r="AR1169" s="1"/>
      <c r="AS1169" s="1"/>
      <c r="AT1169" s="1"/>
      <c r="AU1169" s="1">
        <v>2022</v>
      </c>
      <c r="AV1169" s="1"/>
      <c r="AW1169" s="1">
        <v>2</v>
      </c>
      <c r="AX1169" s="1"/>
      <c r="AY1169" s="1"/>
      <c r="AZ1169" s="1"/>
      <c r="BA1169" s="1"/>
      <c r="BB1169" s="1">
        <v>209</v>
      </c>
      <c r="BC1169" s="1">
        <v>215</v>
      </c>
      <c r="BD1169" s="1"/>
      <c r="BE1169" s="1" t="s">
        <v>7583</v>
      </c>
      <c r="BF1169" s="1" t="str">
        <f>HYPERLINK("http://dx.doi.org/10.5750/1995-4301-2022-2-209-215","http://dx.doi.org/10.5750/1995-4301-2022-2-209-215")</f>
        <v>http://dx.doi.org/10.5750/1995-4301-2022-2-209-215</v>
      </c>
      <c r="BG1169" s="1"/>
      <c r="BH1169" s="1"/>
      <c r="BI1169" s="1"/>
      <c r="BJ1169" s="1"/>
      <c r="BK1169" s="1"/>
      <c r="BL1169" s="1"/>
      <c r="BM1169" s="1"/>
      <c r="BN1169" s="1"/>
      <c r="BO1169" s="1"/>
      <c r="BP1169" s="1"/>
      <c r="BQ1169" s="1"/>
      <c r="BR1169" s="1"/>
      <c r="BS1169" s="1" t="s">
        <v>7584</v>
      </c>
      <c r="BT1169" s="1" t="str">
        <f>HYPERLINK("https%3A%2F%2Fwww.webofscience.com%2Fwos%2Fwoscc%2Ffull-record%2FWOS:000820802000026","View Full Record in Web of Science")</f>
        <v>View Full Record in Web of Science</v>
      </c>
      <c r="BU1169" s="1"/>
      <c r="BV1169" s="1"/>
      <c r="BW1169" s="1"/>
    </row>
    <row r="1170" spans="1:75" ht="12.75" customHeight="1" x14ac:dyDescent="0.2">
      <c r="A1170" s="1" t="s">
        <v>72</v>
      </c>
      <c r="B1170" s="1" t="s">
        <v>7585</v>
      </c>
      <c r="C1170" s="1"/>
      <c r="D1170" s="1"/>
      <c r="E1170" s="1"/>
      <c r="F1170" s="1" t="s">
        <v>7586</v>
      </c>
      <c r="G1170" s="1"/>
      <c r="H1170" s="1"/>
      <c r="I1170" s="1" t="s">
        <v>7587</v>
      </c>
      <c r="J1170" s="1" t="s">
        <v>7588</v>
      </c>
      <c r="K1170" s="1"/>
      <c r="L1170" s="1"/>
      <c r="M1170" s="1"/>
      <c r="N1170" s="1"/>
      <c r="O1170" s="1"/>
      <c r="P1170" s="1"/>
      <c r="Q1170" s="1"/>
      <c r="R1170" s="1"/>
      <c r="S1170" s="1"/>
      <c r="T1170" s="1"/>
      <c r="U1170" s="1"/>
      <c r="V1170" s="1"/>
      <c r="W1170" s="1"/>
      <c r="X1170" s="1"/>
      <c r="Y1170" s="1"/>
      <c r="Z1170" s="1"/>
      <c r="AA1170" s="1" t="s">
        <v>7589</v>
      </c>
      <c r="AB1170" s="1" t="s">
        <v>7590</v>
      </c>
      <c r="AC1170" s="1"/>
      <c r="AD1170" s="1"/>
      <c r="AE1170" s="1"/>
      <c r="AF1170" s="1"/>
      <c r="AG1170" s="1"/>
      <c r="AH1170" s="1"/>
      <c r="AI1170" s="1"/>
      <c r="AJ1170" s="1"/>
      <c r="AK1170" s="1"/>
      <c r="AL1170" s="1"/>
      <c r="AM1170" s="1"/>
      <c r="AN1170" s="1"/>
      <c r="AO1170" s="1" t="s">
        <v>7591</v>
      </c>
      <c r="AP1170" s="1" t="s">
        <v>7592</v>
      </c>
      <c r="AQ1170" s="1"/>
      <c r="AR1170" s="1"/>
      <c r="AS1170" s="1"/>
      <c r="AT1170" s="1" t="s">
        <v>655</v>
      </c>
      <c r="AU1170" s="1">
        <v>2022</v>
      </c>
      <c r="AV1170" s="1">
        <v>176</v>
      </c>
      <c r="AW1170" s="1"/>
      <c r="AX1170" s="1"/>
      <c r="AY1170" s="1"/>
      <c r="AZ1170" s="1"/>
      <c r="BA1170" s="1"/>
      <c r="BB1170" s="1"/>
      <c r="BC1170" s="1"/>
      <c r="BD1170" s="1">
        <v>114382</v>
      </c>
      <c r="BE1170" s="1" t="s">
        <v>7593</v>
      </c>
      <c r="BF1170" s="1" t="str">
        <f>HYPERLINK("http://dx.doi.org/10.1016/j.indcrop.2021.114382","http://dx.doi.org/10.1016/j.indcrop.2021.114382")</f>
        <v>http://dx.doi.org/10.1016/j.indcrop.2021.114382</v>
      </c>
      <c r="BG1170" s="1"/>
      <c r="BH1170" s="1" t="s">
        <v>7594</v>
      </c>
      <c r="BI1170" s="1"/>
      <c r="BJ1170" s="1"/>
      <c r="BK1170" s="1"/>
      <c r="BL1170" s="1"/>
      <c r="BM1170" s="1"/>
      <c r="BN1170" s="1"/>
      <c r="BO1170" s="1"/>
      <c r="BP1170" s="1"/>
      <c r="BQ1170" s="1"/>
      <c r="BR1170" s="1"/>
      <c r="BS1170" s="1" t="s">
        <v>7595</v>
      </c>
      <c r="BT1170" s="1" t="str">
        <f>HYPERLINK("https%3A%2F%2Fwww.webofscience.com%2Fwos%2Fwoscc%2Ffull-record%2FWOS:000736977300004","View Full Record in Web of Science")</f>
        <v>View Full Record in Web of Science</v>
      </c>
      <c r="BU1170" s="1"/>
      <c r="BV1170" s="1"/>
      <c r="BW1170" s="1"/>
    </row>
    <row r="1171" spans="1:75" ht="12.75" customHeight="1" x14ac:dyDescent="0.2">
      <c r="A1171" s="1" t="s">
        <v>147</v>
      </c>
      <c r="B1171" s="1" t="s">
        <v>7596</v>
      </c>
      <c r="C1171" s="1"/>
      <c r="D1171" s="1"/>
      <c r="E1171" s="1" t="s">
        <v>210</v>
      </c>
      <c r="F1171" s="1" t="s">
        <v>7597</v>
      </c>
      <c r="G1171" s="1"/>
      <c r="H1171" s="1"/>
      <c r="I1171" s="1" t="s">
        <v>7598</v>
      </c>
      <c r="J1171" s="1" t="s">
        <v>5413</v>
      </c>
      <c r="K1171" s="1" t="s">
        <v>2114</v>
      </c>
      <c r="L1171" s="1"/>
      <c r="M1171" s="1"/>
      <c r="N1171" s="1"/>
      <c r="O1171" s="1" t="s">
        <v>5414</v>
      </c>
      <c r="P1171" s="1" t="s">
        <v>5415</v>
      </c>
      <c r="Q1171" s="1" t="s">
        <v>5416</v>
      </c>
      <c r="R1171" s="1" t="s">
        <v>210</v>
      </c>
      <c r="S1171" s="1" t="s">
        <v>5417</v>
      </c>
      <c r="T1171" s="1"/>
      <c r="U1171" s="1"/>
      <c r="V1171" s="1"/>
      <c r="W1171" s="1"/>
      <c r="X1171" s="1"/>
      <c r="Y1171" s="1"/>
      <c r="Z1171" s="1"/>
      <c r="AA1171" s="1"/>
      <c r="AB1171" s="1" t="s">
        <v>7599</v>
      </c>
      <c r="AC1171" s="1"/>
      <c r="AD1171" s="1"/>
      <c r="AE1171" s="1"/>
      <c r="AF1171" s="1"/>
      <c r="AG1171" s="1"/>
      <c r="AH1171" s="1"/>
      <c r="AI1171" s="1"/>
      <c r="AJ1171" s="1"/>
      <c r="AK1171" s="1"/>
      <c r="AL1171" s="1"/>
      <c r="AM1171" s="1"/>
      <c r="AN1171" s="1"/>
      <c r="AO1171" s="1" t="s">
        <v>2122</v>
      </c>
      <c r="AP1171" s="1"/>
      <c r="AQ1171" s="1" t="s">
        <v>5420</v>
      </c>
      <c r="AR1171" s="1"/>
      <c r="AS1171" s="1"/>
      <c r="AT1171" s="1"/>
      <c r="AU1171" s="1">
        <v>2021</v>
      </c>
      <c r="AV1171" s="1"/>
      <c r="AW1171" s="1"/>
      <c r="AX1171" s="1"/>
      <c r="AY1171" s="1"/>
      <c r="AZ1171" s="1"/>
      <c r="BA1171" s="1"/>
      <c r="BB1171" s="1">
        <v>1275</v>
      </c>
      <c r="BC1171" s="1">
        <v>1280</v>
      </c>
      <c r="BD1171" s="1"/>
      <c r="BE1171" s="1" t="s">
        <v>7600</v>
      </c>
      <c r="BF1171" s="1" t="str">
        <f>HYPERLINK("http://dx.doi.org/10.1109/ElConRus51938.2021.9396276","http://dx.doi.org/10.1109/ElConRus51938.2021.9396276")</f>
        <v>http://dx.doi.org/10.1109/ElConRus51938.2021.9396276</v>
      </c>
      <c r="BG1171" s="1"/>
      <c r="BH1171" s="1"/>
      <c r="BI1171" s="1"/>
      <c r="BJ1171" s="1"/>
      <c r="BK1171" s="1"/>
      <c r="BL1171" s="1"/>
      <c r="BM1171" s="1"/>
      <c r="BN1171" s="1"/>
      <c r="BO1171" s="1"/>
      <c r="BP1171" s="1"/>
      <c r="BQ1171" s="1"/>
      <c r="BR1171" s="1"/>
      <c r="BS1171" s="1" t="s">
        <v>7601</v>
      </c>
      <c r="BT1171" s="1" t="str">
        <f>HYPERLINK("https%3A%2F%2Fwww.webofscience.com%2Fwos%2Fwoscc%2Ffull-record%2FWOS:000669709801069","View Full Record in Web of Science")</f>
        <v>View Full Record in Web of Science</v>
      </c>
      <c r="BU1171" s="1"/>
      <c r="BV1171" s="1"/>
      <c r="BW1171" s="1"/>
    </row>
    <row r="1172" spans="1:75" ht="12.75" customHeight="1" x14ac:dyDescent="0.2">
      <c r="A1172" s="1" t="s">
        <v>72</v>
      </c>
      <c r="B1172" s="1" t="s">
        <v>378</v>
      </c>
      <c r="C1172" s="1"/>
      <c r="D1172" s="1"/>
      <c r="E1172" s="1"/>
      <c r="F1172" s="1" t="s">
        <v>1226</v>
      </c>
      <c r="G1172" s="1"/>
      <c r="H1172" s="1"/>
      <c r="I1172" s="1" t="s">
        <v>7602</v>
      </c>
      <c r="J1172" s="1" t="s">
        <v>6678</v>
      </c>
      <c r="K1172" s="1"/>
      <c r="L1172" s="1"/>
      <c r="M1172" s="1"/>
      <c r="N1172" s="1"/>
      <c r="O1172" s="1"/>
      <c r="P1172" s="1"/>
      <c r="Q1172" s="1"/>
      <c r="R1172" s="1"/>
      <c r="S1172" s="1"/>
      <c r="T1172" s="1"/>
      <c r="U1172" s="1"/>
      <c r="V1172" s="1"/>
      <c r="W1172" s="1"/>
      <c r="X1172" s="1"/>
      <c r="Y1172" s="1"/>
      <c r="Z1172" s="1"/>
      <c r="AA1172" s="1" t="s">
        <v>553</v>
      </c>
      <c r="AB1172" s="1" t="s">
        <v>554</v>
      </c>
      <c r="AC1172" s="1"/>
      <c r="AD1172" s="1"/>
      <c r="AE1172" s="1"/>
      <c r="AF1172" s="1"/>
      <c r="AG1172" s="1"/>
      <c r="AH1172" s="1"/>
      <c r="AI1172" s="1"/>
      <c r="AJ1172" s="1"/>
      <c r="AK1172" s="1"/>
      <c r="AL1172" s="1"/>
      <c r="AM1172" s="1"/>
      <c r="AN1172" s="1"/>
      <c r="AO1172" s="1" t="s">
        <v>6679</v>
      </c>
      <c r="AP1172" s="1"/>
      <c r="AQ1172" s="1"/>
      <c r="AR1172" s="1"/>
      <c r="AS1172" s="1"/>
      <c r="AT1172" s="1"/>
      <c r="AU1172" s="1">
        <v>2021</v>
      </c>
      <c r="AV1172" s="1">
        <v>12</v>
      </c>
      <c r="AW1172" s="1">
        <v>6</v>
      </c>
      <c r="AX1172" s="1"/>
      <c r="AY1172" s="1"/>
      <c r="AZ1172" s="1"/>
      <c r="BA1172" s="1"/>
      <c r="BB1172" s="1">
        <v>15</v>
      </c>
      <c r="BC1172" s="1">
        <v>18</v>
      </c>
      <c r="BD1172" s="1"/>
      <c r="BE1172" s="1" t="s">
        <v>7603</v>
      </c>
      <c r="BF1172" s="1" t="str">
        <f>HYPERLINK("http://dx.doi.org/10.51847/oCGvk8tmjd","http://dx.doi.org/10.51847/oCGvk8tmjd")</f>
        <v>http://dx.doi.org/10.51847/oCGvk8tmjd</v>
      </c>
      <c r="BG1172" s="1"/>
      <c r="BH1172" s="1"/>
      <c r="BI1172" s="1"/>
      <c r="BJ1172" s="1"/>
      <c r="BK1172" s="1"/>
      <c r="BL1172" s="1"/>
      <c r="BM1172" s="1"/>
      <c r="BN1172" s="1"/>
      <c r="BO1172" s="1"/>
      <c r="BP1172" s="1"/>
      <c r="BQ1172" s="1"/>
      <c r="BR1172" s="1"/>
      <c r="BS1172" s="1" t="s">
        <v>7604</v>
      </c>
      <c r="BT1172" s="1" t="str">
        <f>HYPERLINK("https%3A%2F%2Fwww.webofscience.com%2Fwos%2Fwoscc%2Ffull-record%2FWOS:000741358800004","View Full Record in Web of Science")</f>
        <v>View Full Record in Web of Science</v>
      </c>
      <c r="BU1172" s="1"/>
      <c r="BV1172" s="1"/>
      <c r="BW1172" s="1"/>
    </row>
    <row r="1173" spans="1:75" ht="12.75" customHeight="1" x14ac:dyDescent="0.2">
      <c r="A1173" s="1" t="s">
        <v>72</v>
      </c>
      <c r="B1173" s="1" t="s">
        <v>7605</v>
      </c>
      <c r="C1173" s="1"/>
      <c r="D1173" s="1"/>
      <c r="E1173" s="1"/>
      <c r="F1173" s="1" t="s">
        <v>7606</v>
      </c>
      <c r="G1173" s="1"/>
      <c r="H1173" s="1"/>
      <c r="I1173" s="1" t="s">
        <v>7607</v>
      </c>
      <c r="J1173" s="1" t="s">
        <v>7608</v>
      </c>
      <c r="K1173" s="1"/>
      <c r="L1173" s="1"/>
      <c r="M1173" s="1"/>
      <c r="N1173" s="1"/>
      <c r="O1173" s="1"/>
      <c r="P1173" s="1"/>
      <c r="Q1173" s="1"/>
      <c r="R1173" s="1"/>
      <c r="S1173" s="1"/>
      <c r="T1173" s="1"/>
      <c r="U1173" s="1"/>
      <c r="V1173" s="1"/>
      <c r="W1173" s="1"/>
      <c r="X1173" s="1"/>
      <c r="Y1173" s="1"/>
      <c r="Z1173" s="1"/>
      <c r="AA1173" s="1" t="s">
        <v>7609</v>
      </c>
      <c r="AB1173" s="1" t="s">
        <v>7610</v>
      </c>
      <c r="AC1173" s="1"/>
      <c r="AD1173" s="1"/>
      <c r="AE1173" s="1"/>
      <c r="AF1173" s="1"/>
      <c r="AG1173" s="1"/>
      <c r="AH1173" s="1"/>
      <c r="AI1173" s="1"/>
      <c r="AJ1173" s="1"/>
      <c r="AK1173" s="1"/>
      <c r="AL1173" s="1"/>
      <c r="AM1173" s="1"/>
      <c r="AN1173" s="1"/>
      <c r="AO1173" s="1" t="s">
        <v>7611</v>
      </c>
      <c r="AP1173" s="1" t="s">
        <v>7612</v>
      </c>
      <c r="AQ1173" s="1"/>
      <c r="AR1173" s="1"/>
      <c r="AS1173" s="1"/>
      <c r="AT1173" s="1" t="s">
        <v>1167</v>
      </c>
      <c r="AU1173" s="1">
        <v>2020</v>
      </c>
      <c r="AV1173" s="1">
        <v>168</v>
      </c>
      <c r="AW1173" s="1"/>
      <c r="AX1173" s="1"/>
      <c r="AY1173" s="1"/>
      <c r="AZ1173" s="1"/>
      <c r="BA1173" s="1"/>
      <c r="BB1173" s="1"/>
      <c r="BC1173" s="1"/>
      <c r="BD1173" s="1">
        <v>110537</v>
      </c>
      <c r="BE1173" s="1" t="s">
        <v>7613</v>
      </c>
      <c r="BF1173" s="1" t="str">
        <f>HYPERLINK("http://dx.doi.org/10.1016/j.matchar.2020.110537","http://dx.doi.org/10.1016/j.matchar.2020.110537")</f>
        <v>http://dx.doi.org/10.1016/j.matchar.2020.110537</v>
      </c>
      <c r="BG1173" s="1"/>
      <c r="BH1173" s="1"/>
      <c r="BI1173" s="1"/>
      <c r="BJ1173" s="1"/>
      <c r="BK1173" s="1"/>
      <c r="BL1173" s="1"/>
      <c r="BM1173" s="1"/>
      <c r="BN1173" s="1"/>
      <c r="BO1173" s="1"/>
      <c r="BP1173" s="1"/>
      <c r="BQ1173" s="1"/>
      <c r="BR1173" s="1"/>
      <c r="BS1173" s="1" t="s">
        <v>7614</v>
      </c>
      <c r="BT1173" s="1" t="str">
        <f>HYPERLINK("https%3A%2F%2Fwww.webofscience.com%2Fwos%2Fwoscc%2Ffull-record%2FWOS:000571812800004","View Full Record in Web of Science")</f>
        <v>View Full Record in Web of Science</v>
      </c>
      <c r="BU1173" s="1"/>
      <c r="BV1173" s="1"/>
      <c r="BW1173" s="1"/>
    </row>
    <row r="1174" spans="1:75" ht="12.75" customHeight="1" x14ac:dyDescent="0.2">
      <c r="A1174" s="1" t="s">
        <v>72</v>
      </c>
      <c r="B1174" s="1" t="s">
        <v>7615</v>
      </c>
      <c r="C1174" s="1"/>
      <c r="D1174" s="1"/>
      <c r="E1174" s="1"/>
      <c r="F1174" s="1" t="s">
        <v>7616</v>
      </c>
      <c r="G1174" s="1"/>
      <c r="H1174" s="1"/>
      <c r="I1174" s="1" t="s">
        <v>7617</v>
      </c>
      <c r="J1174" s="1" t="s">
        <v>335</v>
      </c>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t="s">
        <v>337</v>
      </c>
      <c r="AP1174" s="1"/>
      <c r="AQ1174" s="1"/>
      <c r="AR1174" s="1"/>
      <c r="AS1174" s="1"/>
      <c r="AT1174" s="1" t="s">
        <v>338</v>
      </c>
      <c r="AU1174" s="1">
        <v>2020</v>
      </c>
      <c r="AV1174" s="1">
        <v>7</v>
      </c>
      <c r="AW1174" s="1"/>
      <c r="AX1174" s="1"/>
      <c r="AY1174" s="1"/>
      <c r="AZ1174" s="1" t="s">
        <v>339</v>
      </c>
      <c r="BA1174" s="1"/>
      <c r="BB1174" s="1">
        <v>21</v>
      </c>
      <c r="BC1174" s="1">
        <v>33</v>
      </c>
      <c r="BD1174" s="1"/>
      <c r="BE1174" s="1"/>
      <c r="BF1174" s="1"/>
      <c r="BG1174" s="1"/>
      <c r="BH1174" s="1"/>
      <c r="BI1174" s="1"/>
      <c r="BJ1174" s="1"/>
      <c r="BK1174" s="1"/>
      <c r="BL1174" s="1"/>
      <c r="BM1174" s="1"/>
      <c r="BN1174" s="1"/>
      <c r="BO1174" s="1"/>
      <c r="BP1174" s="1"/>
      <c r="BQ1174" s="1"/>
      <c r="BR1174" s="1"/>
      <c r="BS1174" s="1" t="s">
        <v>7618</v>
      </c>
      <c r="BT1174" s="1" t="str">
        <f>HYPERLINK("https%3A%2F%2Fwww.webofscience.com%2Fwos%2Fwoscc%2Ffull-record%2FWOS:000583783100003","View Full Record in Web of Science")</f>
        <v>View Full Record in Web of Science</v>
      </c>
      <c r="BU1174" s="1"/>
      <c r="BV1174" s="1"/>
      <c r="BW1174" s="1"/>
    </row>
    <row r="1175" spans="1:75" ht="12.75" customHeight="1" x14ac:dyDescent="0.2">
      <c r="A1175" s="1" t="s">
        <v>72</v>
      </c>
      <c r="B1175" s="1" t="s">
        <v>7189</v>
      </c>
      <c r="C1175" s="1"/>
      <c r="D1175" s="1"/>
      <c r="E1175" s="1"/>
      <c r="F1175" s="1" t="s">
        <v>7263</v>
      </c>
      <c r="G1175" s="1"/>
      <c r="H1175" s="1"/>
      <c r="I1175" s="1" t="s">
        <v>7619</v>
      </c>
      <c r="J1175" s="1" t="s">
        <v>95</v>
      </c>
      <c r="K1175" s="1"/>
      <c r="L1175" s="1"/>
      <c r="M1175" s="1"/>
      <c r="N1175" s="1"/>
      <c r="O1175" s="1"/>
      <c r="P1175" s="1"/>
      <c r="Q1175" s="1"/>
      <c r="R1175" s="1"/>
      <c r="S1175" s="1"/>
      <c r="T1175" s="1"/>
      <c r="U1175" s="1"/>
      <c r="V1175" s="1"/>
      <c r="W1175" s="1"/>
      <c r="X1175" s="1"/>
      <c r="Y1175" s="1"/>
      <c r="Z1175" s="1"/>
      <c r="AA1175" s="1" t="s">
        <v>7620</v>
      </c>
      <c r="AB1175" s="1" t="s">
        <v>7621</v>
      </c>
      <c r="AC1175" s="1"/>
      <c r="AD1175" s="1"/>
      <c r="AE1175" s="1"/>
      <c r="AF1175" s="1"/>
      <c r="AG1175" s="1"/>
      <c r="AH1175" s="1"/>
      <c r="AI1175" s="1"/>
      <c r="AJ1175" s="1"/>
      <c r="AK1175" s="1"/>
      <c r="AL1175" s="1"/>
      <c r="AM1175" s="1"/>
      <c r="AN1175" s="1"/>
      <c r="AO1175" s="1" t="s">
        <v>98</v>
      </c>
      <c r="AP1175" s="1" t="s">
        <v>99</v>
      </c>
      <c r="AQ1175" s="1"/>
      <c r="AR1175" s="1"/>
      <c r="AS1175" s="1"/>
      <c r="AT1175" s="1"/>
      <c r="AU1175" s="1">
        <v>2020</v>
      </c>
      <c r="AV1175" s="1"/>
      <c r="AW1175" s="1">
        <v>3</v>
      </c>
      <c r="AX1175" s="1"/>
      <c r="AY1175" s="1"/>
      <c r="AZ1175" s="1"/>
      <c r="BA1175" s="1"/>
      <c r="BB1175" s="1">
        <v>41</v>
      </c>
      <c r="BC1175" s="1">
        <v>45</v>
      </c>
      <c r="BD1175" s="1"/>
      <c r="BE1175" s="1" t="s">
        <v>7622</v>
      </c>
      <c r="BF1175" s="1" t="str">
        <f>HYPERLINK("http://dx.doi.org/10.25750/1995-4301-2020-3-041-045","http://dx.doi.org/10.25750/1995-4301-2020-3-041-045")</f>
        <v>http://dx.doi.org/10.25750/1995-4301-2020-3-041-045</v>
      </c>
      <c r="BG1175" s="1"/>
      <c r="BH1175" s="1"/>
      <c r="BI1175" s="1"/>
      <c r="BJ1175" s="1"/>
      <c r="BK1175" s="1"/>
      <c r="BL1175" s="1"/>
      <c r="BM1175" s="1"/>
      <c r="BN1175" s="1"/>
      <c r="BO1175" s="1"/>
      <c r="BP1175" s="1"/>
      <c r="BQ1175" s="1"/>
      <c r="BR1175" s="1"/>
      <c r="BS1175" s="1" t="s">
        <v>7623</v>
      </c>
      <c r="BT1175" s="1" t="str">
        <f>HYPERLINK("https%3A%2F%2Fwww.webofscience.com%2Fwos%2Fwoscc%2Ffull-record%2FWOS:000580337700006","View Full Record in Web of Science")</f>
        <v>View Full Record in Web of Science</v>
      </c>
      <c r="BU1175" s="1"/>
      <c r="BV1175" s="1"/>
      <c r="BW1175" s="1"/>
    </row>
    <row r="1176" spans="1:75" ht="12.75" customHeight="1" x14ac:dyDescent="0.2">
      <c r="A1176" s="1" t="s">
        <v>72</v>
      </c>
      <c r="B1176" s="1" t="s">
        <v>7624</v>
      </c>
      <c r="C1176" s="1"/>
      <c r="D1176" s="1"/>
      <c r="E1176" s="1"/>
      <c r="F1176" s="1" t="s">
        <v>7625</v>
      </c>
      <c r="G1176" s="1"/>
      <c r="H1176" s="1"/>
      <c r="I1176" s="1" t="s">
        <v>7626</v>
      </c>
      <c r="J1176" s="1" t="s">
        <v>506</v>
      </c>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t="s">
        <v>509</v>
      </c>
      <c r="AP1176" s="1" t="s">
        <v>510</v>
      </c>
      <c r="AQ1176" s="1"/>
      <c r="AR1176" s="1"/>
      <c r="AS1176" s="1"/>
      <c r="AT1176" s="1"/>
      <c r="AU1176" s="1">
        <v>2018</v>
      </c>
      <c r="AV1176" s="1">
        <v>9</v>
      </c>
      <c r="AW1176" s="1">
        <v>4</v>
      </c>
      <c r="AX1176" s="1"/>
      <c r="AY1176" s="1"/>
      <c r="AZ1176" s="1"/>
      <c r="BA1176" s="1"/>
      <c r="BB1176" s="1">
        <v>501</v>
      </c>
      <c r="BC1176" s="1">
        <v>521</v>
      </c>
      <c r="BD1176" s="1"/>
      <c r="BE1176" s="1" t="s">
        <v>7627</v>
      </c>
      <c r="BF1176" s="1" t="str">
        <f>HYPERLINK("http://dx.doi.org/10.21638/spbu14.2018.404","http://dx.doi.org/10.21638/spbu14.2018.404")</f>
        <v>http://dx.doi.org/10.21638/spbu14.2018.404</v>
      </c>
      <c r="BG1176" s="1"/>
      <c r="BH1176" s="1"/>
      <c r="BI1176" s="1"/>
      <c r="BJ1176" s="1"/>
      <c r="BK1176" s="1"/>
      <c r="BL1176" s="1"/>
      <c r="BM1176" s="1"/>
      <c r="BN1176" s="1"/>
      <c r="BO1176" s="1"/>
      <c r="BP1176" s="1"/>
      <c r="BQ1176" s="1"/>
      <c r="BR1176" s="1"/>
      <c r="BS1176" s="1" t="s">
        <v>7628</v>
      </c>
      <c r="BT1176" s="1" t="str">
        <f>HYPERLINK("https%3A%2F%2Fwww.webofscience.com%2Fwos%2Fwoscc%2Ffull-record%2FWOS:000457701400004","View Full Record in Web of Science")</f>
        <v>View Full Record in Web of Science</v>
      </c>
      <c r="BU1176" s="1"/>
      <c r="BV1176" s="1"/>
      <c r="BW1176" s="1"/>
    </row>
    <row r="1177" spans="1:75" ht="12.75" customHeight="1" x14ac:dyDescent="0.2">
      <c r="A1177" s="1" t="s">
        <v>72</v>
      </c>
      <c r="B1177" s="1" t="s">
        <v>7629</v>
      </c>
      <c r="C1177" s="1"/>
      <c r="D1177" s="1"/>
      <c r="E1177" s="1"/>
      <c r="F1177" s="1" t="s">
        <v>7630</v>
      </c>
      <c r="G1177" s="1"/>
      <c r="H1177" s="1"/>
      <c r="I1177" s="1" t="s">
        <v>7631</v>
      </c>
      <c r="J1177" s="1" t="s">
        <v>166</v>
      </c>
      <c r="K1177" s="1"/>
      <c r="L1177" s="1"/>
      <c r="M1177" s="1"/>
      <c r="N1177" s="1"/>
      <c r="O1177" s="1"/>
      <c r="P1177" s="1"/>
      <c r="Q1177" s="1"/>
      <c r="R1177" s="1"/>
      <c r="S1177" s="1"/>
      <c r="T1177" s="1"/>
      <c r="U1177" s="1"/>
      <c r="V1177" s="1"/>
      <c r="W1177" s="1"/>
      <c r="X1177" s="1"/>
      <c r="Y1177" s="1"/>
      <c r="Z1177" s="1"/>
      <c r="AA1177" s="1" t="s">
        <v>7632</v>
      </c>
      <c r="AB1177" s="1" t="s">
        <v>7633</v>
      </c>
      <c r="AC1177" s="1"/>
      <c r="AD1177" s="1"/>
      <c r="AE1177" s="1"/>
      <c r="AF1177" s="1"/>
      <c r="AG1177" s="1"/>
      <c r="AH1177" s="1"/>
      <c r="AI1177" s="1"/>
      <c r="AJ1177" s="1"/>
      <c r="AK1177" s="1"/>
      <c r="AL1177" s="1"/>
      <c r="AM1177" s="1"/>
      <c r="AN1177" s="1"/>
      <c r="AO1177" s="1" t="s">
        <v>169</v>
      </c>
      <c r="AP1177" s="1" t="s">
        <v>170</v>
      </c>
      <c r="AQ1177" s="1"/>
      <c r="AR1177" s="1"/>
      <c r="AS1177" s="1"/>
      <c r="AT1177" s="1" t="s">
        <v>830</v>
      </c>
      <c r="AU1177" s="1">
        <v>2022</v>
      </c>
      <c r="AV1177" s="1">
        <v>11</v>
      </c>
      <c r="AW1177" s="1">
        <v>3</v>
      </c>
      <c r="AX1177" s="1"/>
      <c r="AY1177" s="1"/>
      <c r="AZ1177" s="1"/>
      <c r="BA1177" s="1"/>
      <c r="BB1177" s="1">
        <v>817</v>
      </c>
      <c r="BC1177" s="1">
        <v>830</v>
      </c>
      <c r="BD1177" s="1"/>
      <c r="BE1177" s="1" t="s">
        <v>7634</v>
      </c>
      <c r="BF1177" s="1" t="str">
        <f>HYPERLINK("http://dx.doi.org/10.13187/ejced.2022.3.817","http://dx.doi.org/10.13187/ejced.2022.3.817")</f>
        <v>http://dx.doi.org/10.13187/ejced.2022.3.817</v>
      </c>
      <c r="BG1177" s="1"/>
      <c r="BH1177" s="1"/>
      <c r="BI1177" s="1"/>
      <c r="BJ1177" s="1"/>
      <c r="BK1177" s="1"/>
      <c r="BL1177" s="1"/>
      <c r="BM1177" s="1"/>
      <c r="BN1177" s="1"/>
      <c r="BO1177" s="1"/>
      <c r="BP1177" s="1"/>
      <c r="BQ1177" s="1"/>
      <c r="BR1177" s="1"/>
      <c r="BS1177" s="1" t="s">
        <v>7635</v>
      </c>
      <c r="BT1177" s="1" t="str">
        <f>HYPERLINK("https%3A%2F%2Fwww.webofscience.com%2Fwos%2Fwoscc%2Ffull-record%2FWOS:000862890700012","View Full Record in Web of Science")</f>
        <v>View Full Record in Web of Science</v>
      </c>
      <c r="BU1177" s="1"/>
      <c r="BV1177" s="1"/>
      <c r="BW1177" s="1"/>
    </row>
    <row r="1178" spans="1:75" ht="12.75" customHeight="1" x14ac:dyDescent="0.2">
      <c r="A1178" s="1" t="s">
        <v>72</v>
      </c>
      <c r="B1178" s="1" t="s">
        <v>7636</v>
      </c>
      <c r="C1178" s="1"/>
      <c r="D1178" s="1"/>
      <c r="E1178" s="1"/>
      <c r="F1178" s="1" t="s">
        <v>7637</v>
      </c>
      <c r="G1178" s="1"/>
      <c r="H1178" s="1"/>
      <c r="I1178" s="1" t="s">
        <v>7638</v>
      </c>
      <c r="J1178" s="1" t="s">
        <v>95</v>
      </c>
      <c r="K1178" s="1"/>
      <c r="L1178" s="1"/>
      <c r="M1178" s="1"/>
      <c r="N1178" s="1"/>
      <c r="O1178" s="1"/>
      <c r="P1178" s="1"/>
      <c r="Q1178" s="1"/>
      <c r="R1178" s="1"/>
      <c r="S1178" s="1"/>
      <c r="T1178" s="1"/>
      <c r="U1178" s="1"/>
      <c r="V1178" s="1"/>
      <c r="W1178" s="1"/>
      <c r="X1178" s="1"/>
      <c r="Y1178" s="1"/>
      <c r="Z1178" s="1"/>
      <c r="AA1178" s="1" t="s">
        <v>7639</v>
      </c>
      <c r="AB1178" s="1" t="s">
        <v>7640</v>
      </c>
      <c r="AC1178" s="1"/>
      <c r="AD1178" s="1"/>
      <c r="AE1178" s="1"/>
      <c r="AF1178" s="1"/>
      <c r="AG1178" s="1"/>
      <c r="AH1178" s="1"/>
      <c r="AI1178" s="1"/>
      <c r="AJ1178" s="1"/>
      <c r="AK1178" s="1"/>
      <c r="AL1178" s="1"/>
      <c r="AM1178" s="1"/>
      <c r="AN1178" s="1"/>
      <c r="AO1178" s="1" t="s">
        <v>98</v>
      </c>
      <c r="AP1178" s="1" t="s">
        <v>99</v>
      </c>
      <c r="AQ1178" s="1"/>
      <c r="AR1178" s="1"/>
      <c r="AS1178" s="1"/>
      <c r="AT1178" s="1"/>
      <c r="AU1178" s="1">
        <v>2021</v>
      </c>
      <c r="AV1178" s="1"/>
      <c r="AW1178" s="1">
        <v>1</v>
      </c>
      <c r="AX1178" s="1"/>
      <c r="AY1178" s="1"/>
      <c r="AZ1178" s="1"/>
      <c r="BA1178" s="1"/>
      <c r="BB1178" s="1">
        <v>104</v>
      </c>
      <c r="BC1178" s="1">
        <v>111</v>
      </c>
      <c r="BD1178" s="1"/>
      <c r="BE1178" s="1" t="s">
        <v>7641</v>
      </c>
      <c r="BF1178" s="1" t="str">
        <f>HYPERLINK("http://dx.doi.org/10.25750/1995-4301-2021-1-104-111","http://dx.doi.org/10.25750/1995-4301-2021-1-104-111")</f>
        <v>http://dx.doi.org/10.25750/1995-4301-2021-1-104-111</v>
      </c>
      <c r="BG1178" s="1"/>
      <c r="BH1178" s="1"/>
      <c r="BI1178" s="1"/>
      <c r="BJ1178" s="1"/>
      <c r="BK1178" s="1"/>
      <c r="BL1178" s="1"/>
      <c r="BM1178" s="1"/>
      <c r="BN1178" s="1"/>
      <c r="BO1178" s="1"/>
      <c r="BP1178" s="1"/>
      <c r="BQ1178" s="1"/>
      <c r="BR1178" s="1"/>
      <c r="BS1178" s="1" t="s">
        <v>7642</v>
      </c>
      <c r="BT1178" s="1" t="str">
        <f>HYPERLINK("https%3A%2F%2Fwww.webofscience.com%2Fwos%2Fwoscc%2Ffull-record%2FWOS:000632219100014","View Full Record in Web of Science")</f>
        <v>View Full Record in Web of Science</v>
      </c>
      <c r="BU1178" s="1"/>
      <c r="BV1178" s="1"/>
      <c r="BW1178" s="1"/>
    </row>
    <row r="1179" spans="1:75" ht="12.75" customHeight="1" x14ac:dyDescent="0.2">
      <c r="A1179" s="1" t="s">
        <v>72</v>
      </c>
      <c r="B1179" s="1" t="s">
        <v>7643</v>
      </c>
      <c r="C1179" s="1"/>
      <c r="D1179" s="1"/>
      <c r="E1179" s="1"/>
      <c r="F1179" s="1" t="s">
        <v>7644</v>
      </c>
      <c r="G1179" s="1"/>
      <c r="H1179" s="1"/>
      <c r="I1179" s="1" t="s">
        <v>7645</v>
      </c>
      <c r="J1179" s="1" t="s">
        <v>335</v>
      </c>
      <c r="K1179" s="1"/>
      <c r="L1179" s="1"/>
      <c r="M1179" s="1"/>
      <c r="N1179" s="1"/>
      <c r="O1179" s="1"/>
      <c r="P1179" s="1"/>
      <c r="Q1179" s="1"/>
      <c r="R1179" s="1"/>
      <c r="S1179" s="1"/>
      <c r="T1179" s="1"/>
      <c r="U1179" s="1"/>
      <c r="V1179" s="1"/>
      <c r="W1179" s="1"/>
      <c r="X1179" s="1"/>
      <c r="Y1179" s="1"/>
      <c r="Z1179" s="1"/>
      <c r="AA1179" s="1" t="s">
        <v>7646</v>
      </c>
      <c r="AB1179" s="1" t="s">
        <v>7647</v>
      </c>
      <c r="AC1179" s="1"/>
      <c r="AD1179" s="1"/>
      <c r="AE1179" s="1"/>
      <c r="AF1179" s="1"/>
      <c r="AG1179" s="1"/>
      <c r="AH1179" s="1"/>
      <c r="AI1179" s="1"/>
      <c r="AJ1179" s="1"/>
      <c r="AK1179" s="1"/>
      <c r="AL1179" s="1"/>
      <c r="AM1179" s="1"/>
      <c r="AN1179" s="1"/>
      <c r="AO1179" s="1" t="s">
        <v>337</v>
      </c>
      <c r="AP1179" s="1"/>
      <c r="AQ1179" s="1"/>
      <c r="AR1179" s="1"/>
      <c r="AS1179" s="1"/>
      <c r="AT1179" s="1" t="s">
        <v>338</v>
      </c>
      <c r="AU1179" s="1">
        <v>2020</v>
      </c>
      <c r="AV1179" s="1">
        <v>7</v>
      </c>
      <c r="AW1179" s="1"/>
      <c r="AX1179" s="1"/>
      <c r="AY1179" s="1"/>
      <c r="AZ1179" s="1" t="s">
        <v>339</v>
      </c>
      <c r="BA1179" s="1"/>
      <c r="BB1179" s="1">
        <v>421</v>
      </c>
      <c r="BC1179" s="1">
        <v>430</v>
      </c>
      <c r="BD1179" s="1"/>
      <c r="BE1179" s="1"/>
      <c r="BF1179" s="1"/>
      <c r="BG1179" s="1"/>
      <c r="BH1179" s="1"/>
      <c r="BI1179" s="1"/>
      <c r="BJ1179" s="1"/>
      <c r="BK1179" s="1"/>
      <c r="BL1179" s="1"/>
      <c r="BM1179" s="1"/>
      <c r="BN1179" s="1"/>
      <c r="BO1179" s="1"/>
      <c r="BP1179" s="1"/>
      <c r="BQ1179" s="1"/>
      <c r="BR1179" s="1"/>
      <c r="BS1179" s="1" t="s">
        <v>7648</v>
      </c>
      <c r="BT1179" s="1" t="str">
        <f>HYPERLINK("https%3A%2F%2Fwww.webofscience.com%2Fwos%2Fwoscc%2Ffull-record%2FWOS:000583783100035","View Full Record in Web of Science")</f>
        <v>View Full Record in Web of Science</v>
      </c>
      <c r="BU1179" s="1"/>
      <c r="BV1179" s="1"/>
      <c r="BW1179" s="1"/>
    </row>
    <row r="1180" spans="1:75" ht="12.75" customHeight="1" x14ac:dyDescent="0.2">
      <c r="A1180" s="1" t="s">
        <v>72</v>
      </c>
      <c r="B1180" s="1" t="s">
        <v>7649</v>
      </c>
      <c r="C1180" s="1"/>
      <c r="D1180" s="1"/>
      <c r="E1180" s="1"/>
      <c r="F1180" s="1" t="s">
        <v>7650</v>
      </c>
      <c r="G1180" s="1"/>
      <c r="H1180" s="1"/>
      <c r="I1180" s="1" t="s">
        <v>7651</v>
      </c>
      <c r="J1180" s="1" t="s">
        <v>1780</v>
      </c>
      <c r="K1180" s="1"/>
      <c r="L1180" s="1"/>
      <c r="M1180" s="1"/>
      <c r="N1180" s="1"/>
      <c r="O1180" s="1"/>
      <c r="P1180" s="1"/>
      <c r="Q1180" s="1"/>
      <c r="R1180" s="1"/>
      <c r="S1180" s="1"/>
      <c r="T1180" s="1"/>
      <c r="U1180" s="1"/>
      <c r="V1180" s="1"/>
      <c r="W1180" s="1"/>
      <c r="X1180" s="1"/>
      <c r="Y1180" s="1"/>
      <c r="Z1180" s="1"/>
      <c r="AA1180" s="1" t="s">
        <v>7652</v>
      </c>
      <c r="AB1180" s="1" t="s">
        <v>7653</v>
      </c>
      <c r="AC1180" s="1"/>
      <c r="AD1180" s="1"/>
      <c r="AE1180" s="1"/>
      <c r="AF1180" s="1"/>
      <c r="AG1180" s="1"/>
      <c r="AH1180" s="1"/>
      <c r="AI1180" s="1"/>
      <c r="AJ1180" s="1"/>
      <c r="AK1180" s="1"/>
      <c r="AL1180" s="1"/>
      <c r="AM1180" s="1"/>
      <c r="AN1180" s="1"/>
      <c r="AO1180" s="1" t="s">
        <v>1783</v>
      </c>
      <c r="AP1180" s="1"/>
      <c r="AQ1180" s="1"/>
      <c r="AR1180" s="1"/>
      <c r="AS1180" s="1"/>
      <c r="AT1180" s="1" t="s">
        <v>1012</v>
      </c>
      <c r="AU1180" s="1">
        <v>2018</v>
      </c>
      <c r="AV1180" s="1"/>
      <c r="AW1180" s="1">
        <v>5</v>
      </c>
      <c r="AX1180" s="1"/>
      <c r="AY1180" s="1"/>
      <c r="AZ1180" s="1"/>
      <c r="BA1180" s="1"/>
      <c r="BB1180" s="1">
        <v>98</v>
      </c>
      <c r="BC1180" s="1">
        <v>109</v>
      </c>
      <c r="BD1180" s="1"/>
      <c r="BE1180" s="1" t="s">
        <v>7654</v>
      </c>
      <c r="BF1180" s="1" t="str">
        <f>HYPERLINK("http://dx.doi.org/10.15211/soveurope5201898109","http://dx.doi.org/10.15211/soveurope5201898109")</f>
        <v>http://dx.doi.org/10.15211/soveurope5201898109</v>
      </c>
      <c r="BG1180" s="1"/>
      <c r="BH1180" s="1"/>
      <c r="BI1180" s="1"/>
      <c r="BJ1180" s="1"/>
      <c r="BK1180" s="1"/>
      <c r="BL1180" s="1"/>
      <c r="BM1180" s="1"/>
      <c r="BN1180" s="1"/>
      <c r="BO1180" s="1"/>
      <c r="BP1180" s="1"/>
      <c r="BQ1180" s="1"/>
      <c r="BR1180" s="1"/>
      <c r="BS1180" s="1" t="s">
        <v>7655</v>
      </c>
      <c r="BT1180" s="1" t="str">
        <f>HYPERLINK("https%3A%2F%2Fwww.webofscience.com%2Fwos%2Fwoscc%2Ffull-record%2FWOS:000454872800010","View Full Record in Web of Science")</f>
        <v>View Full Record in Web of Science</v>
      </c>
      <c r="BU1180" s="1"/>
      <c r="BV1180" s="1"/>
      <c r="BW1180" s="1"/>
    </row>
    <row r="1181" spans="1:75" ht="12.75" customHeight="1" x14ac:dyDescent="0.2">
      <c r="A1181" s="1" t="s">
        <v>72</v>
      </c>
      <c r="B1181" s="1" t="s">
        <v>7656</v>
      </c>
      <c r="C1181" s="1"/>
      <c r="D1181" s="1"/>
      <c r="E1181" s="1"/>
      <c r="F1181" s="1" t="s">
        <v>7657</v>
      </c>
      <c r="G1181" s="1"/>
      <c r="H1181" s="1"/>
      <c r="I1181" s="1" t="s">
        <v>7658</v>
      </c>
      <c r="J1181" s="1" t="s">
        <v>5139</v>
      </c>
      <c r="K1181" s="1"/>
      <c r="L1181" s="1"/>
      <c r="M1181" s="1"/>
      <c r="N1181" s="1"/>
      <c r="O1181" s="1"/>
      <c r="P1181" s="1"/>
      <c r="Q1181" s="1"/>
      <c r="R1181" s="1"/>
      <c r="S1181" s="1"/>
      <c r="T1181" s="1"/>
      <c r="U1181" s="1"/>
      <c r="V1181" s="1"/>
      <c r="W1181" s="1"/>
      <c r="X1181" s="1"/>
      <c r="Y1181" s="1"/>
      <c r="Z1181" s="1"/>
      <c r="AA1181" s="1" t="s">
        <v>7659</v>
      </c>
      <c r="AB1181" s="1" t="s">
        <v>7660</v>
      </c>
      <c r="AC1181" s="1"/>
      <c r="AD1181" s="1"/>
      <c r="AE1181" s="1"/>
      <c r="AF1181" s="1"/>
      <c r="AG1181" s="1"/>
      <c r="AH1181" s="1"/>
      <c r="AI1181" s="1"/>
      <c r="AJ1181" s="1"/>
      <c r="AK1181" s="1"/>
      <c r="AL1181" s="1"/>
      <c r="AM1181" s="1"/>
      <c r="AN1181" s="1"/>
      <c r="AO1181" s="1" t="s">
        <v>5142</v>
      </c>
      <c r="AP1181" s="1" t="s">
        <v>5143</v>
      </c>
      <c r="AQ1181" s="1"/>
      <c r="AR1181" s="1"/>
      <c r="AS1181" s="1"/>
      <c r="AT1181" s="1" t="s">
        <v>491</v>
      </c>
      <c r="AU1181" s="1">
        <v>2017</v>
      </c>
      <c r="AV1181" s="1">
        <v>13</v>
      </c>
      <c r="AW1181" s="1">
        <v>6</v>
      </c>
      <c r="AX1181" s="1"/>
      <c r="AY1181" s="1"/>
      <c r="AZ1181" s="1"/>
      <c r="BA1181" s="1"/>
      <c r="BB1181" s="1">
        <v>2111</v>
      </c>
      <c r="BC1181" s="1">
        <v>2131</v>
      </c>
      <c r="BD1181" s="1"/>
      <c r="BE1181" s="1" t="s">
        <v>7661</v>
      </c>
      <c r="BF1181" s="1" t="str">
        <f>HYPERLINK("http://dx.doi.org/10.12973/eurasia.2017.01217a","http://dx.doi.org/10.12973/eurasia.2017.01217a")</f>
        <v>http://dx.doi.org/10.12973/eurasia.2017.01217a</v>
      </c>
      <c r="BG1181" s="1"/>
      <c r="BH1181" s="1"/>
      <c r="BI1181" s="1"/>
      <c r="BJ1181" s="1"/>
      <c r="BK1181" s="1"/>
      <c r="BL1181" s="1"/>
      <c r="BM1181" s="1"/>
      <c r="BN1181" s="1"/>
      <c r="BO1181" s="1"/>
      <c r="BP1181" s="1"/>
      <c r="BQ1181" s="1"/>
      <c r="BR1181" s="1"/>
      <c r="BS1181" s="1" t="s">
        <v>7662</v>
      </c>
      <c r="BT1181" s="1" t="str">
        <f>HYPERLINK("https%3A%2F%2Fwww.webofscience.com%2Fwos%2Fwoscc%2Ffull-record%2FWOS:000404604700031","View Full Record in Web of Science")</f>
        <v>View Full Record in Web of Science</v>
      </c>
      <c r="BU1181" s="1"/>
      <c r="BV1181" s="1"/>
      <c r="BW1181" s="1"/>
    </row>
    <row r="1182" spans="1:75" ht="12.75" customHeight="1" x14ac:dyDescent="0.2">
      <c r="A1182" s="1" t="s">
        <v>147</v>
      </c>
      <c r="B1182" s="1" t="s">
        <v>7663</v>
      </c>
      <c r="C1182" s="1"/>
      <c r="D1182" s="1" t="s">
        <v>1876</v>
      </c>
      <c r="E1182" s="1"/>
      <c r="F1182" s="1" t="s">
        <v>7664</v>
      </c>
      <c r="G1182" s="1"/>
      <c r="H1182" s="1"/>
      <c r="I1182" s="1" t="s">
        <v>7665</v>
      </c>
      <c r="J1182" s="1" t="s">
        <v>1879</v>
      </c>
      <c r="K1182" s="1" t="s">
        <v>1276</v>
      </c>
      <c r="L1182" s="1"/>
      <c r="M1182" s="1"/>
      <c r="N1182" s="1"/>
      <c r="O1182" s="1" t="s">
        <v>1880</v>
      </c>
      <c r="P1182" s="1" t="s">
        <v>1881</v>
      </c>
      <c r="Q1182" s="1" t="s">
        <v>1882</v>
      </c>
      <c r="R1182" s="1" t="s">
        <v>1883</v>
      </c>
      <c r="S1182" s="1" t="s">
        <v>1884</v>
      </c>
      <c r="T1182" s="1"/>
      <c r="U1182" s="1"/>
      <c r="V1182" s="1"/>
      <c r="W1182" s="1"/>
      <c r="X1182" s="1"/>
      <c r="Y1182" s="1"/>
      <c r="Z1182" s="1"/>
      <c r="AA1182" s="1" t="s">
        <v>7666</v>
      </c>
      <c r="AB1182" s="1" t="s">
        <v>7667</v>
      </c>
      <c r="AC1182" s="1"/>
      <c r="AD1182" s="1"/>
      <c r="AE1182" s="1"/>
      <c r="AF1182" s="1"/>
      <c r="AG1182" s="1"/>
      <c r="AH1182" s="1"/>
      <c r="AI1182" s="1"/>
      <c r="AJ1182" s="1"/>
      <c r="AK1182" s="1"/>
      <c r="AL1182" s="1"/>
      <c r="AM1182" s="1"/>
      <c r="AN1182" s="1"/>
      <c r="AO1182" s="1" t="s">
        <v>1282</v>
      </c>
      <c r="AP1182" s="1"/>
      <c r="AQ1182" s="1"/>
      <c r="AR1182" s="1"/>
      <c r="AS1182" s="1"/>
      <c r="AT1182" s="1"/>
      <c r="AU1182" s="1">
        <v>2017</v>
      </c>
      <c r="AV1182" s="1">
        <v>106</v>
      </c>
      <c r="AW1182" s="1"/>
      <c r="AX1182" s="1"/>
      <c r="AY1182" s="1"/>
      <c r="AZ1182" s="1"/>
      <c r="BA1182" s="1"/>
      <c r="BB1182" s="1"/>
      <c r="BC1182" s="1"/>
      <c r="BD1182" s="1">
        <v>8074</v>
      </c>
      <c r="BE1182" s="1" t="s">
        <v>7668</v>
      </c>
      <c r="BF1182" s="1" t="str">
        <f>HYPERLINK("http://dx.doi.org/10.1051/matecconf/201710608074","http://dx.doi.org/10.1051/matecconf/201710608074")</f>
        <v>http://dx.doi.org/10.1051/matecconf/201710608074</v>
      </c>
      <c r="BG1182" s="1"/>
      <c r="BH1182" s="1"/>
      <c r="BI1182" s="1"/>
      <c r="BJ1182" s="1"/>
      <c r="BK1182" s="1"/>
      <c r="BL1182" s="1"/>
      <c r="BM1182" s="1"/>
      <c r="BN1182" s="1"/>
      <c r="BO1182" s="1"/>
      <c r="BP1182" s="1"/>
      <c r="BQ1182" s="1"/>
      <c r="BR1182" s="1"/>
      <c r="BS1182" s="1" t="s">
        <v>7669</v>
      </c>
      <c r="BT1182" s="1" t="str">
        <f>HYPERLINK("https%3A%2F%2Fwww.webofscience.com%2Fwos%2Fwoscc%2Ffull-record%2FWOS:000426426600259","View Full Record in Web of Science")</f>
        <v>View Full Record in Web of Science</v>
      </c>
      <c r="BU1182" s="1"/>
      <c r="BV1182" s="1"/>
      <c r="BW1182" s="1"/>
    </row>
    <row r="1183" spans="1:75" ht="12.75" customHeight="1" x14ac:dyDescent="0.2">
      <c r="A1183" s="1" t="s">
        <v>72</v>
      </c>
      <c r="B1183" s="1" t="s">
        <v>7670</v>
      </c>
      <c r="C1183" s="1"/>
      <c r="D1183" s="1"/>
      <c r="E1183" s="1"/>
      <c r="F1183" s="1" t="s">
        <v>7671</v>
      </c>
      <c r="G1183" s="1"/>
      <c r="H1183" s="1"/>
      <c r="I1183" s="1" t="s">
        <v>7672</v>
      </c>
      <c r="J1183" s="1" t="s">
        <v>7673</v>
      </c>
      <c r="K1183" s="1"/>
      <c r="L1183" s="1"/>
      <c r="M1183" s="1"/>
      <c r="N1183" s="1"/>
      <c r="O1183" s="1"/>
      <c r="P1183" s="1"/>
      <c r="Q1183" s="1"/>
      <c r="R1183" s="1"/>
      <c r="S1183" s="1"/>
      <c r="T1183" s="1"/>
      <c r="U1183" s="1"/>
      <c r="V1183" s="1"/>
      <c r="W1183" s="1"/>
      <c r="X1183" s="1"/>
      <c r="Y1183" s="1"/>
      <c r="Z1183" s="1"/>
      <c r="AA1183" s="1" t="s">
        <v>7674</v>
      </c>
      <c r="AB1183" s="1" t="s">
        <v>7675</v>
      </c>
      <c r="AC1183" s="1"/>
      <c r="AD1183" s="1"/>
      <c r="AE1183" s="1"/>
      <c r="AF1183" s="1"/>
      <c r="AG1183" s="1"/>
      <c r="AH1183" s="1"/>
      <c r="AI1183" s="1"/>
      <c r="AJ1183" s="1"/>
      <c r="AK1183" s="1"/>
      <c r="AL1183" s="1"/>
      <c r="AM1183" s="1"/>
      <c r="AN1183" s="1"/>
      <c r="AO1183" s="1" t="s">
        <v>7676</v>
      </c>
      <c r="AP1183" s="1" t="s">
        <v>7677</v>
      </c>
      <c r="AQ1183" s="1"/>
      <c r="AR1183" s="1"/>
      <c r="AS1183" s="1"/>
      <c r="AT1183" s="1" t="s">
        <v>198</v>
      </c>
      <c r="AU1183" s="1">
        <v>2015</v>
      </c>
      <c r="AV1183" s="1">
        <v>30</v>
      </c>
      <c r="AW1183" s="1">
        <v>2</v>
      </c>
      <c r="AX1183" s="1"/>
      <c r="AY1183" s="1"/>
      <c r="AZ1183" s="1"/>
      <c r="BA1183" s="1"/>
      <c r="BB1183" s="1">
        <v>93</v>
      </c>
      <c r="BC1183" s="1">
        <v>100</v>
      </c>
      <c r="BD1183" s="1"/>
      <c r="BE1183" s="1" t="s">
        <v>7678</v>
      </c>
      <c r="BF1183" s="1" t="str">
        <f>HYPERLINK("http://dx.doi.org/10.3103/S0891416815020032","http://dx.doi.org/10.3103/S0891416815020032")</f>
        <v>http://dx.doi.org/10.3103/S0891416815020032</v>
      </c>
      <c r="BG1183" s="1"/>
      <c r="BH1183" s="1"/>
      <c r="BI1183" s="1"/>
      <c r="BJ1183" s="1"/>
      <c r="BK1183" s="1"/>
      <c r="BL1183" s="1"/>
      <c r="BM1183" s="1"/>
      <c r="BN1183" s="1"/>
      <c r="BO1183" s="1"/>
      <c r="BP1183" s="1"/>
      <c r="BQ1183" s="1"/>
      <c r="BR1183" s="1"/>
      <c r="BS1183" s="1" t="s">
        <v>7679</v>
      </c>
      <c r="BT1183" s="1" t="str">
        <f>HYPERLINK("https%3A%2F%2Fwww.webofscience.com%2Fwos%2Fwoscc%2Ffull-record%2FWOS:000358668400006","View Full Record in Web of Science")</f>
        <v>View Full Record in Web of Science</v>
      </c>
      <c r="BU1183" s="1"/>
      <c r="BV1183" s="1"/>
      <c r="BW1183" s="1"/>
    </row>
    <row r="1184" spans="1:75" ht="12.75" customHeight="1" x14ac:dyDescent="0.2">
      <c r="A1184" s="1" t="s">
        <v>72</v>
      </c>
      <c r="B1184" s="1" t="s">
        <v>7680</v>
      </c>
      <c r="C1184" s="1"/>
      <c r="D1184" s="1"/>
      <c r="E1184" s="1"/>
      <c r="F1184" s="1" t="s">
        <v>7681</v>
      </c>
      <c r="G1184" s="1"/>
      <c r="H1184" s="1"/>
      <c r="I1184" s="1" t="s">
        <v>7682</v>
      </c>
      <c r="J1184" s="1" t="s">
        <v>6846</v>
      </c>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t="s">
        <v>6849</v>
      </c>
      <c r="AP1184" s="1" t="s">
        <v>6850</v>
      </c>
      <c r="AQ1184" s="1"/>
      <c r="AR1184" s="1"/>
      <c r="AS1184" s="1"/>
      <c r="AT1184" s="1" t="s">
        <v>541</v>
      </c>
      <c r="AU1184" s="1">
        <v>2023</v>
      </c>
      <c r="AV1184" s="1">
        <v>59</v>
      </c>
      <c r="AW1184" s="1">
        <v>1</v>
      </c>
      <c r="AX1184" s="1"/>
      <c r="AY1184" s="1"/>
      <c r="AZ1184" s="1"/>
      <c r="BA1184" s="1"/>
      <c r="BB1184" s="1">
        <v>67</v>
      </c>
      <c r="BC1184" s="1">
        <v>77</v>
      </c>
      <c r="BD1184" s="1"/>
      <c r="BE1184" s="1" t="s">
        <v>7683</v>
      </c>
      <c r="BF1184" s="1" t="str">
        <f>HYPERLINK("http://dx.doi.org/10.1134/S1070428023010074","http://dx.doi.org/10.1134/S1070428023010074")</f>
        <v>http://dx.doi.org/10.1134/S1070428023010074</v>
      </c>
      <c r="BG1184" s="1"/>
      <c r="BH1184" s="1"/>
      <c r="BI1184" s="1"/>
      <c r="BJ1184" s="1"/>
      <c r="BK1184" s="1"/>
      <c r="BL1184" s="1"/>
      <c r="BM1184" s="1"/>
      <c r="BN1184" s="1"/>
      <c r="BO1184" s="1"/>
      <c r="BP1184" s="1"/>
      <c r="BQ1184" s="1"/>
      <c r="BR1184" s="1"/>
      <c r="BS1184" s="1" t="s">
        <v>7684</v>
      </c>
      <c r="BT1184" s="1" t="str">
        <f>HYPERLINK("https%3A%2F%2Fwww.webofscience.com%2Fwos%2Fwoscc%2Ffull-record%2FWOS:000959623400007","View Full Record in Web of Science")</f>
        <v>View Full Record in Web of Science</v>
      </c>
      <c r="BU1184" s="1"/>
      <c r="BV1184" s="1"/>
      <c r="BW1184" s="1"/>
    </row>
    <row r="1185" spans="1:75" ht="12.75" customHeight="1" x14ac:dyDescent="0.2">
      <c r="A1185" s="1" t="s">
        <v>72</v>
      </c>
      <c r="B1185" s="1" t="s">
        <v>7685</v>
      </c>
      <c r="C1185" s="1"/>
      <c r="D1185" s="1"/>
      <c r="E1185" s="1"/>
      <c r="F1185" s="1" t="s">
        <v>7686</v>
      </c>
      <c r="G1185" s="1"/>
      <c r="H1185" s="1"/>
      <c r="I1185" s="1" t="s">
        <v>7687</v>
      </c>
      <c r="J1185" s="1" t="s">
        <v>7688</v>
      </c>
      <c r="K1185" s="1"/>
      <c r="L1185" s="1"/>
      <c r="M1185" s="1"/>
      <c r="N1185" s="1"/>
      <c r="O1185" s="1"/>
      <c r="P1185" s="1"/>
      <c r="Q1185" s="1"/>
      <c r="R1185" s="1"/>
      <c r="S1185" s="1"/>
      <c r="T1185" s="1"/>
      <c r="U1185" s="1"/>
      <c r="V1185" s="1"/>
      <c r="W1185" s="1"/>
      <c r="X1185" s="1"/>
      <c r="Y1185" s="1"/>
      <c r="Z1185" s="1"/>
      <c r="AA1185" s="1" t="s">
        <v>7689</v>
      </c>
      <c r="AB1185" s="1" t="s">
        <v>7690</v>
      </c>
      <c r="AC1185" s="1"/>
      <c r="AD1185" s="1"/>
      <c r="AE1185" s="1"/>
      <c r="AF1185" s="1"/>
      <c r="AG1185" s="1"/>
      <c r="AH1185" s="1"/>
      <c r="AI1185" s="1"/>
      <c r="AJ1185" s="1"/>
      <c r="AK1185" s="1"/>
      <c r="AL1185" s="1"/>
      <c r="AM1185" s="1"/>
      <c r="AN1185" s="1"/>
      <c r="AO1185" s="1" t="s">
        <v>7691</v>
      </c>
      <c r="AP1185" s="1" t="s">
        <v>7692</v>
      </c>
      <c r="AQ1185" s="1"/>
      <c r="AR1185" s="1"/>
      <c r="AS1185" s="1"/>
      <c r="AT1185" s="1" t="s">
        <v>655</v>
      </c>
      <c r="AU1185" s="1">
        <v>2022</v>
      </c>
      <c r="AV1185" s="1">
        <v>375</v>
      </c>
      <c r="AW1185" s="1"/>
      <c r="AX1185" s="1"/>
      <c r="AY1185" s="1"/>
      <c r="AZ1185" s="1"/>
      <c r="BA1185" s="1"/>
      <c r="BB1185" s="1"/>
      <c r="BC1185" s="1"/>
      <c r="BD1185" s="1">
        <v>115850</v>
      </c>
      <c r="BE1185" s="1" t="s">
        <v>7693</v>
      </c>
      <c r="BF1185" s="1" t="str">
        <f>HYPERLINK("http://dx.doi.org/10.1016/j.ssi.2021.115850","http://dx.doi.org/10.1016/j.ssi.2021.115850")</f>
        <v>http://dx.doi.org/10.1016/j.ssi.2021.115850</v>
      </c>
      <c r="BG1185" s="1"/>
      <c r="BH1185" s="1" t="s">
        <v>6583</v>
      </c>
      <c r="BI1185" s="1"/>
      <c r="BJ1185" s="1"/>
      <c r="BK1185" s="1"/>
      <c r="BL1185" s="1"/>
      <c r="BM1185" s="1"/>
      <c r="BN1185" s="1"/>
      <c r="BO1185" s="1"/>
      <c r="BP1185" s="1"/>
      <c r="BQ1185" s="1"/>
      <c r="BR1185" s="1"/>
      <c r="BS1185" s="1" t="s">
        <v>7694</v>
      </c>
      <c r="BT1185" s="1" t="str">
        <f>HYPERLINK("https%3A%2F%2Fwww.webofscience.com%2Fwos%2Fwoscc%2Ffull-record%2FWOS:000791263100008","View Full Record in Web of Science")</f>
        <v>View Full Record in Web of Science</v>
      </c>
      <c r="BU1185" s="1"/>
      <c r="BV1185" s="1"/>
      <c r="BW1185" s="1"/>
    </row>
    <row r="1186" spans="1:75" ht="12.75" customHeight="1" x14ac:dyDescent="0.2">
      <c r="A1186" s="1" t="s">
        <v>72</v>
      </c>
      <c r="B1186" s="1" t="s">
        <v>6934</v>
      </c>
      <c r="C1186" s="1"/>
      <c r="D1186" s="1"/>
      <c r="E1186" s="1"/>
      <c r="F1186" s="1" t="s">
        <v>7695</v>
      </c>
      <c r="G1186" s="1"/>
      <c r="H1186" s="1"/>
      <c r="I1186" s="1" t="s">
        <v>7696</v>
      </c>
      <c r="J1186" s="1" t="s">
        <v>95</v>
      </c>
      <c r="K1186" s="1"/>
      <c r="L1186" s="1"/>
      <c r="M1186" s="1"/>
      <c r="N1186" s="1"/>
      <c r="O1186" s="1"/>
      <c r="P1186" s="1"/>
      <c r="Q1186" s="1"/>
      <c r="R1186" s="1"/>
      <c r="S1186" s="1"/>
      <c r="T1186" s="1"/>
      <c r="U1186" s="1"/>
      <c r="V1186" s="1"/>
      <c r="W1186" s="1"/>
      <c r="X1186" s="1"/>
      <c r="Y1186" s="1"/>
      <c r="Z1186" s="1"/>
      <c r="AA1186" s="1" t="s">
        <v>7200</v>
      </c>
      <c r="AB1186" s="1" t="s">
        <v>7201</v>
      </c>
      <c r="AC1186" s="1"/>
      <c r="AD1186" s="1"/>
      <c r="AE1186" s="1"/>
      <c r="AF1186" s="1"/>
      <c r="AG1186" s="1"/>
      <c r="AH1186" s="1"/>
      <c r="AI1186" s="1"/>
      <c r="AJ1186" s="1"/>
      <c r="AK1186" s="1"/>
      <c r="AL1186" s="1"/>
      <c r="AM1186" s="1"/>
      <c r="AN1186" s="1"/>
      <c r="AO1186" s="1" t="s">
        <v>98</v>
      </c>
      <c r="AP1186" s="1" t="s">
        <v>99</v>
      </c>
      <c r="AQ1186" s="1"/>
      <c r="AR1186" s="1"/>
      <c r="AS1186" s="1"/>
      <c r="AT1186" s="1"/>
      <c r="AU1186" s="1">
        <v>2022</v>
      </c>
      <c r="AV1186" s="1"/>
      <c r="AW1186" s="1">
        <v>2</v>
      </c>
      <c r="AX1186" s="1"/>
      <c r="AY1186" s="1"/>
      <c r="AZ1186" s="1"/>
      <c r="BA1186" s="1"/>
      <c r="BB1186" s="1">
        <v>35</v>
      </c>
      <c r="BC1186" s="1" t="s">
        <v>107</v>
      </c>
      <c r="BD1186" s="1"/>
      <c r="BE1186" s="1" t="s">
        <v>7697</v>
      </c>
      <c r="BF1186" s="1" t="str">
        <f>HYPERLINK("http://dx.doi.org/10.25750/1995-4301-2022-2-035-041","http://dx.doi.org/10.25750/1995-4301-2022-2-035-041")</f>
        <v>http://dx.doi.org/10.25750/1995-4301-2022-2-035-041</v>
      </c>
      <c r="BG1186" s="1"/>
      <c r="BH1186" s="1"/>
      <c r="BI1186" s="1"/>
      <c r="BJ1186" s="1"/>
      <c r="BK1186" s="1"/>
      <c r="BL1186" s="1"/>
      <c r="BM1186" s="1"/>
      <c r="BN1186" s="1"/>
      <c r="BO1186" s="1"/>
      <c r="BP1186" s="1"/>
      <c r="BQ1186" s="1"/>
      <c r="BR1186" s="1"/>
      <c r="BS1186" s="1" t="s">
        <v>7698</v>
      </c>
      <c r="BT1186" s="1" t="str">
        <f>HYPERLINK("https%3A%2F%2Fwww.webofscience.com%2Fwos%2Fwoscc%2Ffull-record%2FWOS:000820802000004","View Full Record in Web of Science")</f>
        <v>View Full Record in Web of Science</v>
      </c>
      <c r="BU1186" s="1"/>
      <c r="BV1186" s="1"/>
      <c r="BW1186" s="1"/>
    </row>
    <row r="1187" spans="1:75" ht="12.75" customHeight="1" x14ac:dyDescent="0.2">
      <c r="A1187" s="1" t="s">
        <v>72</v>
      </c>
      <c r="B1187" s="1" t="s">
        <v>7699</v>
      </c>
      <c r="C1187" s="1"/>
      <c r="D1187" s="1"/>
      <c r="E1187" s="1"/>
      <c r="F1187" s="1" t="s">
        <v>7700</v>
      </c>
      <c r="G1187" s="1"/>
      <c r="H1187" s="1"/>
      <c r="I1187" s="1" t="s">
        <v>7701</v>
      </c>
      <c r="J1187" s="1" t="s">
        <v>7702</v>
      </c>
      <c r="K1187" s="1"/>
      <c r="L1187" s="1"/>
      <c r="M1187" s="1"/>
      <c r="N1187" s="1"/>
      <c r="O1187" s="1"/>
      <c r="P1187" s="1"/>
      <c r="Q1187" s="1"/>
      <c r="R1187" s="1"/>
      <c r="S1187" s="1"/>
      <c r="T1187" s="1"/>
      <c r="U1187" s="1"/>
      <c r="V1187" s="1"/>
      <c r="W1187" s="1"/>
      <c r="X1187" s="1"/>
      <c r="Y1187" s="1"/>
      <c r="Z1187" s="1"/>
      <c r="AA1187" s="1" t="s">
        <v>7609</v>
      </c>
      <c r="AB1187" s="1" t="s">
        <v>7610</v>
      </c>
      <c r="AC1187" s="1"/>
      <c r="AD1187" s="1"/>
      <c r="AE1187" s="1"/>
      <c r="AF1187" s="1"/>
      <c r="AG1187" s="1"/>
      <c r="AH1187" s="1"/>
      <c r="AI1187" s="1"/>
      <c r="AJ1187" s="1"/>
      <c r="AK1187" s="1"/>
      <c r="AL1187" s="1"/>
      <c r="AM1187" s="1"/>
      <c r="AN1187" s="1"/>
      <c r="AO1187" s="1" t="s">
        <v>7703</v>
      </c>
      <c r="AP1187" s="1"/>
      <c r="AQ1187" s="1"/>
      <c r="AR1187" s="1"/>
      <c r="AS1187" s="1"/>
      <c r="AT1187" s="1" t="s">
        <v>171</v>
      </c>
      <c r="AU1187" s="1">
        <v>2021</v>
      </c>
      <c r="AV1187" s="1">
        <v>15</v>
      </c>
      <c r="AW1187" s="1"/>
      <c r="AX1187" s="1"/>
      <c r="AY1187" s="1"/>
      <c r="AZ1187" s="1"/>
      <c r="BA1187" s="1"/>
      <c r="BB1187" s="1"/>
      <c r="BC1187" s="1"/>
      <c r="BD1187" s="1">
        <v>100981</v>
      </c>
      <c r="BE1187" s="1" t="s">
        <v>7704</v>
      </c>
      <c r="BF1187" s="1" t="str">
        <f>HYPERLINK("http://dx.doi.org/10.1016/j.mtla.2020.100981","http://dx.doi.org/10.1016/j.mtla.2020.100981")</f>
        <v>http://dx.doi.org/10.1016/j.mtla.2020.100981</v>
      </c>
      <c r="BG1187" s="1"/>
      <c r="BH1187" s="1"/>
      <c r="BI1187" s="1"/>
      <c r="BJ1187" s="1"/>
      <c r="BK1187" s="1"/>
      <c r="BL1187" s="1"/>
      <c r="BM1187" s="1"/>
      <c r="BN1187" s="1"/>
      <c r="BO1187" s="1"/>
      <c r="BP1187" s="1"/>
      <c r="BQ1187" s="1"/>
      <c r="BR1187" s="1"/>
      <c r="BS1187" s="1" t="s">
        <v>7705</v>
      </c>
      <c r="BT1187" s="1" t="str">
        <f>HYPERLINK("https%3A%2F%2Fwww.webofscience.com%2Fwos%2Fwoscc%2Ffull-record%2FWOS:000636280500015","View Full Record in Web of Science")</f>
        <v>View Full Record in Web of Science</v>
      </c>
      <c r="BU1187" s="1"/>
      <c r="BV1187" s="1"/>
      <c r="BW1187" s="1"/>
    </row>
    <row r="1188" spans="1:75" ht="12.75" customHeight="1" x14ac:dyDescent="0.2">
      <c r="A1188" s="1" t="s">
        <v>147</v>
      </c>
      <c r="B1188" s="1" t="s">
        <v>7706</v>
      </c>
      <c r="C1188" s="1"/>
      <c r="D1188" s="1" t="s">
        <v>7707</v>
      </c>
      <c r="E1188" s="1"/>
      <c r="F1188" s="1" t="s">
        <v>7708</v>
      </c>
      <c r="G1188" s="1"/>
      <c r="H1188" s="1"/>
      <c r="I1188" s="1" t="s">
        <v>7709</v>
      </c>
      <c r="J1188" s="1" t="s">
        <v>7710</v>
      </c>
      <c r="K1188" s="1"/>
      <c r="L1188" s="1"/>
      <c r="M1188" s="1"/>
      <c r="N1188" s="1"/>
      <c r="O1188" s="1" t="s">
        <v>7711</v>
      </c>
      <c r="P1188" s="1" t="s">
        <v>7712</v>
      </c>
      <c r="Q1188" s="1" t="s">
        <v>7713</v>
      </c>
      <c r="R1188" s="1" t="s">
        <v>7714</v>
      </c>
      <c r="S1188" s="1" t="s">
        <v>7715</v>
      </c>
      <c r="T1188" s="1"/>
      <c r="U1188" s="1"/>
      <c r="V1188" s="1"/>
      <c r="W1188" s="1"/>
      <c r="X1188" s="1"/>
      <c r="Y1188" s="1"/>
      <c r="Z1188" s="1"/>
      <c r="AA1188" s="1" t="s">
        <v>7716</v>
      </c>
      <c r="AB1188" s="1" t="s">
        <v>7717</v>
      </c>
      <c r="AC1188" s="1"/>
      <c r="AD1188" s="1"/>
      <c r="AE1188" s="1"/>
      <c r="AF1188" s="1"/>
      <c r="AG1188" s="1"/>
      <c r="AH1188" s="1"/>
      <c r="AI1188" s="1"/>
      <c r="AJ1188" s="1"/>
      <c r="AK1188" s="1"/>
      <c r="AL1188" s="1"/>
      <c r="AM1188" s="1"/>
      <c r="AN1188" s="1"/>
      <c r="AO1188" s="1"/>
      <c r="AP1188" s="1"/>
      <c r="AQ1188" s="1" t="s">
        <v>7718</v>
      </c>
      <c r="AR1188" s="1"/>
      <c r="AS1188" s="1"/>
      <c r="AT1188" s="1"/>
      <c r="AU1188" s="1">
        <v>2015</v>
      </c>
      <c r="AV1188" s="1"/>
      <c r="AW1188" s="1"/>
      <c r="AX1188" s="1"/>
      <c r="AY1188" s="1"/>
      <c r="AZ1188" s="1"/>
      <c r="BA1188" s="1"/>
      <c r="BB1188" s="1">
        <v>361</v>
      </c>
      <c r="BC1188" s="1">
        <v>364</v>
      </c>
      <c r="BD1188" s="1"/>
      <c r="BE1188" s="1"/>
      <c r="BF1188" s="1"/>
      <c r="BG1188" s="1"/>
      <c r="BH1188" s="1"/>
      <c r="BI1188" s="1"/>
      <c r="BJ1188" s="1"/>
      <c r="BK1188" s="1"/>
      <c r="BL1188" s="1"/>
      <c r="BM1188" s="1"/>
      <c r="BN1188" s="1"/>
      <c r="BO1188" s="1"/>
      <c r="BP1188" s="1"/>
      <c r="BQ1188" s="1"/>
      <c r="BR1188" s="1"/>
      <c r="BS1188" s="1" t="s">
        <v>7719</v>
      </c>
      <c r="BT1188" s="1" t="str">
        <f>HYPERLINK("https%3A%2F%2Fwww.webofscience.com%2Fwos%2Fwoscc%2Ffull-record%2FWOS:000380532400067","View Full Record in Web of Science")</f>
        <v>View Full Record in Web of Science</v>
      </c>
      <c r="BU1188" s="1"/>
      <c r="BV1188" s="1"/>
      <c r="BW1188" s="1"/>
    </row>
    <row r="1189" spans="1:75" ht="12.75" customHeight="1" x14ac:dyDescent="0.2">
      <c r="A1189" s="1" t="s">
        <v>72</v>
      </c>
      <c r="B1189" s="1" t="s">
        <v>7720</v>
      </c>
      <c r="C1189" s="1"/>
      <c r="D1189" s="1"/>
      <c r="E1189" s="1"/>
      <c r="F1189" s="1" t="s">
        <v>7721</v>
      </c>
      <c r="G1189" s="1"/>
      <c r="H1189" s="1"/>
      <c r="I1189" s="1" t="s">
        <v>7722</v>
      </c>
      <c r="J1189" s="1" t="s">
        <v>7723</v>
      </c>
      <c r="K1189" s="1"/>
      <c r="L1189" s="1"/>
      <c r="M1189" s="1"/>
      <c r="N1189" s="1"/>
      <c r="O1189" s="1"/>
      <c r="P1189" s="1"/>
      <c r="Q1189" s="1"/>
      <c r="R1189" s="1"/>
      <c r="S1189" s="1"/>
      <c r="T1189" s="1"/>
      <c r="U1189" s="1"/>
      <c r="V1189" s="1"/>
      <c r="W1189" s="1"/>
      <c r="X1189" s="1"/>
      <c r="Y1189" s="1"/>
      <c r="Z1189" s="1"/>
      <c r="AA1189" s="1" t="s">
        <v>7724</v>
      </c>
      <c r="AB1189" s="1" t="s">
        <v>7725</v>
      </c>
      <c r="AC1189" s="1"/>
      <c r="AD1189" s="1"/>
      <c r="AE1189" s="1"/>
      <c r="AF1189" s="1"/>
      <c r="AG1189" s="1"/>
      <c r="AH1189" s="1"/>
      <c r="AI1189" s="1"/>
      <c r="AJ1189" s="1"/>
      <c r="AK1189" s="1"/>
      <c r="AL1189" s="1"/>
      <c r="AM1189" s="1"/>
      <c r="AN1189" s="1"/>
      <c r="AO1189" s="1" t="s">
        <v>7726</v>
      </c>
      <c r="AP1189" s="1" t="s">
        <v>7727</v>
      </c>
      <c r="AQ1189" s="1"/>
      <c r="AR1189" s="1"/>
      <c r="AS1189" s="1"/>
      <c r="AT1189" s="1" t="s">
        <v>125</v>
      </c>
      <c r="AU1189" s="1">
        <v>2013</v>
      </c>
      <c r="AV1189" s="1">
        <v>44</v>
      </c>
      <c r="AW1189" s="1">
        <v>4</v>
      </c>
      <c r="AX1189" s="1"/>
      <c r="AY1189" s="1"/>
      <c r="AZ1189" s="1"/>
      <c r="BA1189" s="1"/>
      <c r="BB1189" s="1">
        <v>282</v>
      </c>
      <c r="BC1189" s="1">
        <v>290</v>
      </c>
      <c r="BD1189" s="1"/>
      <c r="BE1189" s="1" t="s">
        <v>7728</v>
      </c>
      <c r="BF1189" s="1" t="str">
        <f>HYPERLINK("http://dx.doi.org/10.1134/S1067413613030144","http://dx.doi.org/10.1134/S1067413613030144")</f>
        <v>http://dx.doi.org/10.1134/S1067413613030144</v>
      </c>
      <c r="BG1189" s="1"/>
      <c r="BH1189" s="1"/>
      <c r="BI1189" s="1"/>
      <c r="BJ1189" s="1"/>
      <c r="BK1189" s="1"/>
      <c r="BL1189" s="1"/>
      <c r="BM1189" s="1"/>
      <c r="BN1189" s="1"/>
      <c r="BO1189" s="1"/>
      <c r="BP1189" s="1"/>
      <c r="BQ1189" s="1"/>
      <c r="BR1189" s="1"/>
      <c r="BS1189" s="1" t="s">
        <v>7729</v>
      </c>
      <c r="BT1189" s="1" t="str">
        <f>HYPERLINK("https%3A%2F%2Fwww.webofscience.com%2Fwos%2Fwoscc%2Ffull-record%2FWOS:000321871500002","View Full Record in Web of Science")</f>
        <v>View Full Record in Web of Science</v>
      </c>
      <c r="BU1189" s="1"/>
      <c r="BV1189" s="1"/>
      <c r="BW1189" s="1"/>
    </row>
    <row r="1190" spans="1:75" ht="12.75" customHeight="1" x14ac:dyDescent="0.2">
      <c r="A1190" s="1" t="s">
        <v>72</v>
      </c>
      <c r="B1190" s="1" t="s">
        <v>7730</v>
      </c>
      <c r="C1190" s="1"/>
      <c r="D1190" s="1"/>
      <c r="E1190" s="1"/>
      <c r="F1190" s="1" t="s">
        <v>7731</v>
      </c>
      <c r="G1190" s="1"/>
      <c r="H1190" s="1"/>
      <c r="I1190" s="1" t="s">
        <v>7732</v>
      </c>
      <c r="J1190" s="1" t="s">
        <v>95</v>
      </c>
      <c r="K1190" s="1"/>
      <c r="L1190" s="1"/>
      <c r="M1190" s="1"/>
      <c r="N1190" s="1"/>
      <c r="O1190" s="1"/>
      <c r="P1190" s="1"/>
      <c r="Q1190" s="1"/>
      <c r="R1190" s="1"/>
      <c r="S1190" s="1"/>
      <c r="T1190" s="1"/>
      <c r="U1190" s="1"/>
      <c r="V1190" s="1"/>
      <c r="W1190" s="1"/>
      <c r="X1190" s="1"/>
      <c r="Y1190" s="1"/>
      <c r="Z1190" s="1"/>
      <c r="AA1190" s="1" t="s">
        <v>7326</v>
      </c>
      <c r="AB1190" s="1" t="s">
        <v>7327</v>
      </c>
      <c r="AC1190" s="1"/>
      <c r="AD1190" s="1"/>
      <c r="AE1190" s="1"/>
      <c r="AF1190" s="1"/>
      <c r="AG1190" s="1"/>
      <c r="AH1190" s="1"/>
      <c r="AI1190" s="1"/>
      <c r="AJ1190" s="1"/>
      <c r="AK1190" s="1"/>
      <c r="AL1190" s="1"/>
      <c r="AM1190" s="1"/>
      <c r="AN1190" s="1"/>
      <c r="AO1190" s="1" t="s">
        <v>98</v>
      </c>
      <c r="AP1190" s="1" t="s">
        <v>99</v>
      </c>
      <c r="AQ1190" s="1"/>
      <c r="AR1190" s="1"/>
      <c r="AS1190" s="1"/>
      <c r="AT1190" s="1"/>
      <c r="AU1190" s="1">
        <v>2022</v>
      </c>
      <c r="AV1190" s="1"/>
      <c r="AW1190" s="1">
        <v>1</v>
      </c>
      <c r="AX1190" s="1"/>
      <c r="AY1190" s="1"/>
      <c r="AZ1190" s="1"/>
      <c r="BA1190" s="1"/>
      <c r="BB1190" s="1">
        <v>198</v>
      </c>
      <c r="BC1190" s="1">
        <v>204</v>
      </c>
      <c r="BD1190" s="1"/>
      <c r="BE1190" s="1" t="s">
        <v>7733</v>
      </c>
      <c r="BF1190" s="1" t="str">
        <f>HYPERLINK("http://dx.doi.org/10.25750/1995-4301-2022-1-198-204","http://dx.doi.org/10.25750/1995-4301-2022-1-198-204")</f>
        <v>http://dx.doi.org/10.25750/1995-4301-2022-1-198-204</v>
      </c>
      <c r="BG1190" s="1"/>
      <c r="BH1190" s="1"/>
      <c r="BI1190" s="1"/>
      <c r="BJ1190" s="1"/>
      <c r="BK1190" s="1"/>
      <c r="BL1190" s="1"/>
      <c r="BM1190" s="1"/>
      <c r="BN1190" s="1"/>
      <c r="BO1190" s="1"/>
      <c r="BP1190" s="1"/>
      <c r="BQ1190" s="1"/>
      <c r="BR1190" s="1"/>
      <c r="BS1190" s="1" t="s">
        <v>7734</v>
      </c>
      <c r="BT1190" s="1" t="str">
        <f>HYPERLINK("https%3A%2F%2Fwww.webofscience.com%2Fwos%2Fwoscc%2Ffull-record%2FWOS:000819811100028","View Full Record in Web of Science")</f>
        <v>View Full Record in Web of Science</v>
      </c>
      <c r="BU1190" s="1"/>
      <c r="BV1190" s="1"/>
      <c r="BW1190" s="1"/>
    </row>
    <row r="1191" spans="1:75" ht="12.75" customHeight="1" x14ac:dyDescent="0.2">
      <c r="A1191" s="1" t="s">
        <v>72</v>
      </c>
      <c r="B1191" s="1" t="s">
        <v>7735</v>
      </c>
      <c r="C1191" s="1"/>
      <c r="D1191" s="1"/>
      <c r="E1191" s="1"/>
      <c r="F1191" s="1" t="s">
        <v>7736</v>
      </c>
      <c r="G1191" s="1"/>
      <c r="H1191" s="1"/>
      <c r="I1191" s="1" t="s">
        <v>7737</v>
      </c>
      <c r="J1191" s="1" t="s">
        <v>95</v>
      </c>
      <c r="K1191" s="1"/>
      <c r="L1191" s="1"/>
      <c r="M1191" s="1"/>
      <c r="N1191" s="1"/>
      <c r="O1191" s="1"/>
      <c r="P1191" s="1"/>
      <c r="Q1191" s="1"/>
      <c r="R1191" s="1"/>
      <c r="S1191" s="1"/>
      <c r="T1191" s="1"/>
      <c r="U1191" s="1"/>
      <c r="V1191" s="1"/>
      <c r="W1191" s="1"/>
      <c r="X1191" s="1"/>
      <c r="Y1191" s="1"/>
      <c r="Z1191" s="1"/>
      <c r="AA1191" s="1" t="s">
        <v>7200</v>
      </c>
      <c r="AB1191" s="1" t="s">
        <v>7201</v>
      </c>
      <c r="AC1191" s="1"/>
      <c r="AD1191" s="1"/>
      <c r="AE1191" s="1"/>
      <c r="AF1191" s="1"/>
      <c r="AG1191" s="1"/>
      <c r="AH1191" s="1"/>
      <c r="AI1191" s="1"/>
      <c r="AJ1191" s="1"/>
      <c r="AK1191" s="1"/>
      <c r="AL1191" s="1"/>
      <c r="AM1191" s="1"/>
      <c r="AN1191" s="1"/>
      <c r="AO1191" s="1" t="s">
        <v>98</v>
      </c>
      <c r="AP1191" s="1" t="s">
        <v>99</v>
      </c>
      <c r="AQ1191" s="1"/>
      <c r="AR1191" s="1"/>
      <c r="AS1191" s="1"/>
      <c r="AT1191" s="1"/>
      <c r="AU1191" s="1">
        <v>2021</v>
      </c>
      <c r="AV1191" s="1"/>
      <c r="AW1191" s="1">
        <v>2</v>
      </c>
      <c r="AX1191" s="1"/>
      <c r="AY1191" s="1"/>
      <c r="AZ1191" s="1"/>
      <c r="BA1191" s="1"/>
      <c r="BB1191" s="1">
        <v>13</v>
      </c>
      <c r="BC1191" s="1">
        <v>21</v>
      </c>
      <c r="BD1191" s="1"/>
      <c r="BE1191" s="1" t="s">
        <v>7738</v>
      </c>
      <c r="BF1191" s="1" t="str">
        <f>HYPERLINK("http://dx.doi.org/10.25750/1995-4301-2021-2-013-021","http://dx.doi.org/10.25750/1995-4301-2021-2-013-021")</f>
        <v>http://dx.doi.org/10.25750/1995-4301-2021-2-013-021</v>
      </c>
      <c r="BG1191" s="1"/>
      <c r="BH1191" s="1"/>
      <c r="BI1191" s="1"/>
      <c r="BJ1191" s="1"/>
      <c r="BK1191" s="1"/>
      <c r="BL1191" s="1"/>
      <c r="BM1191" s="1"/>
      <c r="BN1191" s="1"/>
      <c r="BO1191" s="1"/>
      <c r="BP1191" s="1"/>
      <c r="BQ1191" s="1"/>
      <c r="BR1191" s="1"/>
      <c r="BS1191" s="1" t="s">
        <v>7739</v>
      </c>
      <c r="BT1191" s="1" t="str">
        <f>HYPERLINK("https%3A%2F%2Fwww.webofscience.com%2Fwos%2Fwoscc%2Ffull-record%2FWOS:000667025400002","View Full Record in Web of Science")</f>
        <v>View Full Record in Web of Science</v>
      </c>
      <c r="BU1191" s="1"/>
      <c r="BV1191" s="1"/>
      <c r="BW1191" s="1"/>
    </row>
    <row r="1192" spans="1:75" ht="12.75" customHeight="1" x14ac:dyDescent="0.2">
      <c r="A1192" s="1" t="s">
        <v>147</v>
      </c>
      <c r="B1192" s="1" t="s">
        <v>7740</v>
      </c>
      <c r="C1192" s="1"/>
      <c r="D1192" s="1"/>
      <c r="E1192" s="1" t="s">
        <v>210</v>
      </c>
      <c r="F1192" s="1" t="s">
        <v>7741</v>
      </c>
      <c r="G1192" s="1"/>
      <c r="H1192" s="1"/>
      <c r="I1192" s="1" t="s">
        <v>7742</v>
      </c>
      <c r="J1192" s="1" t="s">
        <v>5413</v>
      </c>
      <c r="K1192" s="1" t="s">
        <v>2114</v>
      </c>
      <c r="L1192" s="1"/>
      <c r="M1192" s="1"/>
      <c r="N1192" s="1"/>
      <c r="O1192" s="1" t="s">
        <v>5414</v>
      </c>
      <c r="P1192" s="1" t="s">
        <v>5415</v>
      </c>
      <c r="Q1192" s="1" t="s">
        <v>5416</v>
      </c>
      <c r="R1192" s="1" t="s">
        <v>210</v>
      </c>
      <c r="S1192" s="1" t="s">
        <v>5417</v>
      </c>
      <c r="T1192" s="1"/>
      <c r="U1192" s="1"/>
      <c r="V1192" s="1"/>
      <c r="W1192" s="1"/>
      <c r="X1192" s="1"/>
      <c r="Y1192" s="1"/>
      <c r="Z1192" s="1"/>
      <c r="AA1192" s="1"/>
      <c r="AB1192" s="1" t="s">
        <v>7743</v>
      </c>
      <c r="AC1192" s="1"/>
      <c r="AD1192" s="1"/>
      <c r="AE1192" s="1"/>
      <c r="AF1192" s="1"/>
      <c r="AG1192" s="1"/>
      <c r="AH1192" s="1"/>
      <c r="AI1192" s="1"/>
      <c r="AJ1192" s="1"/>
      <c r="AK1192" s="1"/>
      <c r="AL1192" s="1"/>
      <c r="AM1192" s="1"/>
      <c r="AN1192" s="1"/>
      <c r="AO1192" s="1" t="s">
        <v>2122</v>
      </c>
      <c r="AP1192" s="1"/>
      <c r="AQ1192" s="1" t="s">
        <v>5420</v>
      </c>
      <c r="AR1192" s="1"/>
      <c r="AS1192" s="1"/>
      <c r="AT1192" s="1"/>
      <c r="AU1192" s="1">
        <v>2021</v>
      </c>
      <c r="AV1192" s="1"/>
      <c r="AW1192" s="1"/>
      <c r="AX1192" s="1"/>
      <c r="AY1192" s="1"/>
      <c r="AZ1192" s="1"/>
      <c r="BA1192" s="1"/>
      <c r="BB1192" s="1">
        <v>1269</v>
      </c>
      <c r="BC1192" s="1">
        <v>1274</v>
      </c>
      <c r="BD1192" s="1"/>
      <c r="BE1192" s="1" t="s">
        <v>7744</v>
      </c>
      <c r="BF1192" s="1" t="str">
        <f>HYPERLINK("http://dx.doi.org/10.1109/ElConRus51938.2021.9396694","http://dx.doi.org/10.1109/ElConRus51938.2021.9396694")</f>
        <v>http://dx.doi.org/10.1109/ElConRus51938.2021.9396694</v>
      </c>
      <c r="BG1192" s="1"/>
      <c r="BH1192" s="1"/>
      <c r="BI1192" s="1"/>
      <c r="BJ1192" s="1"/>
      <c r="BK1192" s="1"/>
      <c r="BL1192" s="1"/>
      <c r="BM1192" s="1"/>
      <c r="BN1192" s="1"/>
      <c r="BO1192" s="1"/>
      <c r="BP1192" s="1"/>
      <c r="BQ1192" s="1"/>
      <c r="BR1192" s="1"/>
      <c r="BS1192" s="1" t="s">
        <v>7745</v>
      </c>
      <c r="BT1192" s="1" t="str">
        <f>HYPERLINK("https%3A%2F%2Fwww.webofscience.com%2Fwos%2Fwoscc%2Ffull-record%2FWOS:000669709801068","View Full Record in Web of Science")</f>
        <v>View Full Record in Web of Science</v>
      </c>
      <c r="BU1192" s="1"/>
      <c r="BV1192" s="1"/>
      <c r="BW1192" s="1"/>
    </row>
    <row r="1193" spans="1:75" ht="12.75" customHeight="1" x14ac:dyDescent="0.2">
      <c r="A1193" s="1" t="s">
        <v>72</v>
      </c>
      <c r="B1193" s="1" t="s">
        <v>7746</v>
      </c>
      <c r="C1193" s="1"/>
      <c r="D1193" s="1"/>
      <c r="E1193" s="1"/>
      <c r="F1193" s="1" t="s">
        <v>7747</v>
      </c>
      <c r="G1193" s="1"/>
      <c r="H1193" s="1"/>
      <c r="I1193" s="1" t="s">
        <v>7748</v>
      </c>
      <c r="J1193" s="1" t="s">
        <v>95</v>
      </c>
      <c r="K1193" s="1"/>
      <c r="L1193" s="1"/>
      <c r="M1193" s="1"/>
      <c r="N1193" s="1"/>
      <c r="O1193" s="1"/>
      <c r="P1193" s="1"/>
      <c r="Q1193" s="1"/>
      <c r="R1193" s="1"/>
      <c r="S1193" s="1"/>
      <c r="T1193" s="1"/>
      <c r="U1193" s="1"/>
      <c r="V1193" s="1"/>
      <c r="W1193" s="1"/>
      <c r="X1193" s="1"/>
      <c r="Y1193" s="1"/>
      <c r="Z1193" s="1"/>
      <c r="AA1193" s="1" t="s">
        <v>5529</v>
      </c>
      <c r="AB1193" s="1" t="s">
        <v>7749</v>
      </c>
      <c r="AC1193" s="1"/>
      <c r="AD1193" s="1"/>
      <c r="AE1193" s="1"/>
      <c r="AF1193" s="1"/>
      <c r="AG1193" s="1"/>
      <c r="AH1193" s="1"/>
      <c r="AI1193" s="1"/>
      <c r="AJ1193" s="1"/>
      <c r="AK1193" s="1"/>
      <c r="AL1193" s="1"/>
      <c r="AM1193" s="1"/>
      <c r="AN1193" s="1"/>
      <c r="AO1193" s="1" t="s">
        <v>98</v>
      </c>
      <c r="AP1193" s="1" t="s">
        <v>99</v>
      </c>
      <c r="AQ1193" s="1"/>
      <c r="AR1193" s="1"/>
      <c r="AS1193" s="1"/>
      <c r="AT1193" s="1"/>
      <c r="AU1193" s="1">
        <v>2021</v>
      </c>
      <c r="AV1193" s="1"/>
      <c r="AW1193" s="1">
        <v>2</v>
      </c>
      <c r="AX1193" s="1"/>
      <c r="AY1193" s="1"/>
      <c r="AZ1193" s="1"/>
      <c r="BA1193" s="1"/>
      <c r="BB1193" s="1">
        <v>22</v>
      </c>
      <c r="BC1193" s="1">
        <v>30</v>
      </c>
      <c r="BD1193" s="1"/>
      <c r="BE1193" s="1" t="s">
        <v>7750</v>
      </c>
      <c r="BF1193" s="1" t="str">
        <f>HYPERLINK("http://dx.doi.org/10.25750/1995-4301-2021-2-022-030","http://dx.doi.org/10.25750/1995-4301-2021-2-022-030")</f>
        <v>http://dx.doi.org/10.25750/1995-4301-2021-2-022-030</v>
      </c>
      <c r="BG1193" s="1"/>
      <c r="BH1193" s="1"/>
      <c r="BI1193" s="1"/>
      <c r="BJ1193" s="1"/>
      <c r="BK1193" s="1"/>
      <c r="BL1193" s="1"/>
      <c r="BM1193" s="1"/>
      <c r="BN1193" s="1"/>
      <c r="BO1193" s="1"/>
      <c r="BP1193" s="1"/>
      <c r="BQ1193" s="1"/>
      <c r="BR1193" s="1"/>
      <c r="BS1193" s="1" t="s">
        <v>7751</v>
      </c>
      <c r="BT1193" s="1" t="str">
        <f>HYPERLINK("https%3A%2F%2Fwww.webofscience.com%2Fwos%2Fwoscc%2Ffull-record%2FWOS:000667025400003","View Full Record in Web of Science")</f>
        <v>View Full Record in Web of Science</v>
      </c>
      <c r="BU1193" s="1"/>
      <c r="BV1193" s="1"/>
      <c r="BW1193" s="1"/>
    </row>
    <row r="1194" spans="1:75" ht="12.75" customHeight="1" x14ac:dyDescent="0.2">
      <c r="A1194" s="1" t="s">
        <v>72</v>
      </c>
      <c r="B1194" s="1" t="s">
        <v>378</v>
      </c>
      <c r="C1194" s="1"/>
      <c r="D1194" s="1"/>
      <c r="E1194" s="1"/>
      <c r="F1194" s="1" t="s">
        <v>1226</v>
      </c>
      <c r="G1194" s="1"/>
      <c r="H1194" s="1"/>
      <c r="I1194" s="1" t="s">
        <v>7752</v>
      </c>
      <c r="J1194" s="1" t="s">
        <v>6678</v>
      </c>
      <c r="K1194" s="1"/>
      <c r="L1194" s="1"/>
      <c r="M1194" s="1"/>
      <c r="N1194" s="1"/>
      <c r="O1194" s="1"/>
      <c r="P1194" s="1"/>
      <c r="Q1194" s="1"/>
      <c r="R1194" s="1"/>
      <c r="S1194" s="1"/>
      <c r="T1194" s="1"/>
      <c r="U1194" s="1"/>
      <c r="V1194" s="1"/>
      <c r="W1194" s="1"/>
      <c r="X1194" s="1"/>
      <c r="Y1194" s="1"/>
      <c r="Z1194" s="1"/>
      <c r="AA1194" s="1" t="s">
        <v>553</v>
      </c>
      <c r="AB1194" s="1" t="s">
        <v>554</v>
      </c>
      <c r="AC1194" s="1"/>
      <c r="AD1194" s="1"/>
      <c r="AE1194" s="1"/>
      <c r="AF1194" s="1"/>
      <c r="AG1194" s="1"/>
      <c r="AH1194" s="1"/>
      <c r="AI1194" s="1"/>
      <c r="AJ1194" s="1"/>
      <c r="AK1194" s="1"/>
      <c r="AL1194" s="1"/>
      <c r="AM1194" s="1"/>
      <c r="AN1194" s="1"/>
      <c r="AO1194" s="1" t="s">
        <v>6679</v>
      </c>
      <c r="AP1194" s="1"/>
      <c r="AQ1194" s="1"/>
      <c r="AR1194" s="1"/>
      <c r="AS1194" s="1"/>
      <c r="AT1194" s="1"/>
      <c r="AU1194" s="1">
        <v>2021</v>
      </c>
      <c r="AV1194" s="1">
        <v>12</v>
      </c>
      <c r="AW1194" s="1">
        <v>6</v>
      </c>
      <c r="AX1194" s="1"/>
      <c r="AY1194" s="1"/>
      <c r="AZ1194" s="1"/>
      <c r="BA1194" s="1"/>
      <c r="BB1194" s="1">
        <v>32</v>
      </c>
      <c r="BC1194" s="1">
        <v>36</v>
      </c>
      <c r="BD1194" s="1"/>
      <c r="BE1194" s="1" t="s">
        <v>7753</v>
      </c>
      <c r="BF1194" s="1" t="str">
        <f>HYPERLINK("http://dx.doi.org/10.51847/bzkZmBKa9f","http://dx.doi.org/10.51847/bzkZmBKa9f")</f>
        <v>http://dx.doi.org/10.51847/bzkZmBKa9f</v>
      </c>
      <c r="BG1194" s="1"/>
      <c r="BH1194" s="1"/>
      <c r="BI1194" s="1"/>
      <c r="BJ1194" s="1"/>
      <c r="BK1194" s="1"/>
      <c r="BL1194" s="1"/>
      <c r="BM1194" s="1"/>
      <c r="BN1194" s="1"/>
      <c r="BO1194" s="1"/>
      <c r="BP1194" s="1"/>
      <c r="BQ1194" s="1"/>
      <c r="BR1194" s="1"/>
      <c r="BS1194" s="1" t="s">
        <v>7754</v>
      </c>
      <c r="BT1194" s="1" t="str">
        <f>HYPERLINK("https%3A%2F%2Fwww.webofscience.com%2Fwos%2Fwoscc%2Ffull-record%2FWOS:000741358800008","View Full Record in Web of Science")</f>
        <v>View Full Record in Web of Science</v>
      </c>
      <c r="BU1194" s="1"/>
      <c r="BV1194" s="1"/>
      <c r="BW1194" s="1"/>
    </row>
    <row r="1195" spans="1:75" ht="12.75" customHeight="1" x14ac:dyDescent="0.2">
      <c r="A1195" s="1" t="s">
        <v>72</v>
      </c>
      <c r="B1195" s="1" t="s">
        <v>7755</v>
      </c>
      <c r="C1195" s="1"/>
      <c r="D1195" s="1"/>
      <c r="E1195" s="1"/>
      <c r="F1195" s="1" t="s">
        <v>7756</v>
      </c>
      <c r="G1195" s="1"/>
      <c r="H1195" s="1"/>
      <c r="I1195" s="1" t="s">
        <v>7757</v>
      </c>
      <c r="J1195" s="1" t="s">
        <v>95</v>
      </c>
      <c r="K1195" s="1"/>
      <c r="L1195" s="1"/>
      <c r="M1195" s="1"/>
      <c r="N1195" s="1"/>
      <c r="O1195" s="1"/>
      <c r="P1195" s="1"/>
      <c r="Q1195" s="1"/>
      <c r="R1195" s="1"/>
      <c r="S1195" s="1"/>
      <c r="T1195" s="1"/>
      <c r="U1195" s="1"/>
      <c r="V1195" s="1"/>
      <c r="W1195" s="1"/>
      <c r="X1195" s="1"/>
      <c r="Y1195" s="1"/>
      <c r="Z1195" s="1"/>
      <c r="AA1195" s="1" t="s">
        <v>7758</v>
      </c>
      <c r="AB1195" s="1" t="s">
        <v>7759</v>
      </c>
      <c r="AC1195" s="1"/>
      <c r="AD1195" s="1"/>
      <c r="AE1195" s="1"/>
      <c r="AF1195" s="1"/>
      <c r="AG1195" s="1"/>
      <c r="AH1195" s="1"/>
      <c r="AI1195" s="1"/>
      <c r="AJ1195" s="1"/>
      <c r="AK1195" s="1"/>
      <c r="AL1195" s="1"/>
      <c r="AM1195" s="1"/>
      <c r="AN1195" s="1"/>
      <c r="AO1195" s="1" t="s">
        <v>98</v>
      </c>
      <c r="AP1195" s="1" t="s">
        <v>99</v>
      </c>
      <c r="AQ1195" s="1"/>
      <c r="AR1195" s="1"/>
      <c r="AS1195" s="1"/>
      <c r="AT1195" s="1"/>
      <c r="AU1195" s="1">
        <v>2020</v>
      </c>
      <c r="AV1195" s="1"/>
      <c r="AW1195" s="1">
        <v>2</v>
      </c>
      <c r="AX1195" s="1"/>
      <c r="AY1195" s="1"/>
      <c r="AZ1195" s="1"/>
      <c r="BA1195" s="1"/>
      <c r="BB1195" s="1">
        <v>44</v>
      </c>
      <c r="BC1195" s="1">
        <v>50</v>
      </c>
      <c r="BD1195" s="1"/>
      <c r="BE1195" s="1" t="s">
        <v>7760</v>
      </c>
      <c r="BF1195" s="1" t="str">
        <f>HYPERLINK("http://dx.doi.org/10.25750/1995-4301-2020-2-044-050","http://dx.doi.org/10.25750/1995-4301-2020-2-044-050")</f>
        <v>http://dx.doi.org/10.25750/1995-4301-2020-2-044-050</v>
      </c>
      <c r="BG1195" s="1"/>
      <c r="BH1195" s="1"/>
      <c r="BI1195" s="1"/>
      <c r="BJ1195" s="1"/>
      <c r="BK1195" s="1"/>
      <c r="BL1195" s="1"/>
      <c r="BM1195" s="1"/>
      <c r="BN1195" s="1"/>
      <c r="BO1195" s="1"/>
      <c r="BP1195" s="1"/>
      <c r="BQ1195" s="1"/>
      <c r="BR1195" s="1"/>
      <c r="BS1195" s="1" t="s">
        <v>7761</v>
      </c>
      <c r="BT1195" s="1" t="str">
        <f>HYPERLINK("https%3A%2F%2Fwww.webofscience.com%2Fwos%2Fwoscc%2Ffull-record%2FWOS:000545295600005","View Full Record in Web of Science")</f>
        <v>View Full Record in Web of Science</v>
      </c>
      <c r="BU1195" s="1"/>
      <c r="BV1195" s="1"/>
      <c r="BW1195" s="1"/>
    </row>
    <row r="1196" spans="1:75" ht="12.75" customHeight="1" x14ac:dyDescent="0.2">
      <c r="A1196" s="1" t="s">
        <v>72</v>
      </c>
      <c r="B1196" s="1" t="s">
        <v>6837</v>
      </c>
      <c r="C1196" s="1"/>
      <c r="D1196" s="1"/>
      <c r="E1196" s="1"/>
      <c r="F1196" s="1" t="s">
        <v>6838</v>
      </c>
      <c r="G1196" s="1"/>
      <c r="H1196" s="1"/>
      <c r="I1196" s="1" t="s">
        <v>7762</v>
      </c>
      <c r="J1196" s="1" t="s">
        <v>7763</v>
      </c>
      <c r="K1196" s="1"/>
      <c r="L1196" s="1"/>
      <c r="M1196" s="1"/>
      <c r="N1196" s="1"/>
      <c r="O1196" s="1"/>
      <c r="P1196" s="1"/>
      <c r="Q1196" s="1"/>
      <c r="R1196" s="1"/>
      <c r="S1196" s="1"/>
      <c r="T1196" s="1"/>
      <c r="U1196" s="1"/>
      <c r="V1196" s="1"/>
      <c r="W1196" s="1"/>
      <c r="X1196" s="1"/>
      <c r="Y1196" s="1"/>
      <c r="Z1196" s="1"/>
      <c r="AA1196" s="1" t="s">
        <v>6058</v>
      </c>
      <c r="AB1196" s="1" t="s">
        <v>7041</v>
      </c>
      <c r="AC1196" s="1"/>
      <c r="AD1196" s="1"/>
      <c r="AE1196" s="1"/>
      <c r="AF1196" s="1"/>
      <c r="AG1196" s="1"/>
      <c r="AH1196" s="1"/>
      <c r="AI1196" s="1"/>
      <c r="AJ1196" s="1"/>
      <c r="AK1196" s="1"/>
      <c r="AL1196" s="1"/>
      <c r="AM1196" s="1"/>
      <c r="AN1196" s="1"/>
      <c r="AO1196" s="1" t="s">
        <v>7764</v>
      </c>
      <c r="AP1196" s="1" t="s">
        <v>7765</v>
      </c>
      <c r="AQ1196" s="1"/>
      <c r="AR1196" s="1"/>
      <c r="AS1196" s="1"/>
      <c r="AT1196" s="1" t="s">
        <v>171</v>
      </c>
      <c r="AU1196" s="1">
        <v>2019</v>
      </c>
      <c r="AV1196" s="1">
        <v>48</v>
      </c>
      <c r="AW1196" s="1">
        <v>2</v>
      </c>
      <c r="AX1196" s="1"/>
      <c r="AY1196" s="1"/>
      <c r="AZ1196" s="1"/>
      <c r="BA1196" s="1"/>
      <c r="BB1196" s="1">
        <v>119</v>
      </c>
      <c r="BC1196" s="1">
        <v>129</v>
      </c>
      <c r="BD1196" s="1"/>
      <c r="BE1196" s="1" t="s">
        <v>7766</v>
      </c>
      <c r="BF1196" s="1" t="str">
        <f>HYPERLINK("http://dx.doi.org/10.3103/S1052618819020110","http://dx.doi.org/10.3103/S1052618819020110")</f>
        <v>http://dx.doi.org/10.3103/S1052618819020110</v>
      </c>
      <c r="BG1196" s="1"/>
      <c r="BH1196" s="1"/>
      <c r="BI1196" s="1"/>
      <c r="BJ1196" s="1"/>
      <c r="BK1196" s="1"/>
      <c r="BL1196" s="1"/>
      <c r="BM1196" s="1"/>
      <c r="BN1196" s="1"/>
      <c r="BO1196" s="1"/>
      <c r="BP1196" s="1"/>
      <c r="BQ1196" s="1"/>
      <c r="BR1196" s="1"/>
      <c r="BS1196" s="1" t="s">
        <v>7767</v>
      </c>
      <c r="BT1196" s="1" t="str">
        <f>HYPERLINK("https%3A%2F%2Fwww.webofscience.com%2Fwos%2Fwoscc%2Ffull-record%2FWOS:000470169700004","View Full Record in Web of Science")</f>
        <v>View Full Record in Web of Science</v>
      </c>
      <c r="BU1196" s="1"/>
      <c r="BV1196" s="1"/>
      <c r="BW1196" s="1"/>
    </row>
    <row r="1197" spans="1:75" ht="12.75" customHeight="1" x14ac:dyDescent="0.2">
      <c r="A1197" s="1" t="s">
        <v>72</v>
      </c>
      <c r="B1197" s="1" t="s">
        <v>7768</v>
      </c>
      <c r="C1197" s="1"/>
      <c r="D1197" s="1"/>
      <c r="E1197" s="1"/>
      <c r="F1197" s="1" t="s">
        <v>7769</v>
      </c>
      <c r="G1197" s="1"/>
      <c r="H1197" s="1"/>
      <c r="I1197" s="1" t="s">
        <v>7770</v>
      </c>
      <c r="J1197" s="1" t="s">
        <v>7771</v>
      </c>
      <c r="K1197" s="1"/>
      <c r="L1197" s="1"/>
      <c r="M1197" s="1"/>
      <c r="N1197" s="1"/>
      <c r="O1197" s="1"/>
      <c r="P1197" s="1"/>
      <c r="Q1197" s="1"/>
      <c r="R1197" s="1"/>
      <c r="S1197" s="1"/>
      <c r="T1197" s="1"/>
      <c r="U1197" s="1"/>
      <c r="V1197" s="1"/>
      <c r="W1197" s="1"/>
      <c r="X1197" s="1"/>
      <c r="Y1197" s="1"/>
      <c r="Z1197" s="1"/>
      <c r="AA1197" s="1" t="s">
        <v>7772</v>
      </c>
      <c r="AB1197" s="1" t="s">
        <v>7773</v>
      </c>
      <c r="AC1197" s="1"/>
      <c r="AD1197" s="1"/>
      <c r="AE1197" s="1"/>
      <c r="AF1197" s="1"/>
      <c r="AG1197" s="1"/>
      <c r="AH1197" s="1"/>
      <c r="AI1197" s="1"/>
      <c r="AJ1197" s="1"/>
      <c r="AK1197" s="1"/>
      <c r="AL1197" s="1"/>
      <c r="AM1197" s="1"/>
      <c r="AN1197" s="1"/>
      <c r="AO1197" s="1" t="s">
        <v>7774</v>
      </c>
      <c r="AP1197" s="1" t="s">
        <v>7775</v>
      </c>
      <c r="AQ1197" s="1"/>
      <c r="AR1197" s="1"/>
      <c r="AS1197" s="1"/>
      <c r="AT1197" s="1" t="s">
        <v>655</v>
      </c>
      <c r="AU1197" s="1">
        <v>2018</v>
      </c>
      <c r="AV1197" s="1">
        <v>37</v>
      </c>
      <c r="AW1197" s="1">
        <v>2</v>
      </c>
      <c r="AX1197" s="1"/>
      <c r="AY1197" s="1"/>
      <c r="AZ1197" s="1"/>
      <c r="BA1197" s="1"/>
      <c r="BB1197" s="1">
        <v>376</v>
      </c>
      <c r="BC1197" s="1">
        <v>384</v>
      </c>
      <c r="BD1197" s="1"/>
      <c r="BE1197" s="1" t="s">
        <v>7776</v>
      </c>
      <c r="BF1197" s="1" t="str">
        <f>HYPERLINK("http://dx.doi.org/10.1002/etc.3956","http://dx.doi.org/10.1002/etc.3956")</f>
        <v>http://dx.doi.org/10.1002/etc.3956</v>
      </c>
      <c r="BG1197" s="1"/>
      <c r="BH1197" s="1"/>
      <c r="BI1197" s="1"/>
      <c r="BJ1197" s="1"/>
      <c r="BK1197" s="1"/>
      <c r="BL1197" s="1"/>
      <c r="BM1197" s="1"/>
      <c r="BN1197" s="1">
        <v>28833442</v>
      </c>
      <c r="BO1197" s="1"/>
      <c r="BP1197" s="1"/>
      <c r="BQ1197" s="1"/>
      <c r="BR1197" s="1"/>
      <c r="BS1197" s="1" t="s">
        <v>7777</v>
      </c>
      <c r="BT1197" s="1" t="str">
        <f>HYPERLINK("https%3A%2F%2Fwww.webofscience.com%2Fwos%2Fwoscc%2Ffull-record%2FWOS:000423425700008","View Full Record in Web of Science")</f>
        <v>View Full Record in Web of Science</v>
      </c>
      <c r="BU1197" s="1"/>
      <c r="BV1197" s="1"/>
      <c r="BW1197" s="1"/>
    </row>
    <row r="1198" spans="1:75" ht="12.75" customHeight="1" x14ac:dyDescent="0.2">
      <c r="A1198" s="1" t="s">
        <v>72</v>
      </c>
      <c r="B1198" s="1" t="s">
        <v>7778</v>
      </c>
      <c r="C1198" s="1"/>
      <c r="D1198" s="1"/>
      <c r="E1198" s="1"/>
      <c r="F1198" s="1" t="s">
        <v>7779</v>
      </c>
      <c r="G1198" s="1"/>
      <c r="H1198" s="1"/>
      <c r="I1198" s="1" t="s">
        <v>7780</v>
      </c>
      <c r="J1198" s="1" t="s">
        <v>95</v>
      </c>
      <c r="K1198" s="1"/>
      <c r="L1198" s="1"/>
      <c r="M1198" s="1"/>
      <c r="N1198" s="1"/>
      <c r="O1198" s="1"/>
      <c r="P1198" s="1"/>
      <c r="Q1198" s="1"/>
      <c r="R1198" s="1"/>
      <c r="S1198" s="1"/>
      <c r="T1198" s="1"/>
      <c r="U1198" s="1"/>
      <c r="V1198" s="1"/>
      <c r="W1198" s="1"/>
      <c r="X1198" s="1"/>
      <c r="Y1198" s="1"/>
      <c r="Z1198" s="1"/>
      <c r="AA1198" s="1" t="s">
        <v>7781</v>
      </c>
      <c r="AB1198" s="1" t="s">
        <v>7782</v>
      </c>
      <c r="AC1198" s="1"/>
      <c r="AD1198" s="1"/>
      <c r="AE1198" s="1"/>
      <c r="AF1198" s="1"/>
      <c r="AG1198" s="1"/>
      <c r="AH1198" s="1"/>
      <c r="AI1198" s="1"/>
      <c r="AJ1198" s="1"/>
      <c r="AK1198" s="1"/>
      <c r="AL1198" s="1"/>
      <c r="AM1198" s="1"/>
      <c r="AN1198" s="1"/>
      <c r="AO1198" s="1" t="s">
        <v>98</v>
      </c>
      <c r="AP1198" s="1" t="s">
        <v>99</v>
      </c>
      <c r="AQ1198" s="1"/>
      <c r="AR1198" s="1"/>
      <c r="AS1198" s="1"/>
      <c r="AT1198" s="1"/>
      <c r="AU1198" s="1">
        <v>2022</v>
      </c>
      <c r="AV1198" s="1"/>
      <c r="AW1198" s="1">
        <v>2</v>
      </c>
      <c r="AX1198" s="1"/>
      <c r="AY1198" s="1"/>
      <c r="AZ1198" s="1"/>
      <c r="BA1198" s="1"/>
      <c r="BB1198" s="1">
        <v>6</v>
      </c>
      <c r="BC1198" s="1">
        <v>14</v>
      </c>
      <c r="BD1198" s="1"/>
      <c r="BE1198" s="1" t="s">
        <v>7783</v>
      </c>
      <c r="BF1198" s="1" t="str">
        <f>HYPERLINK("http://dx.doi.org/10.25750/1995-4301-2022-2-006-014","http://dx.doi.org/10.25750/1995-4301-2022-2-006-014")</f>
        <v>http://dx.doi.org/10.25750/1995-4301-2022-2-006-014</v>
      </c>
      <c r="BG1198" s="1"/>
      <c r="BH1198" s="1"/>
      <c r="BI1198" s="1"/>
      <c r="BJ1198" s="1"/>
      <c r="BK1198" s="1"/>
      <c r="BL1198" s="1"/>
      <c r="BM1198" s="1"/>
      <c r="BN1198" s="1"/>
      <c r="BO1198" s="1"/>
      <c r="BP1198" s="1"/>
      <c r="BQ1198" s="1"/>
      <c r="BR1198" s="1"/>
      <c r="BS1198" s="1" t="s">
        <v>7784</v>
      </c>
      <c r="BT1198" s="1" t="str">
        <f>HYPERLINK("https%3A%2F%2Fwww.webofscience.com%2Fwos%2Fwoscc%2Ffull-record%2FWOS:000820802000001","View Full Record in Web of Science")</f>
        <v>View Full Record in Web of Science</v>
      </c>
      <c r="BU1198" s="1"/>
      <c r="BV1198" s="1"/>
      <c r="BW1198" s="1"/>
    </row>
    <row r="1199" spans="1:75" ht="12.75" customHeight="1" x14ac:dyDescent="0.2">
      <c r="A1199" s="1" t="s">
        <v>72</v>
      </c>
      <c r="B1199" s="1" t="s">
        <v>7785</v>
      </c>
      <c r="C1199" s="1"/>
      <c r="D1199" s="1"/>
      <c r="E1199" s="1"/>
      <c r="F1199" s="1" t="s">
        <v>7786</v>
      </c>
      <c r="G1199" s="1"/>
      <c r="H1199" s="1"/>
      <c r="I1199" s="1" t="s">
        <v>7787</v>
      </c>
      <c r="J1199" s="1" t="s">
        <v>6322</v>
      </c>
      <c r="K1199" s="1"/>
      <c r="L1199" s="1"/>
      <c r="M1199" s="1"/>
      <c r="N1199" s="1"/>
      <c r="O1199" s="1"/>
      <c r="P1199" s="1"/>
      <c r="Q1199" s="1"/>
      <c r="R1199" s="1"/>
      <c r="S1199" s="1"/>
      <c r="T1199" s="1"/>
      <c r="U1199" s="1"/>
      <c r="V1199" s="1"/>
      <c r="W1199" s="1"/>
      <c r="X1199" s="1"/>
      <c r="Y1199" s="1"/>
      <c r="Z1199" s="1"/>
      <c r="AA1199" s="1" t="s">
        <v>7788</v>
      </c>
      <c r="AB1199" s="1" t="s">
        <v>7789</v>
      </c>
      <c r="AC1199" s="1"/>
      <c r="AD1199" s="1"/>
      <c r="AE1199" s="1"/>
      <c r="AF1199" s="1"/>
      <c r="AG1199" s="1"/>
      <c r="AH1199" s="1"/>
      <c r="AI1199" s="1"/>
      <c r="AJ1199" s="1"/>
      <c r="AK1199" s="1"/>
      <c r="AL1199" s="1"/>
      <c r="AM1199" s="1"/>
      <c r="AN1199" s="1"/>
      <c r="AO1199" s="1"/>
      <c r="AP1199" s="1" t="s">
        <v>6325</v>
      </c>
      <c r="AQ1199" s="1"/>
      <c r="AR1199" s="1"/>
      <c r="AS1199" s="1"/>
      <c r="AT1199" s="1" t="s">
        <v>403</v>
      </c>
      <c r="AU1199" s="1">
        <v>2022</v>
      </c>
      <c r="AV1199" s="1">
        <v>14</v>
      </c>
      <c r="AW1199" s="1">
        <v>23</v>
      </c>
      <c r="AX1199" s="1"/>
      <c r="AY1199" s="1"/>
      <c r="AZ1199" s="1"/>
      <c r="BA1199" s="1"/>
      <c r="BB1199" s="1"/>
      <c r="BC1199" s="1"/>
      <c r="BD1199" s="1">
        <v>5283</v>
      </c>
      <c r="BE1199" s="1" t="s">
        <v>7790</v>
      </c>
      <c r="BF1199" s="1" t="str">
        <f>HYPERLINK("http://dx.doi.org/10.3390/polym14235283","http://dx.doi.org/10.3390/polym14235283")</f>
        <v>http://dx.doi.org/10.3390/polym14235283</v>
      </c>
      <c r="BG1199" s="1"/>
      <c r="BH1199" s="1"/>
      <c r="BI1199" s="1"/>
      <c r="BJ1199" s="1"/>
      <c r="BK1199" s="1"/>
      <c r="BL1199" s="1"/>
      <c r="BM1199" s="1"/>
      <c r="BN1199" s="1">
        <v>36501681</v>
      </c>
      <c r="BO1199" s="1"/>
      <c r="BP1199" s="1"/>
      <c r="BQ1199" s="1"/>
      <c r="BR1199" s="1"/>
      <c r="BS1199" s="1" t="s">
        <v>7791</v>
      </c>
      <c r="BT1199" s="1" t="str">
        <f>HYPERLINK("https%3A%2F%2Fwww.webofscience.com%2Fwos%2Fwoscc%2Ffull-record%2FWOS:000896480200001","View Full Record in Web of Science")</f>
        <v>View Full Record in Web of Science</v>
      </c>
      <c r="BU1199" s="1"/>
      <c r="BV1199" s="1"/>
      <c r="BW1199" s="1"/>
    </row>
    <row r="1200" spans="1:75" ht="12.75" customHeight="1" x14ac:dyDescent="0.2">
      <c r="A1200" s="1" t="s">
        <v>147</v>
      </c>
      <c r="B1200" s="1" t="s">
        <v>7792</v>
      </c>
      <c r="C1200" s="1"/>
      <c r="D1200" s="1" t="s">
        <v>2517</v>
      </c>
      <c r="E1200" s="1"/>
      <c r="F1200" s="1" t="s">
        <v>7793</v>
      </c>
      <c r="G1200" s="1"/>
      <c r="H1200" s="1"/>
      <c r="I1200" s="1" t="s">
        <v>7794</v>
      </c>
      <c r="J1200" s="1" t="s">
        <v>7795</v>
      </c>
      <c r="K1200" s="1" t="s">
        <v>2521</v>
      </c>
      <c r="L1200" s="1"/>
      <c r="M1200" s="1"/>
      <c r="N1200" s="1"/>
      <c r="O1200" s="1" t="s">
        <v>7796</v>
      </c>
      <c r="P1200" s="1" t="s">
        <v>7797</v>
      </c>
      <c r="Q1200" s="1" t="s">
        <v>2524</v>
      </c>
      <c r="R1200" s="1" t="s">
        <v>7798</v>
      </c>
      <c r="S1200" s="1"/>
      <c r="T1200" s="1"/>
      <c r="U1200" s="1"/>
      <c r="V1200" s="1"/>
      <c r="W1200" s="1"/>
      <c r="X1200" s="1"/>
      <c r="Y1200" s="1"/>
      <c r="Z1200" s="1"/>
      <c r="AA1200" s="1" t="s">
        <v>7799</v>
      </c>
      <c r="AB1200" s="1" t="s">
        <v>7800</v>
      </c>
      <c r="AC1200" s="1"/>
      <c r="AD1200" s="1"/>
      <c r="AE1200" s="1"/>
      <c r="AF1200" s="1"/>
      <c r="AG1200" s="1"/>
      <c r="AH1200" s="1"/>
      <c r="AI1200" s="1"/>
      <c r="AJ1200" s="1"/>
      <c r="AK1200" s="1"/>
      <c r="AL1200" s="1"/>
      <c r="AM1200" s="1"/>
      <c r="AN1200" s="1"/>
      <c r="AO1200" s="1" t="s">
        <v>2527</v>
      </c>
      <c r="AP1200" s="1" t="s">
        <v>2528</v>
      </c>
      <c r="AQ1200" s="1"/>
      <c r="AR1200" s="1"/>
      <c r="AS1200" s="1"/>
      <c r="AT1200" s="1"/>
      <c r="AU1200" s="1">
        <v>2021</v>
      </c>
      <c r="AV1200" s="1"/>
      <c r="AW1200" s="1"/>
      <c r="AX1200" s="1"/>
      <c r="AY1200" s="1"/>
      <c r="AZ1200" s="1"/>
      <c r="BA1200" s="1"/>
      <c r="BB1200" s="1">
        <v>199</v>
      </c>
      <c r="BC1200" s="1">
        <v>204</v>
      </c>
      <c r="BD1200" s="1"/>
      <c r="BE1200" s="1" t="s">
        <v>7801</v>
      </c>
      <c r="BF1200" s="1" t="str">
        <f>HYPERLINK("http://dx.doi.org/10.22616/ERDev.2021.20.TF043","http://dx.doi.org/10.22616/ERDev.2021.20.TF043")</f>
        <v>http://dx.doi.org/10.22616/ERDev.2021.20.TF043</v>
      </c>
      <c r="BG1200" s="1"/>
      <c r="BH1200" s="1"/>
      <c r="BI1200" s="1"/>
      <c r="BJ1200" s="1"/>
      <c r="BK1200" s="1"/>
      <c r="BL1200" s="1"/>
      <c r="BM1200" s="1"/>
      <c r="BN1200" s="1"/>
      <c r="BO1200" s="1"/>
      <c r="BP1200" s="1"/>
      <c r="BQ1200" s="1"/>
      <c r="BR1200" s="1"/>
      <c r="BS1200" s="1" t="s">
        <v>7802</v>
      </c>
      <c r="BT1200" s="1" t="str">
        <f>HYPERLINK("https%3A%2F%2Fwww.webofscience.com%2Fwos%2Fwoscc%2Ffull-record%2FWOS:000817951600028","View Full Record in Web of Science")</f>
        <v>View Full Record in Web of Science</v>
      </c>
      <c r="BU1200" s="1"/>
      <c r="BV1200" s="1"/>
      <c r="BW1200" s="1"/>
    </row>
    <row r="1201" spans="1:75" ht="12.75" customHeight="1" x14ac:dyDescent="0.2">
      <c r="A1201" s="1" t="s">
        <v>147</v>
      </c>
      <c r="B1201" s="1" t="s">
        <v>7803</v>
      </c>
      <c r="C1201" s="1"/>
      <c r="D1201" s="1" t="s">
        <v>7804</v>
      </c>
      <c r="E1201" s="1"/>
      <c r="F1201" s="1" t="s">
        <v>7805</v>
      </c>
      <c r="G1201" s="1"/>
      <c r="H1201" s="1"/>
      <c r="I1201" s="1" t="s">
        <v>7806</v>
      </c>
      <c r="J1201" s="1" t="s">
        <v>7807</v>
      </c>
      <c r="K1201" s="1" t="s">
        <v>1669</v>
      </c>
      <c r="L1201" s="1"/>
      <c r="M1201" s="1"/>
      <c r="N1201" s="1"/>
      <c r="O1201" s="1" t="s">
        <v>7808</v>
      </c>
      <c r="P1201" s="1" t="s">
        <v>7809</v>
      </c>
      <c r="Q1201" s="1" t="s">
        <v>7810</v>
      </c>
      <c r="R1201" s="1" t="s">
        <v>7811</v>
      </c>
      <c r="S1201" s="1"/>
      <c r="T1201" s="1"/>
      <c r="U1201" s="1"/>
      <c r="V1201" s="1"/>
      <c r="W1201" s="1"/>
      <c r="X1201" s="1"/>
      <c r="Y1201" s="1"/>
      <c r="Z1201" s="1"/>
      <c r="AA1201" s="1"/>
      <c r="AB1201" s="1" t="s">
        <v>7812</v>
      </c>
      <c r="AC1201" s="1"/>
      <c r="AD1201" s="1"/>
      <c r="AE1201" s="1"/>
      <c r="AF1201" s="1"/>
      <c r="AG1201" s="1"/>
      <c r="AH1201" s="1"/>
      <c r="AI1201" s="1"/>
      <c r="AJ1201" s="1"/>
      <c r="AK1201" s="1"/>
      <c r="AL1201" s="1"/>
      <c r="AM1201" s="1"/>
      <c r="AN1201" s="1"/>
      <c r="AO1201" s="1" t="s">
        <v>1675</v>
      </c>
      <c r="AP1201" s="1" t="s">
        <v>1676</v>
      </c>
      <c r="AQ1201" s="1" t="s">
        <v>7813</v>
      </c>
      <c r="AR1201" s="1"/>
      <c r="AS1201" s="1"/>
      <c r="AT1201" s="1"/>
      <c r="AU1201" s="1">
        <v>2019</v>
      </c>
      <c r="AV1201" s="1">
        <v>1063</v>
      </c>
      <c r="AW1201" s="1"/>
      <c r="AX1201" s="1"/>
      <c r="AY1201" s="1"/>
      <c r="AZ1201" s="1"/>
      <c r="BA1201" s="1"/>
      <c r="BB1201" s="1">
        <v>211</v>
      </c>
      <c r="BC1201" s="1">
        <v>224</v>
      </c>
      <c r="BD1201" s="1"/>
      <c r="BE1201" s="1" t="s">
        <v>7814</v>
      </c>
      <c r="BF1201" s="1" t="str">
        <f>HYPERLINK("http://dx.doi.org/10.1007/978-3-030-28163-2_15","http://dx.doi.org/10.1007/978-3-030-28163-2_15")</f>
        <v>http://dx.doi.org/10.1007/978-3-030-28163-2_15</v>
      </c>
      <c r="BG1201" s="1"/>
      <c r="BH1201" s="1"/>
      <c r="BI1201" s="1"/>
      <c r="BJ1201" s="1"/>
      <c r="BK1201" s="1"/>
      <c r="BL1201" s="1"/>
      <c r="BM1201" s="1"/>
      <c r="BN1201" s="1"/>
      <c r="BO1201" s="1"/>
      <c r="BP1201" s="1"/>
      <c r="BQ1201" s="1"/>
      <c r="BR1201" s="1"/>
      <c r="BS1201" s="1" t="s">
        <v>7815</v>
      </c>
      <c r="BT1201" s="1" t="str">
        <f>HYPERLINK("https%3A%2F%2Fwww.webofscience.com%2Fwos%2Fwoscc%2Ffull-record%2FWOS:000558285700015","View Full Record in Web of Science")</f>
        <v>View Full Record in Web of Science</v>
      </c>
      <c r="BU1201" s="1"/>
      <c r="BV1201" s="1"/>
      <c r="BW1201" s="1"/>
    </row>
    <row r="1202" spans="1:75" ht="12.75" customHeight="1" x14ac:dyDescent="0.2">
      <c r="A1202" s="1" t="s">
        <v>72</v>
      </c>
      <c r="B1202" s="1" t="s">
        <v>7816</v>
      </c>
      <c r="C1202" s="1"/>
      <c r="D1202" s="1"/>
      <c r="E1202" s="1"/>
      <c r="F1202" s="1" t="s">
        <v>7817</v>
      </c>
      <c r="G1202" s="1"/>
      <c r="H1202" s="1"/>
      <c r="I1202" s="1" t="s">
        <v>7818</v>
      </c>
      <c r="J1202" s="1" t="s">
        <v>95</v>
      </c>
      <c r="K1202" s="1"/>
      <c r="L1202" s="1"/>
      <c r="M1202" s="1"/>
      <c r="N1202" s="1"/>
      <c r="O1202" s="1"/>
      <c r="P1202" s="1"/>
      <c r="Q1202" s="1"/>
      <c r="R1202" s="1"/>
      <c r="S1202" s="1"/>
      <c r="T1202" s="1"/>
      <c r="U1202" s="1"/>
      <c r="V1202" s="1"/>
      <c r="W1202" s="1"/>
      <c r="X1202" s="1"/>
      <c r="Y1202" s="1"/>
      <c r="Z1202" s="1"/>
      <c r="AA1202" s="1" t="s">
        <v>7819</v>
      </c>
      <c r="AB1202" s="1" t="s">
        <v>7820</v>
      </c>
      <c r="AC1202" s="1"/>
      <c r="AD1202" s="1"/>
      <c r="AE1202" s="1"/>
      <c r="AF1202" s="1"/>
      <c r="AG1202" s="1"/>
      <c r="AH1202" s="1"/>
      <c r="AI1202" s="1"/>
      <c r="AJ1202" s="1"/>
      <c r="AK1202" s="1"/>
      <c r="AL1202" s="1"/>
      <c r="AM1202" s="1"/>
      <c r="AN1202" s="1"/>
      <c r="AO1202" s="1" t="s">
        <v>98</v>
      </c>
      <c r="AP1202" s="1" t="s">
        <v>99</v>
      </c>
      <c r="AQ1202" s="1"/>
      <c r="AR1202" s="1"/>
      <c r="AS1202" s="1"/>
      <c r="AT1202" s="1"/>
      <c r="AU1202" s="1">
        <v>2018</v>
      </c>
      <c r="AV1202" s="1"/>
      <c r="AW1202" s="1">
        <v>2</v>
      </c>
      <c r="AX1202" s="1"/>
      <c r="AY1202" s="1"/>
      <c r="AZ1202" s="1"/>
      <c r="BA1202" s="1"/>
      <c r="BB1202" s="1">
        <v>87</v>
      </c>
      <c r="BC1202" s="1">
        <v>93</v>
      </c>
      <c r="BD1202" s="1"/>
      <c r="BE1202" s="1" t="s">
        <v>7821</v>
      </c>
      <c r="BF1202" s="1" t="str">
        <f>HYPERLINK("http://dx.doi.org/10.25750/1995-4301-2018-2-087-093","http://dx.doi.org/10.25750/1995-4301-2018-2-087-093")</f>
        <v>http://dx.doi.org/10.25750/1995-4301-2018-2-087-093</v>
      </c>
      <c r="BG1202" s="1"/>
      <c r="BH1202" s="1"/>
      <c r="BI1202" s="1"/>
      <c r="BJ1202" s="1"/>
      <c r="BK1202" s="1"/>
      <c r="BL1202" s="1"/>
      <c r="BM1202" s="1"/>
      <c r="BN1202" s="1"/>
      <c r="BO1202" s="1"/>
      <c r="BP1202" s="1"/>
      <c r="BQ1202" s="1"/>
      <c r="BR1202" s="1"/>
      <c r="BS1202" s="1" t="s">
        <v>7822</v>
      </c>
      <c r="BT1202" s="1" t="str">
        <f>HYPERLINK("https%3A%2F%2Fwww.webofscience.com%2Fwos%2Fwoscc%2Ffull-record%2FWOS:000468564500011","View Full Record in Web of Science")</f>
        <v>View Full Record in Web of Science</v>
      </c>
      <c r="BU1202" s="1"/>
      <c r="BV1202" s="1"/>
      <c r="BW1202" s="1"/>
    </row>
    <row r="1203" spans="1:75" ht="12.75" customHeight="1" x14ac:dyDescent="0.2">
      <c r="A1203" s="1" t="s">
        <v>147</v>
      </c>
      <c r="B1203" s="1" t="s">
        <v>7823</v>
      </c>
      <c r="C1203" s="1"/>
      <c r="D1203" s="1"/>
      <c r="E1203" s="1" t="s">
        <v>210</v>
      </c>
      <c r="F1203" s="1" t="s">
        <v>7824</v>
      </c>
      <c r="G1203" s="1"/>
      <c r="H1203" s="1"/>
      <c r="I1203" s="1" t="s">
        <v>7825</v>
      </c>
      <c r="J1203" s="1" t="s">
        <v>7826</v>
      </c>
      <c r="K1203" s="1" t="s">
        <v>2589</v>
      </c>
      <c r="L1203" s="1"/>
      <c r="M1203" s="1"/>
      <c r="N1203" s="1"/>
      <c r="O1203" s="1" t="s">
        <v>2590</v>
      </c>
      <c r="P1203" s="1" t="s">
        <v>7827</v>
      </c>
      <c r="Q1203" s="1" t="s">
        <v>7828</v>
      </c>
      <c r="R1203" s="1" t="s">
        <v>7829</v>
      </c>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t="s">
        <v>2593</v>
      </c>
      <c r="AP1203" s="1"/>
      <c r="AQ1203" s="1" t="s">
        <v>7830</v>
      </c>
      <c r="AR1203" s="1"/>
      <c r="AS1203" s="1"/>
      <c r="AT1203" s="1"/>
      <c r="AU1203" s="1">
        <v>2013</v>
      </c>
      <c r="AV1203" s="1"/>
      <c r="AW1203" s="1"/>
      <c r="AX1203" s="1"/>
      <c r="AY1203" s="1"/>
      <c r="AZ1203" s="1"/>
      <c r="BA1203" s="1"/>
      <c r="BB1203" s="1"/>
      <c r="BC1203" s="1"/>
      <c r="BD1203" s="1"/>
      <c r="BE1203" s="1"/>
      <c r="BF1203" s="1"/>
      <c r="BG1203" s="1"/>
      <c r="BH1203" s="1"/>
      <c r="BI1203" s="1"/>
      <c r="BJ1203" s="1"/>
      <c r="BK1203" s="1"/>
      <c r="BL1203" s="1"/>
      <c r="BM1203" s="1"/>
      <c r="BN1203" s="1"/>
      <c r="BO1203" s="1"/>
      <c r="BP1203" s="1"/>
      <c r="BQ1203" s="1"/>
      <c r="BR1203" s="1"/>
      <c r="BS1203" s="1" t="s">
        <v>7831</v>
      </c>
      <c r="BT1203" s="1" t="str">
        <f>HYPERLINK("https%3A%2F%2Fwww.webofscience.com%2Fwos%2Fwoscc%2Ffull-record%2FWOS:000349557200073","View Full Record in Web of Science")</f>
        <v>View Full Record in Web of Science</v>
      </c>
      <c r="BU1203" s="1"/>
      <c r="BV1203" s="1"/>
      <c r="BW1203" s="1"/>
    </row>
    <row r="1204" spans="1:75" ht="12.75" customHeight="1" x14ac:dyDescent="0.2">
      <c r="A1204" s="1" t="s">
        <v>72</v>
      </c>
      <c r="B1204" s="1" t="s">
        <v>7832</v>
      </c>
      <c r="C1204" s="1"/>
      <c r="D1204" s="1"/>
      <c r="E1204" s="1"/>
      <c r="F1204" s="1" t="s">
        <v>7833</v>
      </c>
      <c r="G1204" s="1"/>
      <c r="H1204" s="1"/>
      <c r="I1204" s="1" t="s">
        <v>7834</v>
      </c>
      <c r="J1204" s="1" t="s">
        <v>971</v>
      </c>
      <c r="K1204" s="1"/>
      <c r="L1204" s="1"/>
      <c r="M1204" s="1"/>
      <c r="N1204" s="1"/>
      <c r="O1204" s="1"/>
      <c r="P1204" s="1"/>
      <c r="Q1204" s="1"/>
      <c r="R1204" s="1"/>
      <c r="S1204" s="1"/>
      <c r="T1204" s="1"/>
      <c r="U1204" s="1"/>
      <c r="V1204" s="1"/>
      <c r="W1204" s="1"/>
      <c r="X1204" s="1"/>
      <c r="Y1204" s="1"/>
      <c r="Z1204" s="1"/>
      <c r="AA1204" s="1" t="s">
        <v>7835</v>
      </c>
      <c r="AB1204" s="1" t="s">
        <v>7836</v>
      </c>
      <c r="AC1204" s="1"/>
      <c r="AD1204" s="1"/>
      <c r="AE1204" s="1"/>
      <c r="AF1204" s="1"/>
      <c r="AG1204" s="1"/>
      <c r="AH1204" s="1"/>
      <c r="AI1204" s="1"/>
      <c r="AJ1204" s="1"/>
      <c r="AK1204" s="1"/>
      <c r="AL1204" s="1"/>
      <c r="AM1204" s="1"/>
      <c r="AN1204" s="1"/>
      <c r="AO1204" s="1" t="s">
        <v>973</v>
      </c>
      <c r="AP1204" s="1" t="s">
        <v>974</v>
      </c>
      <c r="AQ1204" s="1"/>
      <c r="AR1204" s="1"/>
      <c r="AS1204" s="1"/>
      <c r="AT1204" s="1" t="s">
        <v>1173</v>
      </c>
      <c r="AU1204" s="1">
        <v>2022</v>
      </c>
      <c r="AV1204" s="1">
        <v>58</v>
      </c>
      <c r="AW1204" s="1">
        <v>4</v>
      </c>
      <c r="AX1204" s="1"/>
      <c r="AY1204" s="1"/>
      <c r="AZ1204" s="1"/>
      <c r="BA1204" s="1"/>
      <c r="BB1204" s="1">
        <v>394</v>
      </c>
      <c r="BC1204" s="1">
        <v>400</v>
      </c>
      <c r="BD1204" s="1"/>
      <c r="BE1204" s="1" t="s">
        <v>7837</v>
      </c>
      <c r="BF1204" s="1" t="str">
        <f>HYPERLINK("http://dx.doi.org/10.1134/S0003683822040081","http://dx.doi.org/10.1134/S0003683822040081")</f>
        <v>http://dx.doi.org/10.1134/S0003683822040081</v>
      </c>
      <c r="BG1204" s="1"/>
      <c r="BH1204" s="1"/>
      <c r="BI1204" s="1"/>
      <c r="BJ1204" s="1"/>
      <c r="BK1204" s="1"/>
      <c r="BL1204" s="1"/>
      <c r="BM1204" s="1"/>
      <c r="BN1204" s="1"/>
      <c r="BO1204" s="1"/>
      <c r="BP1204" s="1"/>
      <c r="BQ1204" s="1"/>
      <c r="BR1204" s="1"/>
      <c r="BS1204" s="1" t="s">
        <v>7838</v>
      </c>
      <c r="BT1204" s="1" t="str">
        <f>HYPERLINK("https%3A%2F%2Fwww.webofscience.com%2Fwos%2Fwoscc%2Ffull-record%2FWOS:000824879100006","View Full Record in Web of Science")</f>
        <v>View Full Record in Web of Science</v>
      </c>
      <c r="BU1204" s="1"/>
      <c r="BV1204" s="1"/>
      <c r="BW1204" s="1"/>
    </row>
    <row r="1205" spans="1:75" ht="12.75" customHeight="1" x14ac:dyDescent="0.2">
      <c r="A1205" s="1" t="s">
        <v>72</v>
      </c>
      <c r="B1205" s="1" t="s">
        <v>7839</v>
      </c>
      <c r="C1205" s="1"/>
      <c r="D1205" s="1"/>
      <c r="E1205" s="1"/>
      <c r="F1205" s="1" t="s">
        <v>7840</v>
      </c>
      <c r="G1205" s="1"/>
      <c r="H1205" s="1"/>
      <c r="I1205" s="1" t="s">
        <v>7841</v>
      </c>
      <c r="J1205" s="1" t="s">
        <v>7842</v>
      </c>
      <c r="K1205" s="1"/>
      <c r="L1205" s="1"/>
      <c r="M1205" s="1"/>
      <c r="N1205" s="1"/>
      <c r="O1205" s="1"/>
      <c r="P1205" s="1"/>
      <c r="Q1205" s="1"/>
      <c r="R1205" s="1"/>
      <c r="S1205" s="1"/>
      <c r="T1205" s="1"/>
      <c r="U1205" s="1"/>
      <c r="V1205" s="1"/>
      <c r="W1205" s="1"/>
      <c r="X1205" s="1"/>
      <c r="Y1205" s="1"/>
      <c r="Z1205" s="1"/>
      <c r="AA1205" s="1" t="s">
        <v>7843</v>
      </c>
      <c r="AB1205" s="1" t="s">
        <v>7844</v>
      </c>
      <c r="AC1205" s="1"/>
      <c r="AD1205" s="1"/>
      <c r="AE1205" s="1"/>
      <c r="AF1205" s="1"/>
      <c r="AG1205" s="1"/>
      <c r="AH1205" s="1"/>
      <c r="AI1205" s="1"/>
      <c r="AJ1205" s="1"/>
      <c r="AK1205" s="1"/>
      <c r="AL1205" s="1"/>
      <c r="AM1205" s="1"/>
      <c r="AN1205" s="1"/>
      <c r="AO1205" s="1" t="s">
        <v>7845</v>
      </c>
      <c r="AP1205" s="1"/>
      <c r="AQ1205" s="1"/>
      <c r="AR1205" s="1"/>
      <c r="AS1205" s="1"/>
      <c r="AT1205" s="1" t="s">
        <v>7846</v>
      </c>
      <c r="AU1205" s="1">
        <v>2022</v>
      </c>
      <c r="AV1205" s="1">
        <v>12</v>
      </c>
      <c r="AW1205" s="1"/>
      <c r="AX1205" s="1"/>
      <c r="AY1205" s="1"/>
      <c r="AZ1205" s="1" t="s">
        <v>339</v>
      </c>
      <c r="BA1205" s="1"/>
      <c r="BB1205" s="1"/>
      <c r="BC1205" s="1"/>
      <c r="BD1205" s="1"/>
      <c r="BE1205" s="1"/>
      <c r="BF1205" s="1"/>
      <c r="BG1205" s="1"/>
      <c r="BH1205" s="1"/>
      <c r="BI1205" s="1"/>
      <c r="BJ1205" s="1"/>
      <c r="BK1205" s="1"/>
      <c r="BL1205" s="1"/>
      <c r="BM1205" s="1"/>
      <c r="BN1205" s="1"/>
      <c r="BO1205" s="1"/>
      <c r="BP1205" s="1"/>
      <c r="BQ1205" s="1"/>
      <c r="BR1205" s="1"/>
      <c r="BS1205" s="1" t="s">
        <v>7847</v>
      </c>
      <c r="BT1205" s="1" t="str">
        <f>HYPERLINK("https%3A%2F%2Fwww.webofscience.com%2Fwos%2Fwoscc%2Ffull-record%2FWOS:000934358700002","View Full Record in Web of Science")</f>
        <v>View Full Record in Web of Science</v>
      </c>
      <c r="BU1205" s="1"/>
      <c r="BV1205" s="1"/>
      <c r="BW1205" s="1"/>
    </row>
    <row r="1206" spans="1:75" ht="12.75" customHeight="1" x14ac:dyDescent="0.2">
      <c r="A1206" s="1" t="s">
        <v>72</v>
      </c>
      <c r="B1206" s="1" t="s">
        <v>7848</v>
      </c>
      <c r="C1206" s="1"/>
      <c r="D1206" s="1"/>
      <c r="E1206" s="1"/>
      <c r="F1206" s="1" t="s">
        <v>7849</v>
      </c>
      <c r="G1206" s="1"/>
      <c r="H1206" s="1"/>
      <c r="I1206" s="1" t="s">
        <v>7850</v>
      </c>
      <c r="J1206" s="1" t="s">
        <v>95</v>
      </c>
      <c r="K1206" s="1"/>
      <c r="L1206" s="1"/>
      <c r="M1206" s="1"/>
      <c r="N1206" s="1"/>
      <c r="O1206" s="1"/>
      <c r="P1206" s="1"/>
      <c r="Q1206" s="1"/>
      <c r="R1206" s="1"/>
      <c r="S1206" s="1"/>
      <c r="T1206" s="1"/>
      <c r="U1206" s="1"/>
      <c r="V1206" s="1"/>
      <c r="W1206" s="1"/>
      <c r="X1206" s="1"/>
      <c r="Y1206" s="1"/>
      <c r="Z1206" s="1"/>
      <c r="AA1206" s="1"/>
      <c r="AB1206" s="1" t="s">
        <v>7851</v>
      </c>
      <c r="AC1206" s="1"/>
      <c r="AD1206" s="1"/>
      <c r="AE1206" s="1"/>
      <c r="AF1206" s="1"/>
      <c r="AG1206" s="1"/>
      <c r="AH1206" s="1"/>
      <c r="AI1206" s="1"/>
      <c r="AJ1206" s="1"/>
      <c r="AK1206" s="1"/>
      <c r="AL1206" s="1"/>
      <c r="AM1206" s="1"/>
      <c r="AN1206" s="1"/>
      <c r="AO1206" s="1" t="s">
        <v>98</v>
      </c>
      <c r="AP1206" s="1" t="s">
        <v>99</v>
      </c>
      <c r="AQ1206" s="1"/>
      <c r="AR1206" s="1"/>
      <c r="AS1206" s="1"/>
      <c r="AT1206" s="1"/>
      <c r="AU1206" s="1">
        <v>2022</v>
      </c>
      <c r="AV1206" s="1"/>
      <c r="AW1206" s="1">
        <v>4</v>
      </c>
      <c r="AX1206" s="1"/>
      <c r="AY1206" s="1"/>
      <c r="AZ1206" s="1"/>
      <c r="BA1206" s="1"/>
      <c r="BB1206" s="1">
        <v>6</v>
      </c>
      <c r="BC1206" s="1">
        <v>13</v>
      </c>
      <c r="BD1206" s="1"/>
      <c r="BE1206" s="1" t="s">
        <v>7852</v>
      </c>
      <c r="BF1206" s="1" t="str">
        <f>HYPERLINK("http://dx.doi.org/10.25750/1995-4301-2022-4-006-013","http://dx.doi.org/10.25750/1995-4301-2022-4-006-013")</f>
        <v>http://dx.doi.org/10.25750/1995-4301-2022-4-006-013</v>
      </c>
      <c r="BG1206" s="1"/>
      <c r="BH1206" s="1"/>
      <c r="BI1206" s="1"/>
      <c r="BJ1206" s="1"/>
      <c r="BK1206" s="1"/>
      <c r="BL1206" s="1"/>
      <c r="BM1206" s="1"/>
      <c r="BN1206" s="1"/>
      <c r="BO1206" s="1"/>
      <c r="BP1206" s="1"/>
      <c r="BQ1206" s="1"/>
      <c r="BR1206" s="1"/>
      <c r="BS1206" s="1" t="s">
        <v>7853</v>
      </c>
      <c r="BT1206" s="1" t="str">
        <f>HYPERLINK("https%3A%2F%2Fwww.webofscience.com%2Fwos%2Fwoscc%2Ffull-record%2FWOS:000929704700001","View Full Record in Web of Science")</f>
        <v>View Full Record in Web of Science</v>
      </c>
      <c r="BU1206" s="1"/>
      <c r="BV1206" s="1"/>
      <c r="BW1206" s="1"/>
    </row>
    <row r="1207" spans="1:75" ht="12.75" customHeight="1" x14ac:dyDescent="0.2">
      <c r="A1207" s="1" t="s">
        <v>72</v>
      </c>
      <c r="B1207" s="1" t="s">
        <v>7854</v>
      </c>
      <c r="C1207" s="1"/>
      <c r="D1207" s="1"/>
      <c r="E1207" s="1"/>
      <c r="F1207" s="1" t="s">
        <v>7855</v>
      </c>
      <c r="G1207" s="1"/>
      <c r="H1207" s="1"/>
      <c r="I1207" s="1" t="s">
        <v>7856</v>
      </c>
      <c r="J1207" s="1" t="s">
        <v>7857</v>
      </c>
      <c r="K1207" s="1"/>
      <c r="L1207" s="1"/>
      <c r="M1207" s="1"/>
      <c r="N1207" s="1"/>
      <c r="O1207" s="1"/>
      <c r="P1207" s="1"/>
      <c r="Q1207" s="1"/>
      <c r="R1207" s="1"/>
      <c r="S1207" s="1"/>
      <c r="T1207" s="1"/>
      <c r="U1207" s="1"/>
      <c r="V1207" s="1"/>
      <c r="W1207" s="1"/>
      <c r="X1207" s="1"/>
      <c r="Y1207" s="1"/>
      <c r="Z1207" s="1"/>
      <c r="AA1207" s="1" t="s">
        <v>7858</v>
      </c>
      <c r="AB1207" s="1" t="s">
        <v>7859</v>
      </c>
      <c r="AC1207" s="1"/>
      <c r="AD1207" s="1"/>
      <c r="AE1207" s="1"/>
      <c r="AF1207" s="1"/>
      <c r="AG1207" s="1"/>
      <c r="AH1207" s="1"/>
      <c r="AI1207" s="1"/>
      <c r="AJ1207" s="1"/>
      <c r="AK1207" s="1"/>
      <c r="AL1207" s="1"/>
      <c r="AM1207" s="1"/>
      <c r="AN1207" s="1"/>
      <c r="AO1207" s="1" t="s">
        <v>7860</v>
      </c>
      <c r="AP1207" s="1" t="s">
        <v>7861</v>
      </c>
      <c r="AQ1207" s="1"/>
      <c r="AR1207" s="1"/>
      <c r="AS1207" s="1"/>
      <c r="AT1207" s="1" t="s">
        <v>125</v>
      </c>
      <c r="AU1207" s="1">
        <v>2019</v>
      </c>
      <c r="AV1207" s="1">
        <v>12</v>
      </c>
      <c r="AW1207" s="1">
        <v>3</v>
      </c>
      <c r="AX1207" s="1"/>
      <c r="AY1207" s="1"/>
      <c r="AZ1207" s="1"/>
      <c r="BA1207" s="1"/>
      <c r="BB1207" s="1">
        <v>759</v>
      </c>
      <c r="BC1207" s="1">
        <v>780</v>
      </c>
      <c r="BD1207" s="1"/>
      <c r="BE1207" s="1" t="s">
        <v>7862</v>
      </c>
      <c r="BF1207" s="1" t="str">
        <f>HYPERLINK("http://dx.doi.org/10.29333/iji.2019.12346a","http://dx.doi.org/10.29333/iji.2019.12346a")</f>
        <v>http://dx.doi.org/10.29333/iji.2019.12346a</v>
      </c>
      <c r="BG1207" s="1"/>
      <c r="BH1207" s="1"/>
      <c r="BI1207" s="1"/>
      <c r="BJ1207" s="1"/>
      <c r="BK1207" s="1"/>
      <c r="BL1207" s="1"/>
      <c r="BM1207" s="1"/>
      <c r="BN1207" s="1"/>
      <c r="BO1207" s="1"/>
      <c r="BP1207" s="1"/>
      <c r="BQ1207" s="1"/>
      <c r="BR1207" s="1"/>
      <c r="BS1207" s="1" t="s">
        <v>7863</v>
      </c>
      <c r="BT1207" s="1" t="str">
        <f>HYPERLINK("https%3A%2F%2Fwww.webofscience.com%2Fwos%2Fwoscc%2Ffull-record%2FWOS:000473529000047","View Full Record in Web of Science")</f>
        <v>View Full Record in Web of Science</v>
      </c>
      <c r="BU1207" s="1"/>
      <c r="BV1207" s="1"/>
      <c r="BW1207" s="1"/>
    </row>
    <row r="1208" spans="1:75" ht="12.75" customHeight="1" x14ac:dyDescent="0.2">
      <c r="A1208" s="1" t="s">
        <v>72</v>
      </c>
      <c r="B1208" s="1" t="s">
        <v>7864</v>
      </c>
      <c r="C1208" s="1"/>
      <c r="D1208" s="1"/>
      <c r="E1208" s="1"/>
      <c r="F1208" s="1" t="s">
        <v>7865</v>
      </c>
      <c r="G1208" s="1"/>
      <c r="H1208" s="1"/>
      <c r="I1208" s="1" t="s">
        <v>7866</v>
      </c>
      <c r="J1208" s="1" t="s">
        <v>95</v>
      </c>
      <c r="K1208" s="1"/>
      <c r="L1208" s="1"/>
      <c r="M1208" s="1"/>
      <c r="N1208" s="1"/>
      <c r="O1208" s="1"/>
      <c r="P1208" s="1"/>
      <c r="Q1208" s="1"/>
      <c r="R1208" s="1"/>
      <c r="S1208" s="1"/>
      <c r="T1208" s="1"/>
      <c r="U1208" s="1"/>
      <c r="V1208" s="1"/>
      <c r="W1208" s="1"/>
      <c r="X1208" s="1"/>
      <c r="Y1208" s="1"/>
      <c r="Z1208" s="1"/>
      <c r="AA1208" s="1" t="s">
        <v>7867</v>
      </c>
      <c r="AB1208" s="1" t="s">
        <v>7868</v>
      </c>
      <c r="AC1208" s="1"/>
      <c r="AD1208" s="1"/>
      <c r="AE1208" s="1"/>
      <c r="AF1208" s="1"/>
      <c r="AG1208" s="1"/>
      <c r="AH1208" s="1"/>
      <c r="AI1208" s="1"/>
      <c r="AJ1208" s="1"/>
      <c r="AK1208" s="1"/>
      <c r="AL1208" s="1"/>
      <c r="AM1208" s="1"/>
      <c r="AN1208" s="1"/>
      <c r="AO1208" s="1" t="s">
        <v>98</v>
      </c>
      <c r="AP1208" s="1" t="s">
        <v>99</v>
      </c>
      <c r="AQ1208" s="1"/>
      <c r="AR1208" s="1"/>
      <c r="AS1208" s="1"/>
      <c r="AT1208" s="1"/>
      <c r="AU1208" s="1">
        <v>2019</v>
      </c>
      <c r="AV1208" s="1"/>
      <c r="AW1208" s="1">
        <v>2</v>
      </c>
      <c r="AX1208" s="1"/>
      <c r="AY1208" s="1"/>
      <c r="AZ1208" s="1"/>
      <c r="BA1208" s="1"/>
      <c r="BB1208" s="1">
        <v>53</v>
      </c>
      <c r="BC1208" s="1">
        <v>60</v>
      </c>
      <c r="BD1208" s="1"/>
      <c r="BE1208" s="1" t="s">
        <v>7869</v>
      </c>
      <c r="BF1208" s="1" t="str">
        <f>HYPERLINK("http://dx.doi.org/10.25750/1995-4301-2019-2-053-060","http://dx.doi.org/10.25750/1995-4301-2019-2-053-060")</f>
        <v>http://dx.doi.org/10.25750/1995-4301-2019-2-053-060</v>
      </c>
      <c r="BG1208" s="1"/>
      <c r="BH1208" s="1"/>
      <c r="BI1208" s="1"/>
      <c r="BJ1208" s="1"/>
      <c r="BK1208" s="1"/>
      <c r="BL1208" s="1"/>
      <c r="BM1208" s="1"/>
      <c r="BN1208" s="1"/>
      <c r="BO1208" s="1"/>
      <c r="BP1208" s="1"/>
      <c r="BQ1208" s="1"/>
      <c r="BR1208" s="1"/>
      <c r="BS1208" s="1" t="s">
        <v>7870</v>
      </c>
      <c r="BT1208" s="1" t="str">
        <f>HYPERLINK("https%3A%2F%2Fwww.webofscience.com%2Fwos%2Fwoscc%2Ffull-record%2FWOS:000477826000006","View Full Record in Web of Science")</f>
        <v>View Full Record in Web of Science</v>
      </c>
      <c r="BU1208" s="1"/>
      <c r="BV1208" s="1"/>
      <c r="BW1208" s="1"/>
    </row>
    <row r="1209" spans="1:75" ht="12.75" customHeight="1" x14ac:dyDescent="0.2">
      <c r="A1209" s="1" t="s">
        <v>72</v>
      </c>
      <c r="B1209" s="1" t="s">
        <v>7871</v>
      </c>
      <c r="C1209" s="1"/>
      <c r="D1209" s="1"/>
      <c r="E1209" s="1"/>
      <c r="F1209" s="1" t="s">
        <v>7872</v>
      </c>
      <c r="G1209" s="1"/>
      <c r="H1209" s="1"/>
      <c r="I1209" s="1" t="s">
        <v>7873</v>
      </c>
      <c r="J1209" s="1" t="s">
        <v>7874</v>
      </c>
      <c r="K1209" s="1"/>
      <c r="L1209" s="1"/>
      <c r="M1209" s="1"/>
      <c r="N1209" s="1"/>
      <c r="O1209" s="1"/>
      <c r="P1209" s="1"/>
      <c r="Q1209" s="1"/>
      <c r="R1209" s="1"/>
      <c r="S1209" s="1"/>
      <c r="T1209" s="1"/>
      <c r="U1209" s="1"/>
      <c r="V1209" s="1"/>
      <c r="W1209" s="1"/>
      <c r="X1209" s="1"/>
      <c r="Y1209" s="1"/>
      <c r="Z1209" s="1"/>
      <c r="AA1209" s="1" t="s">
        <v>7875</v>
      </c>
      <c r="AB1209" s="1" t="s">
        <v>7876</v>
      </c>
      <c r="AC1209" s="1"/>
      <c r="AD1209" s="1"/>
      <c r="AE1209" s="1"/>
      <c r="AF1209" s="1"/>
      <c r="AG1209" s="1"/>
      <c r="AH1209" s="1"/>
      <c r="AI1209" s="1"/>
      <c r="AJ1209" s="1"/>
      <c r="AK1209" s="1"/>
      <c r="AL1209" s="1"/>
      <c r="AM1209" s="1"/>
      <c r="AN1209" s="1"/>
      <c r="AO1209" s="1" t="s">
        <v>7877</v>
      </c>
      <c r="AP1209" s="1" t="s">
        <v>7878</v>
      </c>
      <c r="AQ1209" s="1"/>
      <c r="AR1209" s="1"/>
      <c r="AS1209" s="1"/>
      <c r="AT1209" s="1"/>
      <c r="AU1209" s="1">
        <v>2017</v>
      </c>
      <c r="AV1209" s="1">
        <v>28</v>
      </c>
      <c r="AW1209" s="1">
        <v>3</v>
      </c>
      <c r="AX1209" s="1"/>
      <c r="AY1209" s="1"/>
      <c r="AZ1209" s="1"/>
      <c r="BA1209" s="1"/>
      <c r="BB1209" s="1">
        <v>293</v>
      </c>
      <c r="BC1209" s="1">
        <v>311</v>
      </c>
      <c r="BD1209" s="1"/>
      <c r="BE1209" s="1" t="s">
        <v>7879</v>
      </c>
      <c r="BF1209" s="1" t="str">
        <f>HYPERLINK("http://dx.doi.org/10.1080/09205063.2016.1268461","http://dx.doi.org/10.1080/09205063.2016.1268461")</f>
        <v>http://dx.doi.org/10.1080/09205063.2016.1268461</v>
      </c>
      <c r="BG1209" s="1"/>
      <c r="BH1209" s="1"/>
      <c r="BI1209" s="1"/>
      <c r="BJ1209" s="1"/>
      <c r="BK1209" s="1"/>
      <c r="BL1209" s="1"/>
      <c r="BM1209" s="1"/>
      <c r="BN1209" s="1">
        <v>27929366</v>
      </c>
      <c r="BO1209" s="1"/>
      <c r="BP1209" s="1"/>
      <c r="BQ1209" s="1"/>
      <c r="BR1209" s="1"/>
      <c r="BS1209" s="1" t="s">
        <v>7880</v>
      </c>
      <c r="BT1209" s="1" t="str">
        <f>HYPERLINK("https%3A%2F%2Fwww.webofscience.com%2Fwos%2Fwoscc%2Ffull-record%2FWOS:000391090000006","View Full Record in Web of Science")</f>
        <v>View Full Record in Web of Science</v>
      </c>
      <c r="BU1209" s="1"/>
      <c r="BV1209" s="1"/>
      <c r="BW1209" s="1"/>
    </row>
    <row r="1210" spans="1:75" ht="12.75" customHeight="1" x14ac:dyDescent="0.2">
      <c r="A1210" s="1" t="s">
        <v>72</v>
      </c>
      <c r="B1210" s="1" t="s">
        <v>7881</v>
      </c>
      <c r="C1210" s="1"/>
      <c r="D1210" s="1"/>
      <c r="E1210" s="1"/>
      <c r="F1210" s="1" t="s">
        <v>7882</v>
      </c>
      <c r="G1210" s="1"/>
      <c r="H1210" s="1"/>
      <c r="I1210" s="1" t="s">
        <v>7883</v>
      </c>
      <c r="J1210" s="1" t="s">
        <v>3610</v>
      </c>
      <c r="K1210" s="1"/>
      <c r="L1210" s="1"/>
      <c r="M1210" s="1"/>
      <c r="N1210" s="1"/>
      <c r="O1210" s="1"/>
      <c r="P1210" s="1"/>
      <c r="Q1210" s="1"/>
      <c r="R1210" s="1"/>
      <c r="S1210" s="1"/>
      <c r="T1210" s="1"/>
      <c r="U1210" s="1"/>
      <c r="V1210" s="1"/>
      <c r="W1210" s="1"/>
      <c r="X1210" s="1"/>
      <c r="Y1210" s="1"/>
      <c r="Z1210" s="1"/>
      <c r="AA1210" s="1" t="s">
        <v>7884</v>
      </c>
      <c r="AB1210" s="1" t="s">
        <v>7885</v>
      </c>
      <c r="AC1210" s="1"/>
      <c r="AD1210" s="1"/>
      <c r="AE1210" s="1"/>
      <c r="AF1210" s="1"/>
      <c r="AG1210" s="1"/>
      <c r="AH1210" s="1"/>
      <c r="AI1210" s="1"/>
      <c r="AJ1210" s="1"/>
      <c r="AK1210" s="1"/>
      <c r="AL1210" s="1"/>
      <c r="AM1210" s="1"/>
      <c r="AN1210" s="1"/>
      <c r="AO1210" s="1" t="s">
        <v>3613</v>
      </c>
      <c r="AP1210" s="1" t="s">
        <v>4602</v>
      </c>
      <c r="AQ1210" s="1"/>
      <c r="AR1210" s="1"/>
      <c r="AS1210" s="1"/>
      <c r="AT1210" s="1" t="s">
        <v>125</v>
      </c>
      <c r="AU1210" s="1">
        <v>2018</v>
      </c>
      <c r="AV1210" s="1">
        <v>51</v>
      </c>
      <c r="AW1210" s="1">
        <v>7</v>
      </c>
      <c r="AX1210" s="1"/>
      <c r="AY1210" s="1"/>
      <c r="AZ1210" s="1"/>
      <c r="BA1210" s="1"/>
      <c r="BB1210" s="1">
        <v>857</v>
      </c>
      <c r="BC1210" s="1">
        <v>864</v>
      </c>
      <c r="BD1210" s="1"/>
      <c r="BE1210" s="1" t="s">
        <v>7886</v>
      </c>
      <c r="BF1210" s="1" t="str">
        <f>HYPERLINK("http://dx.doi.org/10.1134/S1064229318050113","http://dx.doi.org/10.1134/S1064229318050113")</f>
        <v>http://dx.doi.org/10.1134/S1064229318050113</v>
      </c>
      <c r="BG1210" s="1"/>
      <c r="BH1210" s="1"/>
      <c r="BI1210" s="1"/>
      <c r="BJ1210" s="1"/>
      <c r="BK1210" s="1"/>
      <c r="BL1210" s="1"/>
      <c r="BM1210" s="1"/>
      <c r="BN1210" s="1"/>
      <c r="BO1210" s="1"/>
      <c r="BP1210" s="1"/>
      <c r="BQ1210" s="1"/>
      <c r="BR1210" s="1"/>
      <c r="BS1210" s="1" t="s">
        <v>7887</v>
      </c>
      <c r="BT1210" s="1" t="str">
        <f>HYPERLINK("https%3A%2F%2Fwww.webofscience.com%2Fwos%2Fwoscc%2Ffull-record%2FWOS:000441009400011","View Full Record in Web of Science")</f>
        <v>View Full Record in Web of Science</v>
      </c>
      <c r="BU1210" s="1"/>
      <c r="BV1210" s="1"/>
      <c r="BW1210" s="1"/>
    </row>
    <row r="1211" spans="1:75" ht="12.75" customHeight="1" x14ac:dyDescent="0.2">
      <c r="A1211" s="1" t="s">
        <v>72</v>
      </c>
      <c r="B1211" s="1" t="s">
        <v>7888</v>
      </c>
      <c r="C1211" s="1"/>
      <c r="D1211" s="1"/>
      <c r="E1211" s="1"/>
      <c r="F1211" s="1" t="s">
        <v>7889</v>
      </c>
      <c r="G1211" s="1"/>
      <c r="H1211" s="1"/>
      <c r="I1211" s="1" t="s">
        <v>7890</v>
      </c>
      <c r="J1211" s="1" t="s">
        <v>95</v>
      </c>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t="s">
        <v>98</v>
      </c>
      <c r="AP1211" s="1" t="s">
        <v>99</v>
      </c>
      <c r="AQ1211" s="1"/>
      <c r="AR1211" s="1"/>
      <c r="AS1211" s="1"/>
      <c r="AT1211" s="1"/>
      <c r="AU1211" s="1">
        <v>2022</v>
      </c>
      <c r="AV1211" s="1"/>
      <c r="AW1211" s="1">
        <v>2</v>
      </c>
      <c r="AX1211" s="1"/>
      <c r="AY1211" s="1"/>
      <c r="AZ1211" s="1"/>
      <c r="BA1211" s="1"/>
      <c r="BB1211" s="1">
        <v>84</v>
      </c>
      <c r="BC1211" s="1">
        <v>92</v>
      </c>
      <c r="BD1211" s="1"/>
      <c r="BE1211" s="1" t="s">
        <v>7891</v>
      </c>
      <c r="BF1211" s="1" t="str">
        <f>HYPERLINK("http://dx.doi.org/10.25750/1995-4301-2022-2-084-092","http://dx.doi.org/10.25750/1995-4301-2022-2-084-092")</f>
        <v>http://dx.doi.org/10.25750/1995-4301-2022-2-084-092</v>
      </c>
      <c r="BG1211" s="1"/>
      <c r="BH1211" s="1"/>
      <c r="BI1211" s="1"/>
      <c r="BJ1211" s="1"/>
      <c r="BK1211" s="1"/>
      <c r="BL1211" s="1"/>
      <c r="BM1211" s="1"/>
      <c r="BN1211" s="1"/>
      <c r="BO1211" s="1"/>
      <c r="BP1211" s="1"/>
      <c r="BQ1211" s="1"/>
      <c r="BR1211" s="1"/>
      <c r="BS1211" s="1" t="s">
        <v>7892</v>
      </c>
      <c r="BT1211" s="1" t="str">
        <f>HYPERLINK("https%3A%2F%2Fwww.webofscience.com%2Fwos%2Fwoscc%2Ffull-record%2FWOS:000820802000011","View Full Record in Web of Science")</f>
        <v>View Full Record in Web of Science</v>
      </c>
      <c r="BU1211" s="1"/>
      <c r="BV1211" s="1"/>
      <c r="BW1211" s="1"/>
    </row>
    <row r="1212" spans="1:75" ht="12.75" customHeight="1" x14ac:dyDescent="0.2">
      <c r="A1212" s="1" t="s">
        <v>72</v>
      </c>
      <c r="B1212" s="1" t="s">
        <v>7893</v>
      </c>
      <c r="C1212" s="1"/>
      <c r="D1212" s="1"/>
      <c r="E1212" s="1"/>
      <c r="F1212" s="1" t="s">
        <v>7894</v>
      </c>
      <c r="G1212" s="1"/>
      <c r="H1212" s="1"/>
      <c r="I1212" s="1" t="s">
        <v>7895</v>
      </c>
      <c r="J1212" s="1" t="s">
        <v>95</v>
      </c>
      <c r="K1212" s="1"/>
      <c r="L1212" s="1"/>
      <c r="M1212" s="1"/>
      <c r="N1212" s="1"/>
      <c r="O1212" s="1"/>
      <c r="P1212" s="1"/>
      <c r="Q1212" s="1"/>
      <c r="R1212" s="1"/>
      <c r="S1212" s="1"/>
      <c r="T1212" s="1"/>
      <c r="U1212" s="1"/>
      <c r="V1212" s="1"/>
      <c r="W1212" s="1"/>
      <c r="X1212" s="1"/>
      <c r="Y1212" s="1"/>
      <c r="Z1212" s="1"/>
      <c r="AA1212" s="1" t="s">
        <v>7896</v>
      </c>
      <c r="AB1212" s="1" t="s">
        <v>7897</v>
      </c>
      <c r="AC1212" s="1"/>
      <c r="AD1212" s="1"/>
      <c r="AE1212" s="1"/>
      <c r="AF1212" s="1"/>
      <c r="AG1212" s="1"/>
      <c r="AH1212" s="1"/>
      <c r="AI1212" s="1"/>
      <c r="AJ1212" s="1"/>
      <c r="AK1212" s="1"/>
      <c r="AL1212" s="1"/>
      <c r="AM1212" s="1"/>
      <c r="AN1212" s="1"/>
      <c r="AO1212" s="1" t="s">
        <v>98</v>
      </c>
      <c r="AP1212" s="1" t="s">
        <v>99</v>
      </c>
      <c r="AQ1212" s="1"/>
      <c r="AR1212" s="1"/>
      <c r="AS1212" s="1"/>
      <c r="AT1212" s="1"/>
      <c r="AU1212" s="1">
        <v>2019</v>
      </c>
      <c r="AV1212" s="1"/>
      <c r="AW1212" s="1">
        <v>3</v>
      </c>
      <c r="AX1212" s="1"/>
      <c r="AY1212" s="1"/>
      <c r="AZ1212" s="1"/>
      <c r="BA1212" s="1"/>
      <c r="BB1212" s="1">
        <v>28</v>
      </c>
      <c r="BC1212" s="1">
        <v>33</v>
      </c>
      <c r="BD1212" s="1"/>
      <c r="BE1212" s="1" t="s">
        <v>7898</v>
      </c>
      <c r="BF1212" s="1" t="str">
        <f>HYPERLINK("http://dx.doi.org/10.25750/1995-4301-2019-3-028-033","http://dx.doi.org/10.25750/1995-4301-2019-3-028-033")</f>
        <v>http://dx.doi.org/10.25750/1995-4301-2019-3-028-033</v>
      </c>
      <c r="BG1212" s="1"/>
      <c r="BH1212" s="1"/>
      <c r="BI1212" s="1"/>
      <c r="BJ1212" s="1"/>
      <c r="BK1212" s="1"/>
      <c r="BL1212" s="1"/>
      <c r="BM1212" s="1"/>
      <c r="BN1212" s="1"/>
      <c r="BO1212" s="1"/>
      <c r="BP1212" s="1"/>
      <c r="BQ1212" s="1"/>
      <c r="BR1212" s="1"/>
      <c r="BS1212" s="1" t="s">
        <v>7899</v>
      </c>
      <c r="BT1212" s="1" t="str">
        <f>HYPERLINK("https%3A%2F%2Fwww.webofscience.com%2Fwos%2Fwoscc%2Ffull-record%2FWOS:000490704900004","View Full Record in Web of Science")</f>
        <v>View Full Record in Web of Science</v>
      </c>
      <c r="BU1212" s="1"/>
      <c r="BV1212" s="1"/>
      <c r="BW1212" s="1"/>
    </row>
    <row r="1213" spans="1:75" ht="12.75" customHeight="1" x14ac:dyDescent="0.2">
      <c r="A1213" s="1" t="s">
        <v>72</v>
      </c>
      <c r="B1213" s="1" t="s">
        <v>7900</v>
      </c>
      <c r="C1213" s="1"/>
      <c r="D1213" s="1"/>
      <c r="E1213" s="1"/>
      <c r="F1213" s="1" t="s">
        <v>7901</v>
      </c>
      <c r="G1213" s="1"/>
      <c r="H1213" s="1"/>
      <c r="I1213" s="1" t="s">
        <v>7902</v>
      </c>
      <c r="J1213" s="1" t="s">
        <v>3610</v>
      </c>
      <c r="K1213" s="1"/>
      <c r="L1213" s="1"/>
      <c r="M1213" s="1"/>
      <c r="N1213" s="1"/>
      <c r="O1213" s="1"/>
      <c r="P1213" s="1"/>
      <c r="Q1213" s="1"/>
      <c r="R1213" s="1"/>
      <c r="S1213" s="1"/>
      <c r="T1213" s="1"/>
      <c r="U1213" s="1"/>
      <c r="V1213" s="1"/>
      <c r="W1213" s="1"/>
      <c r="X1213" s="1"/>
      <c r="Y1213" s="1"/>
      <c r="Z1213" s="1"/>
      <c r="AA1213" s="1" t="s">
        <v>7903</v>
      </c>
      <c r="AB1213" s="1" t="s">
        <v>7904</v>
      </c>
      <c r="AC1213" s="1"/>
      <c r="AD1213" s="1"/>
      <c r="AE1213" s="1"/>
      <c r="AF1213" s="1"/>
      <c r="AG1213" s="1"/>
      <c r="AH1213" s="1"/>
      <c r="AI1213" s="1"/>
      <c r="AJ1213" s="1"/>
      <c r="AK1213" s="1"/>
      <c r="AL1213" s="1"/>
      <c r="AM1213" s="1"/>
      <c r="AN1213" s="1"/>
      <c r="AO1213" s="1" t="s">
        <v>3613</v>
      </c>
      <c r="AP1213" s="1" t="s">
        <v>4602</v>
      </c>
      <c r="AQ1213" s="1"/>
      <c r="AR1213" s="1"/>
      <c r="AS1213" s="1"/>
      <c r="AT1213" s="1" t="s">
        <v>541</v>
      </c>
      <c r="AU1213" s="1">
        <v>2017</v>
      </c>
      <c r="AV1213" s="1">
        <v>50</v>
      </c>
      <c r="AW1213" s="1">
        <v>1</v>
      </c>
      <c r="AX1213" s="1"/>
      <c r="AY1213" s="1"/>
      <c r="AZ1213" s="1"/>
      <c r="BA1213" s="1"/>
      <c r="BB1213" s="1">
        <v>70</v>
      </c>
      <c r="BC1213" s="1">
        <v>77</v>
      </c>
      <c r="BD1213" s="1"/>
      <c r="BE1213" s="1" t="s">
        <v>7905</v>
      </c>
      <c r="BF1213" s="1" t="str">
        <f>HYPERLINK("http://dx.doi.org/10.1134/S106422931611003X","http://dx.doi.org/10.1134/S106422931611003X")</f>
        <v>http://dx.doi.org/10.1134/S106422931611003X</v>
      </c>
      <c r="BG1213" s="1"/>
      <c r="BH1213" s="1"/>
      <c r="BI1213" s="1"/>
      <c r="BJ1213" s="1"/>
      <c r="BK1213" s="1"/>
      <c r="BL1213" s="1"/>
      <c r="BM1213" s="1"/>
      <c r="BN1213" s="1"/>
      <c r="BO1213" s="1"/>
      <c r="BP1213" s="1"/>
      <c r="BQ1213" s="1"/>
      <c r="BR1213" s="1"/>
      <c r="BS1213" s="1" t="s">
        <v>7906</v>
      </c>
      <c r="BT1213" s="1" t="str">
        <f>HYPERLINK("https%3A%2F%2Fwww.webofscience.com%2Fwos%2Fwoscc%2Ffull-record%2FWOS:000395058300010","View Full Record in Web of Science")</f>
        <v>View Full Record in Web of Science</v>
      </c>
      <c r="BU1213" s="1"/>
      <c r="BV1213" s="1"/>
      <c r="BW1213" s="1"/>
    </row>
    <row r="1214" spans="1:75" ht="12.75" customHeight="1" x14ac:dyDescent="0.2">
      <c r="A1214" s="1" t="s">
        <v>147</v>
      </c>
      <c r="B1214" s="1" t="s">
        <v>7907</v>
      </c>
      <c r="C1214" s="1"/>
      <c r="D1214" s="1"/>
      <c r="E1214" s="1" t="s">
        <v>175</v>
      </c>
      <c r="F1214" s="1" t="s">
        <v>7908</v>
      </c>
      <c r="G1214" s="1"/>
      <c r="H1214" s="1"/>
      <c r="I1214" s="1" t="s">
        <v>7909</v>
      </c>
      <c r="J1214" s="1" t="s">
        <v>2671</v>
      </c>
      <c r="K1214" s="1" t="s">
        <v>1576</v>
      </c>
      <c r="L1214" s="1"/>
      <c r="M1214" s="1"/>
      <c r="N1214" s="1"/>
      <c r="O1214" s="1" t="s">
        <v>2672</v>
      </c>
      <c r="P1214" s="1" t="s">
        <v>2673</v>
      </c>
      <c r="Q1214" s="1" t="s">
        <v>2674</v>
      </c>
      <c r="R1214" s="1"/>
      <c r="S1214" s="1" t="s">
        <v>2675</v>
      </c>
      <c r="T1214" s="1"/>
      <c r="U1214" s="1"/>
      <c r="V1214" s="1"/>
      <c r="W1214" s="1"/>
      <c r="X1214" s="1"/>
      <c r="Y1214" s="1"/>
      <c r="Z1214" s="1"/>
      <c r="AA1214" s="1" t="s">
        <v>5715</v>
      </c>
      <c r="AB1214" s="1" t="s">
        <v>5716</v>
      </c>
      <c r="AC1214" s="1"/>
      <c r="AD1214" s="1"/>
      <c r="AE1214" s="1"/>
      <c r="AF1214" s="1"/>
      <c r="AG1214" s="1"/>
      <c r="AH1214" s="1"/>
      <c r="AI1214" s="1"/>
      <c r="AJ1214" s="1"/>
      <c r="AK1214" s="1"/>
      <c r="AL1214" s="1"/>
      <c r="AM1214" s="1"/>
      <c r="AN1214" s="1"/>
      <c r="AO1214" s="1" t="s">
        <v>1581</v>
      </c>
      <c r="AP1214" s="1"/>
      <c r="AQ1214" s="1"/>
      <c r="AR1214" s="1"/>
      <c r="AS1214" s="1"/>
      <c r="AT1214" s="1"/>
      <c r="AU1214" s="1">
        <v>2017</v>
      </c>
      <c r="AV1214" s="1">
        <v>90</v>
      </c>
      <c r="AW1214" s="1"/>
      <c r="AX1214" s="1"/>
      <c r="AY1214" s="1"/>
      <c r="AZ1214" s="1"/>
      <c r="BA1214" s="1"/>
      <c r="BB1214" s="1"/>
      <c r="BC1214" s="1"/>
      <c r="BD1214" s="1">
        <v>12138</v>
      </c>
      <c r="BE1214" s="1" t="s">
        <v>7910</v>
      </c>
      <c r="BF1214" s="1" t="str">
        <f>HYPERLINK("http://dx.doi.org/10.1088/1755-1315/90/1/012138","http://dx.doi.org/10.1088/1755-1315/90/1/012138")</f>
        <v>http://dx.doi.org/10.1088/1755-1315/90/1/012138</v>
      </c>
      <c r="BG1214" s="1"/>
      <c r="BH1214" s="1"/>
      <c r="BI1214" s="1"/>
      <c r="BJ1214" s="1"/>
      <c r="BK1214" s="1"/>
      <c r="BL1214" s="1"/>
      <c r="BM1214" s="1"/>
      <c r="BN1214" s="1"/>
      <c r="BO1214" s="1"/>
      <c r="BP1214" s="1"/>
      <c r="BQ1214" s="1"/>
      <c r="BR1214" s="1"/>
      <c r="BS1214" s="1" t="s">
        <v>7911</v>
      </c>
      <c r="BT1214" s="1" t="str">
        <f>HYPERLINK("https%3A%2F%2Fwww.webofscience.com%2Fwos%2Fwoscc%2Ffull-record%2FWOS:000419816700138","View Full Record in Web of Science")</f>
        <v>View Full Record in Web of Science</v>
      </c>
      <c r="BU1214" s="1"/>
      <c r="BV1214" s="1"/>
      <c r="BW1214" s="1"/>
    </row>
    <row r="1215" spans="1:75" ht="12.75" customHeight="1" x14ac:dyDescent="0.2">
      <c r="A1215" s="1" t="s">
        <v>72</v>
      </c>
      <c r="B1215" s="1" t="s">
        <v>7912</v>
      </c>
      <c r="C1215" s="1"/>
      <c r="D1215" s="1"/>
      <c r="E1215" s="1"/>
      <c r="F1215" s="1" t="s">
        <v>7913</v>
      </c>
      <c r="G1215" s="1"/>
      <c r="H1215" s="1"/>
      <c r="I1215" s="1" t="s">
        <v>7914</v>
      </c>
      <c r="J1215" s="1" t="s">
        <v>95</v>
      </c>
      <c r="K1215" s="1"/>
      <c r="L1215" s="1"/>
      <c r="M1215" s="1"/>
      <c r="N1215" s="1"/>
      <c r="O1215" s="1"/>
      <c r="P1215" s="1"/>
      <c r="Q1215" s="1"/>
      <c r="R1215" s="1"/>
      <c r="S1215" s="1"/>
      <c r="T1215" s="1"/>
      <c r="U1215" s="1"/>
      <c r="V1215" s="1"/>
      <c r="W1215" s="1"/>
      <c r="X1215" s="1"/>
      <c r="Y1215" s="1"/>
      <c r="Z1215" s="1"/>
      <c r="AA1215" s="1" t="s">
        <v>7758</v>
      </c>
      <c r="AB1215" s="1" t="s">
        <v>7759</v>
      </c>
      <c r="AC1215" s="1"/>
      <c r="AD1215" s="1"/>
      <c r="AE1215" s="1"/>
      <c r="AF1215" s="1"/>
      <c r="AG1215" s="1"/>
      <c r="AH1215" s="1"/>
      <c r="AI1215" s="1"/>
      <c r="AJ1215" s="1"/>
      <c r="AK1215" s="1"/>
      <c r="AL1215" s="1"/>
      <c r="AM1215" s="1"/>
      <c r="AN1215" s="1"/>
      <c r="AO1215" s="1" t="s">
        <v>98</v>
      </c>
      <c r="AP1215" s="1" t="s">
        <v>99</v>
      </c>
      <c r="AQ1215" s="1"/>
      <c r="AR1215" s="1"/>
      <c r="AS1215" s="1"/>
      <c r="AT1215" s="1"/>
      <c r="AU1215" s="1">
        <v>2021</v>
      </c>
      <c r="AV1215" s="1"/>
      <c r="AW1215" s="1">
        <v>3</v>
      </c>
      <c r="AX1215" s="1"/>
      <c r="AY1215" s="1"/>
      <c r="AZ1215" s="1"/>
      <c r="BA1215" s="1"/>
      <c r="BB1215" s="1">
        <v>44</v>
      </c>
      <c r="BC1215" s="1">
        <v>51</v>
      </c>
      <c r="BD1215" s="1"/>
      <c r="BE1215" s="1" t="s">
        <v>7915</v>
      </c>
      <c r="BF1215" s="1" t="str">
        <f>HYPERLINK("http://dx.doi.org/10.25750/1995-4301-2021-3-044-051","http://dx.doi.org/10.25750/1995-4301-2021-3-044-051")</f>
        <v>http://dx.doi.org/10.25750/1995-4301-2021-3-044-051</v>
      </c>
      <c r="BG1215" s="1"/>
      <c r="BH1215" s="1"/>
      <c r="BI1215" s="1"/>
      <c r="BJ1215" s="1"/>
      <c r="BK1215" s="1"/>
      <c r="BL1215" s="1"/>
      <c r="BM1215" s="1"/>
      <c r="BN1215" s="1"/>
      <c r="BO1215" s="1"/>
      <c r="BP1215" s="1"/>
      <c r="BQ1215" s="1"/>
      <c r="BR1215" s="1"/>
      <c r="BS1215" s="1" t="s">
        <v>7916</v>
      </c>
      <c r="BT1215" s="1" t="str">
        <f>HYPERLINK("https%3A%2F%2Fwww.webofscience.com%2Fwos%2Fwoscc%2Ffull-record%2FWOS:000700413300006","View Full Record in Web of Science")</f>
        <v>View Full Record in Web of Science</v>
      </c>
      <c r="BU1215" s="1"/>
      <c r="BV1215" s="1"/>
      <c r="BW1215" s="1"/>
    </row>
    <row r="1216" spans="1:75" ht="12.75" customHeight="1" x14ac:dyDescent="0.2">
      <c r="A1216" s="1" t="s">
        <v>147</v>
      </c>
      <c r="B1216" s="1" t="s">
        <v>7917</v>
      </c>
      <c r="C1216" s="1"/>
      <c r="D1216" s="1" t="s">
        <v>1876</v>
      </c>
      <c r="E1216" s="1"/>
      <c r="F1216" s="1" t="s">
        <v>7918</v>
      </c>
      <c r="G1216" s="1"/>
      <c r="H1216" s="1"/>
      <c r="I1216" s="1" t="s">
        <v>7919</v>
      </c>
      <c r="J1216" s="1" t="s">
        <v>1879</v>
      </c>
      <c r="K1216" s="1" t="s">
        <v>1276</v>
      </c>
      <c r="L1216" s="1"/>
      <c r="M1216" s="1"/>
      <c r="N1216" s="1"/>
      <c r="O1216" s="1" t="s">
        <v>1880</v>
      </c>
      <c r="P1216" s="1" t="s">
        <v>1881</v>
      </c>
      <c r="Q1216" s="1" t="s">
        <v>1882</v>
      </c>
      <c r="R1216" s="1" t="s">
        <v>1883</v>
      </c>
      <c r="S1216" s="1" t="s">
        <v>1884</v>
      </c>
      <c r="T1216" s="1"/>
      <c r="U1216" s="1"/>
      <c r="V1216" s="1"/>
      <c r="W1216" s="1"/>
      <c r="X1216" s="1"/>
      <c r="Y1216" s="1"/>
      <c r="Z1216" s="1"/>
      <c r="AA1216" s="1" t="s">
        <v>1885</v>
      </c>
      <c r="AB1216" s="1" t="s">
        <v>1886</v>
      </c>
      <c r="AC1216" s="1"/>
      <c r="AD1216" s="1"/>
      <c r="AE1216" s="1"/>
      <c r="AF1216" s="1"/>
      <c r="AG1216" s="1"/>
      <c r="AH1216" s="1"/>
      <c r="AI1216" s="1"/>
      <c r="AJ1216" s="1"/>
      <c r="AK1216" s="1"/>
      <c r="AL1216" s="1"/>
      <c r="AM1216" s="1"/>
      <c r="AN1216" s="1"/>
      <c r="AO1216" s="1" t="s">
        <v>1282</v>
      </c>
      <c r="AP1216" s="1"/>
      <c r="AQ1216" s="1"/>
      <c r="AR1216" s="1"/>
      <c r="AS1216" s="1"/>
      <c r="AT1216" s="1"/>
      <c r="AU1216" s="1">
        <v>2017</v>
      </c>
      <c r="AV1216" s="1">
        <v>106</v>
      </c>
      <c r="AW1216" s="1"/>
      <c r="AX1216" s="1"/>
      <c r="AY1216" s="1"/>
      <c r="AZ1216" s="1"/>
      <c r="BA1216" s="1"/>
      <c r="BB1216" s="1"/>
      <c r="BC1216" s="1"/>
      <c r="BD1216" s="1">
        <v>8087</v>
      </c>
      <c r="BE1216" s="1" t="s">
        <v>7920</v>
      </c>
      <c r="BF1216" s="1" t="str">
        <f>HYPERLINK("http://dx.doi.org/10.1051/matecconf/201710608087","http://dx.doi.org/10.1051/matecconf/201710608087")</f>
        <v>http://dx.doi.org/10.1051/matecconf/201710608087</v>
      </c>
      <c r="BG1216" s="1"/>
      <c r="BH1216" s="1"/>
      <c r="BI1216" s="1"/>
      <c r="BJ1216" s="1"/>
      <c r="BK1216" s="1"/>
      <c r="BL1216" s="1"/>
      <c r="BM1216" s="1"/>
      <c r="BN1216" s="1"/>
      <c r="BO1216" s="1"/>
      <c r="BP1216" s="1"/>
      <c r="BQ1216" s="1"/>
      <c r="BR1216" s="1"/>
      <c r="BS1216" s="1" t="s">
        <v>7921</v>
      </c>
      <c r="BT1216" s="1" t="str">
        <f>HYPERLINK("https%3A%2F%2Fwww.webofscience.com%2Fwos%2Fwoscc%2Ffull-record%2FWOS:000426426600272","View Full Record in Web of Science")</f>
        <v>View Full Record in Web of Science</v>
      </c>
      <c r="BU1216" s="1"/>
      <c r="BV1216" s="1"/>
      <c r="BW1216" s="1"/>
    </row>
    <row r="1217" spans="1:75" ht="12.75" customHeight="1" x14ac:dyDescent="0.2">
      <c r="A1217" s="1" t="s">
        <v>72</v>
      </c>
      <c r="B1217" s="1" t="s">
        <v>7922</v>
      </c>
      <c r="C1217" s="1"/>
      <c r="D1217" s="1"/>
      <c r="E1217" s="1"/>
      <c r="F1217" s="1" t="s">
        <v>7923</v>
      </c>
      <c r="G1217" s="1"/>
      <c r="H1217" s="1"/>
      <c r="I1217" s="1" t="s">
        <v>7924</v>
      </c>
      <c r="J1217" s="1" t="s">
        <v>95</v>
      </c>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t="s">
        <v>98</v>
      </c>
      <c r="AP1217" s="1" t="s">
        <v>99</v>
      </c>
      <c r="AQ1217" s="1"/>
      <c r="AR1217" s="1"/>
      <c r="AS1217" s="1"/>
      <c r="AT1217" s="1"/>
      <c r="AU1217" s="1">
        <v>2021</v>
      </c>
      <c r="AV1217" s="1"/>
      <c r="AW1217" s="1">
        <v>4</v>
      </c>
      <c r="AX1217" s="1"/>
      <c r="AY1217" s="1"/>
      <c r="AZ1217" s="1"/>
      <c r="BA1217" s="1"/>
      <c r="BB1217" s="1">
        <v>230</v>
      </c>
      <c r="BC1217" s="1">
        <v>236</v>
      </c>
      <c r="BD1217" s="1"/>
      <c r="BE1217" s="1" t="s">
        <v>7925</v>
      </c>
      <c r="BF1217" s="1" t="str">
        <f>HYPERLINK("http://dx.doi.org/10.25750/1995-4301-2021-4-230-236","http://dx.doi.org/10.25750/1995-4301-2021-4-230-236")</f>
        <v>http://dx.doi.org/10.25750/1995-4301-2021-4-230-236</v>
      </c>
      <c r="BG1217" s="1"/>
      <c r="BH1217" s="1"/>
      <c r="BI1217" s="1"/>
      <c r="BJ1217" s="1"/>
      <c r="BK1217" s="1"/>
      <c r="BL1217" s="1"/>
      <c r="BM1217" s="1"/>
      <c r="BN1217" s="1"/>
      <c r="BO1217" s="1"/>
      <c r="BP1217" s="1"/>
      <c r="BQ1217" s="1"/>
      <c r="BR1217" s="1"/>
      <c r="BS1217" s="1" t="s">
        <v>7926</v>
      </c>
      <c r="BT1217" s="1" t="str">
        <f>HYPERLINK("https%3A%2F%2Fwww.webofscience.com%2Fwos%2Fwoscc%2Ffull-record%2FWOS:000755154100033","View Full Record in Web of Science")</f>
        <v>View Full Record in Web of Science</v>
      </c>
      <c r="BU1217" s="1"/>
      <c r="BV1217" s="1"/>
      <c r="BW1217" s="1"/>
    </row>
    <row r="1218" spans="1:75" ht="12.75" customHeight="1" x14ac:dyDescent="0.2">
      <c r="A1218" s="1" t="s">
        <v>72</v>
      </c>
      <c r="B1218" s="1" t="s">
        <v>7927</v>
      </c>
      <c r="C1218" s="1"/>
      <c r="D1218" s="1"/>
      <c r="E1218" s="1"/>
      <c r="F1218" s="1" t="s">
        <v>7928</v>
      </c>
      <c r="G1218" s="1"/>
      <c r="H1218" s="1"/>
      <c r="I1218" s="1" t="s">
        <v>7929</v>
      </c>
      <c r="J1218" s="1" t="s">
        <v>95</v>
      </c>
      <c r="K1218" s="1"/>
      <c r="L1218" s="1"/>
      <c r="M1218" s="1"/>
      <c r="N1218" s="1"/>
      <c r="O1218" s="1"/>
      <c r="P1218" s="1"/>
      <c r="Q1218" s="1"/>
      <c r="R1218" s="1"/>
      <c r="S1218" s="1"/>
      <c r="T1218" s="1"/>
      <c r="U1218" s="1"/>
      <c r="V1218" s="1"/>
      <c r="W1218" s="1"/>
      <c r="X1218" s="1"/>
      <c r="Y1218" s="1"/>
      <c r="Z1218" s="1"/>
      <c r="AA1218" s="1" t="s">
        <v>7930</v>
      </c>
      <c r="AB1218" s="1" t="s">
        <v>7931</v>
      </c>
      <c r="AC1218" s="1"/>
      <c r="AD1218" s="1"/>
      <c r="AE1218" s="1"/>
      <c r="AF1218" s="1"/>
      <c r="AG1218" s="1"/>
      <c r="AH1218" s="1"/>
      <c r="AI1218" s="1"/>
      <c r="AJ1218" s="1"/>
      <c r="AK1218" s="1"/>
      <c r="AL1218" s="1"/>
      <c r="AM1218" s="1"/>
      <c r="AN1218" s="1"/>
      <c r="AO1218" s="1" t="s">
        <v>98</v>
      </c>
      <c r="AP1218" s="1" t="s">
        <v>99</v>
      </c>
      <c r="AQ1218" s="1"/>
      <c r="AR1218" s="1"/>
      <c r="AS1218" s="1"/>
      <c r="AT1218" s="1"/>
      <c r="AU1218" s="1">
        <v>2019</v>
      </c>
      <c r="AV1218" s="1"/>
      <c r="AW1218" s="1">
        <v>4</v>
      </c>
      <c r="AX1218" s="1"/>
      <c r="AY1218" s="1"/>
      <c r="AZ1218" s="1"/>
      <c r="BA1218" s="1"/>
      <c r="BB1218" s="1">
        <v>142</v>
      </c>
      <c r="BC1218" s="1">
        <v>149</v>
      </c>
      <c r="BD1218" s="1"/>
      <c r="BE1218" s="1" t="s">
        <v>7932</v>
      </c>
      <c r="BF1218" s="1" t="str">
        <f>HYPERLINK("http://dx.doi.org/10.25750/1995-4301-2019-4-142-149","http://dx.doi.org/10.25750/1995-4301-2019-4-142-149")</f>
        <v>http://dx.doi.org/10.25750/1995-4301-2019-4-142-149</v>
      </c>
      <c r="BG1218" s="1"/>
      <c r="BH1218" s="1"/>
      <c r="BI1218" s="1"/>
      <c r="BJ1218" s="1"/>
      <c r="BK1218" s="1"/>
      <c r="BL1218" s="1"/>
      <c r="BM1218" s="1"/>
      <c r="BN1218" s="1"/>
      <c r="BO1218" s="1"/>
      <c r="BP1218" s="1"/>
      <c r="BQ1218" s="1"/>
      <c r="BR1218" s="1"/>
      <c r="BS1218" s="1" t="s">
        <v>7933</v>
      </c>
      <c r="BT1218" s="1" t="str">
        <f>HYPERLINK("https%3A%2F%2Fwww.webofscience.com%2Fwos%2Fwoscc%2Ffull-record%2FWOS:000504049400020","View Full Record in Web of Science")</f>
        <v>View Full Record in Web of Science</v>
      </c>
      <c r="BU1218" s="1"/>
      <c r="BV1218" s="1"/>
      <c r="BW1218" s="1"/>
    </row>
    <row r="1219" spans="1:75" ht="12.75" customHeight="1" x14ac:dyDescent="0.2">
      <c r="A1219" s="1" t="s">
        <v>72</v>
      </c>
      <c r="B1219" s="1" t="s">
        <v>7934</v>
      </c>
      <c r="C1219" s="1"/>
      <c r="D1219" s="1"/>
      <c r="E1219" s="1"/>
      <c r="F1219" s="1" t="s">
        <v>7935</v>
      </c>
      <c r="G1219" s="1"/>
      <c r="H1219" s="1"/>
      <c r="I1219" s="1" t="s">
        <v>7936</v>
      </c>
      <c r="J1219" s="1" t="s">
        <v>95</v>
      </c>
      <c r="K1219" s="1"/>
      <c r="L1219" s="1"/>
      <c r="M1219" s="1"/>
      <c r="N1219" s="1"/>
      <c r="O1219" s="1"/>
      <c r="P1219" s="1"/>
      <c r="Q1219" s="1"/>
      <c r="R1219" s="1"/>
      <c r="S1219" s="1"/>
      <c r="T1219" s="1"/>
      <c r="U1219" s="1"/>
      <c r="V1219" s="1"/>
      <c r="W1219" s="1"/>
      <c r="X1219" s="1"/>
      <c r="Y1219" s="1"/>
      <c r="Z1219" s="1"/>
      <c r="AA1219" s="1" t="s">
        <v>7758</v>
      </c>
      <c r="AB1219" s="1" t="s">
        <v>7759</v>
      </c>
      <c r="AC1219" s="1"/>
      <c r="AD1219" s="1"/>
      <c r="AE1219" s="1"/>
      <c r="AF1219" s="1"/>
      <c r="AG1219" s="1"/>
      <c r="AH1219" s="1"/>
      <c r="AI1219" s="1"/>
      <c r="AJ1219" s="1"/>
      <c r="AK1219" s="1"/>
      <c r="AL1219" s="1"/>
      <c r="AM1219" s="1"/>
      <c r="AN1219" s="1"/>
      <c r="AO1219" s="1" t="s">
        <v>98</v>
      </c>
      <c r="AP1219" s="1" t="s">
        <v>99</v>
      </c>
      <c r="AQ1219" s="1"/>
      <c r="AR1219" s="1"/>
      <c r="AS1219" s="1"/>
      <c r="AT1219" s="1"/>
      <c r="AU1219" s="1">
        <v>2019</v>
      </c>
      <c r="AV1219" s="1"/>
      <c r="AW1219" s="1">
        <v>4</v>
      </c>
      <c r="AX1219" s="1"/>
      <c r="AY1219" s="1"/>
      <c r="AZ1219" s="1"/>
      <c r="BA1219" s="1"/>
      <c r="BB1219" s="1">
        <v>102</v>
      </c>
      <c r="BC1219" s="1">
        <v>109</v>
      </c>
      <c r="BD1219" s="1"/>
      <c r="BE1219" s="1" t="s">
        <v>7937</v>
      </c>
      <c r="BF1219" s="1" t="str">
        <f>HYPERLINK("http://dx.doi.org/10.25750/1995-4301-2019-4-103-109","http://dx.doi.org/10.25750/1995-4301-2019-4-103-109")</f>
        <v>http://dx.doi.org/10.25750/1995-4301-2019-4-103-109</v>
      </c>
      <c r="BG1219" s="1"/>
      <c r="BH1219" s="1"/>
      <c r="BI1219" s="1"/>
      <c r="BJ1219" s="1"/>
      <c r="BK1219" s="1"/>
      <c r="BL1219" s="1"/>
      <c r="BM1219" s="1"/>
      <c r="BN1219" s="1"/>
      <c r="BO1219" s="1"/>
      <c r="BP1219" s="1"/>
      <c r="BQ1219" s="1"/>
      <c r="BR1219" s="1"/>
      <c r="BS1219" s="1" t="s">
        <v>7938</v>
      </c>
      <c r="BT1219" s="1" t="str">
        <f>HYPERLINK("https%3A%2F%2Fwww.webofscience.com%2Fwos%2Fwoscc%2Ffull-record%2FWOS:000504049400014","View Full Record in Web of Science")</f>
        <v>View Full Record in Web of Science</v>
      </c>
      <c r="BU1219" s="1"/>
      <c r="BV1219" s="1"/>
      <c r="BW1219" s="1"/>
    </row>
    <row r="1220" spans="1:75" ht="12.75" customHeight="1" x14ac:dyDescent="0.2">
      <c r="A1220" s="1" t="s">
        <v>147</v>
      </c>
      <c r="B1220" s="1" t="s">
        <v>7939</v>
      </c>
      <c r="C1220" s="1"/>
      <c r="D1220" s="1" t="s">
        <v>7940</v>
      </c>
      <c r="E1220" s="1"/>
      <c r="F1220" s="1" t="s">
        <v>7941</v>
      </c>
      <c r="G1220" s="1"/>
      <c r="H1220" s="1"/>
      <c r="I1220" s="1" t="s">
        <v>7942</v>
      </c>
      <c r="J1220" s="1" t="s">
        <v>7943</v>
      </c>
      <c r="K1220" s="1" t="s">
        <v>1469</v>
      </c>
      <c r="L1220" s="1"/>
      <c r="M1220" s="1"/>
      <c r="N1220" s="1"/>
      <c r="O1220" s="1" t="s">
        <v>7944</v>
      </c>
      <c r="P1220" s="1" t="s">
        <v>7945</v>
      </c>
      <c r="Q1220" s="1" t="s">
        <v>7946</v>
      </c>
      <c r="R1220" s="1" t="s">
        <v>7947</v>
      </c>
      <c r="S1220" s="1"/>
      <c r="T1220" s="1"/>
      <c r="U1220" s="1"/>
      <c r="V1220" s="1"/>
      <c r="W1220" s="1"/>
      <c r="X1220" s="1"/>
      <c r="Y1220" s="1"/>
      <c r="Z1220" s="1"/>
      <c r="AA1220" s="1" t="s">
        <v>7948</v>
      </c>
      <c r="AB1220" s="1" t="s">
        <v>7949</v>
      </c>
      <c r="AC1220" s="1"/>
      <c r="AD1220" s="1"/>
      <c r="AE1220" s="1"/>
      <c r="AF1220" s="1"/>
      <c r="AG1220" s="1"/>
      <c r="AH1220" s="1"/>
      <c r="AI1220" s="1"/>
      <c r="AJ1220" s="1"/>
      <c r="AK1220" s="1"/>
      <c r="AL1220" s="1"/>
      <c r="AM1220" s="1"/>
      <c r="AN1220" s="1"/>
      <c r="AO1220" s="1" t="s">
        <v>1472</v>
      </c>
      <c r="AP1220" s="1"/>
      <c r="AQ1220" s="1"/>
      <c r="AR1220" s="1"/>
      <c r="AS1220" s="1"/>
      <c r="AT1220" s="1"/>
      <c r="AU1220" s="1">
        <v>2015</v>
      </c>
      <c r="AV1220" s="1">
        <v>98</v>
      </c>
      <c r="AW1220" s="1"/>
      <c r="AX1220" s="1"/>
      <c r="AY1220" s="1"/>
      <c r="AZ1220" s="1"/>
      <c r="BA1220" s="1"/>
      <c r="BB1220" s="1"/>
      <c r="BC1220" s="1"/>
      <c r="BD1220" s="1">
        <v>12038</v>
      </c>
      <c r="BE1220" s="1" t="s">
        <v>7950</v>
      </c>
      <c r="BF1220" s="1" t="str">
        <f>HYPERLINK("http://dx.doi.org/10.1088/1757-899X/98/1/012038","http://dx.doi.org/10.1088/1757-899X/98/1/012038")</f>
        <v>http://dx.doi.org/10.1088/1757-899X/98/1/012038</v>
      </c>
      <c r="BG1220" s="1"/>
      <c r="BH1220" s="1"/>
      <c r="BI1220" s="1"/>
      <c r="BJ1220" s="1"/>
      <c r="BK1220" s="1"/>
      <c r="BL1220" s="1"/>
      <c r="BM1220" s="1"/>
      <c r="BN1220" s="1"/>
      <c r="BO1220" s="1"/>
      <c r="BP1220" s="1"/>
      <c r="BQ1220" s="1"/>
      <c r="BR1220" s="1"/>
      <c r="BS1220" s="1" t="s">
        <v>7951</v>
      </c>
      <c r="BT1220" s="1" t="str">
        <f>HYPERLINK("https%3A%2F%2Fwww.webofscience.com%2Fwos%2Fwoscc%2Ffull-record%2FWOS:000365043400037","View Full Record in Web of Science")</f>
        <v>View Full Record in Web of Science</v>
      </c>
      <c r="BU1220" s="1"/>
      <c r="BV1220" s="1"/>
      <c r="BW1220" s="1"/>
    </row>
    <row r="1221" spans="1:75" ht="12.75" customHeight="1" x14ac:dyDescent="0.2">
      <c r="A1221" s="1" t="s">
        <v>72</v>
      </c>
      <c r="B1221" s="1" t="s">
        <v>7952</v>
      </c>
      <c r="C1221" s="1"/>
      <c r="D1221" s="1"/>
      <c r="E1221" s="1"/>
      <c r="F1221" s="1" t="s">
        <v>7953</v>
      </c>
      <c r="G1221" s="1"/>
      <c r="H1221" s="1"/>
      <c r="I1221" s="1" t="s">
        <v>7954</v>
      </c>
      <c r="J1221" s="1" t="s">
        <v>7955</v>
      </c>
      <c r="K1221" s="1"/>
      <c r="L1221" s="1"/>
      <c r="M1221" s="1"/>
      <c r="N1221" s="1"/>
      <c r="O1221" s="1"/>
      <c r="P1221" s="1"/>
      <c r="Q1221" s="1"/>
      <c r="R1221" s="1"/>
      <c r="S1221" s="1"/>
      <c r="T1221" s="1"/>
      <c r="U1221" s="1"/>
      <c r="V1221" s="1"/>
      <c r="W1221" s="1"/>
      <c r="X1221" s="1"/>
      <c r="Y1221" s="1"/>
      <c r="Z1221" s="1"/>
      <c r="AA1221" s="1" t="s">
        <v>7956</v>
      </c>
      <c r="AB1221" s="1" t="s">
        <v>7957</v>
      </c>
      <c r="AC1221" s="1"/>
      <c r="AD1221" s="1"/>
      <c r="AE1221" s="1"/>
      <c r="AF1221" s="1"/>
      <c r="AG1221" s="1"/>
      <c r="AH1221" s="1"/>
      <c r="AI1221" s="1"/>
      <c r="AJ1221" s="1"/>
      <c r="AK1221" s="1"/>
      <c r="AL1221" s="1"/>
      <c r="AM1221" s="1"/>
      <c r="AN1221" s="1"/>
      <c r="AO1221" s="1" t="s">
        <v>7958</v>
      </c>
      <c r="AP1221" s="1"/>
      <c r="AQ1221" s="1"/>
      <c r="AR1221" s="1"/>
      <c r="AS1221" s="1"/>
      <c r="AT1221" s="1" t="s">
        <v>198</v>
      </c>
      <c r="AU1221" s="1">
        <v>2017</v>
      </c>
      <c r="AV1221" s="1">
        <v>12</v>
      </c>
      <c r="AW1221" s="1"/>
      <c r="AX1221" s="1"/>
      <c r="AY1221" s="1"/>
      <c r="AZ1221" s="1"/>
      <c r="BA1221" s="1"/>
      <c r="BB1221" s="1">
        <v>25</v>
      </c>
      <c r="BC1221" s="1">
        <v>27</v>
      </c>
      <c r="BD1221" s="1"/>
      <c r="BE1221" s="1" t="s">
        <v>7959</v>
      </c>
      <c r="BF1221" s="1" t="str">
        <f>HYPERLINK("http://dx.doi.org/10.1016/j.jasrep.2017.01.005","http://dx.doi.org/10.1016/j.jasrep.2017.01.005")</f>
        <v>http://dx.doi.org/10.1016/j.jasrep.2017.01.005</v>
      </c>
      <c r="BG1221" s="1"/>
      <c r="BH1221" s="1"/>
      <c r="BI1221" s="1"/>
      <c r="BJ1221" s="1"/>
      <c r="BK1221" s="1"/>
      <c r="BL1221" s="1"/>
      <c r="BM1221" s="1"/>
      <c r="BN1221" s="1"/>
      <c r="BO1221" s="1"/>
      <c r="BP1221" s="1"/>
      <c r="BQ1221" s="1"/>
      <c r="BR1221" s="1"/>
      <c r="BS1221" s="1" t="s">
        <v>7960</v>
      </c>
      <c r="BT1221" s="1" t="str">
        <f>HYPERLINK("https%3A%2F%2Fwww.webofscience.com%2Fwos%2Fwoscc%2Ffull-record%2FWOS:000415616300003","View Full Record in Web of Science")</f>
        <v>View Full Record in Web of Science</v>
      </c>
      <c r="BU1221" s="1"/>
      <c r="BV1221" s="1"/>
      <c r="BW1221" s="1"/>
    </row>
    <row r="1222" spans="1:75" ht="12.75" customHeight="1" x14ac:dyDescent="0.2">
      <c r="A1222" s="1" t="s">
        <v>72</v>
      </c>
      <c r="B1222" s="1" t="s">
        <v>7922</v>
      </c>
      <c r="C1222" s="1"/>
      <c r="D1222" s="1"/>
      <c r="E1222" s="1"/>
      <c r="F1222" s="1" t="s">
        <v>7923</v>
      </c>
      <c r="G1222" s="1"/>
      <c r="H1222" s="1"/>
      <c r="I1222" s="1" t="s">
        <v>7961</v>
      </c>
      <c r="J1222" s="1" t="s">
        <v>95</v>
      </c>
      <c r="K1222" s="1"/>
      <c r="L1222" s="1"/>
      <c r="M1222" s="1"/>
      <c r="N1222" s="1"/>
      <c r="O1222" s="1"/>
      <c r="P1222" s="1"/>
      <c r="Q1222" s="1"/>
      <c r="R1222" s="1"/>
      <c r="S1222" s="1"/>
      <c r="T1222" s="1"/>
      <c r="U1222" s="1"/>
      <c r="V1222" s="1"/>
      <c r="W1222" s="1"/>
      <c r="X1222" s="1"/>
      <c r="Y1222" s="1"/>
      <c r="Z1222" s="1"/>
      <c r="AA1222" s="1" t="s">
        <v>7962</v>
      </c>
      <c r="AB1222" s="1" t="s">
        <v>7963</v>
      </c>
      <c r="AC1222" s="1"/>
      <c r="AD1222" s="1"/>
      <c r="AE1222" s="1"/>
      <c r="AF1222" s="1"/>
      <c r="AG1222" s="1"/>
      <c r="AH1222" s="1"/>
      <c r="AI1222" s="1"/>
      <c r="AJ1222" s="1"/>
      <c r="AK1222" s="1"/>
      <c r="AL1222" s="1"/>
      <c r="AM1222" s="1"/>
      <c r="AN1222" s="1"/>
      <c r="AO1222" s="1" t="s">
        <v>98</v>
      </c>
      <c r="AP1222" s="1" t="s">
        <v>99</v>
      </c>
      <c r="AQ1222" s="1"/>
      <c r="AR1222" s="1"/>
      <c r="AS1222" s="1"/>
      <c r="AT1222" s="1"/>
      <c r="AU1222" s="1">
        <v>2020</v>
      </c>
      <c r="AV1222" s="1"/>
      <c r="AW1222" s="1">
        <v>4</v>
      </c>
      <c r="AX1222" s="1"/>
      <c r="AY1222" s="1"/>
      <c r="AZ1222" s="1"/>
      <c r="BA1222" s="1"/>
      <c r="BB1222" s="1">
        <v>237</v>
      </c>
      <c r="BC1222" s="1">
        <v>241</v>
      </c>
      <c r="BD1222" s="1"/>
      <c r="BE1222" s="1" t="s">
        <v>7964</v>
      </c>
      <c r="BF1222" s="1" t="str">
        <f>HYPERLINK("http://dx.doi.org/10.25750/1995-4301-2020-4-237-241","http://dx.doi.org/10.25750/1995-4301-2020-4-237-241")</f>
        <v>http://dx.doi.org/10.25750/1995-4301-2020-4-237-241</v>
      </c>
      <c r="BG1222" s="1"/>
      <c r="BH1222" s="1"/>
      <c r="BI1222" s="1"/>
      <c r="BJ1222" s="1"/>
      <c r="BK1222" s="1"/>
      <c r="BL1222" s="1"/>
      <c r="BM1222" s="1"/>
      <c r="BN1222" s="1"/>
      <c r="BO1222" s="1"/>
      <c r="BP1222" s="1"/>
      <c r="BQ1222" s="1"/>
      <c r="BR1222" s="1"/>
      <c r="BS1222" s="1" t="s">
        <v>7965</v>
      </c>
      <c r="BT1222" s="1" t="str">
        <f>HYPERLINK("https%3A%2F%2Fwww.webofscience.com%2Fwos%2Fwoscc%2Ffull-record%2FWOS:000597810500036","View Full Record in Web of Science")</f>
        <v>View Full Record in Web of Science</v>
      </c>
      <c r="BU1222" s="1"/>
      <c r="BV1222" s="1"/>
      <c r="BW1222" s="1"/>
    </row>
    <row r="1223" spans="1:75" ht="12.75" customHeight="1" x14ac:dyDescent="0.2">
      <c r="A1223" s="1" t="s">
        <v>72</v>
      </c>
      <c r="B1223" s="1" t="s">
        <v>7966</v>
      </c>
      <c r="C1223" s="1"/>
      <c r="D1223" s="1"/>
      <c r="E1223" s="1"/>
      <c r="F1223" s="1" t="s">
        <v>7967</v>
      </c>
      <c r="G1223" s="1"/>
      <c r="H1223" s="1"/>
      <c r="I1223" s="1" t="s">
        <v>7968</v>
      </c>
      <c r="J1223" s="1" t="s">
        <v>95</v>
      </c>
      <c r="K1223" s="1"/>
      <c r="L1223" s="1"/>
      <c r="M1223" s="1"/>
      <c r="N1223" s="1"/>
      <c r="O1223" s="1"/>
      <c r="P1223" s="1"/>
      <c r="Q1223" s="1"/>
      <c r="R1223" s="1"/>
      <c r="S1223" s="1"/>
      <c r="T1223" s="1"/>
      <c r="U1223" s="1"/>
      <c r="V1223" s="1"/>
      <c r="W1223" s="1"/>
      <c r="X1223" s="1"/>
      <c r="Y1223" s="1"/>
      <c r="Z1223" s="1"/>
      <c r="AA1223" s="1" t="s">
        <v>7969</v>
      </c>
      <c r="AB1223" s="1" t="s">
        <v>7970</v>
      </c>
      <c r="AC1223" s="1"/>
      <c r="AD1223" s="1"/>
      <c r="AE1223" s="1"/>
      <c r="AF1223" s="1"/>
      <c r="AG1223" s="1"/>
      <c r="AH1223" s="1"/>
      <c r="AI1223" s="1"/>
      <c r="AJ1223" s="1"/>
      <c r="AK1223" s="1"/>
      <c r="AL1223" s="1"/>
      <c r="AM1223" s="1"/>
      <c r="AN1223" s="1"/>
      <c r="AO1223" s="1" t="s">
        <v>98</v>
      </c>
      <c r="AP1223" s="1" t="s">
        <v>99</v>
      </c>
      <c r="AQ1223" s="1"/>
      <c r="AR1223" s="1"/>
      <c r="AS1223" s="1"/>
      <c r="AT1223" s="1"/>
      <c r="AU1223" s="1">
        <v>2020</v>
      </c>
      <c r="AV1223" s="1"/>
      <c r="AW1223" s="1">
        <v>2</v>
      </c>
      <c r="AX1223" s="1"/>
      <c r="AY1223" s="1"/>
      <c r="AZ1223" s="1"/>
      <c r="BA1223" s="1"/>
      <c r="BB1223" s="1">
        <v>14</v>
      </c>
      <c r="BC1223" s="1">
        <v>25</v>
      </c>
      <c r="BD1223" s="1"/>
      <c r="BE1223" s="1" t="s">
        <v>7971</v>
      </c>
      <c r="BF1223" s="1" t="str">
        <f>HYPERLINK("http://dx.doi.org/10.25750/1995-4301-2020-2-014-025","http://dx.doi.org/10.25750/1995-4301-2020-2-014-025")</f>
        <v>http://dx.doi.org/10.25750/1995-4301-2020-2-014-025</v>
      </c>
      <c r="BG1223" s="1"/>
      <c r="BH1223" s="1"/>
      <c r="BI1223" s="1"/>
      <c r="BJ1223" s="1"/>
      <c r="BK1223" s="1"/>
      <c r="BL1223" s="1"/>
      <c r="BM1223" s="1"/>
      <c r="BN1223" s="1"/>
      <c r="BO1223" s="1"/>
      <c r="BP1223" s="1"/>
      <c r="BQ1223" s="1"/>
      <c r="BR1223" s="1"/>
      <c r="BS1223" s="1" t="s">
        <v>7972</v>
      </c>
      <c r="BT1223" s="1" t="str">
        <f>HYPERLINK("https%3A%2F%2Fwww.webofscience.com%2Fwos%2Fwoscc%2Ffull-record%2FWOS:000545295600002","View Full Record in Web of Science")</f>
        <v>View Full Record in Web of Science</v>
      </c>
      <c r="BU1223" s="1"/>
      <c r="BV1223" s="1"/>
      <c r="BW1223" s="1"/>
    </row>
    <row r="1224" spans="1:75" ht="12.75" customHeight="1" x14ac:dyDescent="0.2">
      <c r="A1224" s="1" t="s">
        <v>72</v>
      </c>
      <c r="B1224" s="1" t="s">
        <v>7973</v>
      </c>
      <c r="C1224" s="1"/>
      <c r="D1224" s="1"/>
      <c r="E1224" s="1"/>
      <c r="F1224" s="1" t="s">
        <v>7974</v>
      </c>
      <c r="G1224" s="1"/>
      <c r="H1224" s="1"/>
      <c r="I1224" s="1" t="s">
        <v>7975</v>
      </c>
      <c r="J1224" s="1" t="s">
        <v>95</v>
      </c>
      <c r="K1224" s="1"/>
      <c r="L1224" s="1"/>
      <c r="M1224" s="1"/>
      <c r="N1224" s="1"/>
      <c r="O1224" s="1"/>
      <c r="P1224" s="1"/>
      <c r="Q1224" s="1"/>
      <c r="R1224" s="1"/>
      <c r="S1224" s="1"/>
      <c r="T1224" s="1"/>
      <c r="U1224" s="1"/>
      <c r="V1224" s="1"/>
      <c r="W1224" s="1"/>
      <c r="X1224" s="1"/>
      <c r="Y1224" s="1"/>
      <c r="Z1224" s="1"/>
      <c r="AA1224" s="1" t="s">
        <v>5529</v>
      </c>
      <c r="AB1224" s="1" t="s">
        <v>7976</v>
      </c>
      <c r="AC1224" s="1"/>
      <c r="AD1224" s="1"/>
      <c r="AE1224" s="1"/>
      <c r="AF1224" s="1"/>
      <c r="AG1224" s="1"/>
      <c r="AH1224" s="1"/>
      <c r="AI1224" s="1"/>
      <c r="AJ1224" s="1"/>
      <c r="AK1224" s="1"/>
      <c r="AL1224" s="1"/>
      <c r="AM1224" s="1"/>
      <c r="AN1224" s="1"/>
      <c r="AO1224" s="1" t="s">
        <v>98</v>
      </c>
      <c r="AP1224" s="1" t="s">
        <v>99</v>
      </c>
      <c r="AQ1224" s="1"/>
      <c r="AR1224" s="1"/>
      <c r="AS1224" s="1"/>
      <c r="AT1224" s="1"/>
      <c r="AU1224" s="1">
        <v>2021</v>
      </c>
      <c r="AV1224" s="1"/>
      <c r="AW1224" s="1">
        <v>2</v>
      </c>
      <c r="AX1224" s="1"/>
      <c r="AY1224" s="1"/>
      <c r="AZ1224" s="1"/>
      <c r="BA1224" s="1"/>
      <c r="BB1224" s="1">
        <v>122</v>
      </c>
      <c r="BC1224" s="1">
        <v>127</v>
      </c>
      <c r="BD1224" s="1"/>
      <c r="BE1224" s="1" t="s">
        <v>7977</v>
      </c>
      <c r="BF1224" s="1" t="str">
        <f>HYPERLINK("http://dx.doi.org/10.25750/1995-4301-2021-2-122-127","http://dx.doi.org/10.25750/1995-4301-2021-2-122-127")</f>
        <v>http://dx.doi.org/10.25750/1995-4301-2021-2-122-127</v>
      </c>
      <c r="BG1224" s="1"/>
      <c r="BH1224" s="1"/>
      <c r="BI1224" s="1"/>
      <c r="BJ1224" s="1"/>
      <c r="BK1224" s="1"/>
      <c r="BL1224" s="1"/>
      <c r="BM1224" s="1"/>
      <c r="BN1224" s="1"/>
      <c r="BO1224" s="1"/>
      <c r="BP1224" s="1"/>
      <c r="BQ1224" s="1"/>
      <c r="BR1224" s="1"/>
      <c r="BS1224" s="1" t="s">
        <v>7978</v>
      </c>
      <c r="BT1224" s="1" t="str">
        <f>HYPERLINK("https%3A%2F%2Fwww.webofscience.com%2Fwos%2Fwoscc%2Ffull-record%2FWOS:000667025400017","View Full Record in Web of Science")</f>
        <v>View Full Record in Web of Science</v>
      </c>
      <c r="BU1224" s="1"/>
      <c r="BV1224" s="1"/>
      <c r="BW1224" s="1"/>
    </row>
    <row r="1225" spans="1:75" ht="12.75" customHeight="1" x14ac:dyDescent="0.2">
      <c r="A1225" s="1" t="s">
        <v>72</v>
      </c>
      <c r="B1225" s="1" t="s">
        <v>7979</v>
      </c>
      <c r="C1225" s="1"/>
      <c r="D1225" s="1"/>
      <c r="E1225" s="1"/>
      <c r="F1225" s="1" t="s">
        <v>7980</v>
      </c>
      <c r="G1225" s="1"/>
      <c r="H1225" s="1"/>
      <c r="I1225" s="1" t="s">
        <v>7981</v>
      </c>
      <c r="J1225" s="1" t="s">
        <v>95</v>
      </c>
      <c r="K1225" s="1"/>
      <c r="L1225" s="1"/>
      <c r="M1225" s="1"/>
      <c r="N1225" s="1"/>
      <c r="O1225" s="1"/>
      <c r="P1225" s="1"/>
      <c r="Q1225" s="1"/>
      <c r="R1225" s="1"/>
      <c r="S1225" s="1"/>
      <c r="T1225" s="1"/>
      <c r="U1225" s="1"/>
      <c r="V1225" s="1"/>
      <c r="W1225" s="1"/>
      <c r="X1225" s="1"/>
      <c r="Y1225" s="1"/>
      <c r="Z1225" s="1"/>
      <c r="AA1225" s="1" t="s">
        <v>7982</v>
      </c>
      <c r="AB1225" s="1" t="s">
        <v>7983</v>
      </c>
      <c r="AC1225" s="1"/>
      <c r="AD1225" s="1"/>
      <c r="AE1225" s="1"/>
      <c r="AF1225" s="1"/>
      <c r="AG1225" s="1"/>
      <c r="AH1225" s="1"/>
      <c r="AI1225" s="1"/>
      <c r="AJ1225" s="1"/>
      <c r="AK1225" s="1"/>
      <c r="AL1225" s="1"/>
      <c r="AM1225" s="1"/>
      <c r="AN1225" s="1"/>
      <c r="AO1225" s="1" t="s">
        <v>98</v>
      </c>
      <c r="AP1225" s="1" t="s">
        <v>99</v>
      </c>
      <c r="AQ1225" s="1"/>
      <c r="AR1225" s="1"/>
      <c r="AS1225" s="1"/>
      <c r="AT1225" s="1"/>
      <c r="AU1225" s="1">
        <v>2021</v>
      </c>
      <c r="AV1225" s="1"/>
      <c r="AW1225" s="1">
        <v>4</v>
      </c>
      <c r="AX1225" s="1"/>
      <c r="AY1225" s="1"/>
      <c r="AZ1225" s="1"/>
      <c r="BA1225" s="1"/>
      <c r="BB1225" s="1">
        <v>193</v>
      </c>
      <c r="BC1225" s="1">
        <v>202</v>
      </c>
      <c r="BD1225" s="1"/>
      <c r="BE1225" s="1" t="s">
        <v>7984</v>
      </c>
      <c r="BF1225" s="1" t="str">
        <f>HYPERLINK("http://dx.doi.org/10.25750/1995-4301-2021-4-193-202","http://dx.doi.org/10.25750/1995-4301-2021-4-193-202")</f>
        <v>http://dx.doi.org/10.25750/1995-4301-2021-4-193-202</v>
      </c>
      <c r="BG1225" s="1"/>
      <c r="BH1225" s="1"/>
      <c r="BI1225" s="1"/>
      <c r="BJ1225" s="1"/>
      <c r="BK1225" s="1"/>
      <c r="BL1225" s="1"/>
      <c r="BM1225" s="1"/>
      <c r="BN1225" s="1"/>
      <c r="BO1225" s="1"/>
      <c r="BP1225" s="1"/>
      <c r="BQ1225" s="1"/>
      <c r="BR1225" s="1"/>
      <c r="BS1225" s="1" t="s">
        <v>7985</v>
      </c>
      <c r="BT1225" s="1" t="str">
        <f>HYPERLINK("https%3A%2F%2Fwww.webofscience.com%2Fwos%2Fwoscc%2Ffull-record%2FWOS:000755154100028","View Full Record in Web of Science")</f>
        <v>View Full Record in Web of Science</v>
      </c>
      <c r="BU1225" s="1"/>
      <c r="BV1225" s="1"/>
      <c r="BW1225" s="1"/>
    </row>
    <row r="1226" spans="1:75" ht="12.75" customHeight="1" x14ac:dyDescent="0.2">
      <c r="A1226" s="1" t="s">
        <v>72</v>
      </c>
      <c r="B1226" s="1" t="s">
        <v>7986</v>
      </c>
      <c r="C1226" s="1"/>
      <c r="D1226" s="1"/>
      <c r="E1226" s="1"/>
      <c r="F1226" s="1" t="s">
        <v>7987</v>
      </c>
      <c r="G1226" s="1"/>
      <c r="H1226" s="1"/>
      <c r="I1226" s="1" t="s">
        <v>7988</v>
      </c>
      <c r="J1226" s="1" t="s">
        <v>4996</v>
      </c>
      <c r="K1226" s="1"/>
      <c r="L1226" s="1"/>
      <c r="M1226" s="1"/>
      <c r="N1226" s="1"/>
      <c r="O1226" s="1"/>
      <c r="P1226" s="1"/>
      <c r="Q1226" s="1"/>
      <c r="R1226" s="1"/>
      <c r="S1226" s="1"/>
      <c r="T1226" s="1"/>
      <c r="U1226" s="1"/>
      <c r="V1226" s="1"/>
      <c r="W1226" s="1"/>
      <c r="X1226" s="1"/>
      <c r="Y1226" s="1"/>
      <c r="Z1226" s="1"/>
      <c r="AA1226" s="1" t="s">
        <v>7989</v>
      </c>
      <c r="AB1226" s="1"/>
      <c r="AC1226" s="1"/>
      <c r="AD1226" s="1"/>
      <c r="AE1226" s="1"/>
      <c r="AF1226" s="1"/>
      <c r="AG1226" s="1"/>
      <c r="AH1226" s="1"/>
      <c r="AI1226" s="1"/>
      <c r="AJ1226" s="1"/>
      <c r="AK1226" s="1"/>
      <c r="AL1226" s="1"/>
      <c r="AM1226" s="1"/>
      <c r="AN1226" s="1"/>
      <c r="AO1226" s="1" t="s">
        <v>4999</v>
      </c>
      <c r="AP1226" s="1" t="s">
        <v>5000</v>
      </c>
      <c r="AQ1226" s="1"/>
      <c r="AR1226" s="1"/>
      <c r="AS1226" s="1"/>
      <c r="AT1226" s="1"/>
      <c r="AU1226" s="1">
        <v>2020</v>
      </c>
      <c r="AV1226" s="1">
        <v>44</v>
      </c>
      <c r="AW1226" s="1">
        <v>3</v>
      </c>
      <c r="AX1226" s="1"/>
      <c r="AY1226" s="1"/>
      <c r="AZ1226" s="1"/>
      <c r="BA1226" s="1"/>
      <c r="BB1226" s="1">
        <v>433</v>
      </c>
      <c r="BC1226" s="1">
        <v>438</v>
      </c>
      <c r="BD1226" s="1"/>
      <c r="BE1226" s="1" t="s">
        <v>7990</v>
      </c>
      <c r="BF1226" s="1" t="str">
        <f>HYPERLINK("http://dx.doi.org/10.18720/MPM.4432020_14","http://dx.doi.org/10.18720/MPM.4432020_14")</f>
        <v>http://dx.doi.org/10.18720/MPM.4432020_14</v>
      </c>
      <c r="BG1226" s="1"/>
      <c r="BH1226" s="1"/>
      <c r="BI1226" s="1"/>
      <c r="BJ1226" s="1"/>
      <c r="BK1226" s="1"/>
      <c r="BL1226" s="1"/>
      <c r="BM1226" s="1"/>
      <c r="BN1226" s="1"/>
      <c r="BO1226" s="1"/>
      <c r="BP1226" s="1"/>
      <c r="BQ1226" s="1"/>
      <c r="BR1226" s="1"/>
      <c r="BS1226" s="1" t="s">
        <v>7991</v>
      </c>
      <c r="BT1226" s="1" t="str">
        <f>HYPERLINK("https%3A%2F%2Fwww.webofscience.com%2Fwos%2Fwoscc%2Ffull-record%2FWOS:000586664900014","View Full Record in Web of Science")</f>
        <v>View Full Record in Web of Science</v>
      </c>
      <c r="BU1226" s="1"/>
      <c r="BV1226" s="1"/>
      <c r="BW1226" s="1"/>
    </row>
    <row r="1227" spans="1:75" ht="12.75" customHeight="1" x14ac:dyDescent="0.2">
      <c r="A1227" s="1" t="s">
        <v>72</v>
      </c>
      <c r="B1227" s="1" t="s">
        <v>7922</v>
      </c>
      <c r="C1227" s="1"/>
      <c r="D1227" s="1"/>
      <c r="E1227" s="1"/>
      <c r="F1227" s="1" t="s">
        <v>7923</v>
      </c>
      <c r="G1227" s="1"/>
      <c r="H1227" s="1"/>
      <c r="I1227" s="1" t="s">
        <v>7992</v>
      </c>
      <c r="J1227" s="1" t="s">
        <v>95</v>
      </c>
      <c r="K1227" s="1"/>
      <c r="L1227" s="1"/>
      <c r="M1227" s="1"/>
      <c r="N1227" s="1"/>
      <c r="O1227" s="1"/>
      <c r="P1227" s="1"/>
      <c r="Q1227" s="1"/>
      <c r="R1227" s="1"/>
      <c r="S1227" s="1"/>
      <c r="T1227" s="1"/>
      <c r="U1227" s="1"/>
      <c r="V1227" s="1"/>
      <c r="W1227" s="1"/>
      <c r="X1227" s="1"/>
      <c r="Y1227" s="1"/>
      <c r="Z1227" s="1"/>
      <c r="AA1227" s="1"/>
      <c r="AB1227" s="1" t="s">
        <v>7963</v>
      </c>
      <c r="AC1227" s="1"/>
      <c r="AD1227" s="1"/>
      <c r="AE1227" s="1"/>
      <c r="AF1227" s="1"/>
      <c r="AG1227" s="1"/>
      <c r="AH1227" s="1"/>
      <c r="AI1227" s="1"/>
      <c r="AJ1227" s="1"/>
      <c r="AK1227" s="1"/>
      <c r="AL1227" s="1"/>
      <c r="AM1227" s="1"/>
      <c r="AN1227" s="1"/>
      <c r="AO1227" s="1" t="s">
        <v>98</v>
      </c>
      <c r="AP1227" s="1" t="s">
        <v>99</v>
      </c>
      <c r="AQ1227" s="1"/>
      <c r="AR1227" s="1"/>
      <c r="AS1227" s="1"/>
      <c r="AT1227" s="1"/>
      <c r="AU1227" s="1">
        <v>2020</v>
      </c>
      <c r="AV1227" s="1"/>
      <c r="AW1227" s="1">
        <v>3</v>
      </c>
      <c r="AX1227" s="1"/>
      <c r="AY1227" s="1"/>
      <c r="AZ1227" s="1"/>
      <c r="BA1227" s="1"/>
      <c r="BB1227" s="1">
        <v>217</v>
      </c>
      <c r="BC1227" s="1">
        <v>223</v>
      </c>
      <c r="BD1227" s="1"/>
      <c r="BE1227" s="1" t="s">
        <v>7993</v>
      </c>
      <c r="BF1227" s="1" t="str">
        <f>HYPERLINK("http://dx.doi.org/10.25750/1995-4301-2020-3-217-223","http://dx.doi.org/10.25750/1995-4301-2020-3-217-223")</f>
        <v>http://dx.doi.org/10.25750/1995-4301-2020-3-217-223</v>
      </c>
      <c r="BG1227" s="1"/>
      <c r="BH1227" s="1"/>
      <c r="BI1227" s="1"/>
      <c r="BJ1227" s="1"/>
      <c r="BK1227" s="1"/>
      <c r="BL1227" s="1"/>
      <c r="BM1227" s="1"/>
      <c r="BN1227" s="1"/>
      <c r="BO1227" s="1"/>
      <c r="BP1227" s="1"/>
      <c r="BQ1227" s="1"/>
      <c r="BR1227" s="1"/>
      <c r="BS1227" s="1" t="s">
        <v>7994</v>
      </c>
      <c r="BT1227" s="1" t="str">
        <f>HYPERLINK("https%3A%2F%2Fwww.webofscience.com%2Fwos%2Fwoscc%2Ffull-record%2FWOS:000580337700032","View Full Record in Web of Science")</f>
        <v>View Full Record in Web of Science</v>
      </c>
      <c r="BU1227" s="1"/>
      <c r="BV1227" s="1"/>
      <c r="BW1227" s="1"/>
    </row>
    <row r="1228" spans="1:75" ht="12.75" customHeight="1" x14ac:dyDescent="0.2">
      <c r="A1228" s="1" t="s">
        <v>72</v>
      </c>
      <c r="B1228" s="1" t="s">
        <v>7995</v>
      </c>
      <c r="C1228" s="1"/>
      <c r="D1228" s="1"/>
      <c r="E1228" s="1"/>
      <c r="F1228" s="1" t="s">
        <v>7996</v>
      </c>
      <c r="G1228" s="1"/>
      <c r="H1228" s="1"/>
      <c r="I1228" s="1" t="s">
        <v>7997</v>
      </c>
      <c r="J1228" s="1" t="s">
        <v>95</v>
      </c>
      <c r="K1228" s="1"/>
      <c r="L1228" s="1"/>
      <c r="M1228" s="1"/>
      <c r="N1228" s="1"/>
      <c r="O1228" s="1"/>
      <c r="P1228" s="1"/>
      <c r="Q1228" s="1"/>
      <c r="R1228" s="1"/>
      <c r="S1228" s="1"/>
      <c r="T1228" s="1"/>
      <c r="U1228" s="1"/>
      <c r="V1228" s="1"/>
      <c r="W1228" s="1"/>
      <c r="X1228" s="1"/>
      <c r="Y1228" s="1"/>
      <c r="Z1228" s="1"/>
      <c r="AA1228" s="1" t="s">
        <v>5529</v>
      </c>
      <c r="AB1228" s="1" t="s">
        <v>5530</v>
      </c>
      <c r="AC1228" s="1"/>
      <c r="AD1228" s="1"/>
      <c r="AE1228" s="1"/>
      <c r="AF1228" s="1"/>
      <c r="AG1228" s="1"/>
      <c r="AH1228" s="1"/>
      <c r="AI1228" s="1"/>
      <c r="AJ1228" s="1"/>
      <c r="AK1228" s="1"/>
      <c r="AL1228" s="1"/>
      <c r="AM1228" s="1"/>
      <c r="AN1228" s="1"/>
      <c r="AO1228" s="1" t="s">
        <v>98</v>
      </c>
      <c r="AP1228" s="1" t="s">
        <v>99</v>
      </c>
      <c r="AQ1228" s="1"/>
      <c r="AR1228" s="1"/>
      <c r="AS1228" s="1"/>
      <c r="AT1228" s="1"/>
      <c r="AU1228" s="1">
        <v>2021</v>
      </c>
      <c r="AV1228" s="1"/>
      <c r="AW1228" s="1">
        <v>3</v>
      </c>
      <c r="AX1228" s="1"/>
      <c r="AY1228" s="1"/>
      <c r="AZ1228" s="1"/>
      <c r="BA1228" s="1"/>
      <c r="BB1228" s="1">
        <v>21</v>
      </c>
      <c r="BC1228" s="1">
        <v>30</v>
      </c>
      <c r="BD1228" s="1"/>
      <c r="BE1228" s="1" t="s">
        <v>7998</v>
      </c>
      <c r="BF1228" s="1" t="str">
        <f>HYPERLINK("http://dx.doi.org/10.25750/1995-4301-2021-3-021-030","http://dx.doi.org/10.25750/1995-4301-2021-3-021-030")</f>
        <v>http://dx.doi.org/10.25750/1995-4301-2021-3-021-030</v>
      </c>
      <c r="BG1228" s="1"/>
      <c r="BH1228" s="1"/>
      <c r="BI1228" s="1"/>
      <c r="BJ1228" s="1"/>
      <c r="BK1228" s="1"/>
      <c r="BL1228" s="1"/>
      <c r="BM1228" s="1"/>
      <c r="BN1228" s="1"/>
      <c r="BO1228" s="1"/>
      <c r="BP1228" s="1"/>
      <c r="BQ1228" s="1"/>
      <c r="BR1228" s="1"/>
      <c r="BS1228" s="1" t="s">
        <v>7999</v>
      </c>
      <c r="BT1228" s="1" t="str">
        <f>HYPERLINK("https%3A%2F%2Fwww.webofscience.com%2Fwos%2Fwoscc%2Ffull-record%2FWOS:000700413300003","View Full Record in Web of Science")</f>
        <v>View Full Record in Web of Science</v>
      </c>
      <c r="BU1228" s="1"/>
      <c r="BV1228" s="1"/>
      <c r="BW1228" s="1"/>
    </row>
    <row r="1229" spans="1:75" ht="12.75" customHeight="1" x14ac:dyDescent="0.2">
      <c r="A1229" s="1" t="s">
        <v>72</v>
      </c>
      <c r="B1229" s="1" t="s">
        <v>8000</v>
      </c>
      <c r="C1229" s="1"/>
      <c r="D1229" s="1"/>
      <c r="E1229" s="1"/>
      <c r="F1229" s="1" t="s">
        <v>8001</v>
      </c>
      <c r="G1229" s="1"/>
      <c r="H1229" s="1"/>
      <c r="I1229" s="1" t="s">
        <v>8002</v>
      </c>
      <c r="J1229" s="1" t="s">
        <v>95</v>
      </c>
      <c r="K1229" s="1"/>
      <c r="L1229" s="1"/>
      <c r="M1229" s="1"/>
      <c r="N1229" s="1"/>
      <c r="O1229" s="1"/>
      <c r="P1229" s="1"/>
      <c r="Q1229" s="1"/>
      <c r="R1229" s="1"/>
      <c r="S1229" s="1"/>
      <c r="T1229" s="1"/>
      <c r="U1229" s="1"/>
      <c r="V1229" s="1"/>
      <c r="W1229" s="1"/>
      <c r="X1229" s="1"/>
      <c r="Y1229" s="1"/>
      <c r="Z1229" s="1"/>
      <c r="AA1229" s="1" t="s">
        <v>7620</v>
      </c>
      <c r="AB1229" s="1" t="s">
        <v>7621</v>
      </c>
      <c r="AC1229" s="1"/>
      <c r="AD1229" s="1"/>
      <c r="AE1229" s="1"/>
      <c r="AF1229" s="1"/>
      <c r="AG1229" s="1"/>
      <c r="AH1229" s="1"/>
      <c r="AI1229" s="1"/>
      <c r="AJ1229" s="1"/>
      <c r="AK1229" s="1"/>
      <c r="AL1229" s="1"/>
      <c r="AM1229" s="1"/>
      <c r="AN1229" s="1"/>
      <c r="AO1229" s="1" t="s">
        <v>98</v>
      </c>
      <c r="AP1229" s="1" t="s">
        <v>99</v>
      </c>
      <c r="AQ1229" s="1"/>
      <c r="AR1229" s="1"/>
      <c r="AS1229" s="1"/>
      <c r="AT1229" s="1"/>
      <c r="AU1229" s="1">
        <v>2018</v>
      </c>
      <c r="AV1229" s="1"/>
      <c r="AW1229" s="1">
        <v>1</v>
      </c>
      <c r="AX1229" s="1"/>
      <c r="AY1229" s="1"/>
      <c r="AZ1229" s="1"/>
      <c r="BA1229" s="1"/>
      <c r="BB1229" s="1">
        <v>18</v>
      </c>
      <c r="BC1229" s="1">
        <v>24</v>
      </c>
      <c r="BD1229" s="1"/>
      <c r="BE1229" s="1"/>
      <c r="BF1229" s="1"/>
      <c r="BG1229" s="1"/>
      <c r="BH1229" s="1"/>
      <c r="BI1229" s="1"/>
      <c r="BJ1229" s="1"/>
      <c r="BK1229" s="1"/>
      <c r="BL1229" s="1"/>
      <c r="BM1229" s="1"/>
      <c r="BN1229" s="1"/>
      <c r="BO1229" s="1"/>
      <c r="BP1229" s="1"/>
      <c r="BQ1229" s="1"/>
      <c r="BR1229" s="1"/>
      <c r="BS1229" s="1" t="s">
        <v>8003</v>
      </c>
      <c r="BT1229" s="1" t="str">
        <f>HYPERLINK("https%3A%2F%2Fwww.webofscience.com%2Fwos%2Fwoscc%2Ffull-record%2FWOS:000468564100002","View Full Record in Web of Science")</f>
        <v>View Full Record in Web of Science</v>
      </c>
      <c r="BU1229" s="1"/>
      <c r="BV1229" s="1"/>
      <c r="BW1229" s="1"/>
    </row>
    <row r="1230" spans="1:75" ht="12.75" customHeight="1" x14ac:dyDescent="0.2">
      <c r="A1230" s="1" t="s">
        <v>72</v>
      </c>
      <c r="B1230" s="1" t="s">
        <v>8004</v>
      </c>
      <c r="C1230" s="1"/>
      <c r="D1230" s="1"/>
      <c r="E1230" s="1"/>
      <c r="F1230" s="1" t="s">
        <v>8005</v>
      </c>
      <c r="G1230" s="1"/>
      <c r="H1230" s="1"/>
      <c r="I1230" s="1" t="s">
        <v>8006</v>
      </c>
      <c r="J1230" s="1" t="s">
        <v>95</v>
      </c>
      <c r="K1230" s="1"/>
      <c r="L1230" s="1"/>
      <c r="M1230" s="1"/>
      <c r="N1230" s="1"/>
      <c r="O1230" s="1"/>
      <c r="P1230" s="1"/>
      <c r="Q1230" s="1"/>
      <c r="R1230" s="1"/>
      <c r="S1230" s="1"/>
      <c r="T1230" s="1"/>
      <c r="U1230" s="1"/>
      <c r="V1230" s="1"/>
      <c r="W1230" s="1"/>
      <c r="X1230" s="1"/>
      <c r="Y1230" s="1"/>
      <c r="Z1230" s="1"/>
      <c r="AA1230" s="1" t="s">
        <v>8007</v>
      </c>
      <c r="AB1230" s="1" t="s">
        <v>8008</v>
      </c>
      <c r="AC1230" s="1"/>
      <c r="AD1230" s="1"/>
      <c r="AE1230" s="1"/>
      <c r="AF1230" s="1"/>
      <c r="AG1230" s="1"/>
      <c r="AH1230" s="1"/>
      <c r="AI1230" s="1"/>
      <c r="AJ1230" s="1"/>
      <c r="AK1230" s="1"/>
      <c r="AL1230" s="1"/>
      <c r="AM1230" s="1"/>
      <c r="AN1230" s="1"/>
      <c r="AO1230" s="1" t="s">
        <v>98</v>
      </c>
      <c r="AP1230" s="1" t="s">
        <v>99</v>
      </c>
      <c r="AQ1230" s="1"/>
      <c r="AR1230" s="1"/>
      <c r="AS1230" s="1"/>
      <c r="AT1230" s="1"/>
      <c r="AU1230" s="1">
        <v>2018</v>
      </c>
      <c r="AV1230" s="1"/>
      <c r="AW1230" s="1">
        <v>4</v>
      </c>
      <c r="AX1230" s="1"/>
      <c r="AY1230" s="1"/>
      <c r="AZ1230" s="1"/>
      <c r="BA1230" s="1"/>
      <c r="BB1230" s="1">
        <v>46</v>
      </c>
      <c r="BC1230" s="1">
        <v>52</v>
      </c>
      <c r="BD1230" s="1"/>
      <c r="BE1230" s="1" t="s">
        <v>8009</v>
      </c>
      <c r="BF1230" s="1" t="str">
        <f>HYPERLINK("http://dx.doi.org/10.25750/1995-4301-2018-4-046-052","http://dx.doi.org/10.25750/1995-4301-2018-4-046-052")</f>
        <v>http://dx.doi.org/10.25750/1995-4301-2018-4-046-052</v>
      </c>
      <c r="BG1230" s="1"/>
      <c r="BH1230" s="1"/>
      <c r="BI1230" s="1"/>
      <c r="BJ1230" s="1"/>
      <c r="BK1230" s="1"/>
      <c r="BL1230" s="1"/>
      <c r="BM1230" s="1"/>
      <c r="BN1230" s="1"/>
      <c r="BO1230" s="1"/>
      <c r="BP1230" s="1"/>
      <c r="BQ1230" s="1"/>
      <c r="BR1230" s="1"/>
      <c r="BS1230" s="1" t="s">
        <v>8010</v>
      </c>
      <c r="BT1230" s="1" t="str">
        <f>HYPERLINK("https%3A%2F%2Fwww.webofscience.com%2Fwos%2Fwoscc%2Ffull-record%2FWOS:000468565300006","View Full Record in Web of Science")</f>
        <v>View Full Record in Web of Science</v>
      </c>
      <c r="BU1230" s="1"/>
      <c r="BV1230" s="1"/>
      <c r="BW1230" s="1"/>
    </row>
    <row r="1231" spans="1:75" ht="12.75" customHeight="1" x14ac:dyDescent="0.2">
      <c r="A1231" s="1" t="s">
        <v>72</v>
      </c>
      <c r="B1231" s="1" t="s">
        <v>8011</v>
      </c>
      <c r="C1231" s="1"/>
      <c r="D1231" s="1"/>
      <c r="E1231" s="1"/>
      <c r="F1231" s="1" t="s">
        <v>8012</v>
      </c>
      <c r="G1231" s="1"/>
      <c r="H1231" s="1"/>
      <c r="I1231" s="1" t="s">
        <v>8013</v>
      </c>
      <c r="J1231" s="1" t="s">
        <v>95</v>
      </c>
      <c r="K1231" s="1"/>
      <c r="L1231" s="1"/>
      <c r="M1231" s="1"/>
      <c r="N1231" s="1"/>
      <c r="O1231" s="1"/>
      <c r="P1231" s="1"/>
      <c r="Q1231" s="1"/>
      <c r="R1231" s="1"/>
      <c r="S1231" s="1"/>
      <c r="T1231" s="1"/>
      <c r="U1231" s="1"/>
      <c r="V1231" s="1"/>
      <c r="W1231" s="1"/>
      <c r="X1231" s="1"/>
      <c r="Y1231" s="1"/>
      <c r="Z1231" s="1"/>
      <c r="AA1231" s="1" t="s">
        <v>8014</v>
      </c>
      <c r="AB1231" s="1" t="s">
        <v>8015</v>
      </c>
      <c r="AC1231" s="1"/>
      <c r="AD1231" s="1"/>
      <c r="AE1231" s="1"/>
      <c r="AF1231" s="1"/>
      <c r="AG1231" s="1"/>
      <c r="AH1231" s="1"/>
      <c r="AI1231" s="1"/>
      <c r="AJ1231" s="1"/>
      <c r="AK1231" s="1"/>
      <c r="AL1231" s="1"/>
      <c r="AM1231" s="1"/>
      <c r="AN1231" s="1"/>
      <c r="AO1231" s="1" t="s">
        <v>98</v>
      </c>
      <c r="AP1231" s="1" t="s">
        <v>99</v>
      </c>
      <c r="AQ1231" s="1"/>
      <c r="AR1231" s="1"/>
      <c r="AS1231" s="1"/>
      <c r="AT1231" s="1"/>
      <c r="AU1231" s="1">
        <v>2018</v>
      </c>
      <c r="AV1231" s="1"/>
      <c r="AW1231" s="1">
        <v>1</v>
      </c>
      <c r="AX1231" s="1"/>
      <c r="AY1231" s="1"/>
      <c r="AZ1231" s="1"/>
      <c r="BA1231" s="1"/>
      <c r="BB1231" s="1">
        <v>80</v>
      </c>
      <c r="BC1231" s="1">
        <v>87</v>
      </c>
      <c r="BD1231" s="1"/>
      <c r="BE1231" s="1"/>
      <c r="BF1231" s="1"/>
      <c r="BG1231" s="1"/>
      <c r="BH1231" s="1"/>
      <c r="BI1231" s="1"/>
      <c r="BJ1231" s="1"/>
      <c r="BK1231" s="1"/>
      <c r="BL1231" s="1"/>
      <c r="BM1231" s="1"/>
      <c r="BN1231" s="1"/>
      <c r="BO1231" s="1"/>
      <c r="BP1231" s="1"/>
      <c r="BQ1231" s="1"/>
      <c r="BR1231" s="1"/>
      <c r="BS1231" s="1" t="s">
        <v>8016</v>
      </c>
      <c r="BT1231" s="1" t="str">
        <f>HYPERLINK("https%3A%2F%2Fwww.webofscience.com%2Fwos%2Fwoscc%2Ffull-record%2FWOS:000468564100009","View Full Record in Web of Science")</f>
        <v>View Full Record in Web of Science</v>
      </c>
      <c r="BU1231" s="1"/>
      <c r="BV1231" s="1"/>
      <c r="BW1231" s="1"/>
    </row>
    <row r="1232" spans="1:75" ht="12.75" customHeight="1" x14ac:dyDescent="0.2">
      <c r="A1232" s="1" t="s">
        <v>72</v>
      </c>
      <c r="B1232" s="1" t="s">
        <v>8017</v>
      </c>
      <c r="C1232" s="1"/>
      <c r="D1232" s="1"/>
      <c r="E1232" s="1"/>
      <c r="F1232" s="1" t="s">
        <v>8018</v>
      </c>
      <c r="G1232" s="1"/>
      <c r="H1232" s="1"/>
      <c r="I1232" s="1" t="s">
        <v>8019</v>
      </c>
      <c r="J1232" s="1" t="s">
        <v>95</v>
      </c>
      <c r="K1232" s="1"/>
      <c r="L1232" s="1"/>
      <c r="M1232" s="1"/>
      <c r="N1232" s="1"/>
      <c r="O1232" s="1"/>
      <c r="P1232" s="1"/>
      <c r="Q1232" s="1"/>
      <c r="R1232" s="1"/>
      <c r="S1232" s="1"/>
      <c r="T1232" s="1"/>
      <c r="U1232" s="1"/>
      <c r="V1232" s="1"/>
      <c r="W1232" s="1"/>
      <c r="X1232" s="1"/>
      <c r="Y1232" s="1"/>
      <c r="Z1232" s="1"/>
      <c r="AA1232" s="1" t="s">
        <v>7326</v>
      </c>
      <c r="AB1232" s="1" t="s">
        <v>7327</v>
      </c>
      <c r="AC1232" s="1"/>
      <c r="AD1232" s="1"/>
      <c r="AE1232" s="1"/>
      <c r="AF1232" s="1"/>
      <c r="AG1232" s="1"/>
      <c r="AH1232" s="1"/>
      <c r="AI1232" s="1"/>
      <c r="AJ1232" s="1"/>
      <c r="AK1232" s="1"/>
      <c r="AL1232" s="1"/>
      <c r="AM1232" s="1"/>
      <c r="AN1232" s="1"/>
      <c r="AO1232" s="1" t="s">
        <v>98</v>
      </c>
      <c r="AP1232" s="1" t="s">
        <v>99</v>
      </c>
      <c r="AQ1232" s="1"/>
      <c r="AR1232" s="1"/>
      <c r="AS1232" s="1"/>
      <c r="AT1232" s="1"/>
      <c r="AU1232" s="1">
        <v>2022</v>
      </c>
      <c r="AV1232" s="1"/>
      <c r="AW1232" s="1">
        <v>2</v>
      </c>
      <c r="AX1232" s="1"/>
      <c r="AY1232" s="1"/>
      <c r="AZ1232" s="1"/>
      <c r="BA1232" s="1"/>
      <c r="BB1232" s="1">
        <v>26</v>
      </c>
      <c r="BC1232" s="1">
        <v>34</v>
      </c>
      <c r="BD1232" s="1"/>
      <c r="BE1232" s="1" t="s">
        <v>8020</v>
      </c>
      <c r="BF1232" s="1" t="str">
        <f>HYPERLINK("http://dx.doi.org/10.25750/1995-4301-2022-2-026-034","http://dx.doi.org/10.25750/1995-4301-2022-2-026-034")</f>
        <v>http://dx.doi.org/10.25750/1995-4301-2022-2-026-034</v>
      </c>
      <c r="BG1232" s="1"/>
      <c r="BH1232" s="1"/>
      <c r="BI1232" s="1"/>
      <c r="BJ1232" s="1"/>
      <c r="BK1232" s="1"/>
      <c r="BL1232" s="1"/>
      <c r="BM1232" s="1"/>
      <c r="BN1232" s="1"/>
      <c r="BO1232" s="1"/>
      <c r="BP1232" s="1"/>
      <c r="BQ1232" s="1"/>
      <c r="BR1232" s="1"/>
      <c r="BS1232" s="1" t="s">
        <v>8021</v>
      </c>
      <c r="BT1232" s="1" t="str">
        <f>HYPERLINK("https%3A%2F%2Fwww.webofscience.com%2Fwos%2Fwoscc%2Ffull-record%2FWOS:000820802000003","View Full Record in Web of Science")</f>
        <v>View Full Record in Web of Science</v>
      </c>
      <c r="BU1232" s="1"/>
      <c r="BV1232" s="1"/>
      <c r="BW1232" s="1"/>
    </row>
    <row r="1233" spans="1:75" ht="12.75" customHeight="1" x14ac:dyDescent="0.2">
      <c r="A1233" s="1" t="s">
        <v>147</v>
      </c>
      <c r="B1233" s="1" t="s">
        <v>8022</v>
      </c>
      <c r="C1233" s="1"/>
      <c r="D1233" s="1" t="s">
        <v>5560</v>
      </c>
      <c r="E1233" s="1"/>
      <c r="F1233" s="1" t="s">
        <v>8023</v>
      </c>
      <c r="G1233" s="1"/>
      <c r="H1233" s="1"/>
      <c r="I1233" s="1" t="s">
        <v>8024</v>
      </c>
      <c r="J1233" s="1" t="s">
        <v>5563</v>
      </c>
      <c r="K1233" s="1" t="s">
        <v>1236</v>
      </c>
      <c r="L1233" s="1"/>
      <c r="M1233" s="1"/>
      <c r="N1233" s="1"/>
      <c r="O1233" s="1" t="s">
        <v>5564</v>
      </c>
      <c r="P1233" s="1" t="s">
        <v>5565</v>
      </c>
      <c r="Q1233" s="1" t="s">
        <v>5566</v>
      </c>
      <c r="R1233" s="1"/>
      <c r="S1233" s="1" t="s">
        <v>5567</v>
      </c>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t="s">
        <v>1240</v>
      </c>
      <c r="AP1233" s="1"/>
      <c r="AQ1233" s="1"/>
      <c r="AR1233" s="1"/>
      <c r="AS1233" s="1"/>
      <c r="AT1233" s="1"/>
      <c r="AU1233" s="1">
        <v>2020</v>
      </c>
      <c r="AV1233" s="1">
        <v>210</v>
      </c>
      <c r="AW1233" s="1"/>
      <c r="AX1233" s="1"/>
      <c r="AY1233" s="1"/>
      <c r="AZ1233" s="1"/>
      <c r="BA1233" s="1"/>
      <c r="BB1233" s="1"/>
      <c r="BC1233" s="1"/>
      <c r="BD1233" s="1">
        <v>12005</v>
      </c>
      <c r="BE1233" s="1" t="s">
        <v>8025</v>
      </c>
      <c r="BF1233" s="1" t="str">
        <f>HYPERLINK("http://dx.doi.org/10.1051/e3sconf/202021012005","http://dx.doi.org/10.1051/e3sconf/202021012005")</f>
        <v>http://dx.doi.org/10.1051/e3sconf/202021012005</v>
      </c>
      <c r="BG1233" s="1"/>
      <c r="BH1233" s="1"/>
      <c r="BI1233" s="1"/>
      <c r="BJ1233" s="1"/>
      <c r="BK1233" s="1"/>
      <c r="BL1233" s="1"/>
      <c r="BM1233" s="1"/>
      <c r="BN1233" s="1"/>
      <c r="BO1233" s="1"/>
      <c r="BP1233" s="1"/>
      <c r="BQ1233" s="1"/>
      <c r="BR1233" s="1"/>
      <c r="BS1233" s="1" t="s">
        <v>8026</v>
      </c>
      <c r="BT1233" s="1" t="str">
        <f>HYPERLINK("https%3A%2F%2Fwww.webofscience.com%2Fwos%2Fwoscc%2Ffull-record%2FWOS:000659867301048","View Full Record in Web of Science")</f>
        <v>View Full Record in Web of Science</v>
      </c>
      <c r="BU1233" s="1"/>
      <c r="BV1233" s="1"/>
      <c r="BW1233" s="1"/>
    </row>
    <row r="1234" spans="1:75" ht="12.75" customHeight="1" x14ac:dyDescent="0.2">
      <c r="A1234" s="1" t="s">
        <v>72</v>
      </c>
      <c r="B1234" s="1" t="s">
        <v>8027</v>
      </c>
      <c r="C1234" s="1"/>
      <c r="D1234" s="1"/>
      <c r="E1234" s="1"/>
      <c r="F1234" s="1" t="s">
        <v>8028</v>
      </c>
      <c r="G1234" s="1"/>
      <c r="H1234" s="1"/>
      <c r="I1234" s="1" t="s">
        <v>8029</v>
      </c>
      <c r="J1234" s="1" t="s">
        <v>95</v>
      </c>
      <c r="K1234" s="1"/>
      <c r="L1234" s="1"/>
      <c r="M1234" s="1"/>
      <c r="N1234" s="1"/>
      <c r="O1234" s="1"/>
      <c r="P1234" s="1"/>
      <c r="Q1234" s="1"/>
      <c r="R1234" s="1"/>
      <c r="S1234" s="1"/>
      <c r="T1234" s="1"/>
      <c r="U1234" s="1"/>
      <c r="V1234" s="1"/>
      <c r="W1234" s="1"/>
      <c r="X1234" s="1"/>
      <c r="Y1234" s="1"/>
      <c r="Z1234" s="1"/>
      <c r="AA1234" s="1" t="s">
        <v>7758</v>
      </c>
      <c r="AB1234" s="1" t="s">
        <v>8030</v>
      </c>
      <c r="AC1234" s="1"/>
      <c r="AD1234" s="1"/>
      <c r="AE1234" s="1"/>
      <c r="AF1234" s="1"/>
      <c r="AG1234" s="1"/>
      <c r="AH1234" s="1"/>
      <c r="AI1234" s="1"/>
      <c r="AJ1234" s="1"/>
      <c r="AK1234" s="1"/>
      <c r="AL1234" s="1"/>
      <c r="AM1234" s="1"/>
      <c r="AN1234" s="1"/>
      <c r="AO1234" s="1" t="s">
        <v>98</v>
      </c>
      <c r="AP1234" s="1" t="s">
        <v>99</v>
      </c>
      <c r="AQ1234" s="1"/>
      <c r="AR1234" s="1"/>
      <c r="AS1234" s="1"/>
      <c r="AT1234" s="1"/>
      <c r="AU1234" s="1">
        <v>2022</v>
      </c>
      <c r="AV1234" s="1"/>
      <c r="AW1234" s="1">
        <v>3</v>
      </c>
      <c r="AX1234" s="1"/>
      <c r="AY1234" s="1"/>
      <c r="AZ1234" s="1"/>
      <c r="BA1234" s="1"/>
      <c r="BB1234" s="1">
        <v>14</v>
      </c>
      <c r="BC1234" s="1">
        <v>25</v>
      </c>
      <c r="BD1234" s="1"/>
      <c r="BE1234" s="1" t="s">
        <v>8031</v>
      </c>
      <c r="BF1234" s="1" t="str">
        <f>HYPERLINK("http://dx.doi.org/10.25750/1995-4301-2022-3-014-025","http://dx.doi.org/10.25750/1995-4301-2022-3-014-025")</f>
        <v>http://dx.doi.org/10.25750/1995-4301-2022-3-014-025</v>
      </c>
      <c r="BG1234" s="1"/>
      <c r="BH1234" s="1"/>
      <c r="BI1234" s="1"/>
      <c r="BJ1234" s="1"/>
      <c r="BK1234" s="1"/>
      <c r="BL1234" s="1"/>
      <c r="BM1234" s="1"/>
      <c r="BN1234" s="1"/>
      <c r="BO1234" s="1"/>
      <c r="BP1234" s="1"/>
      <c r="BQ1234" s="1"/>
      <c r="BR1234" s="1"/>
      <c r="BS1234" s="1" t="s">
        <v>8032</v>
      </c>
      <c r="BT1234" s="1" t="str">
        <f>HYPERLINK("https%3A%2F%2Fwww.webofscience.com%2Fwos%2Fwoscc%2Ffull-record%2FWOS:000885393200002","View Full Record in Web of Science")</f>
        <v>View Full Record in Web of Science</v>
      </c>
      <c r="BU1234" s="1"/>
      <c r="BV1234" s="1"/>
      <c r="BW1234" s="1"/>
    </row>
    <row r="1235" spans="1:75" ht="12.75" customHeight="1" x14ac:dyDescent="0.2">
      <c r="A1235" s="1" t="s">
        <v>72</v>
      </c>
      <c r="B1235" s="1" t="s">
        <v>8033</v>
      </c>
      <c r="C1235" s="1"/>
      <c r="D1235" s="1"/>
      <c r="E1235" s="1"/>
      <c r="F1235" s="1" t="s">
        <v>8034</v>
      </c>
      <c r="G1235" s="1"/>
      <c r="H1235" s="1"/>
      <c r="I1235" s="1" t="s">
        <v>8035</v>
      </c>
      <c r="J1235" s="1" t="s">
        <v>95</v>
      </c>
      <c r="K1235" s="1"/>
      <c r="L1235" s="1"/>
      <c r="M1235" s="1"/>
      <c r="N1235" s="1"/>
      <c r="O1235" s="1"/>
      <c r="P1235" s="1"/>
      <c r="Q1235" s="1"/>
      <c r="R1235" s="1"/>
      <c r="S1235" s="1"/>
      <c r="T1235" s="1"/>
      <c r="U1235" s="1"/>
      <c r="V1235" s="1"/>
      <c r="W1235" s="1"/>
      <c r="X1235" s="1"/>
      <c r="Y1235" s="1"/>
      <c r="Z1235" s="1"/>
      <c r="AA1235" s="1" t="s">
        <v>5529</v>
      </c>
      <c r="AB1235" s="1" t="s">
        <v>5530</v>
      </c>
      <c r="AC1235" s="1"/>
      <c r="AD1235" s="1"/>
      <c r="AE1235" s="1"/>
      <c r="AF1235" s="1"/>
      <c r="AG1235" s="1"/>
      <c r="AH1235" s="1"/>
      <c r="AI1235" s="1"/>
      <c r="AJ1235" s="1"/>
      <c r="AK1235" s="1"/>
      <c r="AL1235" s="1"/>
      <c r="AM1235" s="1"/>
      <c r="AN1235" s="1"/>
      <c r="AO1235" s="1" t="s">
        <v>98</v>
      </c>
      <c r="AP1235" s="1" t="s">
        <v>99</v>
      </c>
      <c r="AQ1235" s="1"/>
      <c r="AR1235" s="1"/>
      <c r="AS1235" s="1"/>
      <c r="AT1235" s="1"/>
      <c r="AU1235" s="1">
        <v>2021</v>
      </c>
      <c r="AV1235" s="1"/>
      <c r="AW1235" s="1">
        <v>1</v>
      </c>
      <c r="AX1235" s="1"/>
      <c r="AY1235" s="1"/>
      <c r="AZ1235" s="1"/>
      <c r="BA1235" s="1"/>
      <c r="BB1235" s="1">
        <v>139</v>
      </c>
      <c r="BC1235" s="1">
        <v>146</v>
      </c>
      <c r="BD1235" s="1"/>
      <c r="BE1235" s="1" t="s">
        <v>8036</v>
      </c>
      <c r="BF1235" s="1" t="str">
        <f>HYPERLINK("http://dx.doi.org/10.25750/1995-4301-2021-1-139-146","http://dx.doi.org/10.25750/1995-4301-2021-1-139-146")</f>
        <v>http://dx.doi.org/10.25750/1995-4301-2021-1-139-146</v>
      </c>
      <c r="BG1235" s="1"/>
      <c r="BH1235" s="1"/>
      <c r="BI1235" s="1"/>
      <c r="BJ1235" s="1"/>
      <c r="BK1235" s="1"/>
      <c r="BL1235" s="1"/>
      <c r="BM1235" s="1"/>
      <c r="BN1235" s="1"/>
      <c r="BO1235" s="1"/>
      <c r="BP1235" s="1"/>
      <c r="BQ1235" s="1"/>
      <c r="BR1235" s="1"/>
      <c r="BS1235" s="1" t="s">
        <v>8037</v>
      </c>
      <c r="BT1235" s="1" t="str">
        <f>HYPERLINK("https%3A%2F%2Fwww.webofscience.com%2Fwos%2Fwoscc%2Ffull-record%2FWOS:000632219100019","View Full Record in Web of Science")</f>
        <v>View Full Record in Web of Science</v>
      </c>
      <c r="BU1235" s="1"/>
      <c r="BV1235" s="1"/>
      <c r="BW1235" s="1"/>
    </row>
    <row r="1236" spans="1:75" ht="12.75" customHeight="1" x14ac:dyDescent="0.2">
      <c r="A1236" s="1" t="s">
        <v>147</v>
      </c>
      <c r="B1236" s="1" t="s">
        <v>8038</v>
      </c>
      <c r="C1236" s="1" t="s">
        <v>1232</v>
      </c>
      <c r="D1236" s="1"/>
      <c r="E1236" s="1"/>
      <c r="F1236" s="1" t="s">
        <v>8039</v>
      </c>
      <c r="G1236" s="1" t="s">
        <v>1232</v>
      </c>
      <c r="H1236" s="1"/>
      <c r="I1236" s="1" t="s">
        <v>8040</v>
      </c>
      <c r="J1236" s="1" t="s">
        <v>1235</v>
      </c>
      <c r="K1236" s="1" t="s">
        <v>1236</v>
      </c>
      <c r="L1236" s="1"/>
      <c r="M1236" s="1"/>
      <c r="N1236" s="1"/>
      <c r="O1236" s="1" t="s">
        <v>1237</v>
      </c>
      <c r="P1236" s="1" t="s">
        <v>1238</v>
      </c>
      <c r="Q1236" s="1" t="s">
        <v>910</v>
      </c>
      <c r="R1236" s="1" t="s">
        <v>1239</v>
      </c>
      <c r="S1236" s="1"/>
      <c r="T1236" s="1"/>
      <c r="U1236" s="1"/>
      <c r="V1236" s="1"/>
      <c r="W1236" s="1"/>
      <c r="X1236" s="1"/>
      <c r="Y1236" s="1"/>
      <c r="Z1236" s="1"/>
      <c r="AA1236" s="1" t="s">
        <v>8041</v>
      </c>
      <c r="AB1236" s="1" t="s">
        <v>8042</v>
      </c>
      <c r="AC1236" s="1"/>
      <c r="AD1236" s="1"/>
      <c r="AE1236" s="1"/>
      <c r="AF1236" s="1"/>
      <c r="AG1236" s="1"/>
      <c r="AH1236" s="1"/>
      <c r="AI1236" s="1"/>
      <c r="AJ1236" s="1"/>
      <c r="AK1236" s="1"/>
      <c r="AL1236" s="1"/>
      <c r="AM1236" s="1"/>
      <c r="AN1236" s="1"/>
      <c r="AO1236" s="1" t="s">
        <v>1240</v>
      </c>
      <c r="AP1236" s="1"/>
      <c r="AQ1236" s="1"/>
      <c r="AR1236" s="1"/>
      <c r="AS1236" s="1"/>
      <c r="AT1236" s="1"/>
      <c r="AU1236" s="1">
        <v>2019</v>
      </c>
      <c r="AV1236" s="1">
        <v>110</v>
      </c>
      <c r="AW1236" s="1"/>
      <c r="AX1236" s="1"/>
      <c r="AY1236" s="1"/>
      <c r="AZ1236" s="1"/>
      <c r="BA1236" s="1"/>
      <c r="BB1236" s="1"/>
      <c r="BC1236" s="1"/>
      <c r="BD1236" s="1">
        <v>1077</v>
      </c>
      <c r="BE1236" s="1" t="s">
        <v>8043</v>
      </c>
      <c r="BF1236" s="1" t="str">
        <f>HYPERLINK("http://dx.doi.org/10.1051/e3sconf/201911001077","http://dx.doi.org/10.1051/e3sconf/201911001077")</f>
        <v>http://dx.doi.org/10.1051/e3sconf/201911001077</v>
      </c>
      <c r="BG1236" s="1"/>
      <c r="BH1236" s="1"/>
      <c r="BI1236" s="1"/>
      <c r="BJ1236" s="1"/>
      <c r="BK1236" s="1"/>
      <c r="BL1236" s="1"/>
      <c r="BM1236" s="1"/>
      <c r="BN1236" s="1"/>
      <c r="BO1236" s="1"/>
      <c r="BP1236" s="1"/>
      <c r="BQ1236" s="1"/>
      <c r="BR1236" s="1"/>
      <c r="BS1236" s="1" t="s">
        <v>8044</v>
      </c>
      <c r="BT1236" s="1" t="str">
        <f>HYPERLINK("https%3A%2F%2Fwww.webofscience.com%2Fwos%2Fwoscc%2Ffull-record%2FWOS:000569050000077","View Full Record in Web of Science")</f>
        <v>View Full Record in Web of Science</v>
      </c>
      <c r="BU1236" s="1"/>
      <c r="BV1236" s="1"/>
      <c r="BW1236" s="1"/>
    </row>
    <row r="1237" spans="1:75" ht="12.75" customHeight="1" x14ac:dyDescent="0.2">
      <c r="A1237" s="1" t="s">
        <v>72</v>
      </c>
      <c r="B1237" s="1" t="s">
        <v>8045</v>
      </c>
      <c r="C1237" s="1"/>
      <c r="D1237" s="1"/>
      <c r="E1237" s="1"/>
      <c r="F1237" s="1" t="s">
        <v>8046</v>
      </c>
      <c r="G1237" s="1"/>
      <c r="H1237" s="1"/>
      <c r="I1237" s="1" t="s">
        <v>8047</v>
      </c>
      <c r="J1237" s="1" t="s">
        <v>3610</v>
      </c>
      <c r="K1237" s="1"/>
      <c r="L1237" s="1"/>
      <c r="M1237" s="1"/>
      <c r="N1237" s="1"/>
      <c r="O1237" s="1"/>
      <c r="P1237" s="1"/>
      <c r="Q1237" s="1"/>
      <c r="R1237" s="1"/>
      <c r="S1237" s="1"/>
      <c r="T1237" s="1"/>
      <c r="U1237" s="1"/>
      <c r="V1237" s="1"/>
      <c r="W1237" s="1"/>
      <c r="X1237" s="1"/>
      <c r="Y1237" s="1"/>
      <c r="Z1237" s="1"/>
      <c r="AA1237" s="1" t="s">
        <v>8048</v>
      </c>
      <c r="AB1237" s="1" t="s">
        <v>8049</v>
      </c>
      <c r="AC1237" s="1"/>
      <c r="AD1237" s="1"/>
      <c r="AE1237" s="1"/>
      <c r="AF1237" s="1"/>
      <c r="AG1237" s="1"/>
      <c r="AH1237" s="1"/>
      <c r="AI1237" s="1"/>
      <c r="AJ1237" s="1"/>
      <c r="AK1237" s="1"/>
      <c r="AL1237" s="1"/>
      <c r="AM1237" s="1"/>
      <c r="AN1237" s="1"/>
      <c r="AO1237" s="1" t="s">
        <v>3613</v>
      </c>
      <c r="AP1237" s="1" t="s">
        <v>4602</v>
      </c>
      <c r="AQ1237" s="1"/>
      <c r="AR1237" s="1"/>
      <c r="AS1237" s="1"/>
      <c r="AT1237" s="1" t="s">
        <v>655</v>
      </c>
      <c r="AU1237" s="1">
        <v>2014</v>
      </c>
      <c r="AV1237" s="1">
        <v>47</v>
      </c>
      <c r="AW1237" s="1">
        <v>2</v>
      </c>
      <c r="AX1237" s="1"/>
      <c r="AY1237" s="1"/>
      <c r="AZ1237" s="1"/>
      <c r="BA1237" s="1"/>
      <c r="BB1237" s="1">
        <v>89</v>
      </c>
      <c r="BC1237" s="1">
        <v>95</v>
      </c>
      <c r="BD1237" s="1"/>
      <c r="BE1237" s="1" t="s">
        <v>8050</v>
      </c>
      <c r="BF1237" s="1" t="str">
        <f>HYPERLINK("http://dx.doi.org/10.1134/S1064229313100062","http://dx.doi.org/10.1134/S1064229313100062")</f>
        <v>http://dx.doi.org/10.1134/S1064229313100062</v>
      </c>
      <c r="BG1237" s="1"/>
      <c r="BH1237" s="1"/>
      <c r="BI1237" s="1"/>
      <c r="BJ1237" s="1"/>
      <c r="BK1237" s="1"/>
      <c r="BL1237" s="1"/>
      <c r="BM1237" s="1"/>
      <c r="BN1237" s="1"/>
      <c r="BO1237" s="1"/>
      <c r="BP1237" s="1"/>
      <c r="BQ1237" s="1"/>
      <c r="BR1237" s="1"/>
      <c r="BS1237" s="1" t="s">
        <v>8051</v>
      </c>
      <c r="BT1237" s="1" t="str">
        <f>HYPERLINK("https%3A%2F%2Fwww.webofscience.com%2Fwos%2Fwoscc%2Ffull-record%2FWOS:000331650800006","View Full Record in Web of Science")</f>
        <v>View Full Record in Web of Science</v>
      </c>
      <c r="BU1237" s="1"/>
      <c r="BV1237" s="1"/>
      <c r="BW1237" s="1"/>
    </row>
    <row r="1238" spans="1:75" ht="12.75" customHeight="1" x14ac:dyDescent="0.2">
      <c r="A1238" s="1" t="s">
        <v>72</v>
      </c>
      <c r="B1238" s="1" t="s">
        <v>8052</v>
      </c>
      <c r="C1238" s="1"/>
      <c r="D1238" s="1"/>
      <c r="E1238" s="1"/>
      <c r="F1238" s="1" t="s">
        <v>8053</v>
      </c>
      <c r="G1238" s="1"/>
      <c r="H1238" s="1"/>
      <c r="I1238" s="1" t="s">
        <v>8054</v>
      </c>
      <c r="J1238" s="1" t="s">
        <v>244</v>
      </c>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t="s">
        <v>245</v>
      </c>
      <c r="AP1238" s="1" t="s">
        <v>246</v>
      </c>
      <c r="AQ1238" s="1"/>
      <c r="AR1238" s="1"/>
      <c r="AS1238" s="1"/>
      <c r="AT1238" s="1"/>
      <c r="AU1238" s="1">
        <v>2021</v>
      </c>
      <c r="AV1238" s="1">
        <v>12</v>
      </c>
      <c r="AW1238" s="1">
        <v>4</v>
      </c>
      <c r="AX1238" s="1"/>
      <c r="AY1238" s="1"/>
      <c r="AZ1238" s="1"/>
      <c r="BA1238" s="1"/>
      <c r="BB1238" s="1">
        <v>264</v>
      </c>
      <c r="BC1238" s="1">
        <v>276</v>
      </c>
      <c r="BD1238" s="1"/>
      <c r="BE1238" s="1" t="s">
        <v>8055</v>
      </c>
      <c r="BF1238" s="1" t="str">
        <f>HYPERLINK("http://dx.doi.org/10.31166/VoprosyIstorii202112Statyi117","http://dx.doi.org/10.31166/VoprosyIstorii202112Statyi117")</f>
        <v>http://dx.doi.org/10.31166/VoprosyIstorii202112Statyi117</v>
      </c>
      <c r="BG1238" s="1"/>
      <c r="BH1238" s="1"/>
      <c r="BI1238" s="1"/>
      <c r="BJ1238" s="1"/>
      <c r="BK1238" s="1"/>
      <c r="BL1238" s="1"/>
      <c r="BM1238" s="1"/>
      <c r="BN1238" s="1"/>
      <c r="BO1238" s="1"/>
      <c r="BP1238" s="1"/>
      <c r="BQ1238" s="1"/>
      <c r="BR1238" s="1"/>
      <c r="BS1238" s="1" t="s">
        <v>8056</v>
      </c>
      <c r="BT1238" s="1" t="str">
        <f>HYPERLINK("https%3A%2F%2Fwww.webofscience.com%2Fwos%2Fwoscc%2Ffull-record%2FWOS:000757089800024","View Full Record in Web of Science")</f>
        <v>View Full Record in Web of Science</v>
      </c>
      <c r="BU1238" s="1"/>
      <c r="BV1238" s="1"/>
      <c r="BW1238" s="1"/>
    </row>
    <row r="1239" spans="1:75" ht="12.75" customHeight="1" x14ac:dyDescent="0.2">
      <c r="A1239" s="1" t="s">
        <v>72</v>
      </c>
      <c r="B1239" s="1" t="s">
        <v>8057</v>
      </c>
      <c r="C1239" s="1"/>
      <c r="D1239" s="1"/>
      <c r="E1239" s="1"/>
      <c r="F1239" s="1" t="s">
        <v>8058</v>
      </c>
      <c r="G1239" s="1"/>
      <c r="H1239" s="1"/>
      <c r="I1239" s="1" t="s">
        <v>8059</v>
      </c>
      <c r="J1239" s="1" t="s">
        <v>95</v>
      </c>
      <c r="K1239" s="1"/>
      <c r="L1239" s="1"/>
      <c r="M1239" s="1"/>
      <c r="N1239" s="1"/>
      <c r="O1239" s="1"/>
      <c r="P1239" s="1"/>
      <c r="Q1239" s="1"/>
      <c r="R1239" s="1"/>
      <c r="S1239" s="1"/>
      <c r="T1239" s="1"/>
      <c r="U1239" s="1"/>
      <c r="V1239" s="1"/>
      <c r="W1239" s="1"/>
      <c r="X1239" s="1"/>
      <c r="Y1239" s="1"/>
      <c r="Z1239" s="1"/>
      <c r="AA1239" s="1" t="s">
        <v>8060</v>
      </c>
      <c r="AB1239" s="1" t="s">
        <v>8061</v>
      </c>
      <c r="AC1239" s="1"/>
      <c r="AD1239" s="1"/>
      <c r="AE1239" s="1"/>
      <c r="AF1239" s="1"/>
      <c r="AG1239" s="1"/>
      <c r="AH1239" s="1"/>
      <c r="AI1239" s="1"/>
      <c r="AJ1239" s="1"/>
      <c r="AK1239" s="1"/>
      <c r="AL1239" s="1"/>
      <c r="AM1239" s="1"/>
      <c r="AN1239" s="1"/>
      <c r="AO1239" s="1" t="s">
        <v>98</v>
      </c>
      <c r="AP1239" s="1" t="s">
        <v>99</v>
      </c>
      <c r="AQ1239" s="1"/>
      <c r="AR1239" s="1"/>
      <c r="AS1239" s="1"/>
      <c r="AT1239" s="1"/>
      <c r="AU1239" s="1">
        <v>2020</v>
      </c>
      <c r="AV1239" s="1"/>
      <c r="AW1239" s="1">
        <v>4</v>
      </c>
      <c r="AX1239" s="1"/>
      <c r="AY1239" s="1"/>
      <c r="AZ1239" s="1"/>
      <c r="BA1239" s="1"/>
      <c r="BB1239" s="1">
        <v>162</v>
      </c>
      <c r="BC1239" s="1">
        <v>168</v>
      </c>
      <c r="BD1239" s="1"/>
      <c r="BE1239" s="1" t="s">
        <v>8062</v>
      </c>
      <c r="BF1239" s="1" t="str">
        <f>HYPERLINK("http://dx.doi.org/10.25750/1995-4301-2020-4-162-168","http://dx.doi.org/10.25750/1995-4301-2020-4-162-168")</f>
        <v>http://dx.doi.org/10.25750/1995-4301-2020-4-162-168</v>
      </c>
      <c r="BG1239" s="1"/>
      <c r="BH1239" s="1"/>
      <c r="BI1239" s="1"/>
      <c r="BJ1239" s="1"/>
      <c r="BK1239" s="1"/>
      <c r="BL1239" s="1"/>
      <c r="BM1239" s="1"/>
      <c r="BN1239" s="1"/>
      <c r="BO1239" s="1"/>
      <c r="BP1239" s="1"/>
      <c r="BQ1239" s="1"/>
      <c r="BR1239" s="1"/>
      <c r="BS1239" s="1" t="s">
        <v>8063</v>
      </c>
      <c r="BT1239" s="1" t="str">
        <f>HYPERLINK("https%3A%2F%2Fwww.webofscience.com%2Fwos%2Fwoscc%2Ffull-record%2FWOS:000597810500025","View Full Record in Web of Science")</f>
        <v>View Full Record in Web of Science</v>
      </c>
      <c r="BU1239" s="1"/>
      <c r="BV1239" s="1"/>
      <c r="BW1239" s="1"/>
    </row>
    <row r="1240" spans="1:75" ht="12.75" customHeight="1" x14ac:dyDescent="0.2">
      <c r="A1240" s="1" t="s">
        <v>72</v>
      </c>
      <c r="B1240" s="1" t="s">
        <v>8064</v>
      </c>
      <c r="C1240" s="1"/>
      <c r="D1240" s="1"/>
      <c r="E1240" s="1"/>
      <c r="F1240" s="1" t="s">
        <v>8065</v>
      </c>
      <c r="G1240" s="1"/>
      <c r="H1240" s="1"/>
      <c r="I1240" s="1" t="s">
        <v>8066</v>
      </c>
      <c r="J1240" s="1" t="s">
        <v>6419</v>
      </c>
      <c r="K1240" s="1"/>
      <c r="L1240" s="1"/>
      <c r="M1240" s="1"/>
      <c r="N1240" s="1"/>
      <c r="O1240" s="1"/>
      <c r="P1240" s="1"/>
      <c r="Q1240" s="1"/>
      <c r="R1240" s="1"/>
      <c r="S1240" s="1"/>
      <c r="T1240" s="1"/>
      <c r="U1240" s="1"/>
      <c r="V1240" s="1"/>
      <c r="W1240" s="1"/>
      <c r="X1240" s="1"/>
      <c r="Y1240" s="1"/>
      <c r="Z1240" s="1"/>
      <c r="AA1240" s="1" t="s">
        <v>8067</v>
      </c>
      <c r="AB1240" s="1"/>
      <c r="AC1240" s="1"/>
      <c r="AD1240" s="1"/>
      <c r="AE1240" s="1"/>
      <c r="AF1240" s="1"/>
      <c r="AG1240" s="1"/>
      <c r="AH1240" s="1"/>
      <c r="AI1240" s="1"/>
      <c r="AJ1240" s="1"/>
      <c r="AK1240" s="1"/>
      <c r="AL1240" s="1"/>
      <c r="AM1240" s="1"/>
      <c r="AN1240" s="1"/>
      <c r="AO1240" s="1" t="s">
        <v>6422</v>
      </c>
      <c r="AP1240" s="1" t="s">
        <v>6423</v>
      </c>
      <c r="AQ1240" s="1"/>
      <c r="AR1240" s="1"/>
      <c r="AS1240" s="1"/>
      <c r="AT1240" s="1" t="s">
        <v>319</v>
      </c>
      <c r="AU1240" s="1">
        <v>2019</v>
      </c>
      <c r="AV1240" s="1">
        <v>45</v>
      </c>
      <c r="AW1240" s="1">
        <v>6</v>
      </c>
      <c r="AX1240" s="1"/>
      <c r="AY1240" s="1"/>
      <c r="AZ1240" s="1"/>
      <c r="BA1240" s="1"/>
      <c r="BB1240" s="1">
        <v>522</v>
      </c>
      <c r="BC1240" s="1">
        <v>527</v>
      </c>
      <c r="BD1240" s="1"/>
      <c r="BE1240" s="1" t="s">
        <v>8068</v>
      </c>
      <c r="BF1240" s="1" t="str">
        <f>HYPERLINK("http://dx.doi.org/10.1134/S1068162019060165","http://dx.doi.org/10.1134/S1068162019060165")</f>
        <v>http://dx.doi.org/10.1134/S1068162019060165</v>
      </c>
      <c r="BG1240" s="1"/>
      <c r="BH1240" s="1"/>
      <c r="BI1240" s="1"/>
      <c r="BJ1240" s="1"/>
      <c r="BK1240" s="1"/>
      <c r="BL1240" s="1"/>
      <c r="BM1240" s="1"/>
      <c r="BN1240" s="1"/>
      <c r="BO1240" s="1"/>
      <c r="BP1240" s="1"/>
      <c r="BQ1240" s="1"/>
      <c r="BR1240" s="1"/>
      <c r="BS1240" s="1" t="s">
        <v>8069</v>
      </c>
      <c r="BT1240" s="1" t="str">
        <f>HYPERLINK("https%3A%2F%2Fwww.webofscience.com%2Fwos%2Fwoscc%2Ffull-record%2FWOS:000520225900008","View Full Record in Web of Science")</f>
        <v>View Full Record in Web of Science</v>
      </c>
      <c r="BU1240" s="1"/>
      <c r="BV1240" s="1"/>
      <c r="BW1240" s="1"/>
    </row>
    <row r="1241" spans="1:75" ht="12.75" customHeight="1" x14ac:dyDescent="0.2">
      <c r="A1241" s="1" t="s">
        <v>72</v>
      </c>
      <c r="B1241" s="1" t="s">
        <v>8070</v>
      </c>
      <c r="C1241" s="1"/>
      <c r="D1241" s="1"/>
      <c r="E1241" s="1"/>
      <c r="F1241" s="1" t="s">
        <v>8071</v>
      </c>
      <c r="G1241" s="1"/>
      <c r="H1241" s="1"/>
      <c r="I1241" s="1" t="s">
        <v>8072</v>
      </c>
      <c r="J1241" s="1" t="s">
        <v>95</v>
      </c>
      <c r="K1241" s="1"/>
      <c r="L1241" s="1"/>
      <c r="M1241" s="1"/>
      <c r="N1241" s="1"/>
      <c r="O1241" s="1"/>
      <c r="P1241" s="1"/>
      <c r="Q1241" s="1"/>
      <c r="R1241" s="1"/>
      <c r="S1241" s="1"/>
      <c r="T1241" s="1"/>
      <c r="U1241" s="1"/>
      <c r="V1241" s="1"/>
      <c r="W1241" s="1"/>
      <c r="X1241" s="1"/>
      <c r="Y1241" s="1"/>
      <c r="Z1241" s="1"/>
      <c r="AA1241" s="1" t="s">
        <v>8073</v>
      </c>
      <c r="AB1241" s="1" t="s">
        <v>8074</v>
      </c>
      <c r="AC1241" s="1"/>
      <c r="AD1241" s="1"/>
      <c r="AE1241" s="1"/>
      <c r="AF1241" s="1"/>
      <c r="AG1241" s="1"/>
      <c r="AH1241" s="1"/>
      <c r="AI1241" s="1"/>
      <c r="AJ1241" s="1"/>
      <c r="AK1241" s="1"/>
      <c r="AL1241" s="1"/>
      <c r="AM1241" s="1"/>
      <c r="AN1241" s="1"/>
      <c r="AO1241" s="1" t="s">
        <v>98</v>
      </c>
      <c r="AP1241" s="1" t="s">
        <v>99</v>
      </c>
      <c r="AQ1241" s="1"/>
      <c r="AR1241" s="1"/>
      <c r="AS1241" s="1"/>
      <c r="AT1241" s="1"/>
      <c r="AU1241" s="1">
        <v>2018</v>
      </c>
      <c r="AV1241" s="1"/>
      <c r="AW1241" s="1">
        <v>4</v>
      </c>
      <c r="AX1241" s="1"/>
      <c r="AY1241" s="1"/>
      <c r="AZ1241" s="1"/>
      <c r="BA1241" s="1"/>
      <c r="BB1241" s="1">
        <v>61</v>
      </c>
      <c r="BC1241" s="1">
        <v>67</v>
      </c>
      <c r="BD1241" s="1"/>
      <c r="BE1241" s="1" t="s">
        <v>8075</v>
      </c>
      <c r="BF1241" s="1" t="str">
        <f>HYPERLINK("http://dx.doi.org/10.25750/1995-4301-2018-4-061-067","http://dx.doi.org/10.25750/1995-4301-2018-4-061-067")</f>
        <v>http://dx.doi.org/10.25750/1995-4301-2018-4-061-067</v>
      </c>
      <c r="BG1241" s="1"/>
      <c r="BH1241" s="1"/>
      <c r="BI1241" s="1"/>
      <c r="BJ1241" s="1"/>
      <c r="BK1241" s="1"/>
      <c r="BL1241" s="1"/>
      <c r="BM1241" s="1"/>
      <c r="BN1241" s="1"/>
      <c r="BO1241" s="1"/>
      <c r="BP1241" s="1"/>
      <c r="BQ1241" s="1"/>
      <c r="BR1241" s="1"/>
      <c r="BS1241" s="1" t="s">
        <v>8076</v>
      </c>
      <c r="BT1241" s="1" t="str">
        <f>HYPERLINK("https%3A%2F%2Fwww.webofscience.com%2Fwos%2Fwoscc%2Ffull-record%2FWOS:000468565300008","View Full Record in Web of Science")</f>
        <v>View Full Record in Web of Science</v>
      </c>
      <c r="BU1241" s="1"/>
      <c r="BV1241" s="1"/>
      <c r="BW1241" s="1"/>
    </row>
    <row r="1242" spans="1:75" ht="12.75" customHeight="1" x14ac:dyDescent="0.2">
      <c r="A1242" s="1" t="s">
        <v>72</v>
      </c>
      <c r="B1242" s="1" t="s">
        <v>8077</v>
      </c>
      <c r="C1242" s="1"/>
      <c r="D1242" s="1"/>
      <c r="E1242" s="1"/>
      <c r="F1242" s="1" t="s">
        <v>8078</v>
      </c>
      <c r="G1242" s="1"/>
      <c r="H1242" s="1"/>
      <c r="I1242" s="1" t="s">
        <v>8079</v>
      </c>
      <c r="J1242" s="1" t="s">
        <v>971</v>
      </c>
      <c r="K1242" s="1"/>
      <c r="L1242" s="1"/>
      <c r="M1242" s="1"/>
      <c r="N1242" s="1"/>
      <c r="O1242" s="1"/>
      <c r="P1242" s="1"/>
      <c r="Q1242" s="1"/>
      <c r="R1242" s="1"/>
      <c r="S1242" s="1"/>
      <c r="T1242" s="1"/>
      <c r="U1242" s="1"/>
      <c r="V1242" s="1"/>
      <c r="W1242" s="1"/>
      <c r="X1242" s="1"/>
      <c r="Y1242" s="1"/>
      <c r="Z1242" s="1"/>
      <c r="AA1242" s="1" t="s">
        <v>8080</v>
      </c>
      <c r="AB1242" s="1" t="s">
        <v>8081</v>
      </c>
      <c r="AC1242" s="1"/>
      <c r="AD1242" s="1"/>
      <c r="AE1242" s="1"/>
      <c r="AF1242" s="1"/>
      <c r="AG1242" s="1"/>
      <c r="AH1242" s="1"/>
      <c r="AI1242" s="1"/>
      <c r="AJ1242" s="1"/>
      <c r="AK1242" s="1"/>
      <c r="AL1242" s="1"/>
      <c r="AM1242" s="1"/>
      <c r="AN1242" s="1"/>
      <c r="AO1242" s="1" t="s">
        <v>973</v>
      </c>
      <c r="AP1242" s="1" t="s">
        <v>974</v>
      </c>
      <c r="AQ1242" s="1"/>
      <c r="AR1242" s="1"/>
      <c r="AS1242" s="1"/>
      <c r="AT1242" s="1" t="s">
        <v>125</v>
      </c>
      <c r="AU1242" s="1">
        <v>2021</v>
      </c>
      <c r="AV1242" s="1">
        <v>57</v>
      </c>
      <c r="AW1242" s="1">
        <v>4</v>
      </c>
      <c r="AX1242" s="1"/>
      <c r="AY1242" s="1"/>
      <c r="AZ1242" s="1"/>
      <c r="BA1242" s="1"/>
      <c r="BB1242" s="1">
        <v>426</v>
      </c>
      <c r="BC1242" s="1">
        <v>433</v>
      </c>
      <c r="BD1242" s="1"/>
      <c r="BE1242" s="1" t="s">
        <v>8082</v>
      </c>
      <c r="BF1242" s="1" t="str">
        <f>HYPERLINK("http://dx.doi.org/10.1134/S0003683821040049","http://dx.doi.org/10.1134/S0003683821040049")</f>
        <v>http://dx.doi.org/10.1134/S0003683821040049</v>
      </c>
      <c r="BG1242" s="1"/>
      <c r="BH1242" s="1"/>
      <c r="BI1242" s="1"/>
      <c r="BJ1242" s="1"/>
      <c r="BK1242" s="1"/>
      <c r="BL1242" s="1"/>
      <c r="BM1242" s="1"/>
      <c r="BN1242" s="1"/>
      <c r="BO1242" s="1"/>
      <c r="BP1242" s="1"/>
      <c r="BQ1242" s="1"/>
      <c r="BR1242" s="1"/>
      <c r="BS1242" s="1" t="s">
        <v>8083</v>
      </c>
      <c r="BT1242" s="1" t="str">
        <f>HYPERLINK("https%3A%2F%2Fwww.webofscience.com%2Fwos%2Fwoscc%2Ffull-record%2FWOS:000678055500003","View Full Record in Web of Science")</f>
        <v>View Full Record in Web of Science</v>
      </c>
      <c r="BU1242" s="1"/>
      <c r="BV1242" s="1"/>
      <c r="BW1242" s="1"/>
    </row>
    <row r="1243" spans="1:75" ht="12.75" customHeight="1" x14ac:dyDescent="0.2">
      <c r="A1243" s="1" t="s">
        <v>72</v>
      </c>
      <c r="B1243" s="1" t="s">
        <v>8084</v>
      </c>
      <c r="C1243" s="1"/>
      <c r="D1243" s="1"/>
      <c r="E1243" s="1"/>
      <c r="F1243" s="1" t="s">
        <v>8085</v>
      </c>
      <c r="G1243" s="1"/>
      <c r="H1243" s="1"/>
      <c r="I1243" s="1" t="s">
        <v>8086</v>
      </c>
      <c r="J1243" s="1" t="s">
        <v>95</v>
      </c>
      <c r="K1243" s="1"/>
      <c r="L1243" s="1"/>
      <c r="M1243" s="1"/>
      <c r="N1243" s="1"/>
      <c r="O1243" s="1"/>
      <c r="P1243" s="1"/>
      <c r="Q1243" s="1"/>
      <c r="R1243" s="1"/>
      <c r="S1243" s="1"/>
      <c r="T1243" s="1"/>
      <c r="U1243" s="1"/>
      <c r="V1243" s="1"/>
      <c r="W1243" s="1"/>
      <c r="X1243" s="1"/>
      <c r="Y1243" s="1"/>
      <c r="Z1243" s="1"/>
      <c r="AA1243" s="1" t="s">
        <v>8087</v>
      </c>
      <c r="AB1243" s="1" t="s">
        <v>8088</v>
      </c>
      <c r="AC1243" s="1"/>
      <c r="AD1243" s="1"/>
      <c r="AE1243" s="1"/>
      <c r="AF1243" s="1"/>
      <c r="AG1243" s="1"/>
      <c r="AH1243" s="1"/>
      <c r="AI1243" s="1"/>
      <c r="AJ1243" s="1"/>
      <c r="AK1243" s="1"/>
      <c r="AL1243" s="1"/>
      <c r="AM1243" s="1"/>
      <c r="AN1243" s="1"/>
      <c r="AO1243" s="1" t="s">
        <v>98</v>
      </c>
      <c r="AP1243" s="1" t="s">
        <v>99</v>
      </c>
      <c r="AQ1243" s="1"/>
      <c r="AR1243" s="1"/>
      <c r="AS1243" s="1"/>
      <c r="AT1243" s="1"/>
      <c r="AU1243" s="1">
        <v>2021</v>
      </c>
      <c r="AV1243" s="1"/>
      <c r="AW1243" s="1">
        <v>3</v>
      </c>
      <c r="AX1243" s="1"/>
      <c r="AY1243" s="1"/>
      <c r="AZ1243" s="1"/>
      <c r="BA1243" s="1"/>
      <c r="BB1243" s="1">
        <v>219</v>
      </c>
      <c r="BC1243" s="1">
        <v>227</v>
      </c>
      <c r="BD1243" s="1"/>
      <c r="BE1243" s="1" t="s">
        <v>8089</v>
      </c>
      <c r="BF1243" s="1" t="str">
        <f>HYPERLINK("http://dx.doi.org/10.25750/1995-4301-2021-3-219-227","http://dx.doi.org/10.25750/1995-4301-2021-3-219-227")</f>
        <v>http://dx.doi.org/10.25750/1995-4301-2021-3-219-227</v>
      </c>
      <c r="BG1243" s="1"/>
      <c r="BH1243" s="1"/>
      <c r="BI1243" s="1"/>
      <c r="BJ1243" s="1"/>
      <c r="BK1243" s="1"/>
      <c r="BL1243" s="1"/>
      <c r="BM1243" s="1"/>
      <c r="BN1243" s="1"/>
      <c r="BO1243" s="1"/>
      <c r="BP1243" s="1"/>
      <c r="BQ1243" s="1"/>
      <c r="BR1243" s="1"/>
      <c r="BS1243" s="1" t="s">
        <v>8090</v>
      </c>
      <c r="BT1243" s="1" t="str">
        <f>HYPERLINK("https%3A%2F%2Fwww.webofscience.com%2Fwos%2Fwoscc%2Ffull-record%2FWOS:000700413300031","View Full Record in Web of Science")</f>
        <v>View Full Record in Web of Science</v>
      </c>
      <c r="BU1243" s="1"/>
      <c r="BV1243" s="1"/>
      <c r="BW1243" s="1"/>
    </row>
    <row r="1244" spans="1:75" ht="12.75" customHeight="1" x14ac:dyDescent="0.2">
      <c r="A1244" s="1" t="s">
        <v>72</v>
      </c>
      <c r="B1244" s="1" t="s">
        <v>6968</v>
      </c>
      <c r="C1244" s="1"/>
      <c r="D1244" s="1"/>
      <c r="E1244" s="1"/>
      <c r="F1244" s="1" t="s">
        <v>6969</v>
      </c>
      <c r="G1244" s="1"/>
      <c r="H1244" s="1"/>
      <c r="I1244" s="1" t="s">
        <v>8091</v>
      </c>
      <c r="J1244" s="1" t="s">
        <v>3610</v>
      </c>
      <c r="K1244" s="1"/>
      <c r="L1244" s="1"/>
      <c r="M1244" s="1"/>
      <c r="N1244" s="1"/>
      <c r="O1244" s="1"/>
      <c r="P1244" s="1"/>
      <c r="Q1244" s="1"/>
      <c r="R1244" s="1"/>
      <c r="S1244" s="1"/>
      <c r="T1244" s="1"/>
      <c r="U1244" s="1"/>
      <c r="V1244" s="1"/>
      <c r="W1244" s="1"/>
      <c r="X1244" s="1"/>
      <c r="Y1244" s="1"/>
      <c r="Z1244" s="1"/>
      <c r="AA1244" s="1" t="s">
        <v>8092</v>
      </c>
      <c r="AB1244" s="1" t="s">
        <v>8093</v>
      </c>
      <c r="AC1244" s="1"/>
      <c r="AD1244" s="1"/>
      <c r="AE1244" s="1"/>
      <c r="AF1244" s="1"/>
      <c r="AG1244" s="1"/>
      <c r="AH1244" s="1"/>
      <c r="AI1244" s="1"/>
      <c r="AJ1244" s="1"/>
      <c r="AK1244" s="1"/>
      <c r="AL1244" s="1"/>
      <c r="AM1244" s="1"/>
      <c r="AN1244" s="1"/>
      <c r="AO1244" s="1" t="s">
        <v>3613</v>
      </c>
      <c r="AP1244" s="1" t="s">
        <v>4602</v>
      </c>
      <c r="AQ1244" s="1"/>
      <c r="AR1244" s="1"/>
      <c r="AS1244" s="1"/>
      <c r="AT1244" s="1" t="s">
        <v>319</v>
      </c>
      <c r="AU1244" s="1">
        <v>2017</v>
      </c>
      <c r="AV1244" s="1">
        <v>50</v>
      </c>
      <c r="AW1244" s="1">
        <v>11</v>
      </c>
      <c r="AX1244" s="1"/>
      <c r="AY1244" s="1"/>
      <c r="AZ1244" s="1"/>
      <c r="BA1244" s="1"/>
      <c r="BB1244" s="1">
        <v>1311</v>
      </c>
      <c r="BC1244" s="1">
        <v>1317</v>
      </c>
      <c r="BD1244" s="1"/>
      <c r="BE1244" s="1" t="s">
        <v>8094</v>
      </c>
      <c r="BF1244" s="1" t="str">
        <f>HYPERLINK("http://dx.doi.org/10.1134/S1064229317110114","http://dx.doi.org/10.1134/S1064229317110114")</f>
        <v>http://dx.doi.org/10.1134/S1064229317110114</v>
      </c>
      <c r="BG1244" s="1"/>
      <c r="BH1244" s="1"/>
      <c r="BI1244" s="1"/>
      <c r="BJ1244" s="1"/>
      <c r="BK1244" s="1"/>
      <c r="BL1244" s="1"/>
      <c r="BM1244" s="1"/>
      <c r="BN1244" s="1"/>
      <c r="BO1244" s="1"/>
      <c r="BP1244" s="1"/>
      <c r="BQ1244" s="1"/>
      <c r="BR1244" s="1"/>
      <c r="BS1244" s="1" t="s">
        <v>8095</v>
      </c>
      <c r="BT1244" s="1" t="str">
        <f>HYPERLINK("https%3A%2F%2Fwww.webofscience.com%2Fwos%2Fwoscc%2Ffull-record%2FWOS:000414360100007","View Full Record in Web of Science")</f>
        <v>View Full Record in Web of Science</v>
      </c>
      <c r="BU1244" s="1"/>
      <c r="BV1244" s="1"/>
      <c r="BW1244" s="1"/>
    </row>
    <row r="1245" spans="1:75" ht="12.75" customHeight="1" x14ac:dyDescent="0.2">
      <c r="A1245" s="1" t="s">
        <v>72</v>
      </c>
      <c r="B1245" s="1" t="s">
        <v>8096</v>
      </c>
      <c r="C1245" s="1"/>
      <c r="D1245" s="1"/>
      <c r="E1245" s="1"/>
      <c r="F1245" s="1" t="s">
        <v>8097</v>
      </c>
      <c r="G1245" s="1"/>
      <c r="H1245" s="1"/>
      <c r="I1245" s="1" t="s">
        <v>8098</v>
      </c>
      <c r="J1245" s="1" t="s">
        <v>95</v>
      </c>
      <c r="K1245" s="1"/>
      <c r="L1245" s="1"/>
      <c r="M1245" s="1"/>
      <c r="N1245" s="1"/>
      <c r="O1245" s="1"/>
      <c r="P1245" s="1"/>
      <c r="Q1245" s="1"/>
      <c r="R1245" s="1"/>
      <c r="S1245" s="1"/>
      <c r="T1245" s="1"/>
      <c r="U1245" s="1"/>
      <c r="V1245" s="1"/>
      <c r="W1245" s="1"/>
      <c r="X1245" s="1"/>
      <c r="Y1245" s="1"/>
      <c r="Z1245" s="1"/>
      <c r="AA1245" s="1" t="s">
        <v>8099</v>
      </c>
      <c r="AB1245" s="1" t="s">
        <v>8100</v>
      </c>
      <c r="AC1245" s="1"/>
      <c r="AD1245" s="1"/>
      <c r="AE1245" s="1"/>
      <c r="AF1245" s="1"/>
      <c r="AG1245" s="1"/>
      <c r="AH1245" s="1"/>
      <c r="AI1245" s="1"/>
      <c r="AJ1245" s="1"/>
      <c r="AK1245" s="1"/>
      <c r="AL1245" s="1"/>
      <c r="AM1245" s="1"/>
      <c r="AN1245" s="1"/>
      <c r="AO1245" s="1" t="s">
        <v>98</v>
      </c>
      <c r="AP1245" s="1" t="s">
        <v>99</v>
      </c>
      <c r="AQ1245" s="1"/>
      <c r="AR1245" s="1"/>
      <c r="AS1245" s="1"/>
      <c r="AT1245" s="1"/>
      <c r="AU1245" s="1">
        <v>2022</v>
      </c>
      <c r="AV1245" s="1"/>
      <c r="AW1245" s="1">
        <v>2</v>
      </c>
      <c r="AX1245" s="1"/>
      <c r="AY1245" s="1"/>
      <c r="AZ1245" s="1"/>
      <c r="BA1245" s="1"/>
      <c r="BB1245" s="1">
        <v>77</v>
      </c>
      <c r="BC1245" s="1">
        <v>83</v>
      </c>
      <c r="BD1245" s="1"/>
      <c r="BE1245" s="1" t="s">
        <v>8101</v>
      </c>
      <c r="BF1245" s="1" t="str">
        <f>HYPERLINK("http://dx.doi.org/10.25750/1995-4301-2022-2-077-083","http://dx.doi.org/10.25750/1995-4301-2022-2-077-083")</f>
        <v>http://dx.doi.org/10.25750/1995-4301-2022-2-077-083</v>
      </c>
      <c r="BG1245" s="1"/>
      <c r="BH1245" s="1"/>
      <c r="BI1245" s="1"/>
      <c r="BJ1245" s="1"/>
      <c r="BK1245" s="1"/>
      <c r="BL1245" s="1"/>
      <c r="BM1245" s="1"/>
      <c r="BN1245" s="1"/>
      <c r="BO1245" s="1"/>
      <c r="BP1245" s="1"/>
      <c r="BQ1245" s="1"/>
      <c r="BR1245" s="1"/>
      <c r="BS1245" s="1" t="s">
        <v>8102</v>
      </c>
      <c r="BT1245" s="1" t="str">
        <f>HYPERLINK("https%3A%2F%2Fwww.webofscience.com%2Fwos%2Fwoscc%2Ffull-record%2FWOS:000820802000010","View Full Record in Web of Science")</f>
        <v>View Full Record in Web of Science</v>
      </c>
      <c r="BU1245" s="1"/>
      <c r="BV1245" s="1"/>
      <c r="BW1245" s="1"/>
    </row>
    <row r="1246" spans="1:75" ht="12.75" customHeight="1" x14ac:dyDescent="0.2">
      <c r="A1246" s="1" t="s">
        <v>72</v>
      </c>
      <c r="B1246" s="1" t="s">
        <v>8103</v>
      </c>
      <c r="C1246" s="1"/>
      <c r="D1246" s="1"/>
      <c r="E1246" s="1"/>
      <c r="F1246" s="1" t="s">
        <v>8104</v>
      </c>
      <c r="G1246" s="1"/>
      <c r="H1246" s="1"/>
      <c r="I1246" s="1" t="s">
        <v>8105</v>
      </c>
      <c r="J1246" s="1" t="s">
        <v>95</v>
      </c>
      <c r="K1246" s="1"/>
      <c r="L1246" s="1"/>
      <c r="M1246" s="1"/>
      <c r="N1246" s="1"/>
      <c r="O1246" s="1"/>
      <c r="P1246" s="1"/>
      <c r="Q1246" s="1"/>
      <c r="R1246" s="1"/>
      <c r="S1246" s="1"/>
      <c r="T1246" s="1"/>
      <c r="U1246" s="1"/>
      <c r="V1246" s="1"/>
      <c r="W1246" s="1"/>
      <c r="X1246" s="1"/>
      <c r="Y1246" s="1"/>
      <c r="Z1246" s="1"/>
      <c r="AA1246" s="1" t="s">
        <v>5529</v>
      </c>
      <c r="AB1246" s="1" t="s">
        <v>5530</v>
      </c>
      <c r="AC1246" s="1"/>
      <c r="AD1246" s="1"/>
      <c r="AE1246" s="1"/>
      <c r="AF1246" s="1"/>
      <c r="AG1246" s="1"/>
      <c r="AH1246" s="1"/>
      <c r="AI1246" s="1"/>
      <c r="AJ1246" s="1"/>
      <c r="AK1246" s="1"/>
      <c r="AL1246" s="1"/>
      <c r="AM1246" s="1"/>
      <c r="AN1246" s="1"/>
      <c r="AO1246" s="1" t="s">
        <v>98</v>
      </c>
      <c r="AP1246" s="1" t="s">
        <v>99</v>
      </c>
      <c r="AQ1246" s="1"/>
      <c r="AR1246" s="1"/>
      <c r="AS1246" s="1"/>
      <c r="AT1246" s="1"/>
      <c r="AU1246" s="1">
        <v>2019</v>
      </c>
      <c r="AV1246" s="1"/>
      <c r="AW1246" s="1">
        <v>4</v>
      </c>
      <c r="AX1246" s="1"/>
      <c r="AY1246" s="1"/>
      <c r="AZ1246" s="1"/>
      <c r="BA1246" s="1"/>
      <c r="BB1246" s="1">
        <v>61</v>
      </c>
      <c r="BC1246" s="1">
        <v>68</v>
      </c>
      <c r="BD1246" s="1"/>
      <c r="BE1246" s="1" t="s">
        <v>8106</v>
      </c>
      <c r="BF1246" s="1" t="str">
        <f>HYPERLINK("http://dx.doi.org/10.25750/1995-4301-2019-4-061-068","http://dx.doi.org/10.25750/1995-4301-2019-4-061-068")</f>
        <v>http://dx.doi.org/10.25750/1995-4301-2019-4-061-068</v>
      </c>
      <c r="BG1246" s="1"/>
      <c r="BH1246" s="1"/>
      <c r="BI1246" s="1"/>
      <c r="BJ1246" s="1"/>
      <c r="BK1246" s="1"/>
      <c r="BL1246" s="1"/>
      <c r="BM1246" s="1"/>
      <c r="BN1246" s="1"/>
      <c r="BO1246" s="1"/>
      <c r="BP1246" s="1"/>
      <c r="BQ1246" s="1"/>
      <c r="BR1246" s="1"/>
      <c r="BS1246" s="1" t="s">
        <v>8107</v>
      </c>
      <c r="BT1246" s="1" t="str">
        <f>HYPERLINK("https%3A%2F%2Fwww.webofscience.com%2Fwos%2Fwoscc%2Ffull-record%2FWOS:000504049400008","View Full Record in Web of Science")</f>
        <v>View Full Record in Web of Science</v>
      </c>
      <c r="BU1246" s="1"/>
      <c r="BV1246" s="1"/>
      <c r="BW1246" s="1"/>
    </row>
    <row r="1247" spans="1:75" ht="12.75" customHeight="1" x14ac:dyDescent="0.2">
      <c r="A1247" s="1" t="s">
        <v>72</v>
      </c>
      <c r="B1247" s="1" t="s">
        <v>8108</v>
      </c>
      <c r="C1247" s="1"/>
      <c r="D1247" s="1"/>
      <c r="E1247" s="1"/>
      <c r="F1247" s="1" t="s">
        <v>8109</v>
      </c>
      <c r="G1247" s="1"/>
      <c r="H1247" s="1"/>
      <c r="I1247" s="1" t="s">
        <v>8110</v>
      </c>
      <c r="J1247" s="1" t="s">
        <v>971</v>
      </c>
      <c r="K1247" s="1"/>
      <c r="L1247" s="1"/>
      <c r="M1247" s="1"/>
      <c r="N1247" s="1"/>
      <c r="O1247" s="1"/>
      <c r="P1247" s="1"/>
      <c r="Q1247" s="1"/>
      <c r="R1247" s="1"/>
      <c r="S1247" s="1"/>
      <c r="T1247" s="1"/>
      <c r="U1247" s="1"/>
      <c r="V1247" s="1"/>
      <c r="W1247" s="1"/>
      <c r="X1247" s="1"/>
      <c r="Y1247" s="1"/>
      <c r="Z1247" s="1"/>
      <c r="AA1247" s="1" t="s">
        <v>8111</v>
      </c>
      <c r="AB1247" s="1" t="s">
        <v>8112</v>
      </c>
      <c r="AC1247" s="1"/>
      <c r="AD1247" s="1"/>
      <c r="AE1247" s="1"/>
      <c r="AF1247" s="1"/>
      <c r="AG1247" s="1"/>
      <c r="AH1247" s="1"/>
      <c r="AI1247" s="1"/>
      <c r="AJ1247" s="1"/>
      <c r="AK1247" s="1"/>
      <c r="AL1247" s="1"/>
      <c r="AM1247" s="1"/>
      <c r="AN1247" s="1"/>
      <c r="AO1247" s="1" t="s">
        <v>973</v>
      </c>
      <c r="AP1247" s="1" t="s">
        <v>974</v>
      </c>
      <c r="AQ1247" s="1"/>
      <c r="AR1247" s="1"/>
      <c r="AS1247" s="1"/>
      <c r="AT1247" s="1" t="s">
        <v>171</v>
      </c>
      <c r="AU1247" s="1">
        <v>2014</v>
      </c>
      <c r="AV1247" s="1">
        <v>50</v>
      </c>
      <c r="AW1247" s="1">
        <v>2</v>
      </c>
      <c r="AX1247" s="1"/>
      <c r="AY1247" s="1"/>
      <c r="AZ1247" s="1"/>
      <c r="BA1247" s="1"/>
      <c r="BB1247" s="1">
        <v>179</v>
      </c>
      <c r="BC1247" s="1">
        <v>186</v>
      </c>
      <c r="BD1247" s="1"/>
      <c r="BE1247" s="1" t="s">
        <v>8113</v>
      </c>
      <c r="BF1247" s="1" t="str">
        <f>HYPERLINK("http://dx.doi.org/10.1134/S0003683814020070","http://dx.doi.org/10.1134/S0003683814020070")</f>
        <v>http://dx.doi.org/10.1134/S0003683814020070</v>
      </c>
      <c r="BG1247" s="1"/>
      <c r="BH1247" s="1"/>
      <c r="BI1247" s="1"/>
      <c r="BJ1247" s="1"/>
      <c r="BK1247" s="1"/>
      <c r="BL1247" s="1"/>
      <c r="BM1247" s="1"/>
      <c r="BN1247" s="1"/>
      <c r="BO1247" s="1"/>
      <c r="BP1247" s="1"/>
      <c r="BQ1247" s="1"/>
      <c r="BR1247" s="1"/>
      <c r="BS1247" s="1" t="s">
        <v>8114</v>
      </c>
      <c r="BT1247" s="1" t="str">
        <f>HYPERLINK("https%3A%2F%2Fwww.webofscience.com%2Fwos%2Fwoscc%2Ffull-record%2FWOS:000332737500013","View Full Record in Web of Science")</f>
        <v>View Full Record in Web of Science</v>
      </c>
      <c r="BU1247" s="1"/>
      <c r="BV1247" s="1"/>
      <c r="BW1247" s="1"/>
    </row>
    <row r="1248" spans="1:75" ht="12.75" customHeight="1" x14ac:dyDescent="0.2">
      <c r="A1248" s="1" t="s">
        <v>72</v>
      </c>
      <c r="B1248" s="1" t="s">
        <v>8115</v>
      </c>
      <c r="C1248" s="1"/>
      <c r="D1248" s="1"/>
      <c r="E1248" s="1"/>
      <c r="F1248" s="1" t="s">
        <v>8116</v>
      </c>
      <c r="G1248" s="1"/>
      <c r="H1248" s="1"/>
      <c r="I1248" s="1" t="s">
        <v>8117</v>
      </c>
      <c r="J1248" s="1" t="s">
        <v>8118</v>
      </c>
      <c r="K1248" s="1"/>
      <c r="L1248" s="1"/>
      <c r="M1248" s="1"/>
      <c r="N1248" s="1"/>
      <c r="O1248" s="1"/>
      <c r="P1248" s="1"/>
      <c r="Q1248" s="1"/>
      <c r="R1248" s="1"/>
      <c r="S1248" s="1"/>
      <c r="T1248" s="1"/>
      <c r="U1248" s="1"/>
      <c r="V1248" s="1"/>
      <c r="W1248" s="1"/>
      <c r="X1248" s="1"/>
      <c r="Y1248" s="1"/>
      <c r="Z1248" s="1"/>
      <c r="AA1248" s="1" t="s">
        <v>8119</v>
      </c>
      <c r="AB1248" s="1" t="s">
        <v>8120</v>
      </c>
      <c r="AC1248" s="1"/>
      <c r="AD1248" s="1"/>
      <c r="AE1248" s="1"/>
      <c r="AF1248" s="1"/>
      <c r="AG1248" s="1"/>
      <c r="AH1248" s="1"/>
      <c r="AI1248" s="1"/>
      <c r="AJ1248" s="1"/>
      <c r="AK1248" s="1"/>
      <c r="AL1248" s="1"/>
      <c r="AM1248" s="1"/>
      <c r="AN1248" s="1"/>
      <c r="AO1248" s="1" t="s">
        <v>8121</v>
      </c>
      <c r="AP1248" s="1"/>
      <c r="AQ1248" s="1"/>
      <c r="AR1248" s="1"/>
      <c r="AS1248" s="1"/>
      <c r="AT1248" s="1" t="s">
        <v>8122</v>
      </c>
      <c r="AU1248" s="1">
        <v>2022</v>
      </c>
      <c r="AV1248" s="1">
        <v>12</v>
      </c>
      <c r="AW1248" s="1">
        <v>2</v>
      </c>
      <c r="AX1248" s="1"/>
      <c r="AY1248" s="1"/>
      <c r="AZ1248" s="1"/>
      <c r="BA1248" s="1"/>
      <c r="BB1248" s="1">
        <v>657</v>
      </c>
      <c r="BC1248" s="1">
        <v>662</v>
      </c>
      <c r="BD1248" s="1"/>
      <c r="BE1248" s="1" t="s">
        <v>8123</v>
      </c>
      <c r="BF1248" s="1" t="str">
        <f>HYPERLINK("http://dx.doi.org/10.31407/ijees12.240","http://dx.doi.org/10.31407/ijees12.240")</f>
        <v>http://dx.doi.org/10.31407/ijees12.240</v>
      </c>
      <c r="BG1248" s="1"/>
      <c r="BH1248" s="1"/>
      <c r="BI1248" s="1"/>
      <c r="BJ1248" s="1"/>
      <c r="BK1248" s="1"/>
      <c r="BL1248" s="1"/>
      <c r="BM1248" s="1"/>
      <c r="BN1248" s="1"/>
      <c r="BO1248" s="1"/>
      <c r="BP1248" s="1"/>
      <c r="BQ1248" s="1"/>
      <c r="BR1248" s="1"/>
      <c r="BS1248" s="1" t="s">
        <v>8124</v>
      </c>
      <c r="BT1248" s="1" t="str">
        <f>HYPERLINK("https%3A%2F%2Fwww.webofscience.com%2Fwos%2Fwoscc%2Ffull-record%2FWOS:000798578400040","View Full Record in Web of Science")</f>
        <v>View Full Record in Web of Science</v>
      </c>
      <c r="BU1248" s="1"/>
      <c r="BV1248" s="1"/>
      <c r="BW1248" s="1"/>
    </row>
    <row r="1249" spans="1:75" ht="12.75" customHeight="1" x14ac:dyDescent="0.2">
      <c r="A1249" s="1" t="s">
        <v>72</v>
      </c>
      <c r="B1249" s="1" t="s">
        <v>8125</v>
      </c>
      <c r="C1249" s="1"/>
      <c r="D1249" s="1"/>
      <c r="E1249" s="1"/>
      <c r="F1249" s="1" t="s">
        <v>8126</v>
      </c>
      <c r="G1249" s="1"/>
      <c r="H1249" s="1"/>
      <c r="I1249" s="1" t="s">
        <v>8127</v>
      </c>
      <c r="J1249" s="1" t="s">
        <v>5139</v>
      </c>
      <c r="K1249" s="1"/>
      <c r="L1249" s="1"/>
      <c r="M1249" s="1"/>
      <c r="N1249" s="1"/>
      <c r="O1249" s="1"/>
      <c r="P1249" s="1"/>
      <c r="Q1249" s="1"/>
      <c r="R1249" s="1"/>
      <c r="S1249" s="1"/>
      <c r="T1249" s="1"/>
      <c r="U1249" s="1"/>
      <c r="V1249" s="1"/>
      <c r="W1249" s="1"/>
      <c r="X1249" s="1"/>
      <c r="Y1249" s="1"/>
      <c r="Z1249" s="1"/>
      <c r="AA1249" s="1" t="s">
        <v>8128</v>
      </c>
      <c r="AB1249" s="1" t="s">
        <v>5393</v>
      </c>
      <c r="AC1249" s="1"/>
      <c r="AD1249" s="1"/>
      <c r="AE1249" s="1"/>
      <c r="AF1249" s="1"/>
      <c r="AG1249" s="1"/>
      <c r="AH1249" s="1"/>
      <c r="AI1249" s="1"/>
      <c r="AJ1249" s="1"/>
      <c r="AK1249" s="1"/>
      <c r="AL1249" s="1"/>
      <c r="AM1249" s="1"/>
      <c r="AN1249" s="1"/>
      <c r="AO1249" s="1" t="s">
        <v>5142</v>
      </c>
      <c r="AP1249" s="1" t="s">
        <v>5143</v>
      </c>
      <c r="AQ1249" s="1"/>
      <c r="AR1249" s="1"/>
      <c r="AS1249" s="1"/>
      <c r="AT1249" s="1" t="s">
        <v>491</v>
      </c>
      <c r="AU1249" s="1">
        <v>2017</v>
      </c>
      <c r="AV1249" s="1">
        <v>13</v>
      </c>
      <c r="AW1249" s="1">
        <v>6</v>
      </c>
      <c r="AX1249" s="1"/>
      <c r="AY1249" s="1"/>
      <c r="AZ1249" s="1"/>
      <c r="BA1249" s="1"/>
      <c r="BB1249" s="1">
        <v>1799</v>
      </c>
      <c r="BC1249" s="1">
        <v>1815</v>
      </c>
      <c r="BD1249" s="1"/>
      <c r="BE1249" s="1" t="s">
        <v>8129</v>
      </c>
      <c r="BF1249" s="1" t="str">
        <f>HYPERLINK("http://dx.doi.org/10.12973/eurasia.2017.00698a","http://dx.doi.org/10.12973/eurasia.2017.00698a")</f>
        <v>http://dx.doi.org/10.12973/eurasia.2017.00698a</v>
      </c>
      <c r="BG1249" s="1"/>
      <c r="BH1249" s="1"/>
      <c r="BI1249" s="1"/>
      <c r="BJ1249" s="1"/>
      <c r="BK1249" s="1"/>
      <c r="BL1249" s="1"/>
      <c r="BM1249" s="1"/>
      <c r="BN1249" s="1"/>
      <c r="BO1249" s="1"/>
      <c r="BP1249" s="1"/>
      <c r="BQ1249" s="1"/>
      <c r="BR1249" s="1"/>
      <c r="BS1249" s="1" t="s">
        <v>8130</v>
      </c>
      <c r="BT1249" s="1" t="str">
        <f>HYPERLINK("https%3A%2F%2Fwww.webofscience.com%2Fwos%2Fwoscc%2Ffull-record%2FWOS:000404604700015","View Full Record in Web of Science")</f>
        <v>View Full Record in Web of Science</v>
      </c>
      <c r="BU1249" s="1"/>
      <c r="BV1249" s="1"/>
      <c r="BW1249" s="1"/>
    </row>
    <row r="1250" spans="1:75" ht="12.75" customHeight="1" x14ac:dyDescent="0.2">
      <c r="A1250" s="1" t="s">
        <v>72</v>
      </c>
      <c r="B1250" s="1" t="s">
        <v>8131</v>
      </c>
      <c r="C1250" s="1"/>
      <c r="D1250" s="1"/>
      <c r="E1250" s="1"/>
      <c r="F1250" s="1" t="s">
        <v>8132</v>
      </c>
      <c r="G1250" s="1"/>
      <c r="H1250" s="1"/>
      <c r="I1250" s="1" t="s">
        <v>8133</v>
      </c>
      <c r="J1250" s="1" t="s">
        <v>95</v>
      </c>
      <c r="K1250" s="1"/>
      <c r="L1250" s="1"/>
      <c r="M1250" s="1"/>
      <c r="N1250" s="1"/>
      <c r="O1250" s="1"/>
      <c r="P1250" s="1"/>
      <c r="Q1250" s="1"/>
      <c r="R1250" s="1"/>
      <c r="S1250" s="1"/>
      <c r="T1250" s="1"/>
      <c r="U1250" s="1"/>
      <c r="V1250" s="1"/>
      <c r="W1250" s="1"/>
      <c r="X1250" s="1"/>
      <c r="Y1250" s="1"/>
      <c r="Z1250" s="1"/>
      <c r="AA1250" s="1" t="s">
        <v>8134</v>
      </c>
      <c r="AB1250" s="1" t="s">
        <v>8135</v>
      </c>
      <c r="AC1250" s="1"/>
      <c r="AD1250" s="1"/>
      <c r="AE1250" s="1"/>
      <c r="AF1250" s="1"/>
      <c r="AG1250" s="1"/>
      <c r="AH1250" s="1"/>
      <c r="AI1250" s="1"/>
      <c r="AJ1250" s="1"/>
      <c r="AK1250" s="1"/>
      <c r="AL1250" s="1"/>
      <c r="AM1250" s="1"/>
      <c r="AN1250" s="1"/>
      <c r="AO1250" s="1" t="s">
        <v>98</v>
      </c>
      <c r="AP1250" s="1" t="s">
        <v>99</v>
      </c>
      <c r="AQ1250" s="1"/>
      <c r="AR1250" s="1"/>
      <c r="AS1250" s="1"/>
      <c r="AT1250" s="1"/>
      <c r="AU1250" s="1">
        <v>2021</v>
      </c>
      <c r="AV1250" s="1"/>
      <c r="AW1250" s="1">
        <v>2</v>
      </c>
      <c r="AX1250" s="1"/>
      <c r="AY1250" s="1"/>
      <c r="AZ1250" s="1"/>
      <c r="BA1250" s="1"/>
      <c r="BB1250" s="1">
        <v>183</v>
      </c>
      <c r="BC1250" s="1">
        <v>188</v>
      </c>
      <c r="BD1250" s="1"/>
      <c r="BE1250" s="1" t="s">
        <v>8136</v>
      </c>
      <c r="BF1250" s="1" t="str">
        <f>HYPERLINK("http://dx.doi.org/10.25750/1995-4301-2021-2-183-188","http://dx.doi.org/10.25750/1995-4301-2021-2-183-188")</f>
        <v>http://dx.doi.org/10.25750/1995-4301-2021-2-183-188</v>
      </c>
      <c r="BG1250" s="1"/>
      <c r="BH1250" s="1"/>
      <c r="BI1250" s="1"/>
      <c r="BJ1250" s="1"/>
      <c r="BK1250" s="1"/>
      <c r="BL1250" s="1"/>
      <c r="BM1250" s="1"/>
      <c r="BN1250" s="1"/>
      <c r="BO1250" s="1"/>
      <c r="BP1250" s="1"/>
      <c r="BQ1250" s="1"/>
      <c r="BR1250" s="1"/>
      <c r="BS1250" s="1" t="s">
        <v>8137</v>
      </c>
      <c r="BT1250" s="1" t="str">
        <f>HYPERLINK("https%3A%2F%2Fwww.webofscience.com%2Fwos%2Fwoscc%2Ffull-record%2FWOS:000667025400026","View Full Record in Web of Science")</f>
        <v>View Full Record in Web of Science</v>
      </c>
      <c r="BU1250" s="1"/>
      <c r="BV1250" s="1"/>
      <c r="BW1250" s="1"/>
    </row>
    <row r="1251" spans="1:75" ht="12.75" customHeight="1" x14ac:dyDescent="0.2">
      <c r="A1251" s="1" t="s">
        <v>72</v>
      </c>
      <c r="B1251" s="1" t="s">
        <v>8138</v>
      </c>
      <c r="C1251" s="1"/>
      <c r="D1251" s="1"/>
      <c r="E1251" s="1"/>
      <c r="F1251" s="1" t="s">
        <v>8139</v>
      </c>
      <c r="G1251" s="1"/>
      <c r="H1251" s="1"/>
      <c r="I1251" s="1" t="s">
        <v>8140</v>
      </c>
      <c r="J1251" s="1" t="s">
        <v>95</v>
      </c>
      <c r="K1251" s="1"/>
      <c r="L1251" s="1"/>
      <c r="M1251" s="1"/>
      <c r="N1251" s="1"/>
      <c r="O1251" s="1"/>
      <c r="P1251" s="1"/>
      <c r="Q1251" s="1"/>
      <c r="R1251" s="1"/>
      <c r="S1251" s="1"/>
      <c r="T1251" s="1"/>
      <c r="U1251" s="1"/>
      <c r="V1251" s="1"/>
      <c r="W1251" s="1"/>
      <c r="X1251" s="1"/>
      <c r="Y1251" s="1"/>
      <c r="Z1251" s="1"/>
      <c r="AA1251" s="1"/>
      <c r="AB1251" s="1" t="s">
        <v>7851</v>
      </c>
      <c r="AC1251" s="1"/>
      <c r="AD1251" s="1"/>
      <c r="AE1251" s="1"/>
      <c r="AF1251" s="1"/>
      <c r="AG1251" s="1"/>
      <c r="AH1251" s="1"/>
      <c r="AI1251" s="1"/>
      <c r="AJ1251" s="1"/>
      <c r="AK1251" s="1"/>
      <c r="AL1251" s="1"/>
      <c r="AM1251" s="1"/>
      <c r="AN1251" s="1"/>
      <c r="AO1251" s="1" t="s">
        <v>98</v>
      </c>
      <c r="AP1251" s="1" t="s">
        <v>99</v>
      </c>
      <c r="AQ1251" s="1"/>
      <c r="AR1251" s="1"/>
      <c r="AS1251" s="1"/>
      <c r="AT1251" s="1"/>
      <c r="AU1251" s="1">
        <v>2021</v>
      </c>
      <c r="AV1251" s="1"/>
      <c r="AW1251" s="1">
        <v>3</v>
      </c>
      <c r="AX1251" s="1"/>
      <c r="AY1251" s="1"/>
      <c r="AZ1251" s="1"/>
      <c r="BA1251" s="1"/>
      <c r="BB1251" s="1">
        <v>52</v>
      </c>
      <c r="BC1251" s="1">
        <v>59</v>
      </c>
      <c r="BD1251" s="1"/>
      <c r="BE1251" s="1" t="s">
        <v>8141</v>
      </c>
      <c r="BF1251" s="1" t="str">
        <f>HYPERLINK("http://dx.doi.org/10.25750/1995-4301-2021-3-052-059","http://dx.doi.org/10.25750/1995-4301-2021-3-052-059")</f>
        <v>http://dx.doi.org/10.25750/1995-4301-2021-3-052-059</v>
      </c>
      <c r="BG1251" s="1"/>
      <c r="BH1251" s="1"/>
      <c r="BI1251" s="1"/>
      <c r="BJ1251" s="1"/>
      <c r="BK1251" s="1"/>
      <c r="BL1251" s="1"/>
      <c r="BM1251" s="1"/>
      <c r="BN1251" s="1"/>
      <c r="BO1251" s="1"/>
      <c r="BP1251" s="1"/>
      <c r="BQ1251" s="1"/>
      <c r="BR1251" s="1"/>
      <c r="BS1251" s="1" t="s">
        <v>8142</v>
      </c>
      <c r="BT1251" s="1" t="str">
        <f>HYPERLINK("https%3A%2F%2Fwww.webofscience.com%2Fwos%2Fwoscc%2Ffull-record%2FWOS:000700413300007","View Full Record in Web of Science")</f>
        <v>View Full Record in Web of Science</v>
      </c>
      <c r="BU1251" s="1"/>
      <c r="BV1251" s="1"/>
      <c r="BW1251" s="1"/>
    </row>
    <row r="1252" spans="1:75" ht="12.75" customHeight="1" x14ac:dyDescent="0.2">
      <c r="A1252" s="1" t="s">
        <v>147</v>
      </c>
      <c r="B1252" s="1" t="s">
        <v>8143</v>
      </c>
      <c r="C1252" s="1"/>
      <c r="D1252" s="1" t="s">
        <v>1876</v>
      </c>
      <c r="E1252" s="1"/>
      <c r="F1252" s="1" t="s">
        <v>8144</v>
      </c>
      <c r="G1252" s="1"/>
      <c r="H1252" s="1"/>
      <c r="I1252" s="1" t="s">
        <v>8145</v>
      </c>
      <c r="J1252" s="1" t="s">
        <v>1879</v>
      </c>
      <c r="K1252" s="1" t="s">
        <v>1276</v>
      </c>
      <c r="L1252" s="1"/>
      <c r="M1252" s="1"/>
      <c r="N1252" s="1"/>
      <c r="O1252" s="1" t="s">
        <v>1880</v>
      </c>
      <c r="P1252" s="1" t="s">
        <v>1881</v>
      </c>
      <c r="Q1252" s="1" t="s">
        <v>1882</v>
      </c>
      <c r="R1252" s="1" t="s">
        <v>1883</v>
      </c>
      <c r="S1252" s="1" t="s">
        <v>1884</v>
      </c>
      <c r="T1252" s="1"/>
      <c r="U1252" s="1"/>
      <c r="V1252" s="1"/>
      <c r="W1252" s="1"/>
      <c r="X1252" s="1"/>
      <c r="Y1252" s="1"/>
      <c r="Z1252" s="1"/>
      <c r="AA1252" s="1" t="s">
        <v>7666</v>
      </c>
      <c r="AB1252" s="1" t="s">
        <v>7667</v>
      </c>
      <c r="AC1252" s="1"/>
      <c r="AD1252" s="1"/>
      <c r="AE1252" s="1"/>
      <c r="AF1252" s="1"/>
      <c r="AG1252" s="1"/>
      <c r="AH1252" s="1"/>
      <c r="AI1252" s="1"/>
      <c r="AJ1252" s="1"/>
      <c r="AK1252" s="1"/>
      <c r="AL1252" s="1"/>
      <c r="AM1252" s="1"/>
      <c r="AN1252" s="1"/>
      <c r="AO1252" s="1" t="s">
        <v>1282</v>
      </c>
      <c r="AP1252" s="1"/>
      <c r="AQ1252" s="1"/>
      <c r="AR1252" s="1"/>
      <c r="AS1252" s="1"/>
      <c r="AT1252" s="1"/>
      <c r="AU1252" s="1">
        <v>2017</v>
      </c>
      <c r="AV1252" s="1">
        <v>106</v>
      </c>
      <c r="AW1252" s="1"/>
      <c r="AX1252" s="1"/>
      <c r="AY1252" s="1"/>
      <c r="AZ1252" s="1"/>
      <c r="BA1252" s="1"/>
      <c r="BB1252" s="1"/>
      <c r="BC1252" s="1"/>
      <c r="BD1252" s="1">
        <v>8085</v>
      </c>
      <c r="BE1252" s="1" t="s">
        <v>8146</v>
      </c>
      <c r="BF1252" s="1" t="str">
        <f>HYPERLINK("http://dx.doi.org/10.1051/matecconf/201710608085","http://dx.doi.org/10.1051/matecconf/201710608085")</f>
        <v>http://dx.doi.org/10.1051/matecconf/201710608085</v>
      </c>
      <c r="BG1252" s="1"/>
      <c r="BH1252" s="1"/>
      <c r="BI1252" s="1"/>
      <c r="BJ1252" s="1"/>
      <c r="BK1252" s="1"/>
      <c r="BL1252" s="1"/>
      <c r="BM1252" s="1"/>
      <c r="BN1252" s="1"/>
      <c r="BO1252" s="1"/>
      <c r="BP1252" s="1"/>
      <c r="BQ1252" s="1"/>
      <c r="BR1252" s="1"/>
      <c r="BS1252" s="1" t="s">
        <v>8147</v>
      </c>
      <c r="BT1252" s="1" t="str">
        <f>HYPERLINK("https%3A%2F%2Fwww.webofscience.com%2Fwos%2Fwoscc%2Ffull-record%2FWOS:000426426600270","View Full Record in Web of Science")</f>
        <v>View Full Record in Web of Science</v>
      </c>
      <c r="BU1252" s="1"/>
      <c r="BV1252" s="1"/>
      <c r="BW1252" s="1"/>
    </row>
    <row r="1253" spans="1:75" ht="12.75" customHeight="1" x14ac:dyDescent="0.2">
      <c r="A1253" s="1" t="s">
        <v>72</v>
      </c>
      <c r="B1253" s="1" t="s">
        <v>8045</v>
      </c>
      <c r="C1253" s="1"/>
      <c r="D1253" s="1"/>
      <c r="E1253" s="1"/>
      <c r="F1253" s="1" t="s">
        <v>8148</v>
      </c>
      <c r="G1253" s="1"/>
      <c r="H1253" s="1"/>
      <c r="I1253" s="1" t="s">
        <v>8149</v>
      </c>
      <c r="J1253" s="1" t="s">
        <v>3610</v>
      </c>
      <c r="K1253" s="1"/>
      <c r="L1253" s="1"/>
      <c r="M1253" s="1"/>
      <c r="N1253" s="1"/>
      <c r="O1253" s="1"/>
      <c r="P1253" s="1"/>
      <c r="Q1253" s="1"/>
      <c r="R1253" s="1"/>
      <c r="S1253" s="1"/>
      <c r="T1253" s="1"/>
      <c r="U1253" s="1"/>
      <c r="V1253" s="1"/>
      <c r="W1253" s="1"/>
      <c r="X1253" s="1"/>
      <c r="Y1253" s="1"/>
      <c r="Z1253" s="1"/>
      <c r="AA1253" s="1" t="s">
        <v>8048</v>
      </c>
      <c r="AB1253" s="1" t="s">
        <v>8049</v>
      </c>
      <c r="AC1253" s="1"/>
      <c r="AD1253" s="1"/>
      <c r="AE1253" s="1"/>
      <c r="AF1253" s="1"/>
      <c r="AG1253" s="1"/>
      <c r="AH1253" s="1"/>
      <c r="AI1253" s="1"/>
      <c r="AJ1253" s="1"/>
      <c r="AK1253" s="1"/>
      <c r="AL1253" s="1"/>
      <c r="AM1253" s="1"/>
      <c r="AN1253" s="1"/>
      <c r="AO1253" s="1" t="s">
        <v>3613</v>
      </c>
      <c r="AP1253" s="1" t="s">
        <v>4602</v>
      </c>
      <c r="AQ1253" s="1"/>
      <c r="AR1253" s="1"/>
      <c r="AS1253" s="1"/>
      <c r="AT1253" s="1" t="s">
        <v>88</v>
      </c>
      <c r="AU1253" s="1">
        <v>2013</v>
      </c>
      <c r="AV1253" s="1">
        <v>46</v>
      </c>
      <c r="AW1253" s="1">
        <v>5</v>
      </c>
      <c r="AX1253" s="1"/>
      <c r="AY1253" s="1"/>
      <c r="AZ1253" s="1"/>
      <c r="BA1253" s="1"/>
      <c r="BB1253" s="1">
        <v>565</v>
      </c>
      <c r="BC1253" s="1">
        <v>571</v>
      </c>
      <c r="BD1253" s="1"/>
      <c r="BE1253" s="1" t="s">
        <v>8150</v>
      </c>
      <c r="BF1253" s="1" t="str">
        <f>HYPERLINK("http://dx.doi.org/10.1134/S106422931305013X","http://dx.doi.org/10.1134/S106422931305013X")</f>
        <v>http://dx.doi.org/10.1134/S106422931305013X</v>
      </c>
      <c r="BG1253" s="1"/>
      <c r="BH1253" s="1"/>
      <c r="BI1253" s="1"/>
      <c r="BJ1253" s="1"/>
      <c r="BK1253" s="1"/>
      <c r="BL1253" s="1"/>
      <c r="BM1253" s="1"/>
      <c r="BN1253" s="1"/>
      <c r="BO1253" s="1"/>
      <c r="BP1253" s="1"/>
      <c r="BQ1253" s="1"/>
      <c r="BR1253" s="1"/>
      <c r="BS1253" s="1" t="s">
        <v>8151</v>
      </c>
      <c r="BT1253" s="1" t="str">
        <f>HYPERLINK("https%3A%2F%2Fwww.webofscience.com%2Fwos%2Fwoscc%2Ffull-record%2FWOS:000319159900011","View Full Record in Web of Science")</f>
        <v>View Full Record in Web of Science</v>
      </c>
      <c r="BU1253" s="1"/>
      <c r="BV1253" s="1"/>
      <c r="BW1253" s="1"/>
    </row>
    <row r="1254" spans="1:75" ht="12.75" customHeight="1" x14ac:dyDescent="0.2">
      <c r="A1254" s="1" t="s">
        <v>72</v>
      </c>
      <c r="B1254" s="1" t="s">
        <v>8152</v>
      </c>
      <c r="C1254" s="1"/>
      <c r="D1254" s="1"/>
      <c r="E1254" s="1"/>
      <c r="F1254" s="1" t="s">
        <v>8153</v>
      </c>
      <c r="G1254" s="1"/>
      <c r="H1254" s="1"/>
      <c r="I1254" s="1" t="s">
        <v>8154</v>
      </c>
      <c r="J1254" s="1" t="s">
        <v>6373</v>
      </c>
      <c r="K1254" s="1"/>
      <c r="L1254" s="1"/>
      <c r="M1254" s="1"/>
      <c r="N1254" s="1"/>
      <c r="O1254" s="1"/>
      <c r="P1254" s="1"/>
      <c r="Q1254" s="1"/>
      <c r="R1254" s="1"/>
      <c r="S1254" s="1"/>
      <c r="T1254" s="1"/>
      <c r="U1254" s="1"/>
      <c r="V1254" s="1"/>
      <c r="W1254" s="1"/>
      <c r="X1254" s="1"/>
      <c r="Y1254" s="1"/>
      <c r="Z1254" s="1"/>
      <c r="AA1254" s="1" t="s">
        <v>8155</v>
      </c>
      <c r="AB1254" s="1" t="s">
        <v>8156</v>
      </c>
      <c r="AC1254" s="1"/>
      <c r="AD1254" s="1"/>
      <c r="AE1254" s="1"/>
      <c r="AF1254" s="1"/>
      <c r="AG1254" s="1"/>
      <c r="AH1254" s="1"/>
      <c r="AI1254" s="1"/>
      <c r="AJ1254" s="1"/>
      <c r="AK1254" s="1"/>
      <c r="AL1254" s="1"/>
      <c r="AM1254" s="1"/>
      <c r="AN1254" s="1"/>
      <c r="AO1254" s="1" t="s">
        <v>6374</v>
      </c>
      <c r="AP1254" s="1"/>
      <c r="AQ1254" s="1"/>
      <c r="AR1254" s="1"/>
      <c r="AS1254" s="1"/>
      <c r="AT1254" s="1" t="s">
        <v>8157</v>
      </c>
      <c r="AU1254" s="1">
        <v>2022</v>
      </c>
      <c r="AV1254" s="1">
        <v>10</v>
      </c>
      <c r="AW1254" s="1"/>
      <c r="AX1254" s="1"/>
      <c r="AY1254" s="1"/>
      <c r="AZ1254" s="1"/>
      <c r="BA1254" s="1"/>
      <c r="BB1254" s="1"/>
      <c r="BC1254" s="1"/>
      <c r="BD1254" s="1">
        <v>908489</v>
      </c>
      <c r="BE1254" s="1" t="s">
        <v>8158</v>
      </c>
      <c r="BF1254" s="1" t="str">
        <f>HYPERLINK("http://dx.doi.org/10.3389/fenrg.2022.908489","http://dx.doi.org/10.3389/fenrg.2022.908489")</f>
        <v>http://dx.doi.org/10.3389/fenrg.2022.908489</v>
      </c>
      <c r="BG1254" s="1"/>
      <c r="BH1254" s="1"/>
      <c r="BI1254" s="1"/>
      <c r="BJ1254" s="1"/>
      <c r="BK1254" s="1"/>
      <c r="BL1254" s="1"/>
      <c r="BM1254" s="1"/>
      <c r="BN1254" s="1"/>
      <c r="BO1254" s="1"/>
      <c r="BP1254" s="1"/>
      <c r="BQ1254" s="1"/>
      <c r="BR1254" s="1"/>
      <c r="BS1254" s="1" t="s">
        <v>8159</v>
      </c>
      <c r="BT1254" s="1" t="str">
        <f>HYPERLINK("https%3A%2F%2Fwww.webofscience.com%2Fwos%2Fwoscc%2Ffull-record%2FWOS:000811266700001","View Full Record in Web of Science")</f>
        <v>View Full Record in Web of Science</v>
      </c>
      <c r="BU1254" s="1"/>
      <c r="BV1254" s="1"/>
      <c r="BW1254" s="1"/>
    </row>
    <row r="1255" spans="1:75" ht="12.75" customHeight="1" x14ac:dyDescent="0.2">
      <c r="A1255" s="1" t="s">
        <v>72</v>
      </c>
      <c r="B1255" s="1" t="s">
        <v>8160</v>
      </c>
      <c r="C1255" s="1"/>
      <c r="D1255" s="1"/>
      <c r="E1255" s="1"/>
      <c r="F1255" s="1" t="s">
        <v>8161</v>
      </c>
      <c r="G1255" s="1"/>
      <c r="H1255" s="1"/>
      <c r="I1255" s="1" t="s">
        <v>8162</v>
      </c>
      <c r="J1255" s="1" t="s">
        <v>4382</v>
      </c>
      <c r="K1255" s="1"/>
      <c r="L1255" s="1"/>
      <c r="M1255" s="1"/>
      <c r="N1255" s="1"/>
      <c r="O1255" s="1"/>
      <c r="P1255" s="1"/>
      <c r="Q1255" s="1"/>
      <c r="R1255" s="1"/>
      <c r="S1255" s="1"/>
      <c r="T1255" s="1"/>
      <c r="U1255" s="1"/>
      <c r="V1255" s="1"/>
      <c r="W1255" s="1"/>
      <c r="X1255" s="1"/>
      <c r="Y1255" s="1"/>
      <c r="Z1255" s="1"/>
      <c r="AA1255" s="1" t="s">
        <v>8163</v>
      </c>
      <c r="AB1255" s="1" t="s">
        <v>8164</v>
      </c>
      <c r="AC1255" s="1"/>
      <c r="AD1255" s="1"/>
      <c r="AE1255" s="1"/>
      <c r="AF1255" s="1"/>
      <c r="AG1255" s="1"/>
      <c r="AH1255" s="1"/>
      <c r="AI1255" s="1"/>
      <c r="AJ1255" s="1"/>
      <c r="AK1255" s="1"/>
      <c r="AL1255" s="1"/>
      <c r="AM1255" s="1"/>
      <c r="AN1255" s="1"/>
      <c r="AO1255" s="1" t="s">
        <v>4383</v>
      </c>
      <c r="AP1255" s="1" t="s">
        <v>4384</v>
      </c>
      <c r="AQ1255" s="1"/>
      <c r="AR1255" s="1"/>
      <c r="AS1255" s="1"/>
      <c r="AT1255" s="1" t="s">
        <v>198</v>
      </c>
      <c r="AU1255" s="1">
        <v>2018</v>
      </c>
      <c r="AV1255" s="1">
        <v>11</v>
      </c>
      <c r="AW1255" s="1">
        <v>2</v>
      </c>
      <c r="AX1255" s="1"/>
      <c r="AY1255" s="1"/>
      <c r="AZ1255" s="1"/>
      <c r="BA1255" s="1"/>
      <c r="BB1255" s="1">
        <v>111</v>
      </c>
      <c r="BC1255" s="1">
        <v>123</v>
      </c>
      <c r="BD1255" s="1"/>
      <c r="BE1255" s="1" t="s">
        <v>8165</v>
      </c>
      <c r="BF1255" s="1" t="str">
        <f>HYPERLINK("http://dx.doi.org/10.1134/S1995082918020086","http://dx.doi.org/10.1134/S1995082918020086")</f>
        <v>http://dx.doi.org/10.1134/S1995082918020086</v>
      </c>
      <c r="BG1255" s="1"/>
      <c r="BH1255" s="1"/>
      <c r="BI1255" s="1"/>
      <c r="BJ1255" s="1"/>
      <c r="BK1255" s="1"/>
      <c r="BL1255" s="1"/>
      <c r="BM1255" s="1"/>
      <c r="BN1255" s="1"/>
      <c r="BO1255" s="1"/>
      <c r="BP1255" s="1"/>
      <c r="BQ1255" s="1"/>
      <c r="BR1255" s="1"/>
      <c r="BS1255" s="1" t="s">
        <v>8166</v>
      </c>
      <c r="BT1255" s="1" t="str">
        <f>HYPERLINK("https%3A%2F%2Fwww.webofscience.com%2Fwos%2Fwoscc%2Ffull-record%2FWOS:000434910800001","View Full Record in Web of Science")</f>
        <v>View Full Record in Web of Science</v>
      </c>
      <c r="BU1255" s="1"/>
      <c r="BV1255" s="1"/>
      <c r="BW1255" s="1"/>
    </row>
    <row r="1256" spans="1:75" ht="12.75" customHeight="1" x14ac:dyDescent="0.2">
      <c r="A1256" s="1" t="s">
        <v>72</v>
      </c>
      <c r="B1256" s="1" t="s">
        <v>8167</v>
      </c>
      <c r="C1256" s="1"/>
      <c r="D1256" s="1"/>
      <c r="E1256" s="1"/>
      <c r="F1256" s="1" t="s">
        <v>8168</v>
      </c>
      <c r="G1256" s="1"/>
      <c r="H1256" s="1"/>
      <c r="I1256" s="1" t="s">
        <v>8169</v>
      </c>
      <c r="J1256" s="1" t="s">
        <v>8170</v>
      </c>
      <c r="K1256" s="1"/>
      <c r="L1256" s="1"/>
      <c r="M1256" s="1"/>
      <c r="N1256" s="1"/>
      <c r="O1256" s="1"/>
      <c r="P1256" s="1"/>
      <c r="Q1256" s="1"/>
      <c r="R1256" s="1"/>
      <c r="S1256" s="1"/>
      <c r="T1256" s="1"/>
      <c r="U1256" s="1"/>
      <c r="V1256" s="1"/>
      <c r="W1256" s="1"/>
      <c r="X1256" s="1"/>
      <c r="Y1256" s="1"/>
      <c r="Z1256" s="1"/>
      <c r="AA1256" s="1" t="s">
        <v>8171</v>
      </c>
      <c r="AB1256" s="1" t="s">
        <v>8172</v>
      </c>
      <c r="AC1256" s="1"/>
      <c r="AD1256" s="1"/>
      <c r="AE1256" s="1"/>
      <c r="AF1256" s="1"/>
      <c r="AG1256" s="1"/>
      <c r="AH1256" s="1"/>
      <c r="AI1256" s="1"/>
      <c r="AJ1256" s="1"/>
      <c r="AK1256" s="1"/>
      <c r="AL1256" s="1"/>
      <c r="AM1256" s="1"/>
      <c r="AN1256" s="1"/>
      <c r="AO1256" s="1" t="s">
        <v>8173</v>
      </c>
      <c r="AP1256" s="1" t="s">
        <v>8174</v>
      </c>
      <c r="AQ1256" s="1"/>
      <c r="AR1256" s="1"/>
      <c r="AS1256" s="1"/>
      <c r="AT1256" s="1" t="s">
        <v>830</v>
      </c>
      <c r="AU1256" s="1">
        <v>2017</v>
      </c>
      <c r="AV1256" s="1">
        <v>53</v>
      </c>
      <c r="AW1256" s="1">
        <v>5</v>
      </c>
      <c r="AX1256" s="1"/>
      <c r="AY1256" s="1"/>
      <c r="AZ1256" s="1"/>
      <c r="BA1256" s="1"/>
      <c r="BB1256" s="1">
        <v>823</v>
      </c>
      <c r="BC1256" s="1">
        <v>829</v>
      </c>
      <c r="BD1256" s="1"/>
      <c r="BE1256" s="1" t="s">
        <v>8175</v>
      </c>
      <c r="BF1256" s="1" t="str">
        <f>HYPERLINK("http://dx.doi.org/10.1007/s10600-017-2133-x","http://dx.doi.org/10.1007/s10600-017-2133-x")</f>
        <v>http://dx.doi.org/10.1007/s10600-017-2133-x</v>
      </c>
      <c r="BG1256" s="1"/>
      <c r="BH1256" s="1"/>
      <c r="BI1256" s="1"/>
      <c r="BJ1256" s="1"/>
      <c r="BK1256" s="1"/>
      <c r="BL1256" s="1"/>
      <c r="BM1256" s="1"/>
      <c r="BN1256" s="1"/>
      <c r="BO1256" s="1"/>
      <c r="BP1256" s="1"/>
      <c r="BQ1256" s="1"/>
      <c r="BR1256" s="1"/>
      <c r="BS1256" s="1" t="s">
        <v>8176</v>
      </c>
      <c r="BT1256" s="1" t="str">
        <f>HYPERLINK("https%3A%2F%2Fwww.webofscience.com%2Fwos%2Fwoscc%2Ffull-record%2FWOS:000412513600003","View Full Record in Web of Science")</f>
        <v>View Full Record in Web of Science</v>
      </c>
      <c r="BU1256" s="1"/>
      <c r="BV1256" s="1"/>
      <c r="BW1256" s="1"/>
    </row>
    <row r="1257" spans="1:75" ht="12.75" customHeight="1" x14ac:dyDescent="0.2">
      <c r="A1257" s="1" t="s">
        <v>72</v>
      </c>
      <c r="B1257" s="1" t="s">
        <v>8177</v>
      </c>
      <c r="C1257" s="1"/>
      <c r="D1257" s="1"/>
      <c r="E1257" s="1"/>
      <c r="F1257" s="1" t="s">
        <v>8178</v>
      </c>
      <c r="G1257" s="1"/>
      <c r="H1257" s="1"/>
      <c r="I1257" s="1" t="s">
        <v>8179</v>
      </c>
      <c r="J1257" s="1" t="s">
        <v>8180</v>
      </c>
      <c r="K1257" s="1"/>
      <c r="L1257" s="1"/>
      <c r="M1257" s="1"/>
      <c r="N1257" s="1"/>
      <c r="O1257" s="1"/>
      <c r="P1257" s="1"/>
      <c r="Q1257" s="1"/>
      <c r="R1257" s="1"/>
      <c r="S1257" s="1"/>
      <c r="T1257" s="1"/>
      <c r="U1257" s="1"/>
      <c r="V1257" s="1"/>
      <c r="W1257" s="1"/>
      <c r="X1257" s="1"/>
      <c r="Y1257" s="1"/>
      <c r="Z1257" s="1"/>
      <c r="AA1257" s="1" t="s">
        <v>8181</v>
      </c>
      <c r="AB1257" s="1" t="s">
        <v>8182</v>
      </c>
      <c r="AC1257" s="1"/>
      <c r="AD1257" s="1"/>
      <c r="AE1257" s="1"/>
      <c r="AF1257" s="1"/>
      <c r="AG1257" s="1"/>
      <c r="AH1257" s="1"/>
      <c r="AI1257" s="1"/>
      <c r="AJ1257" s="1"/>
      <c r="AK1257" s="1"/>
      <c r="AL1257" s="1"/>
      <c r="AM1257" s="1"/>
      <c r="AN1257" s="1"/>
      <c r="AO1257" s="1" t="s">
        <v>8183</v>
      </c>
      <c r="AP1257" s="1" t="s">
        <v>8184</v>
      </c>
      <c r="AQ1257" s="1"/>
      <c r="AR1257" s="1"/>
      <c r="AS1257" s="1"/>
      <c r="AT1257" s="1" t="s">
        <v>198</v>
      </c>
      <c r="AU1257" s="1">
        <v>2017</v>
      </c>
      <c r="AV1257" s="1">
        <v>65</v>
      </c>
      <c r="AW1257" s="1"/>
      <c r="AX1257" s="1"/>
      <c r="AY1257" s="1"/>
      <c r="AZ1257" s="1"/>
      <c r="BA1257" s="1"/>
      <c r="BB1257" s="1">
        <v>77</v>
      </c>
      <c r="BC1257" s="1">
        <v>86</v>
      </c>
      <c r="BD1257" s="1"/>
      <c r="BE1257" s="1" t="s">
        <v>8185</v>
      </c>
      <c r="BF1257" s="1" t="str">
        <f>HYPERLINK("http://dx.doi.org/10.1016/j.foodhyd.2016.10.042","http://dx.doi.org/10.1016/j.foodhyd.2016.10.042")</f>
        <v>http://dx.doi.org/10.1016/j.foodhyd.2016.10.042</v>
      </c>
      <c r="BG1257" s="1"/>
      <c r="BH1257" s="1"/>
      <c r="BI1257" s="1"/>
      <c r="BJ1257" s="1"/>
      <c r="BK1257" s="1"/>
      <c r="BL1257" s="1"/>
      <c r="BM1257" s="1"/>
      <c r="BN1257" s="1"/>
      <c r="BO1257" s="1"/>
      <c r="BP1257" s="1"/>
      <c r="BQ1257" s="1"/>
      <c r="BR1257" s="1"/>
      <c r="BS1257" s="1" t="s">
        <v>8186</v>
      </c>
      <c r="BT1257" s="1" t="str">
        <f>HYPERLINK("https%3A%2F%2Fwww.webofscience.com%2Fwos%2Fwoscc%2Ffull-record%2FWOS:000392771400009","View Full Record in Web of Science")</f>
        <v>View Full Record in Web of Science</v>
      </c>
      <c r="BU1257" s="1"/>
      <c r="BV1257" s="1"/>
      <c r="BW1257" s="1"/>
    </row>
    <row r="1258" spans="1:75" ht="12.75" customHeight="1" x14ac:dyDescent="0.2">
      <c r="A1258" s="1" t="s">
        <v>147</v>
      </c>
      <c r="B1258" s="1" t="s">
        <v>8187</v>
      </c>
      <c r="C1258" s="1"/>
      <c r="D1258" s="1" t="s">
        <v>2517</v>
      </c>
      <c r="E1258" s="1"/>
      <c r="F1258" s="1" t="s">
        <v>8188</v>
      </c>
      <c r="G1258" s="1"/>
      <c r="H1258" s="1"/>
      <c r="I1258" s="1" t="s">
        <v>8189</v>
      </c>
      <c r="J1258" s="1" t="s">
        <v>7429</v>
      </c>
      <c r="K1258" s="1" t="s">
        <v>2521</v>
      </c>
      <c r="L1258" s="1"/>
      <c r="M1258" s="1"/>
      <c r="N1258" s="1"/>
      <c r="O1258" s="1" t="s">
        <v>7430</v>
      </c>
      <c r="P1258" s="1" t="s">
        <v>7431</v>
      </c>
      <c r="Q1258" s="1" t="s">
        <v>7432</v>
      </c>
      <c r="R1258" s="1"/>
      <c r="S1258" s="1" t="s">
        <v>7433</v>
      </c>
      <c r="T1258" s="1"/>
      <c r="U1258" s="1"/>
      <c r="V1258" s="1"/>
      <c r="W1258" s="1"/>
      <c r="X1258" s="1"/>
      <c r="Y1258" s="1"/>
      <c r="Z1258" s="1"/>
      <c r="AA1258" s="1" t="s">
        <v>8190</v>
      </c>
      <c r="AB1258" s="1" t="s">
        <v>8191</v>
      </c>
      <c r="AC1258" s="1"/>
      <c r="AD1258" s="1"/>
      <c r="AE1258" s="1"/>
      <c r="AF1258" s="1"/>
      <c r="AG1258" s="1"/>
      <c r="AH1258" s="1"/>
      <c r="AI1258" s="1"/>
      <c r="AJ1258" s="1"/>
      <c r="AK1258" s="1"/>
      <c r="AL1258" s="1"/>
      <c r="AM1258" s="1"/>
      <c r="AN1258" s="1"/>
      <c r="AO1258" s="1" t="s">
        <v>2527</v>
      </c>
      <c r="AP1258" s="1" t="s">
        <v>2528</v>
      </c>
      <c r="AQ1258" s="1"/>
      <c r="AR1258" s="1"/>
      <c r="AS1258" s="1"/>
      <c r="AT1258" s="1"/>
      <c r="AU1258" s="1">
        <v>2017</v>
      </c>
      <c r="AV1258" s="1"/>
      <c r="AW1258" s="1"/>
      <c r="AX1258" s="1"/>
      <c r="AY1258" s="1"/>
      <c r="AZ1258" s="1"/>
      <c r="BA1258" s="1"/>
      <c r="BB1258" s="1">
        <v>309</v>
      </c>
      <c r="BC1258" s="1">
        <v>316</v>
      </c>
      <c r="BD1258" s="1"/>
      <c r="BE1258" s="1" t="s">
        <v>8192</v>
      </c>
      <c r="BF1258" s="1" t="str">
        <f>HYPERLINK("http://dx.doi.org/10.22616/ERDev2017.16.N061","http://dx.doi.org/10.22616/ERDev2017.16.N061")</f>
        <v>http://dx.doi.org/10.22616/ERDev2017.16.N061</v>
      </c>
      <c r="BG1258" s="1"/>
      <c r="BH1258" s="1"/>
      <c r="BI1258" s="1"/>
      <c r="BJ1258" s="1"/>
      <c r="BK1258" s="1"/>
      <c r="BL1258" s="1"/>
      <c r="BM1258" s="1"/>
      <c r="BN1258" s="1"/>
      <c r="BO1258" s="1"/>
      <c r="BP1258" s="1"/>
      <c r="BQ1258" s="1"/>
      <c r="BR1258" s="1"/>
      <c r="BS1258" s="1" t="s">
        <v>8193</v>
      </c>
      <c r="BT1258" s="1" t="str">
        <f>HYPERLINK("https%3A%2F%2Fwww.webofscience.com%2Fwos%2Fwoscc%2Ffull-record%2FWOS:000416378300045","View Full Record in Web of Science")</f>
        <v>View Full Record in Web of Science</v>
      </c>
      <c r="BU1258" s="1"/>
      <c r="BV1258" s="1"/>
      <c r="BW1258" s="1"/>
    </row>
    <row r="1259" spans="1:75" ht="12.75" customHeight="1" x14ac:dyDescent="0.2">
      <c r="A1259" s="1" t="s">
        <v>72</v>
      </c>
      <c r="B1259" s="1" t="s">
        <v>8194</v>
      </c>
      <c r="C1259" s="1"/>
      <c r="D1259" s="1"/>
      <c r="E1259" s="1"/>
      <c r="F1259" s="1" t="s">
        <v>8195</v>
      </c>
      <c r="G1259" s="1"/>
      <c r="H1259" s="1"/>
      <c r="I1259" s="1" t="s">
        <v>8196</v>
      </c>
      <c r="J1259" s="1" t="s">
        <v>123</v>
      </c>
      <c r="K1259" s="1"/>
      <c r="L1259" s="1"/>
      <c r="M1259" s="1"/>
      <c r="N1259" s="1"/>
      <c r="O1259" s="1"/>
      <c r="P1259" s="1"/>
      <c r="Q1259" s="1"/>
      <c r="R1259" s="1"/>
      <c r="S1259" s="1"/>
      <c r="T1259" s="1"/>
      <c r="U1259" s="1"/>
      <c r="V1259" s="1"/>
      <c r="W1259" s="1"/>
      <c r="X1259" s="1"/>
      <c r="Y1259" s="1"/>
      <c r="Z1259" s="1"/>
      <c r="AA1259" s="1" t="s">
        <v>5007</v>
      </c>
      <c r="AB1259" s="1" t="s">
        <v>8197</v>
      </c>
      <c r="AC1259" s="1"/>
      <c r="AD1259" s="1"/>
      <c r="AE1259" s="1"/>
      <c r="AF1259" s="1"/>
      <c r="AG1259" s="1"/>
      <c r="AH1259" s="1"/>
      <c r="AI1259" s="1"/>
      <c r="AJ1259" s="1"/>
      <c r="AK1259" s="1"/>
      <c r="AL1259" s="1"/>
      <c r="AM1259" s="1"/>
      <c r="AN1259" s="1"/>
      <c r="AO1259" s="1" t="s">
        <v>124</v>
      </c>
      <c r="AP1259" s="1"/>
      <c r="AQ1259" s="1"/>
      <c r="AR1259" s="1"/>
      <c r="AS1259" s="1"/>
      <c r="AT1259" s="1" t="s">
        <v>198</v>
      </c>
      <c r="AU1259" s="1">
        <v>2022</v>
      </c>
      <c r="AV1259" s="1">
        <v>23</v>
      </c>
      <c r="AW1259" s="1">
        <v>4</v>
      </c>
      <c r="AX1259" s="1"/>
      <c r="AY1259" s="1"/>
      <c r="AZ1259" s="1"/>
      <c r="BA1259" s="1"/>
      <c r="BB1259" s="1">
        <v>58</v>
      </c>
      <c r="BC1259" s="1">
        <v>63</v>
      </c>
      <c r="BD1259" s="1"/>
      <c r="BE1259" s="1" t="s">
        <v>8198</v>
      </c>
      <c r="BF1259" s="1" t="str">
        <f>HYPERLINK("http://dx.doi.org/10.12911/22998993/146330","http://dx.doi.org/10.12911/22998993/146330")</f>
        <v>http://dx.doi.org/10.12911/22998993/146330</v>
      </c>
      <c r="BG1259" s="1"/>
      <c r="BH1259" s="1"/>
      <c r="BI1259" s="1"/>
      <c r="BJ1259" s="1"/>
      <c r="BK1259" s="1"/>
      <c r="BL1259" s="1"/>
      <c r="BM1259" s="1"/>
      <c r="BN1259" s="1"/>
      <c r="BO1259" s="1"/>
      <c r="BP1259" s="1"/>
      <c r="BQ1259" s="1"/>
      <c r="BR1259" s="1"/>
      <c r="BS1259" s="1" t="s">
        <v>8199</v>
      </c>
      <c r="BT1259" s="1" t="str">
        <f>HYPERLINK("https%3A%2F%2Fwww.webofscience.com%2Fwos%2Fwoscc%2Ffull-record%2FWOS:000778019200006","View Full Record in Web of Science")</f>
        <v>View Full Record in Web of Science</v>
      </c>
      <c r="BU1259" s="1"/>
      <c r="BV1259" s="1"/>
      <c r="BW1259" s="1"/>
    </row>
    <row r="1260" spans="1:75" ht="12.75" customHeight="1" x14ac:dyDescent="0.2">
      <c r="A1260" s="1" t="s">
        <v>72</v>
      </c>
      <c r="B1260" s="1" t="s">
        <v>8200</v>
      </c>
      <c r="C1260" s="1"/>
      <c r="D1260" s="1"/>
      <c r="E1260" s="1"/>
      <c r="F1260" s="1" t="s">
        <v>8201</v>
      </c>
      <c r="G1260" s="1"/>
      <c r="H1260" s="1"/>
      <c r="I1260" s="1" t="s">
        <v>8202</v>
      </c>
      <c r="J1260" s="1" t="s">
        <v>8203</v>
      </c>
      <c r="K1260" s="1"/>
      <c r="L1260" s="1"/>
      <c r="M1260" s="1"/>
      <c r="N1260" s="1"/>
      <c r="O1260" s="1"/>
      <c r="P1260" s="1"/>
      <c r="Q1260" s="1"/>
      <c r="R1260" s="1"/>
      <c r="S1260" s="1"/>
      <c r="T1260" s="1"/>
      <c r="U1260" s="1"/>
      <c r="V1260" s="1"/>
      <c r="W1260" s="1"/>
      <c r="X1260" s="1"/>
      <c r="Y1260" s="1"/>
      <c r="Z1260" s="1"/>
      <c r="AA1260" s="1" t="s">
        <v>8204</v>
      </c>
      <c r="AB1260" s="1" t="s">
        <v>8205</v>
      </c>
      <c r="AC1260" s="1"/>
      <c r="AD1260" s="1"/>
      <c r="AE1260" s="1"/>
      <c r="AF1260" s="1"/>
      <c r="AG1260" s="1"/>
      <c r="AH1260" s="1"/>
      <c r="AI1260" s="1"/>
      <c r="AJ1260" s="1"/>
      <c r="AK1260" s="1"/>
      <c r="AL1260" s="1"/>
      <c r="AM1260" s="1"/>
      <c r="AN1260" s="1"/>
      <c r="AO1260" s="1" t="s">
        <v>8206</v>
      </c>
      <c r="AP1260" s="1"/>
      <c r="AQ1260" s="1"/>
      <c r="AR1260" s="1"/>
      <c r="AS1260" s="1"/>
      <c r="AT1260" s="1" t="s">
        <v>491</v>
      </c>
      <c r="AU1260" s="1">
        <v>2019</v>
      </c>
      <c r="AV1260" s="1">
        <v>6</v>
      </c>
      <c r="AW1260" s="1">
        <v>6</v>
      </c>
      <c r="AX1260" s="1"/>
      <c r="AY1260" s="1"/>
      <c r="AZ1260" s="1"/>
      <c r="BA1260" s="1"/>
      <c r="BB1260" s="1">
        <v>13342</v>
      </c>
      <c r="BC1260" s="1">
        <v>13348</v>
      </c>
      <c r="BD1260" s="1"/>
      <c r="BE1260" s="1" t="s">
        <v>8207</v>
      </c>
      <c r="BF1260" s="1" t="str">
        <f>HYPERLINK("http://dx.doi.org/10.5281/zenodo.3262155","http://dx.doi.org/10.5281/zenodo.3262155")</f>
        <v>http://dx.doi.org/10.5281/zenodo.3262155</v>
      </c>
      <c r="BG1260" s="1"/>
      <c r="BH1260" s="1"/>
      <c r="BI1260" s="1"/>
      <c r="BJ1260" s="1"/>
      <c r="BK1260" s="1"/>
      <c r="BL1260" s="1"/>
      <c r="BM1260" s="1"/>
      <c r="BN1260" s="1"/>
      <c r="BO1260" s="1"/>
      <c r="BP1260" s="1"/>
      <c r="BQ1260" s="1"/>
      <c r="BR1260" s="1"/>
      <c r="BS1260" s="1" t="s">
        <v>8208</v>
      </c>
      <c r="BT1260" s="1" t="str">
        <f>HYPERLINK("https%3A%2F%2Fwww.webofscience.com%2Fwos%2Fwoscc%2Ffull-record%2FWOS:000475623100021","View Full Record in Web of Science")</f>
        <v>View Full Record in Web of Science</v>
      </c>
      <c r="BU1260" s="1"/>
      <c r="BV1260" s="1"/>
      <c r="BW1260" s="1"/>
    </row>
    <row r="1261" spans="1:75" ht="12.75" customHeight="1" x14ac:dyDescent="0.2">
      <c r="A1261" s="1" t="s">
        <v>147</v>
      </c>
      <c r="B1261" s="1" t="s">
        <v>8209</v>
      </c>
      <c r="C1261" s="1"/>
      <c r="D1261" s="1" t="s">
        <v>8210</v>
      </c>
      <c r="E1261" s="1"/>
      <c r="F1261" s="1" t="s">
        <v>8211</v>
      </c>
      <c r="G1261" s="1"/>
      <c r="H1261" s="1"/>
      <c r="I1261" s="1" t="s">
        <v>8212</v>
      </c>
      <c r="J1261" s="1" t="s">
        <v>8213</v>
      </c>
      <c r="K1261" s="1" t="s">
        <v>445</v>
      </c>
      <c r="L1261" s="1"/>
      <c r="M1261" s="1"/>
      <c r="N1261" s="1"/>
      <c r="O1261" s="1" t="s">
        <v>8214</v>
      </c>
      <c r="P1261" s="1" t="s">
        <v>8215</v>
      </c>
      <c r="Q1261" s="1" t="s">
        <v>8216</v>
      </c>
      <c r="R1261" s="1" t="s">
        <v>8217</v>
      </c>
      <c r="S1261" s="1"/>
      <c r="T1261" s="1"/>
      <c r="U1261" s="1"/>
      <c r="V1261" s="1"/>
      <c r="W1261" s="1"/>
      <c r="X1261" s="1"/>
      <c r="Y1261" s="1"/>
      <c r="Z1261" s="1"/>
      <c r="AA1261" s="1" t="s">
        <v>8218</v>
      </c>
      <c r="AB1261" s="1" t="s">
        <v>8219</v>
      </c>
      <c r="AC1261" s="1"/>
      <c r="AD1261" s="1"/>
      <c r="AE1261" s="1"/>
      <c r="AF1261" s="1"/>
      <c r="AG1261" s="1"/>
      <c r="AH1261" s="1"/>
      <c r="AI1261" s="1"/>
      <c r="AJ1261" s="1"/>
      <c r="AK1261" s="1"/>
      <c r="AL1261" s="1"/>
      <c r="AM1261" s="1"/>
      <c r="AN1261" s="1"/>
      <c r="AO1261" s="1" t="s">
        <v>450</v>
      </c>
      <c r="AP1261" s="1"/>
      <c r="AQ1261" s="1" t="s">
        <v>8220</v>
      </c>
      <c r="AR1261" s="1"/>
      <c r="AS1261" s="1"/>
      <c r="AT1261" s="1"/>
      <c r="AU1261" s="1">
        <v>2017</v>
      </c>
      <c r="AV1261" s="1"/>
      <c r="AW1261" s="1"/>
      <c r="AX1261" s="1"/>
      <c r="AY1261" s="1"/>
      <c r="AZ1261" s="1"/>
      <c r="BA1261" s="1"/>
      <c r="BB1261" s="1">
        <v>73</v>
      </c>
      <c r="BC1261" s="1">
        <v>79</v>
      </c>
      <c r="BD1261" s="1"/>
      <c r="BE1261" s="1" t="s">
        <v>8221</v>
      </c>
      <c r="BF1261" s="1" t="str">
        <f>HYPERLINK("http://dx.doi.org/10.1007/978-3-319-45462-7_9","http://dx.doi.org/10.1007/978-3-319-45462-7_9")</f>
        <v>http://dx.doi.org/10.1007/978-3-319-45462-7_9</v>
      </c>
      <c r="BG1261" s="1"/>
      <c r="BH1261" s="1"/>
      <c r="BI1261" s="1"/>
      <c r="BJ1261" s="1"/>
      <c r="BK1261" s="1"/>
      <c r="BL1261" s="1"/>
      <c r="BM1261" s="1"/>
      <c r="BN1261" s="1"/>
      <c r="BO1261" s="1"/>
      <c r="BP1261" s="1"/>
      <c r="BQ1261" s="1"/>
      <c r="BR1261" s="1"/>
      <c r="BS1261" s="1" t="s">
        <v>8222</v>
      </c>
      <c r="BT1261" s="1" t="str">
        <f>HYPERLINK("https%3A%2F%2Fwww.webofscience.com%2Fwos%2Fwoscc%2Ffull-record%2FWOS:000406973000009","View Full Record in Web of Science")</f>
        <v>View Full Record in Web of Science</v>
      </c>
      <c r="BU1261" s="1"/>
      <c r="BV1261" s="1"/>
      <c r="BW1261" s="1"/>
    </row>
    <row r="1262" spans="1:75" ht="12.75" customHeight="1" x14ac:dyDescent="0.2">
      <c r="A1262" s="1" t="s">
        <v>72</v>
      </c>
      <c r="B1262" s="1" t="s">
        <v>8223</v>
      </c>
      <c r="C1262" s="1"/>
      <c r="D1262" s="1"/>
      <c r="E1262" s="1"/>
      <c r="F1262" s="1" t="s">
        <v>8224</v>
      </c>
      <c r="G1262" s="1"/>
      <c r="H1262" s="1"/>
      <c r="I1262" s="1" t="s">
        <v>8225</v>
      </c>
      <c r="J1262" s="1" t="s">
        <v>3996</v>
      </c>
      <c r="K1262" s="1"/>
      <c r="L1262" s="1"/>
      <c r="M1262" s="1"/>
      <c r="N1262" s="1"/>
      <c r="O1262" s="1"/>
      <c r="P1262" s="1"/>
      <c r="Q1262" s="1"/>
      <c r="R1262" s="1"/>
      <c r="S1262" s="1"/>
      <c r="T1262" s="1"/>
      <c r="U1262" s="1"/>
      <c r="V1262" s="1"/>
      <c r="W1262" s="1"/>
      <c r="X1262" s="1"/>
      <c r="Y1262" s="1"/>
      <c r="Z1262" s="1"/>
      <c r="AA1262" s="1" t="s">
        <v>7052</v>
      </c>
      <c r="AB1262" s="1" t="s">
        <v>7053</v>
      </c>
      <c r="AC1262" s="1"/>
      <c r="AD1262" s="1"/>
      <c r="AE1262" s="1"/>
      <c r="AF1262" s="1"/>
      <c r="AG1262" s="1"/>
      <c r="AH1262" s="1"/>
      <c r="AI1262" s="1"/>
      <c r="AJ1262" s="1"/>
      <c r="AK1262" s="1"/>
      <c r="AL1262" s="1"/>
      <c r="AM1262" s="1"/>
      <c r="AN1262" s="1"/>
      <c r="AO1262" s="1" t="s">
        <v>3999</v>
      </c>
      <c r="AP1262" s="1" t="s">
        <v>4000</v>
      </c>
      <c r="AQ1262" s="1"/>
      <c r="AR1262" s="1"/>
      <c r="AS1262" s="1"/>
      <c r="AT1262" s="1" t="s">
        <v>8226</v>
      </c>
      <c r="AU1262" s="1">
        <v>2023</v>
      </c>
      <c r="AV1262" s="1"/>
      <c r="AW1262" s="1"/>
      <c r="AX1262" s="1"/>
      <c r="AY1262" s="1"/>
      <c r="AZ1262" s="1"/>
      <c r="BA1262" s="1"/>
      <c r="BB1262" s="1"/>
      <c r="BC1262" s="1"/>
      <c r="BD1262" s="1"/>
      <c r="BE1262" s="1" t="s">
        <v>8227</v>
      </c>
      <c r="BF1262" s="1" t="str">
        <f>HYPERLINK("http://dx.doi.org/10.1007/s10517-023-05681-w","http://dx.doi.org/10.1007/s10517-023-05681-w")</f>
        <v>http://dx.doi.org/10.1007/s10517-023-05681-w</v>
      </c>
      <c r="BG1262" s="1"/>
      <c r="BH1262" s="1" t="s">
        <v>6093</v>
      </c>
      <c r="BI1262" s="1"/>
      <c r="BJ1262" s="1"/>
      <c r="BK1262" s="1"/>
      <c r="BL1262" s="1"/>
      <c r="BM1262" s="1"/>
      <c r="BN1262" s="1">
        <v>36598665</v>
      </c>
      <c r="BO1262" s="1"/>
      <c r="BP1262" s="1"/>
      <c r="BQ1262" s="1"/>
      <c r="BR1262" s="1"/>
      <c r="BS1262" s="1" t="s">
        <v>8228</v>
      </c>
      <c r="BT1262" s="1" t="str">
        <f>HYPERLINK("https%3A%2F%2Fwww.webofscience.com%2Fwos%2Fwoscc%2Ffull-record%2FWOS:000907792500002","View Full Record in Web of Science")</f>
        <v>View Full Record in Web of Science</v>
      </c>
      <c r="BU1262" s="1"/>
      <c r="BV1262" s="1"/>
      <c r="BW1262" s="1"/>
    </row>
    <row r="1263" spans="1:75" ht="12.75" customHeight="1" x14ac:dyDescent="0.2">
      <c r="A1263" s="1" t="s">
        <v>72</v>
      </c>
      <c r="B1263" s="1" t="s">
        <v>8229</v>
      </c>
      <c r="C1263" s="1"/>
      <c r="D1263" s="1"/>
      <c r="E1263" s="1"/>
      <c r="F1263" s="1" t="s">
        <v>8230</v>
      </c>
      <c r="G1263" s="1"/>
      <c r="H1263" s="1"/>
      <c r="I1263" s="1" t="s">
        <v>8231</v>
      </c>
      <c r="J1263" s="1" t="s">
        <v>8232</v>
      </c>
      <c r="K1263" s="1"/>
      <c r="L1263" s="1"/>
      <c r="M1263" s="1"/>
      <c r="N1263" s="1"/>
      <c r="O1263" s="1"/>
      <c r="P1263" s="1"/>
      <c r="Q1263" s="1"/>
      <c r="R1263" s="1"/>
      <c r="S1263" s="1"/>
      <c r="T1263" s="1"/>
      <c r="U1263" s="1"/>
      <c r="V1263" s="1"/>
      <c r="W1263" s="1"/>
      <c r="X1263" s="1"/>
      <c r="Y1263" s="1"/>
      <c r="Z1263" s="1"/>
      <c r="AA1263" s="1" t="s">
        <v>8233</v>
      </c>
      <c r="AB1263" s="1" t="s">
        <v>8234</v>
      </c>
      <c r="AC1263" s="1"/>
      <c r="AD1263" s="1"/>
      <c r="AE1263" s="1"/>
      <c r="AF1263" s="1"/>
      <c r="AG1263" s="1"/>
      <c r="AH1263" s="1"/>
      <c r="AI1263" s="1"/>
      <c r="AJ1263" s="1"/>
      <c r="AK1263" s="1"/>
      <c r="AL1263" s="1"/>
      <c r="AM1263" s="1"/>
      <c r="AN1263" s="1"/>
      <c r="AO1263" s="1"/>
      <c r="AP1263" s="1" t="s">
        <v>8235</v>
      </c>
      <c r="AQ1263" s="1"/>
      <c r="AR1263" s="1"/>
      <c r="AS1263" s="1"/>
      <c r="AT1263" s="1" t="s">
        <v>655</v>
      </c>
      <c r="AU1263" s="1">
        <v>2021</v>
      </c>
      <c r="AV1263" s="1">
        <v>14</v>
      </c>
      <c r="AW1263" s="1">
        <v>4</v>
      </c>
      <c r="AX1263" s="1"/>
      <c r="AY1263" s="1"/>
      <c r="AZ1263" s="1"/>
      <c r="BA1263" s="1"/>
      <c r="BB1263" s="1"/>
      <c r="BC1263" s="1"/>
      <c r="BD1263" s="1">
        <v>962</v>
      </c>
      <c r="BE1263" s="1" t="s">
        <v>8236</v>
      </c>
      <c r="BF1263" s="1" t="str">
        <f>HYPERLINK("http://dx.doi.org/10.3390/ma14040962","http://dx.doi.org/10.3390/ma14040962")</f>
        <v>http://dx.doi.org/10.3390/ma14040962</v>
      </c>
      <c r="BG1263" s="1"/>
      <c r="BH1263" s="1"/>
      <c r="BI1263" s="1"/>
      <c r="BJ1263" s="1"/>
      <c r="BK1263" s="1"/>
      <c r="BL1263" s="1"/>
      <c r="BM1263" s="1"/>
      <c r="BN1263" s="1">
        <v>33670665</v>
      </c>
      <c r="BO1263" s="1"/>
      <c r="BP1263" s="1"/>
      <c r="BQ1263" s="1"/>
      <c r="BR1263" s="1"/>
      <c r="BS1263" s="1" t="s">
        <v>8237</v>
      </c>
      <c r="BT1263" s="1" t="str">
        <f>HYPERLINK("https%3A%2F%2Fwww.webofscience.com%2Fwos%2Fwoscc%2Ffull-record%2FWOS:000624114300001","View Full Record in Web of Science")</f>
        <v>View Full Record in Web of Science</v>
      </c>
      <c r="BU1263" s="1"/>
      <c r="BV1263" s="1"/>
      <c r="BW1263" s="1"/>
    </row>
    <row r="1264" spans="1:75" ht="12.75" customHeight="1" x14ac:dyDescent="0.2">
      <c r="A1264" s="1" t="s">
        <v>72</v>
      </c>
      <c r="B1264" s="1" t="s">
        <v>8238</v>
      </c>
      <c r="C1264" s="1"/>
      <c r="D1264" s="1"/>
      <c r="E1264" s="1"/>
      <c r="F1264" s="1" t="s">
        <v>8239</v>
      </c>
      <c r="G1264" s="1"/>
      <c r="H1264" s="1"/>
      <c r="I1264" s="1" t="s">
        <v>8240</v>
      </c>
      <c r="J1264" s="1" t="s">
        <v>7100</v>
      </c>
      <c r="K1264" s="1"/>
      <c r="L1264" s="1"/>
      <c r="M1264" s="1"/>
      <c r="N1264" s="1"/>
      <c r="O1264" s="1"/>
      <c r="P1264" s="1"/>
      <c r="Q1264" s="1"/>
      <c r="R1264" s="1"/>
      <c r="S1264" s="1"/>
      <c r="T1264" s="1"/>
      <c r="U1264" s="1"/>
      <c r="V1264" s="1"/>
      <c r="W1264" s="1"/>
      <c r="X1264" s="1"/>
      <c r="Y1264" s="1"/>
      <c r="Z1264" s="1"/>
      <c r="AA1264" s="1" t="s">
        <v>8241</v>
      </c>
      <c r="AB1264" s="1" t="s">
        <v>8242</v>
      </c>
      <c r="AC1264" s="1"/>
      <c r="AD1264" s="1"/>
      <c r="AE1264" s="1"/>
      <c r="AF1264" s="1"/>
      <c r="AG1264" s="1"/>
      <c r="AH1264" s="1"/>
      <c r="AI1264" s="1"/>
      <c r="AJ1264" s="1"/>
      <c r="AK1264" s="1"/>
      <c r="AL1264" s="1"/>
      <c r="AM1264" s="1"/>
      <c r="AN1264" s="1"/>
      <c r="AO1264" s="1" t="s">
        <v>7103</v>
      </c>
      <c r="AP1264" s="1" t="s">
        <v>7104</v>
      </c>
      <c r="AQ1264" s="1"/>
      <c r="AR1264" s="1"/>
      <c r="AS1264" s="1"/>
      <c r="AT1264" s="1" t="s">
        <v>8243</v>
      </c>
      <c r="AU1264" s="1">
        <v>2017</v>
      </c>
      <c r="AV1264" s="1">
        <v>157</v>
      </c>
      <c r="AW1264" s="1"/>
      <c r="AX1264" s="1"/>
      <c r="AY1264" s="1"/>
      <c r="AZ1264" s="1"/>
      <c r="BA1264" s="1"/>
      <c r="BB1264" s="1">
        <v>9</v>
      </c>
      <c r="BC1264" s="1">
        <v>20</v>
      </c>
      <c r="BD1264" s="1"/>
      <c r="BE1264" s="1" t="s">
        <v>8244</v>
      </c>
      <c r="BF1264" s="1" t="str">
        <f>HYPERLINK("http://dx.doi.org/10.1016/j.carbpol.2016.09.048","http://dx.doi.org/10.1016/j.carbpol.2016.09.048")</f>
        <v>http://dx.doi.org/10.1016/j.carbpol.2016.09.048</v>
      </c>
      <c r="BG1264" s="1"/>
      <c r="BH1264" s="1"/>
      <c r="BI1264" s="1"/>
      <c r="BJ1264" s="1"/>
      <c r="BK1264" s="1"/>
      <c r="BL1264" s="1"/>
      <c r="BM1264" s="1"/>
      <c r="BN1264" s="1">
        <v>27988004</v>
      </c>
      <c r="BO1264" s="1"/>
      <c r="BP1264" s="1"/>
      <c r="BQ1264" s="1"/>
      <c r="BR1264" s="1"/>
      <c r="BS1264" s="1" t="s">
        <v>8245</v>
      </c>
      <c r="BT1264" s="1" t="str">
        <f>HYPERLINK("https%3A%2F%2Fwww.webofscience.com%2Fwos%2Fwoscc%2Ffull-record%2FWOS:000391896800002","View Full Record in Web of Science")</f>
        <v>View Full Record in Web of Science</v>
      </c>
      <c r="BU1264" s="1"/>
      <c r="BV1264" s="1"/>
      <c r="BW1264" s="1"/>
    </row>
    <row r="1265" spans="1:75" ht="12.75" customHeight="1" x14ac:dyDescent="0.2">
      <c r="A1265" s="1" t="s">
        <v>72</v>
      </c>
      <c r="B1265" s="1" t="s">
        <v>8246</v>
      </c>
      <c r="C1265" s="1"/>
      <c r="D1265" s="1"/>
      <c r="E1265" s="1"/>
      <c r="F1265" s="1" t="s">
        <v>8247</v>
      </c>
      <c r="G1265" s="1"/>
      <c r="H1265" s="1"/>
      <c r="I1265" s="1" t="s">
        <v>8248</v>
      </c>
      <c r="J1265" s="1" t="s">
        <v>3610</v>
      </c>
      <c r="K1265" s="1"/>
      <c r="L1265" s="1"/>
      <c r="M1265" s="1"/>
      <c r="N1265" s="1"/>
      <c r="O1265" s="1"/>
      <c r="P1265" s="1"/>
      <c r="Q1265" s="1"/>
      <c r="R1265" s="1"/>
      <c r="S1265" s="1"/>
      <c r="T1265" s="1"/>
      <c r="U1265" s="1"/>
      <c r="V1265" s="1"/>
      <c r="W1265" s="1"/>
      <c r="X1265" s="1"/>
      <c r="Y1265" s="1"/>
      <c r="Z1265" s="1"/>
      <c r="AA1265" s="1" t="s">
        <v>8249</v>
      </c>
      <c r="AB1265" s="1" t="s">
        <v>8250</v>
      </c>
      <c r="AC1265" s="1"/>
      <c r="AD1265" s="1"/>
      <c r="AE1265" s="1"/>
      <c r="AF1265" s="1"/>
      <c r="AG1265" s="1"/>
      <c r="AH1265" s="1"/>
      <c r="AI1265" s="1"/>
      <c r="AJ1265" s="1"/>
      <c r="AK1265" s="1"/>
      <c r="AL1265" s="1"/>
      <c r="AM1265" s="1"/>
      <c r="AN1265" s="1"/>
      <c r="AO1265" s="1" t="s">
        <v>3613</v>
      </c>
      <c r="AP1265" s="1" t="s">
        <v>4602</v>
      </c>
      <c r="AQ1265" s="1"/>
      <c r="AR1265" s="1"/>
      <c r="AS1265" s="1"/>
      <c r="AT1265" s="1" t="s">
        <v>655</v>
      </c>
      <c r="AU1265" s="1">
        <v>2011</v>
      </c>
      <c r="AV1265" s="1">
        <v>44</v>
      </c>
      <c r="AW1265" s="1">
        <v>2</v>
      </c>
      <c r="AX1265" s="1"/>
      <c r="AY1265" s="1"/>
      <c r="AZ1265" s="1"/>
      <c r="BA1265" s="1"/>
      <c r="BB1265" s="1">
        <v>180</v>
      </c>
      <c r="BC1265" s="1">
        <v>185</v>
      </c>
      <c r="BD1265" s="1"/>
      <c r="BE1265" s="1" t="s">
        <v>8251</v>
      </c>
      <c r="BF1265" s="1" t="str">
        <f>HYPERLINK("http://dx.doi.org/10.1134/S1064229311020116","http://dx.doi.org/10.1134/S1064229311020116")</f>
        <v>http://dx.doi.org/10.1134/S1064229311020116</v>
      </c>
      <c r="BG1265" s="1"/>
      <c r="BH1265" s="1"/>
      <c r="BI1265" s="1"/>
      <c r="BJ1265" s="1"/>
      <c r="BK1265" s="1"/>
      <c r="BL1265" s="1"/>
      <c r="BM1265" s="1"/>
      <c r="BN1265" s="1"/>
      <c r="BO1265" s="1"/>
      <c r="BP1265" s="1"/>
      <c r="BQ1265" s="1"/>
      <c r="BR1265" s="1"/>
      <c r="BS1265" s="1" t="s">
        <v>8252</v>
      </c>
      <c r="BT1265" s="1" t="str">
        <f>HYPERLINK("https%3A%2F%2Fwww.webofscience.com%2Fwos%2Fwoscc%2Ffull-record%2FWOS:000288681100008","View Full Record in Web of Science")</f>
        <v>View Full Record in Web of Science</v>
      </c>
      <c r="BU1265" s="1"/>
      <c r="BV1265" s="1"/>
      <c r="BW1265" s="1"/>
    </row>
    <row r="1266" spans="1:75" ht="12.75" customHeight="1" x14ac:dyDescent="0.2">
      <c r="A1266" s="1" t="s">
        <v>72</v>
      </c>
      <c r="B1266" s="1" t="s">
        <v>7839</v>
      </c>
      <c r="C1266" s="1"/>
      <c r="D1266" s="1"/>
      <c r="E1266" s="1"/>
      <c r="F1266" s="1" t="s">
        <v>7840</v>
      </c>
      <c r="G1266" s="1"/>
      <c r="H1266" s="1"/>
      <c r="I1266" s="1" t="s">
        <v>7841</v>
      </c>
      <c r="J1266" s="1" t="s">
        <v>7842</v>
      </c>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t="s">
        <v>7845</v>
      </c>
      <c r="AP1266" s="1"/>
      <c r="AQ1266" s="1"/>
      <c r="AR1266" s="1"/>
      <c r="AS1266" s="1"/>
      <c r="AT1266" s="1" t="s">
        <v>7846</v>
      </c>
      <c r="AU1266" s="1">
        <v>2022</v>
      </c>
      <c r="AV1266" s="1">
        <v>12</v>
      </c>
      <c r="AW1266" s="1"/>
      <c r="AX1266" s="1"/>
      <c r="AY1266" s="1"/>
      <c r="AZ1266" s="1" t="s">
        <v>339</v>
      </c>
      <c r="BA1266" s="1"/>
      <c r="BB1266" s="1"/>
      <c r="BC1266" s="1"/>
      <c r="BD1266" s="1"/>
      <c r="BE1266" s="1"/>
      <c r="BF1266" s="1"/>
      <c r="BG1266" s="1"/>
      <c r="BH1266" s="1"/>
      <c r="BI1266" s="1"/>
      <c r="BJ1266" s="1"/>
      <c r="BK1266" s="1"/>
      <c r="BL1266" s="1"/>
      <c r="BM1266" s="1"/>
      <c r="BN1266" s="1"/>
      <c r="BO1266" s="1"/>
      <c r="BP1266" s="1"/>
      <c r="BQ1266" s="1"/>
      <c r="BR1266" s="1"/>
      <c r="BS1266" s="1" t="s">
        <v>8253</v>
      </c>
      <c r="BT1266" s="1" t="str">
        <f>HYPERLINK("https%3A%2F%2Fwww.webofscience.com%2Fwos%2Fwoscc%2Ffull-record%2FWOS:001006884500003","View Full Record in Web of Science")</f>
        <v>View Full Record in Web of Science</v>
      </c>
      <c r="BU1266" s="1"/>
      <c r="BV1266" s="1"/>
      <c r="BW1266" s="1"/>
    </row>
    <row r="1267" spans="1:75" ht="12.75" customHeight="1" x14ac:dyDescent="0.2">
      <c r="A1267" s="1" t="s">
        <v>72</v>
      </c>
      <c r="B1267" s="1" t="s">
        <v>8017</v>
      </c>
      <c r="C1267" s="1"/>
      <c r="D1267" s="1"/>
      <c r="E1267" s="1"/>
      <c r="F1267" s="1" t="s">
        <v>8018</v>
      </c>
      <c r="G1267" s="1"/>
      <c r="H1267" s="1"/>
      <c r="I1267" s="1" t="s">
        <v>8254</v>
      </c>
      <c r="J1267" s="1" t="s">
        <v>95</v>
      </c>
      <c r="K1267" s="1"/>
      <c r="L1267" s="1"/>
      <c r="M1267" s="1"/>
      <c r="N1267" s="1"/>
      <c r="O1267" s="1"/>
      <c r="P1267" s="1"/>
      <c r="Q1267" s="1"/>
      <c r="R1267" s="1"/>
      <c r="S1267" s="1"/>
      <c r="T1267" s="1"/>
      <c r="U1267" s="1"/>
      <c r="V1267" s="1"/>
      <c r="W1267" s="1"/>
      <c r="X1267" s="1"/>
      <c r="Y1267" s="1"/>
      <c r="Z1267" s="1"/>
      <c r="AA1267" s="1" t="s">
        <v>4926</v>
      </c>
      <c r="AB1267" s="1" t="s">
        <v>4927</v>
      </c>
      <c r="AC1267" s="1"/>
      <c r="AD1267" s="1"/>
      <c r="AE1267" s="1"/>
      <c r="AF1267" s="1"/>
      <c r="AG1267" s="1"/>
      <c r="AH1267" s="1"/>
      <c r="AI1267" s="1"/>
      <c r="AJ1267" s="1"/>
      <c r="AK1267" s="1"/>
      <c r="AL1267" s="1"/>
      <c r="AM1267" s="1"/>
      <c r="AN1267" s="1"/>
      <c r="AO1267" s="1" t="s">
        <v>98</v>
      </c>
      <c r="AP1267" s="1" t="s">
        <v>99</v>
      </c>
      <c r="AQ1267" s="1"/>
      <c r="AR1267" s="1"/>
      <c r="AS1267" s="1"/>
      <c r="AT1267" s="1"/>
      <c r="AU1267" s="1">
        <v>2022</v>
      </c>
      <c r="AV1267" s="1"/>
      <c r="AW1267" s="1">
        <v>3</v>
      </c>
      <c r="AX1267" s="1"/>
      <c r="AY1267" s="1"/>
      <c r="AZ1267" s="1"/>
      <c r="BA1267" s="1"/>
      <c r="BB1267" s="1">
        <v>219</v>
      </c>
      <c r="BC1267" s="1">
        <v>225</v>
      </c>
      <c r="BD1267" s="1"/>
      <c r="BE1267" s="1" t="s">
        <v>8255</v>
      </c>
      <c r="BF1267" s="1" t="str">
        <f>HYPERLINK("http://dx.doi.org/10.25750/1995-4301-2022-3-219-225","http://dx.doi.org/10.25750/1995-4301-2022-3-219-225")</f>
        <v>http://dx.doi.org/10.25750/1995-4301-2022-3-219-225</v>
      </c>
      <c r="BG1267" s="1"/>
      <c r="BH1267" s="1"/>
      <c r="BI1267" s="1"/>
      <c r="BJ1267" s="1"/>
      <c r="BK1267" s="1"/>
      <c r="BL1267" s="1"/>
      <c r="BM1267" s="1"/>
      <c r="BN1267" s="1"/>
      <c r="BO1267" s="1"/>
      <c r="BP1267" s="1"/>
      <c r="BQ1267" s="1"/>
      <c r="BR1267" s="1"/>
      <c r="BS1267" s="1" t="s">
        <v>8256</v>
      </c>
      <c r="BT1267" s="1" t="str">
        <f>HYPERLINK("https%3A%2F%2Fwww.webofscience.com%2Fwos%2Fwoscc%2Ffull-record%2FWOS:000885393200028","View Full Record in Web of Science")</f>
        <v>View Full Record in Web of Science</v>
      </c>
      <c r="BU1267" s="1"/>
      <c r="BV1267" s="1"/>
      <c r="BW1267" s="1"/>
    </row>
    <row r="1268" spans="1:75" ht="12.75" customHeight="1" x14ac:dyDescent="0.2">
      <c r="A1268" s="1" t="s">
        <v>72</v>
      </c>
      <c r="B1268" s="1" t="s">
        <v>8257</v>
      </c>
      <c r="C1268" s="1"/>
      <c r="D1268" s="1"/>
      <c r="E1268" s="1"/>
      <c r="F1268" s="1" t="s">
        <v>8258</v>
      </c>
      <c r="G1268" s="1"/>
      <c r="H1268" s="1"/>
      <c r="I1268" s="1" t="s">
        <v>8259</v>
      </c>
      <c r="J1268" s="1" t="s">
        <v>244</v>
      </c>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t="s">
        <v>245</v>
      </c>
      <c r="AP1268" s="1" t="s">
        <v>246</v>
      </c>
      <c r="AQ1268" s="1"/>
      <c r="AR1268" s="1"/>
      <c r="AS1268" s="1"/>
      <c r="AT1268" s="1"/>
      <c r="AU1268" s="1">
        <v>2020</v>
      </c>
      <c r="AV1268" s="1"/>
      <c r="AW1268" s="1">
        <v>8</v>
      </c>
      <c r="AX1268" s="1"/>
      <c r="AY1268" s="1"/>
      <c r="AZ1268" s="1"/>
      <c r="BA1268" s="1"/>
      <c r="BB1268" s="1">
        <v>22</v>
      </c>
      <c r="BC1268" s="1">
        <v>26</v>
      </c>
      <c r="BD1268" s="1"/>
      <c r="BE1268" s="1" t="s">
        <v>8260</v>
      </c>
      <c r="BF1268" s="1" t="str">
        <f>HYPERLINK("http://dx.doi.org/10.31166/VoprosyIstorii202008Statyi17","http://dx.doi.org/10.31166/VoprosyIstorii202008Statyi17")</f>
        <v>http://dx.doi.org/10.31166/VoprosyIstorii202008Statyi17</v>
      </c>
      <c r="BG1268" s="1"/>
      <c r="BH1268" s="1"/>
      <c r="BI1268" s="1"/>
      <c r="BJ1268" s="1"/>
      <c r="BK1268" s="1"/>
      <c r="BL1268" s="1"/>
      <c r="BM1268" s="1"/>
      <c r="BN1268" s="1"/>
      <c r="BO1268" s="1"/>
      <c r="BP1268" s="1"/>
      <c r="BQ1268" s="1"/>
      <c r="BR1268" s="1"/>
      <c r="BS1268" s="1" t="s">
        <v>8261</v>
      </c>
      <c r="BT1268" s="1" t="str">
        <f>HYPERLINK("https%3A%2F%2Fwww.webofscience.com%2Fwos%2Fwoscc%2Ffull-record%2FWOS:000657723600002","View Full Record in Web of Science")</f>
        <v>View Full Record in Web of Science</v>
      </c>
      <c r="BU1268" s="1"/>
      <c r="BV1268" s="1"/>
      <c r="BW1268" s="1"/>
    </row>
    <row r="1269" spans="1:75" ht="12.75" customHeight="1" x14ac:dyDescent="0.2">
      <c r="A1269" s="1" t="s">
        <v>72</v>
      </c>
      <c r="B1269" s="1" t="s">
        <v>8262</v>
      </c>
      <c r="C1269" s="1"/>
      <c r="D1269" s="1"/>
      <c r="E1269" s="1"/>
      <c r="F1269" s="1" t="s">
        <v>8263</v>
      </c>
      <c r="G1269" s="1"/>
      <c r="H1269" s="1"/>
      <c r="I1269" s="1" t="s">
        <v>8264</v>
      </c>
      <c r="J1269" s="1" t="s">
        <v>7079</v>
      </c>
      <c r="K1269" s="1"/>
      <c r="L1269" s="1"/>
      <c r="M1269" s="1"/>
      <c r="N1269" s="1"/>
      <c r="O1269" s="1"/>
      <c r="P1269" s="1"/>
      <c r="Q1269" s="1"/>
      <c r="R1269" s="1"/>
      <c r="S1269" s="1"/>
      <c r="T1269" s="1"/>
      <c r="U1269" s="1"/>
      <c r="V1269" s="1"/>
      <c r="W1269" s="1"/>
      <c r="X1269" s="1"/>
      <c r="Y1269" s="1"/>
      <c r="Z1269" s="1"/>
      <c r="AA1269" s="1" t="s">
        <v>8265</v>
      </c>
      <c r="AB1269" s="1" t="s">
        <v>8266</v>
      </c>
      <c r="AC1269" s="1"/>
      <c r="AD1269" s="1"/>
      <c r="AE1269" s="1"/>
      <c r="AF1269" s="1"/>
      <c r="AG1269" s="1"/>
      <c r="AH1269" s="1"/>
      <c r="AI1269" s="1"/>
      <c r="AJ1269" s="1"/>
      <c r="AK1269" s="1"/>
      <c r="AL1269" s="1"/>
      <c r="AM1269" s="1"/>
      <c r="AN1269" s="1"/>
      <c r="AO1269" s="1" t="s">
        <v>7082</v>
      </c>
      <c r="AP1269" s="1" t="s">
        <v>7083</v>
      </c>
      <c r="AQ1269" s="1"/>
      <c r="AR1269" s="1"/>
      <c r="AS1269" s="1"/>
      <c r="AT1269" s="1" t="s">
        <v>655</v>
      </c>
      <c r="AU1269" s="1">
        <v>2017</v>
      </c>
      <c r="AV1269" s="1">
        <v>105</v>
      </c>
      <c r="AW1269" s="1">
        <v>2</v>
      </c>
      <c r="AX1269" s="1"/>
      <c r="AY1269" s="1"/>
      <c r="AZ1269" s="1"/>
      <c r="BA1269" s="1"/>
      <c r="BB1269" s="1">
        <v>547</v>
      </c>
      <c r="BC1269" s="1">
        <v>556</v>
      </c>
      <c r="BD1269" s="1"/>
      <c r="BE1269" s="1" t="s">
        <v>8267</v>
      </c>
      <c r="BF1269" s="1" t="str">
        <f>HYPERLINK("http://dx.doi.org/10.1002/jbm.a.35936","http://dx.doi.org/10.1002/jbm.a.35936")</f>
        <v>http://dx.doi.org/10.1002/jbm.a.35936</v>
      </c>
      <c r="BG1269" s="1"/>
      <c r="BH1269" s="1"/>
      <c r="BI1269" s="1"/>
      <c r="BJ1269" s="1"/>
      <c r="BK1269" s="1"/>
      <c r="BL1269" s="1"/>
      <c r="BM1269" s="1"/>
      <c r="BN1269" s="1">
        <v>27750379</v>
      </c>
      <c r="BO1269" s="1"/>
      <c r="BP1269" s="1"/>
      <c r="BQ1269" s="1"/>
      <c r="BR1269" s="1"/>
      <c r="BS1269" s="1" t="s">
        <v>8268</v>
      </c>
      <c r="BT1269" s="1" t="str">
        <f>HYPERLINK("https%3A%2F%2Fwww.webofscience.com%2Fwos%2Fwoscc%2Ffull-record%2FWOS:000392506300020","View Full Record in Web of Science")</f>
        <v>View Full Record in Web of Science</v>
      </c>
      <c r="BU1269" s="1"/>
      <c r="BV1269" s="1"/>
      <c r="BW1269" s="1"/>
    </row>
    <row r="1270" spans="1:75" ht="12.75" customHeight="1" x14ac:dyDescent="0.2">
      <c r="A1270" s="1" t="s">
        <v>72</v>
      </c>
      <c r="B1270" s="1" t="s">
        <v>8269</v>
      </c>
      <c r="C1270" s="1"/>
      <c r="D1270" s="1"/>
      <c r="E1270" s="1"/>
      <c r="F1270" s="1" t="s">
        <v>8270</v>
      </c>
      <c r="G1270" s="1"/>
      <c r="H1270" s="1"/>
      <c r="I1270" s="1" t="s">
        <v>8271</v>
      </c>
      <c r="J1270" s="1" t="s">
        <v>793</v>
      </c>
      <c r="K1270" s="1"/>
      <c r="L1270" s="1"/>
      <c r="M1270" s="1"/>
      <c r="N1270" s="1"/>
      <c r="O1270" s="1"/>
      <c r="P1270" s="1"/>
      <c r="Q1270" s="1"/>
      <c r="R1270" s="1"/>
      <c r="S1270" s="1"/>
      <c r="T1270" s="1"/>
      <c r="U1270" s="1"/>
      <c r="V1270" s="1"/>
      <c r="W1270" s="1"/>
      <c r="X1270" s="1"/>
      <c r="Y1270" s="1"/>
      <c r="Z1270" s="1"/>
      <c r="AA1270" s="1" t="s">
        <v>8272</v>
      </c>
      <c r="AB1270" s="1" t="s">
        <v>8273</v>
      </c>
      <c r="AC1270" s="1"/>
      <c r="AD1270" s="1"/>
      <c r="AE1270" s="1"/>
      <c r="AF1270" s="1"/>
      <c r="AG1270" s="1"/>
      <c r="AH1270" s="1"/>
      <c r="AI1270" s="1"/>
      <c r="AJ1270" s="1"/>
      <c r="AK1270" s="1"/>
      <c r="AL1270" s="1"/>
      <c r="AM1270" s="1"/>
      <c r="AN1270" s="1"/>
      <c r="AO1270" s="1" t="s">
        <v>795</v>
      </c>
      <c r="AP1270" s="1" t="s">
        <v>796</v>
      </c>
      <c r="AQ1270" s="1"/>
      <c r="AR1270" s="1"/>
      <c r="AS1270" s="1"/>
      <c r="AT1270" s="1" t="s">
        <v>541</v>
      </c>
      <c r="AU1270" s="1">
        <v>2015</v>
      </c>
      <c r="AV1270" s="1">
        <v>8</v>
      </c>
      <c r="AW1270" s="1">
        <v>1</v>
      </c>
      <c r="AX1270" s="1"/>
      <c r="AY1270" s="1"/>
      <c r="AZ1270" s="1"/>
      <c r="BA1270" s="1"/>
      <c r="BB1270" s="1">
        <v>125</v>
      </c>
      <c r="BC1270" s="1">
        <v>132</v>
      </c>
      <c r="BD1270" s="1"/>
      <c r="BE1270" s="1" t="s">
        <v>8274</v>
      </c>
      <c r="BF1270" s="1" t="str">
        <f>HYPERLINK("http://dx.doi.org/10.1134/S1995425515010138","http://dx.doi.org/10.1134/S1995425515010138")</f>
        <v>http://dx.doi.org/10.1134/S1995425515010138</v>
      </c>
      <c r="BG1270" s="1"/>
      <c r="BH1270" s="1"/>
      <c r="BI1270" s="1"/>
      <c r="BJ1270" s="1"/>
      <c r="BK1270" s="1"/>
      <c r="BL1270" s="1"/>
      <c r="BM1270" s="1"/>
      <c r="BN1270" s="1"/>
      <c r="BO1270" s="1"/>
      <c r="BP1270" s="1"/>
      <c r="BQ1270" s="1"/>
      <c r="BR1270" s="1"/>
      <c r="BS1270" s="1" t="s">
        <v>8275</v>
      </c>
      <c r="BT1270" s="1" t="str">
        <f>HYPERLINK("https%3A%2F%2Fwww.webofscience.com%2Fwos%2Fwoscc%2Ffull-record%2FWOS:000349913100015","View Full Record in Web of Science")</f>
        <v>View Full Record in Web of Science</v>
      </c>
      <c r="BU1270" s="1"/>
      <c r="BV1270" s="1"/>
      <c r="BW1270" s="1"/>
    </row>
    <row r="1271" spans="1:75" ht="12.75" customHeight="1" x14ac:dyDescent="0.2">
      <c r="A1271" s="1" t="s">
        <v>72</v>
      </c>
      <c r="B1271" s="1" t="s">
        <v>8276</v>
      </c>
      <c r="C1271" s="1"/>
      <c r="D1271" s="1"/>
      <c r="E1271" s="1"/>
      <c r="F1271" s="1" t="s">
        <v>8277</v>
      </c>
      <c r="G1271" s="1"/>
      <c r="H1271" s="1"/>
      <c r="I1271" s="1" t="s">
        <v>8278</v>
      </c>
      <c r="J1271" s="1" t="s">
        <v>685</v>
      </c>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t="s">
        <v>687</v>
      </c>
      <c r="AP1271" s="1" t="s">
        <v>688</v>
      </c>
      <c r="AQ1271" s="1"/>
      <c r="AR1271" s="1"/>
      <c r="AS1271" s="1"/>
      <c r="AT1271" s="1" t="s">
        <v>403</v>
      </c>
      <c r="AU1271" s="1">
        <v>2022</v>
      </c>
      <c r="AV1271" s="1">
        <v>49</v>
      </c>
      <c r="AW1271" s="1">
        <v>10</v>
      </c>
      <c r="AX1271" s="1"/>
      <c r="AY1271" s="1"/>
      <c r="AZ1271" s="1"/>
      <c r="BA1271" s="1"/>
      <c r="BB1271" s="1">
        <v>2004</v>
      </c>
      <c r="BC1271" s="1">
        <v>2008</v>
      </c>
      <c r="BD1271" s="1"/>
      <c r="BE1271" s="1" t="s">
        <v>8279</v>
      </c>
      <c r="BF1271" s="1" t="str">
        <f>HYPERLINK("http://dx.doi.org/10.1134/S1062359022100387","http://dx.doi.org/10.1134/S1062359022100387")</f>
        <v>http://dx.doi.org/10.1134/S1062359022100387</v>
      </c>
      <c r="BG1271" s="1"/>
      <c r="BH1271" s="1"/>
      <c r="BI1271" s="1"/>
      <c r="BJ1271" s="1"/>
      <c r="BK1271" s="1"/>
      <c r="BL1271" s="1"/>
      <c r="BM1271" s="1"/>
      <c r="BN1271" s="1"/>
      <c r="BO1271" s="1"/>
      <c r="BP1271" s="1"/>
      <c r="BQ1271" s="1"/>
      <c r="BR1271" s="1"/>
      <c r="BS1271" s="1" t="s">
        <v>8280</v>
      </c>
      <c r="BT1271" s="1" t="str">
        <f>HYPERLINK("https%3A%2F%2Fwww.webofscience.com%2Fwos%2Fwoscc%2Ffull-record%2FWOS:000937072100037","View Full Record in Web of Science")</f>
        <v>View Full Record in Web of Science</v>
      </c>
      <c r="BU1271" s="1"/>
      <c r="BV1271" s="1"/>
      <c r="BW1271" s="1"/>
    </row>
    <row r="1272" spans="1:75" ht="12.75" customHeight="1" x14ac:dyDescent="0.2">
      <c r="A1272" s="1" t="s">
        <v>72</v>
      </c>
      <c r="B1272" s="1" t="s">
        <v>8281</v>
      </c>
      <c r="C1272" s="1"/>
      <c r="D1272" s="1"/>
      <c r="E1272" s="1"/>
      <c r="F1272" s="1" t="s">
        <v>8282</v>
      </c>
      <c r="G1272" s="1"/>
      <c r="H1272" s="1"/>
      <c r="I1272" s="1" t="s">
        <v>8283</v>
      </c>
      <c r="J1272" s="1" t="s">
        <v>716</v>
      </c>
      <c r="K1272" s="1"/>
      <c r="L1272" s="1"/>
      <c r="M1272" s="1"/>
      <c r="N1272" s="1"/>
      <c r="O1272" s="1"/>
      <c r="P1272" s="1"/>
      <c r="Q1272" s="1"/>
      <c r="R1272" s="1"/>
      <c r="S1272" s="1"/>
      <c r="T1272" s="1"/>
      <c r="U1272" s="1"/>
      <c r="V1272" s="1"/>
      <c r="W1272" s="1"/>
      <c r="X1272" s="1"/>
      <c r="Y1272" s="1"/>
      <c r="Z1272" s="1"/>
      <c r="AA1272" s="1" t="s">
        <v>8284</v>
      </c>
      <c r="AB1272" s="1" t="s">
        <v>8285</v>
      </c>
      <c r="AC1272" s="1"/>
      <c r="AD1272" s="1"/>
      <c r="AE1272" s="1"/>
      <c r="AF1272" s="1"/>
      <c r="AG1272" s="1"/>
      <c r="AH1272" s="1"/>
      <c r="AI1272" s="1"/>
      <c r="AJ1272" s="1"/>
      <c r="AK1272" s="1"/>
      <c r="AL1272" s="1"/>
      <c r="AM1272" s="1"/>
      <c r="AN1272" s="1"/>
      <c r="AO1272" s="1" t="s">
        <v>719</v>
      </c>
      <c r="AP1272" s="1" t="s">
        <v>720</v>
      </c>
      <c r="AQ1272" s="1"/>
      <c r="AR1272" s="1"/>
      <c r="AS1272" s="1"/>
      <c r="AT1272" s="1" t="s">
        <v>491</v>
      </c>
      <c r="AU1272" s="1">
        <v>2021</v>
      </c>
      <c r="AV1272" s="1"/>
      <c r="AW1272" s="1">
        <v>467</v>
      </c>
      <c r="AX1272" s="1"/>
      <c r="AY1272" s="1"/>
      <c r="AZ1272" s="1"/>
      <c r="BA1272" s="1"/>
      <c r="BB1272" s="1">
        <v>144</v>
      </c>
      <c r="BC1272" s="1">
        <v>155</v>
      </c>
      <c r="BD1272" s="1"/>
      <c r="BE1272" s="1" t="s">
        <v>8286</v>
      </c>
      <c r="BF1272" s="1" t="str">
        <f>HYPERLINK("http://dx.doi.org/10.17223/15617793/467/18","http://dx.doi.org/10.17223/15617793/467/18")</f>
        <v>http://dx.doi.org/10.17223/15617793/467/18</v>
      </c>
      <c r="BG1272" s="1"/>
      <c r="BH1272" s="1"/>
      <c r="BI1272" s="1"/>
      <c r="BJ1272" s="1"/>
      <c r="BK1272" s="1"/>
      <c r="BL1272" s="1"/>
      <c r="BM1272" s="1"/>
      <c r="BN1272" s="1"/>
      <c r="BO1272" s="1"/>
      <c r="BP1272" s="1"/>
      <c r="BQ1272" s="1"/>
      <c r="BR1272" s="1"/>
      <c r="BS1272" s="1" t="s">
        <v>8287</v>
      </c>
      <c r="BT1272" s="1" t="str">
        <f>HYPERLINK("https%3A%2F%2Fwww.webofscience.com%2Fwos%2Fwoscc%2Ffull-record%2FWOS:000708456300018","View Full Record in Web of Science")</f>
        <v>View Full Record in Web of Science</v>
      </c>
      <c r="BU1272" s="1"/>
      <c r="BV1272" s="1"/>
      <c r="BW1272" s="1"/>
    </row>
    <row r="1273" spans="1:75" ht="12.75" customHeight="1" x14ac:dyDescent="0.2">
      <c r="A1273" s="1" t="s">
        <v>72</v>
      </c>
      <c r="B1273" s="1" t="s">
        <v>8288</v>
      </c>
      <c r="C1273" s="1"/>
      <c r="D1273" s="1"/>
      <c r="E1273" s="1"/>
      <c r="F1273" s="1" t="s">
        <v>8289</v>
      </c>
      <c r="G1273" s="1"/>
      <c r="H1273" s="1"/>
      <c r="I1273" s="1" t="s">
        <v>8290</v>
      </c>
      <c r="J1273" s="1" t="s">
        <v>8291</v>
      </c>
      <c r="K1273" s="1"/>
      <c r="L1273" s="1"/>
      <c r="M1273" s="1"/>
      <c r="N1273" s="1"/>
      <c r="O1273" s="1"/>
      <c r="P1273" s="1"/>
      <c r="Q1273" s="1"/>
      <c r="R1273" s="1"/>
      <c r="S1273" s="1"/>
      <c r="T1273" s="1"/>
      <c r="U1273" s="1"/>
      <c r="V1273" s="1"/>
      <c r="W1273" s="1"/>
      <c r="X1273" s="1"/>
      <c r="Y1273" s="1"/>
      <c r="Z1273" s="1"/>
      <c r="AA1273" s="1" t="s">
        <v>8292</v>
      </c>
      <c r="AB1273" s="1" t="s">
        <v>8293</v>
      </c>
      <c r="AC1273" s="1"/>
      <c r="AD1273" s="1"/>
      <c r="AE1273" s="1"/>
      <c r="AF1273" s="1"/>
      <c r="AG1273" s="1"/>
      <c r="AH1273" s="1"/>
      <c r="AI1273" s="1"/>
      <c r="AJ1273" s="1"/>
      <c r="AK1273" s="1"/>
      <c r="AL1273" s="1"/>
      <c r="AM1273" s="1"/>
      <c r="AN1273" s="1"/>
      <c r="AO1273" s="1" t="s">
        <v>8294</v>
      </c>
      <c r="AP1273" s="1" t="s">
        <v>8295</v>
      </c>
      <c r="AQ1273" s="1"/>
      <c r="AR1273" s="1"/>
      <c r="AS1273" s="1"/>
      <c r="AT1273" s="1" t="s">
        <v>491</v>
      </c>
      <c r="AU1273" s="1">
        <v>2021</v>
      </c>
      <c r="AV1273" s="1">
        <v>25</v>
      </c>
      <c r="AW1273" s="1">
        <v>6</v>
      </c>
      <c r="AX1273" s="1"/>
      <c r="AY1273" s="1"/>
      <c r="AZ1273" s="1"/>
      <c r="BA1273" s="1"/>
      <c r="BB1273" s="1">
        <v>1789</v>
      </c>
      <c r="BC1273" s="1">
        <v>1796</v>
      </c>
      <c r="BD1273" s="1"/>
      <c r="BE1273" s="1" t="s">
        <v>8296</v>
      </c>
      <c r="BF1273" s="1" t="str">
        <f>HYPERLINK("http://dx.doi.org/10.1007/s10008-021-04942-w","http://dx.doi.org/10.1007/s10008-021-04942-w")</f>
        <v>http://dx.doi.org/10.1007/s10008-021-04942-w</v>
      </c>
      <c r="BG1273" s="1"/>
      <c r="BH1273" s="1" t="s">
        <v>5226</v>
      </c>
      <c r="BI1273" s="1"/>
      <c r="BJ1273" s="1"/>
      <c r="BK1273" s="1"/>
      <c r="BL1273" s="1"/>
      <c r="BM1273" s="1"/>
      <c r="BN1273" s="1"/>
      <c r="BO1273" s="1"/>
      <c r="BP1273" s="1"/>
      <c r="BQ1273" s="1"/>
      <c r="BR1273" s="1"/>
      <c r="BS1273" s="1" t="s">
        <v>8297</v>
      </c>
      <c r="BT1273" s="1" t="str">
        <f>HYPERLINK("https%3A%2F%2Fwww.webofscience.com%2Fwos%2Fwoscc%2Ffull-record%2FWOS:000640149200002","View Full Record in Web of Science")</f>
        <v>View Full Record in Web of Science</v>
      </c>
      <c r="BU1273" s="1"/>
      <c r="BV1273" s="1"/>
      <c r="BW1273" s="1"/>
    </row>
    <row r="1274" spans="1:75" ht="12.75" customHeight="1" x14ac:dyDescent="0.2">
      <c r="A1274" s="1" t="s">
        <v>72</v>
      </c>
      <c r="B1274" s="1" t="s">
        <v>8298</v>
      </c>
      <c r="C1274" s="1"/>
      <c r="D1274" s="1"/>
      <c r="E1274" s="1"/>
      <c r="F1274" s="1" t="s">
        <v>8299</v>
      </c>
      <c r="G1274" s="1"/>
      <c r="H1274" s="1"/>
      <c r="I1274" s="1" t="s">
        <v>8300</v>
      </c>
      <c r="J1274" s="1" t="s">
        <v>95</v>
      </c>
      <c r="K1274" s="1"/>
      <c r="L1274" s="1"/>
      <c r="M1274" s="1"/>
      <c r="N1274" s="1"/>
      <c r="O1274" s="1"/>
      <c r="P1274" s="1"/>
      <c r="Q1274" s="1"/>
      <c r="R1274" s="1"/>
      <c r="S1274" s="1"/>
      <c r="T1274" s="1"/>
      <c r="U1274" s="1"/>
      <c r="V1274" s="1"/>
      <c r="W1274" s="1"/>
      <c r="X1274" s="1"/>
      <c r="Y1274" s="1"/>
      <c r="Z1274" s="1"/>
      <c r="AA1274" s="1" t="s">
        <v>7326</v>
      </c>
      <c r="AB1274" s="1" t="s">
        <v>7327</v>
      </c>
      <c r="AC1274" s="1"/>
      <c r="AD1274" s="1"/>
      <c r="AE1274" s="1"/>
      <c r="AF1274" s="1"/>
      <c r="AG1274" s="1"/>
      <c r="AH1274" s="1"/>
      <c r="AI1274" s="1"/>
      <c r="AJ1274" s="1"/>
      <c r="AK1274" s="1"/>
      <c r="AL1274" s="1"/>
      <c r="AM1274" s="1"/>
      <c r="AN1274" s="1"/>
      <c r="AO1274" s="1" t="s">
        <v>98</v>
      </c>
      <c r="AP1274" s="1" t="s">
        <v>99</v>
      </c>
      <c r="AQ1274" s="1"/>
      <c r="AR1274" s="1"/>
      <c r="AS1274" s="1"/>
      <c r="AT1274" s="1"/>
      <c r="AU1274" s="1">
        <v>2019</v>
      </c>
      <c r="AV1274" s="1"/>
      <c r="AW1274" s="1">
        <v>3</v>
      </c>
      <c r="AX1274" s="1"/>
      <c r="AY1274" s="1"/>
      <c r="AZ1274" s="1"/>
      <c r="BA1274" s="1"/>
      <c r="BB1274" s="1">
        <v>134</v>
      </c>
      <c r="BC1274" s="1">
        <v>141</v>
      </c>
      <c r="BD1274" s="1"/>
      <c r="BE1274" s="1" t="s">
        <v>8301</v>
      </c>
      <c r="BF1274" s="1" t="str">
        <f>HYPERLINK("http://dx.doi.org/10.25750/1995-4301-2019-3-134-141","http://dx.doi.org/10.25750/1995-4301-2019-3-134-141")</f>
        <v>http://dx.doi.org/10.25750/1995-4301-2019-3-134-141</v>
      </c>
      <c r="BG1274" s="1"/>
      <c r="BH1274" s="1"/>
      <c r="BI1274" s="1"/>
      <c r="BJ1274" s="1"/>
      <c r="BK1274" s="1"/>
      <c r="BL1274" s="1"/>
      <c r="BM1274" s="1"/>
      <c r="BN1274" s="1"/>
      <c r="BO1274" s="1"/>
      <c r="BP1274" s="1"/>
      <c r="BQ1274" s="1"/>
      <c r="BR1274" s="1"/>
      <c r="BS1274" s="1" t="s">
        <v>8302</v>
      </c>
      <c r="BT1274" s="1" t="str">
        <f>HYPERLINK("https%3A%2F%2Fwww.webofscience.com%2Fwos%2Fwoscc%2Ffull-record%2FWOS:000490704900019","View Full Record in Web of Science")</f>
        <v>View Full Record in Web of Science</v>
      </c>
      <c r="BU1274" s="1"/>
      <c r="BV1274" s="1"/>
      <c r="BW1274" s="1"/>
    </row>
    <row r="1275" spans="1:75" ht="12.75" customHeight="1" x14ac:dyDescent="0.2">
      <c r="A1275" s="1" t="s">
        <v>72</v>
      </c>
      <c r="B1275" s="1" t="s">
        <v>8303</v>
      </c>
      <c r="C1275" s="1"/>
      <c r="D1275" s="1"/>
      <c r="E1275" s="1"/>
      <c r="F1275" s="1" t="s">
        <v>8304</v>
      </c>
      <c r="G1275" s="1"/>
      <c r="H1275" s="1"/>
      <c r="I1275" s="1" t="s">
        <v>8305</v>
      </c>
      <c r="J1275" s="1" t="s">
        <v>95</v>
      </c>
      <c r="K1275" s="1"/>
      <c r="L1275" s="1"/>
      <c r="M1275" s="1"/>
      <c r="N1275" s="1"/>
      <c r="O1275" s="1"/>
      <c r="P1275" s="1"/>
      <c r="Q1275" s="1"/>
      <c r="R1275" s="1"/>
      <c r="S1275" s="1"/>
      <c r="T1275" s="1"/>
      <c r="U1275" s="1"/>
      <c r="V1275" s="1"/>
      <c r="W1275" s="1"/>
      <c r="X1275" s="1"/>
      <c r="Y1275" s="1"/>
      <c r="Z1275" s="1"/>
      <c r="AA1275" s="1" t="s">
        <v>8306</v>
      </c>
      <c r="AB1275" s="1" t="s">
        <v>8307</v>
      </c>
      <c r="AC1275" s="1"/>
      <c r="AD1275" s="1"/>
      <c r="AE1275" s="1"/>
      <c r="AF1275" s="1"/>
      <c r="AG1275" s="1"/>
      <c r="AH1275" s="1"/>
      <c r="AI1275" s="1"/>
      <c r="AJ1275" s="1"/>
      <c r="AK1275" s="1"/>
      <c r="AL1275" s="1"/>
      <c r="AM1275" s="1"/>
      <c r="AN1275" s="1"/>
      <c r="AO1275" s="1" t="s">
        <v>98</v>
      </c>
      <c r="AP1275" s="1" t="s">
        <v>99</v>
      </c>
      <c r="AQ1275" s="1"/>
      <c r="AR1275" s="1"/>
      <c r="AS1275" s="1"/>
      <c r="AT1275" s="1"/>
      <c r="AU1275" s="1">
        <v>2018</v>
      </c>
      <c r="AV1275" s="1"/>
      <c r="AW1275" s="1">
        <v>3</v>
      </c>
      <c r="AX1275" s="1"/>
      <c r="AY1275" s="1"/>
      <c r="AZ1275" s="1"/>
      <c r="BA1275" s="1"/>
      <c r="BB1275" s="1">
        <v>86</v>
      </c>
      <c r="BC1275" s="1">
        <v>92</v>
      </c>
      <c r="BD1275" s="1"/>
      <c r="BE1275" s="1" t="s">
        <v>8308</v>
      </c>
      <c r="BF1275" s="1" t="str">
        <f>HYPERLINK("http://dx.doi.org/10.25750/1995-4301-2018-3-086-092","http://dx.doi.org/10.25750/1995-4301-2018-3-086-092")</f>
        <v>http://dx.doi.org/10.25750/1995-4301-2018-3-086-092</v>
      </c>
      <c r="BG1275" s="1"/>
      <c r="BH1275" s="1"/>
      <c r="BI1275" s="1"/>
      <c r="BJ1275" s="1"/>
      <c r="BK1275" s="1"/>
      <c r="BL1275" s="1"/>
      <c r="BM1275" s="1"/>
      <c r="BN1275" s="1"/>
      <c r="BO1275" s="1"/>
      <c r="BP1275" s="1"/>
      <c r="BQ1275" s="1"/>
      <c r="BR1275" s="1"/>
      <c r="BS1275" s="1" t="s">
        <v>8309</v>
      </c>
      <c r="BT1275" s="1" t="str">
        <f>HYPERLINK("https%3A%2F%2Fwww.webofscience.com%2Fwos%2Fwoscc%2Ffull-record%2FWOS:000468564900012","View Full Record in Web of Science")</f>
        <v>View Full Record in Web of Science</v>
      </c>
      <c r="BU1275" s="1"/>
      <c r="BV1275" s="1"/>
      <c r="BW1275" s="1"/>
    </row>
    <row r="1276" spans="1:75" ht="12.75" customHeight="1" x14ac:dyDescent="0.2">
      <c r="A1276" s="1" t="s">
        <v>72</v>
      </c>
      <c r="B1276" s="1" t="s">
        <v>8310</v>
      </c>
      <c r="C1276" s="1"/>
      <c r="D1276" s="1"/>
      <c r="E1276" s="1"/>
      <c r="F1276" s="1" t="s">
        <v>8310</v>
      </c>
      <c r="G1276" s="1"/>
      <c r="H1276" s="1"/>
      <c r="I1276" s="1" t="s">
        <v>8311</v>
      </c>
      <c r="J1276" s="1" t="s">
        <v>1005</v>
      </c>
      <c r="K1276" s="1"/>
      <c r="L1276" s="1"/>
      <c r="M1276" s="1"/>
      <c r="N1276" s="1"/>
      <c r="O1276" s="1"/>
      <c r="P1276" s="1"/>
      <c r="Q1276" s="1"/>
      <c r="R1276" s="1"/>
      <c r="S1276" s="1"/>
      <c r="T1276" s="1"/>
      <c r="U1276" s="1"/>
      <c r="V1276" s="1"/>
      <c r="W1276" s="1"/>
      <c r="X1276" s="1"/>
      <c r="Y1276" s="1"/>
      <c r="Z1276" s="1"/>
      <c r="AA1276" s="1" t="s">
        <v>7251</v>
      </c>
      <c r="AB1276" s="1" t="s">
        <v>6972</v>
      </c>
      <c r="AC1276" s="1"/>
      <c r="AD1276" s="1"/>
      <c r="AE1276" s="1"/>
      <c r="AF1276" s="1"/>
      <c r="AG1276" s="1"/>
      <c r="AH1276" s="1"/>
      <c r="AI1276" s="1"/>
      <c r="AJ1276" s="1"/>
      <c r="AK1276" s="1"/>
      <c r="AL1276" s="1"/>
      <c r="AM1276" s="1"/>
      <c r="AN1276" s="1"/>
      <c r="AO1276" s="1" t="s">
        <v>1006</v>
      </c>
      <c r="AP1276" s="1" t="s">
        <v>1007</v>
      </c>
      <c r="AQ1276" s="1"/>
      <c r="AR1276" s="1"/>
      <c r="AS1276" s="1"/>
      <c r="AT1276" s="1" t="s">
        <v>2803</v>
      </c>
      <c r="AU1276" s="1">
        <v>2006</v>
      </c>
      <c r="AV1276" s="1">
        <v>75</v>
      </c>
      <c r="AW1276" s="1">
        <v>2</v>
      </c>
      <c r="AX1276" s="1"/>
      <c r="AY1276" s="1"/>
      <c r="AZ1276" s="1"/>
      <c r="BA1276" s="1"/>
      <c r="BB1276" s="1">
        <v>226</v>
      </c>
      <c r="BC1276" s="1">
        <v>230</v>
      </c>
      <c r="BD1276" s="1"/>
      <c r="BE1276" s="1" t="s">
        <v>8312</v>
      </c>
      <c r="BF1276" s="1" t="str">
        <f>HYPERLINK("http://dx.doi.org/10.1134/S0026261706020184","http://dx.doi.org/10.1134/S0026261706020184")</f>
        <v>http://dx.doi.org/10.1134/S0026261706020184</v>
      </c>
      <c r="BG1276" s="1"/>
      <c r="BH1276" s="1"/>
      <c r="BI1276" s="1"/>
      <c r="BJ1276" s="1"/>
      <c r="BK1276" s="1"/>
      <c r="BL1276" s="1"/>
      <c r="BM1276" s="1"/>
      <c r="BN1276" s="1"/>
      <c r="BO1276" s="1"/>
      <c r="BP1276" s="1"/>
      <c r="BQ1276" s="1"/>
      <c r="BR1276" s="1"/>
      <c r="BS1276" s="1" t="s">
        <v>8313</v>
      </c>
      <c r="BT1276" s="1" t="str">
        <f>HYPERLINK("https%3A%2F%2Fwww.webofscience.com%2Fwos%2Fwoscc%2Ffull-record%2FWOS:000236688100018","View Full Record in Web of Science")</f>
        <v>View Full Record in Web of Science</v>
      </c>
      <c r="BU1276" s="1"/>
      <c r="BV1276" s="1"/>
      <c r="BW1276" s="1"/>
    </row>
    <row r="1277" spans="1:75" ht="12.75" customHeight="1" x14ac:dyDescent="0.2">
      <c r="A1277" s="1" t="s">
        <v>72</v>
      </c>
      <c r="B1277" s="1" t="s">
        <v>8314</v>
      </c>
      <c r="C1277" s="1"/>
      <c r="D1277" s="1"/>
      <c r="E1277" s="1"/>
      <c r="F1277" s="1" t="s">
        <v>8315</v>
      </c>
      <c r="G1277" s="1"/>
      <c r="H1277" s="1"/>
      <c r="I1277" s="1" t="s">
        <v>8316</v>
      </c>
      <c r="J1277" s="1" t="s">
        <v>4775</v>
      </c>
      <c r="K1277" s="1"/>
      <c r="L1277" s="1"/>
      <c r="M1277" s="1"/>
      <c r="N1277" s="1"/>
      <c r="O1277" s="1"/>
      <c r="P1277" s="1"/>
      <c r="Q1277" s="1"/>
      <c r="R1277" s="1"/>
      <c r="S1277" s="1"/>
      <c r="T1277" s="1"/>
      <c r="U1277" s="1"/>
      <c r="V1277" s="1"/>
      <c r="W1277" s="1"/>
      <c r="X1277" s="1"/>
      <c r="Y1277" s="1"/>
      <c r="Z1277" s="1"/>
      <c r="AA1277" s="1"/>
      <c r="AB1277" s="1" t="s">
        <v>8317</v>
      </c>
      <c r="AC1277" s="1"/>
      <c r="AD1277" s="1"/>
      <c r="AE1277" s="1"/>
      <c r="AF1277" s="1"/>
      <c r="AG1277" s="1"/>
      <c r="AH1277" s="1"/>
      <c r="AI1277" s="1"/>
      <c r="AJ1277" s="1"/>
      <c r="AK1277" s="1"/>
      <c r="AL1277" s="1"/>
      <c r="AM1277" s="1"/>
      <c r="AN1277" s="1"/>
      <c r="AO1277" s="1"/>
      <c r="AP1277" s="1" t="s">
        <v>4777</v>
      </c>
      <c r="AQ1277" s="1"/>
      <c r="AR1277" s="1"/>
      <c r="AS1277" s="1"/>
      <c r="AT1277" s="1" t="s">
        <v>319</v>
      </c>
      <c r="AU1277" s="1">
        <v>2022</v>
      </c>
      <c r="AV1277" s="1">
        <v>10</v>
      </c>
      <c r="AW1277" s="1">
        <v>11</v>
      </c>
      <c r="AX1277" s="1"/>
      <c r="AY1277" s="1"/>
      <c r="AZ1277" s="1"/>
      <c r="BA1277" s="1"/>
      <c r="BB1277" s="1"/>
      <c r="BC1277" s="1"/>
      <c r="BD1277" s="1">
        <v>206</v>
      </c>
      <c r="BE1277" s="1" t="s">
        <v>8318</v>
      </c>
      <c r="BF1277" s="1" t="str">
        <f>HYPERLINK("http://dx.doi.org/10.3390/risks10110206","http://dx.doi.org/10.3390/risks10110206")</f>
        <v>http://dx.doi.org/10.3390/risks10110206</v>
      </c>
      <c r="BG1277" s="1"/>
      <c r="BH1277" s="1"/>
      <c r="BI1277" s="1"/>
      <c r="BJ1277" s="1"/>
      <c r="BK1277" s="1"/>
      <c r="BL1277" s="1"/>
      <c r="BM1277" s="1"/>
      <c r="BN1277" s="1"/>
      <c r="BO1277" s="1"/>
      <c r="BP1277" s="1"/>
      <c r="BQ1277" s="1"/>
      <c r="BR1277" s="1"/>
      <c r="BS1277" s="1" t="s">
        <v>8319</v>
      </c>
      <c r="BT1277" s="1" t="str">
        <f>HYPERLINK("https%3A%2F%2Fwww.webofscience.com%2Fwos%2Fwoscc%2Ffull-record%2FWOS:000881404100001","View Full Record in Web of Science")</f>
        <v>View Full Record in Web of Science</v>
      </c>
      <c r="BU1277" s="1"/>
      <c r="BV1277" s="1"/>
      <c r="BW1277" s="1"/>
    </row>
    <row r="1278" spans="1:75" ht="12.75" customHeight="1" x14ac:dyDescent="0.2">
      <c r="A1278" s="1" t="s">
        <v>72</v>
      </c>
      <c r="B1278" s="1" t="s">
        <v>8320</v>
      </c>
      <c r="C1278" s="1"/>
      <c r="D1278" s="1"/>
      <c r="E1278" s="1"/>
      <c r="F1278" s="1" t="s">
        <v>8321</v>
      </c>
      <c r="G1278" s="1"/>
      <c r="H1278" s="1"/>
      <c r="I1278" s="1" t="s">
        <v>8322</v>
      </c>
      <c r="J1278" s="1" t="s">
        <v>8323</v>
      </c>
      <c r="K1278" s="1"/>
      <c r="L1278" s="1"/>
      <c r="M1278" s="1"/>
      <c r="N1278" s="1"/>
      <c r="O1278" s="1"/>
      <c r="P1278" s="1"/>
      <c r="Q1278" s="1"/>
      <c r="R1278" s="1"/>
      <c r="S1278" s="1"/>
      <c r="T1278" s="1"/>
      <c r="U1278" s="1"/>
      <c r="V1278" s="1"/>
      <c r="W1278" s="1"/>
      <c r="X1278" s="1"/>
      <c r="Y1278" s="1"/>
      <c r="Z1278" s="1"/>
      <c r="AA1278" s="1" t="s">
        <v>8324</v>
      </c>
      <c r="AB1278" s="1" t="s">
        <v>8325</v>
      </c>
      <c r="AC1278" s="1"/>
      <c r="AD1278" s="1"/>
      <c r="AE1278" s="1"/>
      <c r="AF1278" s="1"/>
      <c r="AG1278" s="1"/>
      <c r="AH1278" s="1"/>
      <c r="AI1278" s="1"/>
      <c r="AJ1278" s="1"/>
      <c r="AK1278" s="1"/>
      <c r="AL1278" s="1"/>
      <c r="AM1278" s="1"/>
      <c r="AN1278" s="1"/>
      <c r="AO1278" s="1" t="s">
        <v>8326</v>
      </c>
      <c r="AP1278" s="1" t="s">
        <v>8327</v>
      </c>
      <c r="AQ1278" s="1"/>
      <c r="AR1278" s="1"/>
      <c r="AS1278" s="1"/>
      <c r="AT1278" s="1" t="s">
        <v>541</v>
      </c>
      <c r="AU1278" s="1">
        <v>2022</v>
      </c>
      <c r="AV1278" s="1">
        <v>57</v>
      </c>
      <c r="AW1278" s="1">
        <v>2</v>
      </c>
      <c r="AX1278" s="1"/>
      <c r="AY1278" s="1"/>
      <c r="AZ1278" s="1"/>
      <c r="BA1278" s="1"/>
      <c r="BB1278" s="1">
        <v>1291</v>
      </c>
      <c r="BC1278" s="1">
        <v>1301</v>
      </c>
      <c r="BD1278" s="1"/>
      <c r="BE1278" s="1" t="s">
        <v>8328</v>
      </c>
      <c r="BF1278" s="1" t="str">
        <f>HYPERLINK("http://dx.doi.org/10.1007/s10853-021-06645-z","http://dx.doi.org/10.1007/s10853-021-06645-z")</f>
        <v>http://dx.doi.org/10.1007/s10853-021-06645-z</v>
      </c>
      <c r="BG1278" s="1"/>
      <c r="BH1278" s="1" t="s">
        <v>6583</v>
      </c>
      <c r="BI1278" s="1"/>
      <c r="BJ1278" s="1"/>
      <c r="BK1278" s="1"/>
      <c r="BL1278" s="1"/>
      <c r="BM1278" s="1"/>
      <c r="BN1278" s="1"/>
      <c r="BO1278" s="1"/>
      <c r="BP1278" s="1"/>
      <c r="BQ1278" s="1"/>
      <c r="BR1278" s="1"/>
      <c r="BS1278" s="1" t="s">
        <v>8329</v>
      </c>
      <c r="BT1278" s="1" t="str">
        <f>HYPERLINK("https%3A%2F%2Fwww.webofscience.com%2Fwos%2Fwoscc%2Ffull-record%2FWOS:000737865000017","View Full Record in Web of Science")</f>
        <v>View Full Record in Web of Science</v>
      </c>
      <c r="BU1278" s="1"/>
      <c r="BV1278" s="1"/>
      <c r="BW1278" s="1"/>
    </row>
    <row r="1279" spans="1:75" ht="12.75" customHeight="1" x14ac:dyDescent="0.2">
      <c r="A1279" s="1" t="s">
        <v>72</v>
      </c>
      <c r="B1279" s="1" t="s">
        <v>8330</v>
      </c>
      <c r="C1279" s="1"/>
      <c r="D1279" s="1"/>
      <c r="E1279" s="1"/>
      <c r="F1279" s="1" t="s">
        <v>8331</v>
      </c>
      <c r="G1279" s="1"/>
      <c r="H1279" s="1"/>
      <c r="I1279" s="1" t="s">
        <v>8332</v>
      </c>
      <c r="J1279" s="1" t="s">
        <v>4996</v>
      </c>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t="s">
        <v>4999</v>
      </c>
      <c r="AP1279" s="1" t="s">
        <v>5000</v>
      </c>
      <c r="AQ1279" s="1"/>
      <c r="AR1279" s="1"/>
      <c r="AS1279" s="1"/>
      <c r="AT1279" s="1"/>
      <c r="AU1279" s="1">
        <v>2021</v>
      </c>
      <c r="AV1279" s="1">
        <v>47</v>
      </c>
      <c r="AW1279" s="1">
        <v>1</v>
      </c>
      <c r="AX1279" s="1"/>
      <c r="AY1279" s="1"/>
      <c r="AZ1279" s="1"/>
      <c r="BA1279" s="1"/>
      <c r="BB1279" s="1">
        <v>117</v>
      </c>
      <c r="BC1279" s="1">
        <v>122</v>
      </c>
      <c r="BD1279" s="1"/>
      <c r="BE1279" s="1" t="s">
        <v>8333</v>
      </c>
      <c r="BF1279" s="1" t="str">
        <f>HYPERLINK("http://dx.doi.org/10.18149/MPM.4712021_11","http://dx.doi.org/10.18149/MPM.4712021_11")</f>
        <v>http://dx.doi.org/10.18149/MPM.4712021_11</v>
      </c>
      <c r="BG1279" s="1"/>
      <c r="BH1279" s="1"/>
      <c r="BI1279" s="1"/>
      <c r="BJ1279" s="1"/>
      <c r="BK1279" s="1"/>
      <c r="BL1279" s="1"/>
      <c r="BM1279" s="1"/>
      <c r="BN1279" s="1"/>
      <c r="BO1279" s="1"/>
      <c r="BP1279" s="1"/>
      <c r="BQ1279" s="1"/>
      <c r="BR1279" s="1"/>
      <c r="BS1279" s="1" t="s">
        <v>8334</v>
      </c>
      <c r="BT1279" s="1" t="str">
        <f>HYPERLINK("https%3A%2F%2Fwww.webofscience.com%2Fwos%2Fwoscc%2Ffull-record%2FWOS:000731323500002","View Full Record in Web of Science")</f>
        <v>View Full Record in Web of Science</v>
      </c>
      <c r="BU1279" s="1"/>
      <c r="BV1279" s="1"/>
      <c r="BW1279" s="1"/>
    </row>
    <row r="1280" spans="1:75" ht="12.75" customHeight="1" x14ac:dyDescent="0.2">
      <c r="A1280" s="1" t="s">
        <v>72</v>
      </c>
      <c r="B1280" s="1" t="s">
        <v>8103</v>
      </c>
      <c r="C1280" s="1"/>
      <c r="D1280" s="1"/>
      <c r="E1280" s="1"/>
      <c r="F1280" s="1" t="s">
        <v>8104</v>
      </c>
      <c r="G1280" s="1"/>
      <c r="H1280" s="1"/>
      <c r="I1280" s="1" t="s">
        <v>8335</v>
      </c>
      <c r="J1280" s="1" t="s">
        <v>95</v>
      </c>
      <c r="K1280" s="1"/>
      <c r="L1280" s="1"/>
      <c r="M1280" s="1"/>
      <c r="N1280" s="1"/>
      <c r="O1280" s="1"/>
      <c r="P1280" s="1"/>
      <c r="Q1280" s="1"/>
      <c r="R1280" s="1"/>
      <c r="S1280" s="1"/>
      <c r="T1280" s="1"/>
      <c r="U1280" s="1"/>
      <c r="V1280" s="1"/>
      <c r="W1280" s="1"/>
      <c r="X1280" s="1"/>
      <c r="Y1280" s="1"/>
      <c r="Z1280" s="1"/>
      <c r="AA1280" s="1" t="s">
        <v>5529</v>
      </c>
      <c r="AB1280" s="1" t="s">
        <v>5530</v>
      </c>
      <c r="AC1280" s="1"/>
      <c r="AD1280" s="1"/>
      <c r="AE1280" s="1"/>
      <c r="AF1280" s="1"/>
      <c r="AG1280" s="1"/>
      <c r="AH1280" s="1"/>
      <c r="AI1280" s="1"/>
      <c r="AJ1280" s="1"/>
      <c r="AK1280" s="1"/>
      <c r="AL1280" s="1"/>
      <c r="AM1280" s="1"/>
      <c r="AN1280" s="1"/>
      <c r="AO1280" s="1" t="s">
        <v>98</v>
      </c>
      <c r="AP1280" s="1" t="s">
        <v>99</v>
      </c>
      <c r="AQ1280" s="1"/>
      <c r="AR1280" s="1"/>
      <c r="AS1280" s="1"/>
      <c r="AT1280" s="1"/>
      <c r="AU1280" s="1">
        <v>2020</v>
      </c>
      <c r="AV1280" s="1"/>
      <c r="AW1280" s="1">
        <v>4</v>
      </c>
      <c r="AX1280" s="1"/>
      <c r="AY1280" s="1"/>
      <c r="AZ1280" s="1"/>
      <c r="BA1280" s="1"/>
      <c r="BB1280" s="1">
        <v>129</v>
      </c>
      <c r="BC1280" s="1">
        <v>135</v>
      </c>
      <c r="BD1280" s="1"/>
      <c r="BE1280" s="1" t="s">
        <v>8336</v>
      </c>
      <c r="BF1280" s="1" t="str">
        <f>HYPERLINK("http://dx.doi.org/10.25750/1995-4301-2020-4-129-135","http://dx.doi.org/10.25750/1995-4301-2020-4-129-135")</f>
        <v>http://dx.doi.org/10.25750/1995-4301-2020-4-129-135</v>
      </c>
      <c r="BG1280" s="1"/>
      <c r="BH1280" s="1"/>
      <c r="BI1280" s="1"/>
      <c r="BJ1280" s="1"/>
      <c r="BK1280" s="1"/>
      <c r="BL1280" s="1"/>
      <c r="BM1280" s="1"/>
      <c r="BN1280" s="1"/>
      <c r="BO1280" s="1"/>
      <c r="BP1280" s="1"/>
      <c r="BQ1280" s="1"/>
      <c r="BR1280" s="1"/>
      <c r="BS1280" s="1" t="s">
        <v>8337</v>
      </c>
      <c r="BT1280" s="1" t="str">
        <f>HYPERLINK("https%3A%2F%2Fwww.webofscience.com%2Fwos%2Fwoscc%2Ffull-record%2FWOS:000597810500020","View Full Record in Web of Science")</f>
        <v>View Full Record in Web of Science</v>
      </c>
      <c r="BU1280" s="1"/>
      <c r="BV1280" s="1"/>
      <c r="BW1280" s="1"/>
    </row>
    <row r="1281" spans="1:75" ht="12.75" customHeight="1" x14ac:dyDescent="0.2">
      <c r="A1281" s="1" t="s">
        <v>72</v>
      </c>
      <c r="B1281" s="1" t="s">
        <v>8338</v>
      </c>
      <c r="C1281" s="1"/>
      <c r="D1281" s="1"/>
      <c r="E1281" s="1"/>
      <c r="F1281" s="1" t="s">
        <v>8339</v>
      </c>
      <c r="G1281" s="1"/>
      <c r="H1281" s="1"/>
      <c r="I1281" s="1" t="s">
        <v>8340</v>
      </c>
      <c r="J1281" s="1" t="s">
        <v>95</v>
      </c>
      <c r="K1281" s="1"/>
      <c r="L1281" s="1"/>
      <c r="M1281" s="1"/>
      <c r="N1281" s="1"/>
      <c r="O1281" s="1"/>
      <c r="P1281" s="1"/>
      <c r="Q1281" s="1"/>
      <c r="R1281" s="1"/>
      <c r="S1281" s="1"/>
      <c r="T1281" s="1"/>
      <c r="U1281" s="1"/>
      <c r="V1281" s="1"/>
      <c r="W1281" s="1"/>
      <c r="X1281" s="1"/>
      <c r="Y1281" s="1"/>
      <c r="Z1281" s="1"/>
      <c r="AA1281" s="1" t="s">
        <v>8341</v>
      </c>
      <c r="AB1281" s="1" t="s">
        <v>8342</v>
      </c>
      <c r="AC1281" s="1"/>
      <c r="AD1281" s="1"/>
      <c r="AE1281" s="1"/>
      <c r="AF1281" s="1"/>
      <c r="AG1281" s="1"/>
      <c r="AH1281" s="1"/>
      <c r="AI1281" s="1"/>
      <c r="AJ1281" s="1"/>
      <c r="AK1281" s="1"/>
      <c r="AL1281" s="1"/>
      <c r="AM1281" s="1"/>
      <c r="AN1281" s="1"/>
      <c r="AO1281" s="1" t="s">
        <v>98</v>
      </c>
      <c r="AP1281" s="1" t="s">
        <v>99</v>
      </c>
      <c r="AQ1281" s="1"/>
      <c r="AR1281" s="1"/>
      <c r="AS1281" s="1"/>
      <c r="AT1281" s="1"/>
      <c r="AU1281" s="1">
        <v>2020</v>
      </c>
      <c r="AV1281" s="1"/>
      <c r="AW1281" s="1">
        <v>3</v>
      </c>
      <c r="AX1281" s="1"/>
      <c r="AY1281" s="1"/>
      <c r="AZ1281" s="1"/>
      <c r="BA1281" s="1"/>
      <c r="BB1281" s="1">
        <v>119</v>
      </c>
      <c r="BC1281" s="1">
        <v>125</v>
      </c>
      <c r="BD1281" s="1"/>
      <c r="BE1281" s="1" t="s">
        <v>8343</v>
      </c>
      <c r="BF1281" s="1" t="str">
        <f>HYPERLINK("http://dx.doi.org/10.25750/1995-4301-2020-3-119-125","http://dx.doi.org/10.25750/1995-4301-2020-3-119-125")</f>
        <v>http://dx.doi.org/10.25750/1995-4301-2020-3-119-125</v>
      </c>
      <c r="BG1281" s="1"/>
      <c r="BH1281" s="1"/>
      <c r="BI1281" s="1"/>
      <c r="BJ1281" s="1"/>
      <c r="BK1281" s="1"/>
      <c r="BL1281" s="1"/>
      <c r="BM1281" s="1"/>
      <c r="BN1281" s="1"/>
      <c r="BO1281" s="1"/>
      <c r="BP1281" s="1"/>
      <c r="BQ1281" s="1"/>
      <c r="BR1281" s="1"/>
      <c r="BS1281" s="1" t="s">
        <v>8344</v>
      </c>
      <c r="BT1281" s="1" t="str">
        <f>HYPERLINK("https%3A%2F%2Fwww.webofscience.com%2Fwos%2Fwoscc%2Ffull-record%2FWOS:000580337700018","View Full Record in Web of Science")</f>
        <v>View Full Record in Web of Science</v>
      </c>
      <c r="BU1281" s="1"/>
      <c r="BV1281" s="1"/>
      <c r="BW1281" s="1"/>
    </row>
    <row r="1282" spans="1:75" ht="12.75" customHeight="1" x14ac:dyDescent="0.2">
      <c r="A1282" s="1" t="s">
        <v>147</v>
      </c>
      <c r="B1282" s="1" t="s">
        <v>8345</v>
      </c>
      <c r="C1282" s="1"/>
      <c r="D1282" s="1"/>
      <c r="E1282" s="1" t="s">
        <v>175</v>
      </c>
      <c r="F1282" s="1" t="s">
        <v>8346</v>
      </c>
      <c r="G1282" s="1"/>
      <c r="H1282" s="1"/>
      <c r="I1282" s="1" t="s">
        <v>8347</v>
      </c>
      <c r="J1282" s="1" t="s">
        <v>2671</v>
      </c>
      <c r="K1282" s="1" t="s">
        <v>1576</v>
      </c>
      <c r="L1282" s="1"/>
      <c r="M1282" s="1"/>
      <c r="N1282" s="1"/>
      <c r="O1282" s="1" t="s">
        <v>2672</v>
      </c>
      <c r="P1282" s="1" t="s">
        <v>2673</v>
      </c>
      <c r="Q1282" s="1" t="s">
        <v>2674</v>
      </c>
      <c r="R1282" s="1"/>
      <c r="S1282" s="1" t="s">
        <v>2675</v>
      </c>
      <c r="T1282" s="1"/>
      <c r="U1282" s="1"/>
      <c r="V1282" s="1"/>
      <c r="W1282" s="1"/>
      <c r="X1282" s="1"/>
      <c r="Y1282" s="1"/>
      <c r="Z1282" s="1"/>
      <c r="AA1282" s="1" t="s">
        <v>8348</v>
      </c>
      <c r="AB1282" s="1" t="s">
        <v>8349</v>
      </c>
      <c r="AC1282" s="1"/>
      <c r="AD1282" s="1"/>
      <c r="AE1282" s="1"/>
      <c r="AF1282" s="1"/>
      <c r="AG1282" s="1"/>
      <c r="AH1282" s="1"/>
      <c r="AI1282" s="1"/>
      <c r="AJ1282" s="1"/>
      <c r="AK1282" s="1"/>
      <c r="AL1282" s="1"/>
      <c r="AM1282" s="1"/>
      <c r="AN1282" s="1"/>
      <c r="AO1282" s="1" t="s">
        <v>1581</v>
      </c>
      <c r="AP1282" s="1"/>
      <c r="AQ1282" s="1"/>
      <c r="AR1282" s="1"/>
      <c r="AS1282" s="1"/>
      <c r="AT1282" s="1"/>
      <c r="AU1282" s="1">
        <v>2017</v>
      </c>
      <c r="AV1282" s="1">
        <v>90</v>
      </c>
      <c r="AW1282" s="1"/>
      <c r="AX1282" s="1"/>
      <c r="AY1282" s="1"/>
      <c r="AZ1282" s="1"/>
      <c r="BA1282" s="1"/>
      <c r="BB1282" s="1"/>
      <c r="BC1282" s="1"/>
      <c r="BD1282" s="1">
        <v>12139</v>
      </c>
      <c r="BE1282" s="1" t="s">
        <v>8350</v>
      </c>
      <c r="BF1282" s="1" t="str">
        <f>HYPERLINK("http://dx.doi.org/10.1088/1755-1315/90/012139","http://dx.doi.org/10.1088/1755-1315/90/012139")</f>
        <v>http://dx.doi.org/10.1088/1755-1315/90/012139</v>
      </c>
      <c r="BG1282" s="1"/>
      <c r="BH1282" s="1"/>
      <c r="BI1282" s="1"/>
      <c r="BJ1282" s="1"/>
      <c r="BK1282" s="1"/>
      <c r="BL1282" s="1"/>
      <c r="BM1282" s="1"/>
      <c r="BN1282" s="1"/>
      <c r="BO1282" s="1"/>
      <c r="BP1282" s="1"/>
      <c r="BQ1282" s="1"/>
      <c r="BR1282" s="1"/>
      <c r="BS1282" s="1" t="s">
        <v>8351</v>
      </c>
      <c r="BT1282" s="1" t="str">
        <f>HYPERLINK("https%3A%2F%2Fwww.webofscience.com%2Fwos%2Fwoscc%2Ffull-record%2FWOS:000419816700139","View Full Record in Web of Science")</f>
        <v>View Full Record in Web of Science</v>
      </c>
      <c r="BU1282" s="1"/>
      <c r="BV1282" s="1"/>
      <c r="BW1282" s="1"/>
    </row>
    <row r="1283" spans="1:75" ht="12.75" customHeight="1" x14ac:dyDescent="0.2">
      <c r="A1283" s="1" t="s">
        <v>72</v>
      </c>
      <c r="B1283" s="1" t="s">
        <v>8352</v>
      </c>
      <c r="C1283" s="1"/>
      <c r="D1283" s="1"/>
      <c r="E1283" s="1"/>
      <c r="F1283" s="1" t="s">
        <v>8353</v>
      </c>
      <c r="G1283" s="1"/>
      <c r="H1283" s="1"/>
      <c r="I1283" s="1" t="s">
        <v>8354</v>
      </c>
      <c r="J1283" s="1" t="s">
        <v>8355</v>
      </c>
      <c r="K1283" s="1"/>
      <c r="L1283" s="1"/>
      <c r="M1283" s="1"/>
      <c r="N1283" s="1"/>
      <c r="O1283" s="1"/>
      <c r="P1283" s="1"/>
      <c r="Q1283" s="1"/>
      <c r="R1283" s="1"/>
      <c r="S1283" s="1"/>
      <c r="T1283" s="1"/>
      <c r="U1283" s="1"/>
      <c r="V1283" s="1"/>
      <c r="W1283" s="1"/>
      <c r="X1283" s="1"/>
      <c r="Y1283" s="1"/>
      <c r="Z1283" s="1"/>
      <c r="AA1283" s="1" t="s">
        <v>238</v>
      </c>
      <c r="AB1283" s="1" t="s">
        <v>239</v>
      </c>
      <c r="AC1283" s="1"/>
      <c r="AD1283" s="1"/>
      <c r="AE1283" s="1"/>
      <c r="AF1283" s="1"/>
      <c r="AG1283" s="1"/>
      <c r="AH1283" s="1"/>
      <c r="AI1283" s="1"/>
      <c r="AJ1283" s="1"/>
      <c r="AK1283" s="1"/>
      <c r="AL1283" s="1"/>
      <c r="AM1283" s="1"/>
      <c r="AN1283" s="1"/>
      <c r="AO1283" s="1"/>
      <c r="AP1283" s="1" t="s">
        <v>8356</v>
      </c>
      <c r="AQ1283" s="1"/>
      <c r="AR1283" s="1"/>
      <c r="AS1283" s="1"/>
      <c r="AT1283" s="1" t="s">
        <v>8357</v>
      </c>
      <c r="AU1283" s="1">
        <v>2022</v>
      </c>
      <c r="AV1283" s="1">
        <v>10</v>
      </c>
      <c r="AW1283" s="1"/>
      <c r="AX1283" s="1"/>
      <c r="AY1283" s="1"/>
      <c r="AZ1283" s="1"/>
      <c r="BA1283" s="1"/>
      <c r="BB1283" s="1"/>
      <c r="BC1283" s="1"/>
      <c r="BD1283" s="1">
        <v>1091149</v>
      </c>
      <c r="BE1283" s="1" t="s">
        <v>8358</v>
      </c>
      <c r="BF1283" s="1" t="str">
        <f>HYPERLINK("http://dx.doi.org/10.3389/fenvs.2022.1091149","http://dx.doi.org/10.3389/fenvs.2022.1091149")</f>
        <v>http://dx.doi.org/10.3389/fenvs.2022.1091149</v>
      </c>
      <c r="BG1283" s="1"/>
      <c r="BH1283" s="1"/>
      <c r="BI1283" s="1"/>
      <c r="BJ1283" s="1"/>
      <c r="BK1283" s="1"/>
      <c r="BL1283" s="1"/>
      <c r="BM1283" s="1"/>
      <c r="BN1283" s="1"/>
      <c r="BO1283" s="1"/>
      <c r="BP1283" s="1"/>
      <c r="BQ1283" s="1"/>
      <c r="BR1283" s="1"/>
      <c r="BS1283" s="1" t="s">
        <v>8359</v>
      </c>
      <c r="BT1283" s="1" t="str">
        <f>HYPERLINK("https%3A%2F%2Fwww.webofscience.com%2Fwos%2Fwoscc%2Ffull-record%2FWOS:000898146000001","View Full Record in Web of Science")</f>
        <v>View Full Record in Web of Science</v>
      </c>
      <c r="BU1283" s="1"/>
      <c r="BV1283" s="1"/>
      <c r="BW1283" s="1"/>
    </row>
    <row r="1284" spans="1:75" ht="12.75" customHeight="1" x14ac:dyDescent="0.2">
      <c r="A1284" s="1" t="s">
        <v>72</v>
      </c>
      <c r="B1284" s="1" t="s">
        <v>8360</v>
      </c>
      <c r="C1284" s="1"/>
      <c r="D1284" s="1"/>
      <c r="E1284" s="1"/>
      <c r="F1284" s="1" t="s">
        <v>8361</v>
      </c>
      <c r="G1284" s="1"/>
      <c r="H1284" s="1"/>
      <c r="I1284" s="1" t="s">
        <v>8362</v>
      </c>
      <c r="J1284" s="1" t="s">
        <v>8363</v>
      </c>
      <c r="K1284" s="1"/>
      <c r="L1284" s="1"/>
      <c r="M1284" s="1"/>
      <c r="N1284" s="1"/>
      <c r="O1284" s="1"/>
      <c r="P1284" s="1"/>
      <c r="Q1284" s="1"/>
      <c r="R1284" s="1"/>
      <c r="S1284" s="1"/>
      <c r="T1284" s="1"/>
      <c r="U1284" s="1"/>
      <c r="V1284" s="1"/>
      <c r="W1284" s="1"/>
      <c r="X1284" s="1"/>
      <c r="Y1284" s="1"/>
      <c r="Z1284" s="1"/>
      <c r="AA1284" s="1" t="s">
        <v>8364</v>
      </c>
      <c r="AB1284" s="1" t="s">
        <v>8365</v>
      </c>
      <c r="AC1284" s="1"/>
      <c r="AD1284" s="1"/>
      <c r="AE1284" s="1"/>
      <c r="AF1284" s="1"/>
      <c r="AG1284" s="1"/>
      <c r="AH1284" s="1"/>
      <c r="AI1284" s="1"/>
      <c r="AJ1284" s="1"/>
      <c r="AK1284" s="1"/>
      <c r="AL1284" s="1"/>
      <c r="AM1284" s="1"/>
      <c r="AN1284" s="1"/>
      <c r="AO1284" s="1" t="s">
        <v>8366</v>
      </c>
      <c r="AP1284" s="1" t="s">
        <v>8367</v>
      </c>
      <c r="AQ1284" s="1"/>
      <c r="AR1284" s="1"/>
      <c r="AS1284" s="1"/>
      <c r="AT1284" s="1"/>
      <c r="AU1284" s="1">
        <v>2021</v>
      </c>
      <c r="AV1284" s="1">
        <v>16</v>
      </c>
      <c r="AW1284" s="1">
        <v>1</v>
      </c>
      <c r="AX1284" s="1"/>
      <c r="AY1284" s="1"/>
      <c r="AZ1284" s="1"/>
      <c r="BA1284" s="1"/>
      <c r="BB1284" s="1">
        <v>53</v>
      </c>
      <c r="BC1284" s="1">
        <v>60</v>
      </c>
      <c r="BD1284" s="1"/>
      <c r="BE1284" s="1" t="s">
        <v>8368</v>
      </c>
      <c r="BF1284" s="1" t="str">
        <f>HYPERLINK("http://dx.doi.org/10.18470/1992-1098-2021-1-53-60","http://dx.doi.org/10.18470/1992-1098-2021-1-53-60")</f>
        <v>http://dx.doi.org/10.18470/1992-1098-2021-1-53-60</v>
      </c>
      <c r="BG1284" s="1"/>
      <c r="BH1284" s="1"/>
      <c r="BI1284" s="1"/>
      <c r="BJ1284" s="1"/>
      <c r="BK1284" s="1"/>
      <c r="BL1284" s="1"/>
      <c r="BM1284" s="1"/>
      <c r="BN1284" s="1"/>
      <c r="BO1284" s="1"/>
      <c r="BP1284" s="1"/>
      <c r="BQ1284" s="1"/>
      <c r="BR1284" s="1"/>
      <c r="BS1284" s="1" t="s">
        <v>8369</v>
      </c>
      <c r="BT1284" s="1" t="str">
        <f>HYPERLINK("https%3A%2F%2Fwww.webofscience.com%2Fwos%2Fwoscc%2Ffull-record%2FWOS:000640618100006","View Full Record in Web of Science")</f>
        <v>View Full Record in Web of Science</v>
      </c>
      <c r="BU1284" s="1"/>
      <c r="BV1284" s="1"/>
      <c r="BW1284" s="1"/>
    </row>
    <row r="1285" spans="1:75" ht="12.75" customHeight="1" x14ac:dyDescent="0.2">
      <c r="A1285" s="1" t="s">
        <v>72</v>
      </c>
      <c r="B1285" s="1" t="s">
        <v>8370</v>
      </c>
      <c r="C1285" s="1"/>
      <c r="D1285" s="1"/>
      <c r="E1285" s="1"/>
      <c r="F1285" s="1" t="s">
        <v>8371</v>
      </c>
      <c r="G1285" s="1"/>
      <c r="H1285" s="1"/>
      <c r="I1285" s="1" t="s">
        <v>8372</v>
      </c>
      <c r="J1285" s="1" t="s">
        <v>95</v>
      </c>
      <c r="K1285" s="1"/>
      <c r="L1285" s="1"/>
      <c r="M1285" s="1"/>
      <c r="N1285" s="1"/>
      <c r="O1285" s="1"/>
      <c r="P1285" s="1"/>
      <c r="Q1285" s="1"/>
      <c r="R1285" s="1"/>
      <c r="S1285" s="1"/>
      <c r="T1285" s="1"/>
      <c r="U1285" s="1"/>
      <c r="V1285" s="1"/>
      <c r="W1285" s="1"/>
      <c r="X1285" s="1"/>
      <c r="Y1285" s="1"/>
      <c r="Z1285" s="1"/>
      <c r="AA1285" s="1" t="s">
        <v>6456</v>
      </c>
      <c r="AB1285" s="1" t="s">
        <v>6457</v>
      </c>
      <c r="AC1285" s="1"/>
      <c r="AD1285" s="1"/>
      <c r="AE1285" s="1"/>
      <c r="AF1285" s="1"/>
      <c r="AG1285" s="1"/>
      <c r="AH1285" s="1"/>
      <c r="AI1285" s="1"/>
      <c r="AJ1285" s="1"/>
      <c r="AK1285" s="1"/>
      <c r="AL1285" s="1"/>
      <c r="AM1285" s="1"/>
      <c r="AN1285" s="1"/>
      <c r="AO1285" s="1" t="s">
        <v>98</v>
      </c>
      <c r="AP1285" s="1" t="s">
        <v>99</v>
      </c>
      <c r="AQ1285" s="1"/>
      <c r="AR1285" s="1"/>
      <c r="AS1285" s="1"/>
      <c r="AT1285" s="1"/>
      <c r="AU1285" s="1">
        <v>2019</v>
      </c>
      <c r="AV1285" s="1"/>
      <c r="AW1285" s="1">
        <v>2</v>
      </c>
      <c r="AX1285" s="1"/>
      <c r="AY1285" s="1"/>
      <c r="AZ1285" s="1"/>
      <c r="BA1285" s="1"/>
      <c r="BB1285" s="1">
        <v>108</v>
      </c>
      <c r="BC1285" s="1">
        <v>112</v>
      </c>
      <c r="BD1285" s="1"/>
      <c r="BE1285" s="1" t="s">
        <v>8373</v>
      </c>
      <c r="BF1285" s="1" t="str">
        <f>HYPERLINK("http://dx.doi.org/10.25750/1995-4301-2019-2-108-112","http://dx.doi.org/10.25750/1995-4301-2019-2-108-112")</f>
        <v>http://dx.doi.org/10.25750/1995-4301-2019-2-108-112</v>
      </c>
      <c r="BG1285" s="1"/>
      <c r="BH1285" s="1"/>
      <c r="BI1285" s="1"/>
      <c r="BJ1285" s="1"/>
      <c r="BK1285" s="1"/>
      <c r="BL1285" s="1"/>
      <c r="BM1285" s="1"/>
      <c r="BN1285" s="1"/>
      <c r="BO1285" s="1"/>
      <c r="BP1285" s="1"/>
      <c r="BQ1285" s="1"/>
      <c r="BR1285" s="1"/>
      <c r="BS1285" s="1" t="s">
        <v>8374</v>
      </c>
      <c r="BT1285" s="1" t="str">
        <f>HYPERLINK("https%3A%2F%2Fwww.webofscience.com%2Fwos%2Fwoscc%2Ffull-record%2FWOS:000477826000013","View Full Record in Web of Science")</f>
        <v>View Full Record in Web of Science</v>
      </c>
      <c r="BU1285" s="1"/>
      <c r="BV1285" s="1"/>
      <c r="BW1285" s="1"/>
    </row>
    <row r="1286" spans="1:75" ht="12.75" customHeight="1" x14ac:dyDescent="0.2">
      <c r="A1286" s="1" t="s">
        <v>72</v>
      </c>
      <c r="B1286" s="1" t="s">
        <v>8375</v>
      </c>
      <c r="C1286" s="1"/>
      <c r="D1286" s="1"/>
      <c r="E1286" s="1"/>
      <c r="F1286" s="1" t="s">
        <v>8376</v>
      </c>
      <c r="G1286" s="1"/>
      <c r="H1286" s="1"/>
      <c r="I1286" s="1" t="s">
        <v>8377</v>
      </c>
      <c r="J1286" s="1" t="s">
        <v>650</v>
      </c>
      <c r="K1286" s="1"/>
      <c r="L1286" s="1"/>
      <c r="M1286" s="1"/>
      <c r="N1286" s="1"/>
      <c r="O1286" s="1"/>
      <c r="P1286" s="1"/>
      <c r="Q1286" s="1"/>
      <c r="R1286" s="1"/>
      <c r="S1286" s="1"/>
      <c r="T1286" s="1"/>
      <c r="U1286" s="1"/>
      <c r="V1286" s="1"/>
      <c r="W1286" s="1"/>
      <c r="X1286" s="1"/>
      <c r="Y1286" s="1"/>
      <c r="Z1286" s="1"/>
      <c r="AA1286" s="1"/>
      <c r="AB1286" s="1" t="s">
        <v>8378</v>
      </c>
      <c r="AC1286" s="1"/>
      <c r="AD1286" s="1"/>
      <c r="AE1286" s="1"/>
      <c r="AF1286" s="1"/>
      <c r="AG1286" s="1"/>
      <c r="AH1286" s="1"/>
      <c r="AI1286" s="1"/>
      <c r="AJ1286" s="1"/>
      <c r="AK1286" s="1"/>
      <c r="AL1286" s="1"/>
      <c r="AM1286" s="1"/>
      <c r="AN1286" s="1"/>
      <c r="AO1286" s="1" t="s">
        <v>653</v>
      </c>
      <c r="AP1286" s="1" t="s">
        <v>654</v>
      </c>
      <c r="AQ1286" s="1"/>
      <c r="AR1286" s="1"/>
      <c r="AS1286" s="1"/>
      <c r="AT1286" s="1" t="s">
        <v>403</v>
      </c>
      <c r="AU1286" s="1">
        <v>2018</v>
      </c>
      <c r="AV1286" s="1"/>
      <c r="AW1286" s="1">
        <v>13</v>
      </c>
      <c r="AX1286" s="1"/>
      <c r="AY1286" s="1"/>
      <c r="AZ1286" s="1"/>
      <c r="BA1286" s="1"/>
      <c r="BB1286" s="1">
        <v>1259</v>
      </c>
      <c r="BC1286" s="1">
        <v>1263</v>
      </c>
      <c r="BD1286" s="1"/>
      <c r="BE1286" s="1" t="s">
        <v>8379</v>
      </c>
      <c r="BF1286" s="1" t="str">
        <f>HYPERLINK("http://dx.doi.org/10.1134/S0036029518130153","http://dx.doi.org/10.1134/S0036029518130153")</f>
        <v>http://dx.doi.org/10.1134/S0036029518130153</v>
      </c>
      <c r="BG1286" s="1"/>
      <c r="BH1286" s="1"/>
      <c r="BI1286" s="1"/>
      <c r="BJ1286" s="1"/>
      <c r="BK1286" s="1"/>
      <c r="BL1286" s="1"/>
      <c r="BM1286" s="1"/>
      <c r="BN1286" s="1"/>
      <c r="BO1286" s="1"/>
      <c r="BP1286" s="1"/>
      <c r="BQ1286" s="1"/>
      <c r="BR1286" s="1"/>
      <c r="BS1286" s="1" t="s">
        <v>8380</v>
      </c>
      <c r="BT1286" s="1" t="str">
        <f>HYPERLINK("https%3A%2F%2Fwww.webofscience.com%2Fwos%2Fwoscc%2Ffull-record%2FWOS:000460563800016","View Full Record in Web of Science")</f>
        <v>View Full Record in Web of Science</v>
      </c>
      <c r="BU1286" s="1"/>
      <c r="BV1286" s="1"/>
      <c r="BW1286" s="1"/>
    </row>
    <row r="1287" spans="1:75" ht="12.75" customHeight="1" x14ac:dyDescent="0.2">
      <c r="A1287" s="1" t="s">
        <v>72</v>
      </c>
      <c r="B1287" s="1" t="s">
        <v>8381</v>
      </c>
      <c r="C1287" s="1"/>
      <c r="D1287" s="1"/>
      <c r="E1287" s="1"/>
      <c r="F1287" s="1" t="s">
        <v>8382</v>
      </c>
      <c r="G1287" s="1"/>
      <c r="H1287" s="1"/>
      <c r="I1287" s="1" t="s">
        <v>8383</v>
      </c>
      <c r="J1287" s="1" t="s">
        <v>716</v>
      </c>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t="s">
        <v>719</v>
      </c>
      <c r="AP1287" s="1" t="s">
        <v>720</v>
      </c>
      <c r="AQ1287" s="1"/>
      <c r="AR1287" s="1"/>
      <c r="AS1287" s="1"/>
      <c r="AT1287" s="1" t="s">
        <v>171</v>
      </c>
      <c r="AU1287" s="1">
        <v>2022</v>
      </c>
      <c r="AV1287" s="1"/>
      <c r="AW1287" s="1">
        <v>476</v>
      </c>
      <c r="AX1287" s="1"/>
      <c r="AY1287" s="1"/>
      <c r="AZ1287" s="1"/>
      <c r="BA1287" s="1"/>
      <c r="BB1287" s="1">
        <v>290</v>
      </c>
      <c r="BC1287" s="1">
        <v>297</v>
      </c>
      <c r="BD1287" s="1"/>
      <c r="BE1287" s="1" t="s">
        <v>8384</v>
      </c>
      <c r="BF1287" s="1" t="str">
        <f>HYPERLINK("http://dx.doi.org/10.17223/15617793/476/31","http://dx.doi.org/10.17223/15617793/476/31")</f>
        <v>http://dx.doi.org/10.17223/15617793/476/31</v>
      </c>
      <c r="BG1287" s="1"/>
      <c r="BH1287" s="1"/>
      <c r="BI1287" s="1"/>
      <c r="BJ1287" s="1"/>
      <c r="BK1287" s="1"/>
      <c r="BL1287" s="1"/>
      <c r="BM1287" s="1"/>
      <c r="BN1287" s="1"/>
      <c r="BO1287" s="1"/>
      <c r="BP1287" s="1"/>
      <c r="BQ1287" s="1"/>
      <c r="BR1287" s="1"/>
      <c r="BS1287" s="1" t="s">
        <v>8385</v>
      </c>
      <c r="BT1287" s="1" t="str">
        <f>HYPERLINK("https%3A%2F%2Fwww.webofscience.com%2Fwos%2Fwoscc%2Ffull-record%2FWOS:000868947100031","View Full Record in Web of Science")</f>
        <v>View Full Record in Web of Science</v>
      </c>
      <c r="BU1287" s="1"/>
      <c r="BV1287" s="1"/>
      <c r="BW1287" s="1"/>
    </row>
    <row r="1288" spans="1:75" ht="12.75" customHeight="1" x14ac:dyDescent="0.2">
      <c r="A1288" s="1" t="s">
        <v>72</v>
      </c>
      <c r="B1288" s="1" t="s">
        <v>8386</v>
      </c>
      <c r="C1288" s="1"/>
      <c r="D1288" s="1"/>
      <c r="E1288" s="1"/>
      <c r="F1288" s="1" t="s">
        <v>8387</v>
      </c>
      <c r="G1288" s="1"/>
      <c r="H1288" s="1"/>
      <c r="I1288" s="1" t="s">
        <v>8388</v>
      </c>
      <c r="J1288" s="1" t="s">
        <v>95</v>
      </c>
      <c r="K1288" s="1"/>
      <c r="L1288" s="1"/>
      <c r="M1288" s="1"/>
      <c r="N1288" s="1"/>
      <c r="O1288" s="1"/>
      <c r="P1288" s="1"/>
      <c r="Q1288" s="1"/>
      <c r="R1288" s="1"/>
      <c r="S1288" s="1"/>
      <c r="T1288" s="1"/>
      <c r="U1288" s="1"/>
      <c r="V1288" s="1"/>
      <c r="W1288" s="1"/>
      <c r="X1288" s="1"/>
      <c r="Y1288" s="1"/>
      <c r="Z1288" s="1"/>
      <c r="AA1288" s="1" t="s">
        <v>4926</v>
      </c>
      <c r="AB1288" s="1" t="s">
        <v>8389</v>
      </c>
      <c r="AC1288" s="1"/>
      <c r="AD1288" s="1"/>
      <c r="AE1288" s="1"/>
      <c r="AF1288" s="1"/>
      <c r="AG1288" s="1"/>
      <c r="AH1288" s="1"/>
      <c r="AI1288" s="1"/>
      <c r="AJ1288" s="1"/>
      <c r="AK1288" s="1"/>
      <c r="AL1288" s="1"/>
      <c r="AM1288" s="1"/>
      <c r="AN1288" s="1"/>
      <c r="AO1288" s="1" t="s">
        <v>98</v>
      </c>
      <c r="AP1288" s="1" t="s">
        <v>99</v>
      </c>
      <c r="AQ1288" s="1"/>
      <c r="AR1288" s="1"/>
      <c r="AS1288" s="1"/>
      <c r="AT1288" s="1"/>
      <c r="AU1288" s="1">
        <v>2022</v>
      </c>
      <c r="AV1288" s="1"/>
      <c r="AW1288" s="1">
        <v>3</v>
      </c>
      <c r="AX1288" s="1"/>
      <c r="AY1288" s="1"/>
      <c r="AZ1288" s="1"/>
      <c r="BA1288" s="1"/>
      <c r="BB1288" s="1">
        <v>199</v>
      </c>
      <c r="BC1288" s="1">
        <v>205</v>
      </c>
      <c r="BD1288" s="1"/>
      <c r="BE1288" s="1" t="s">
        <v>8390</v>
      </c>
      <c r="BF1288" s="1" t="str">
        <f>HYPERLINK("http://dx.doi.org/10.25750/1995-4301-2022-3-199-205","http://dx.doi.org/10.25750/1995-4301-2022-3-199-205")</f>
        <v>http://dx.doi.org/10.25750/1995-4301-2022-3-199-205</v>
      </c>
      <c r="BG1288" s="1"/>
      <c r="BH1288" s="1"/>
      <c r="BI1288" s="1"/>
      <c r="BJ1288" s="1"/>
      <c r="BK1288" s="1"/>
      <c r="BL1288" s="1"/>
      <c r="BM1288" s="1"/>
      <c r="BN1288" s="1"/>
      <c r="BO1288" s="1"/>
      <c r="BP1288" s="1"/>
      <c r="BQ1288" s="1"/>
      <c r="BR1288" s="1"/>
      <c r="BS1288" s="1" t="s">
        <v>8391</v>
      </c>
      <c r="BT1288" s="1" t="str">
        <f>HYPERLINK("https%3A%2F%2Fwww.webofscience.com%2Fwos%2Fwoscc%2Ffull-record%2FWOS:000885393200025","View Full Record in Web of Science")</f>
        <v>View Full Record in Web of Science</v>
      </c>
      <c r="BU1288" s="1"/>
      <c r="BV1288" s="1"/>
      <c r="BW1288" s="1"/>
    </row>
    <row r="1289" spans="1:75" ht="12.75" customHeight="1" x14ac:dyDescent="0.2">
      <c r="A1289" s="1" t="s">
        <v>72</v>
      </c>
      <c r="B1289" s="1" t="s">
        <v>8392</v>
      </c>
      <c r="C1289" s="1"/>
      <c r="D1289" s="1"/>
      <c r="E1289" s="1"/>
      <c r="F1289" s="1" t="s">
        <v>8393</v>
      </c>
      <c r="G1289" s="1"/>
      <c r="H1289" s="1"/>
      <c r="I1289" s="1" t="s">
        <v>8394</v>
      </c>
      <c r="J1289" s="1" t="s">
        <v>166</v>
      </c>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t="s">
        <v>169</v>
      </c>
      <c r="AP1289" s="1" t="s">
        <v>170</v>
      </c>
      <c r="AQ1289" s="1"/>
      <c r="AR1289" s="1"/>
      <c r="AS1289" s="1"/>
      <c r="AT1289" s="1" t="s">
        <v>171</v>
      </c>
      <c r="AU1289" s="1">
        <v>2022</v>
      </c>
      <c r="AV1289" s="1">
        <v>11</v>
      </c>
      <c r="AW1289" s="1">
        <v>1</v>
      </c>
      <c r="AX1289" s="1"/>
      <c r="AY1289" s="1"/>
      <c r="AZ1289" s="1"/>
      <c r="BA1289" s="1"/>
      <c r="BB1289" s="1">
        <v>241</v>
      </c>
      <c r="BC1289" s="1">
        <v>257</v>
      </c>
      <c r="BD1289" s="1"/>
      <c r="BE1289" s="1" t="s">
        <v>8395</v>
      </c>
      <c r="BF1289" s="1" t="str">
        <f>HYPERLINK("http://dx.doi.org/10.13187/ejced.2022.1.241","http://dx.doi.org/10.13187/ejced.2022.1.241")</f>
        <v>http://dx.doi.org/10.13187/ejced.2022.1.241</v>
      </c>
      <c r="BG1289" s="1"/>
      <c r="BH1289" s="1"/>
      <c r="BI1289" s="1"/>
      <c r="BJ1289" s="1"/>
      <c r="BK1289" s="1"/>
      <c r="BL1289" s="1"/>
      <c r="BM1289" s="1"/>
      <c r="BN1289" s="1"/>
      <c r="BO1289" s="1"/>
      <c r="BP1289" s="1"/>
      <c r="BQ1289" s="1"/>
      <c r="BR1289" s="1"/>
      <c r="BS1289" s="1" t="s">
        <v>8396</v>
      </c>
      <c r="BT1289" s="1" t="str">
        <f>HYPERLINK("https%3A%2F%2Fwww.webofscience.com%2Fwos%2Fwoscc%2Ffull-record%2FWOS:000835713500001","View Full Record in Web of Science")</f>
        <v>View Full Record in Web of Science</v>
      </c>
      <c r="BU1289" s="1"/>
      <c r="BV1289" s="1"/>
      <c r="BW1289" s="1"/>
    </row>
    <row r="1290" spans="1:75" ht="12.75" customHeight="1" x14ac:dyDescent="0.2">
      <c r="A1290" s="1" t="s">
        <v>72</v>
      </c>
      <c r="B1290" s="1" t="s">
        <v>8397</v>
      </c>
      <c r="C1290" s="1"/>
      <c r="D1290" s="1"/>
      <c r="E1290" s="1"/>
      <c r="F1290" s="1" t="s">
        <v>8398</v>
      </c>
      <c r="G1290" s="1"/>
      <c r="H1290" s="1"/>
      <c r="I1290" s="1" t="s">
        <v>8399</v>
      </c>
      <c r="J1290" s="1" t="s">
        <v>8400</v>
      </c>
      <c r="K1290" s="1"/>
      <c r="L1290" s="1"/>
      <c r="M1290" s="1"/>
      <c r="N1290" s="1"/>
      <c r="O1290" s="1"/>
      <c r="P1290" s="1"/>
      <c r="Q1290" s="1"/>
      <c r="R1290" s="1"/>
      <c r="S1290" s="1"/>
      <c r="T1290" s="1"/>
      <c r="U1290" s="1"/>
      <c r="V1290" s="1"/>
      <c r="W1290" s="1"/>
      <c r="X1290" s="1"/>
      <c r="Y1290" s="1"/>
      <c r="Z1290" s="1"/>
      <c r="AA1290" s="1" t="s">
        <v>8401</v>
      </c>
      <c r="AB1290" s="1" t="s">
        <v>8402</v>
      </c>
      <c r="AC1290" s="1"/>
      <c r="AD1290" s="1"/>
      <c r="AE1290" s="1"/>
      <c r="AF1290" s="1"/>
      <c r="AG1290" s="1"/>
      <c r="AH1290" s="1"/>
      <c r="AI1290" s="1"/>
      <c r="AJ1290" s="1"/>
      <c r="AK1290" s="1"/>
      <c r="AL1290" s="1"/>
      <c r="AM1290" s="1"/>
      <c r="AN1290" s="1"/>
      <c r="AO1290" s="1" t="s">
        <v>8403</v>
      </c>
      <c r="AP1290" s="1" t="s">
        <v>8404</v>
      </c>
      <c r="AQ1290" s="1"/>
      <c r="AR1290" s="1"/>
      <c r="AS1290" s="1"/>
      <c r="AT1290" s="1" t="s">
        <v>88</v>
      </c>
      <c r="AU1290" s="1">
        <v>2016</v>
      </c>
      <c r="AV1290" s="1">
        <v>66</v>
      </c>
      <c r="AW1290" s="1"/>
      <c r="AX1290" s="1">
        <v>5</v>
      </c>
      <c r="AY1290" s="1"/>
      <c r="AZ1290" s="1"/>
      <c r="BA1290" s="1"/>
      <c r="BB1290" s="1">
        <v>2069</v>
      </c>
      <c r="BC1290" s="1">
        <v>2077</v>
      </c>
      <c r="BD1290" s="1"/>
      <c r="BE1290" s="1" t="s">
        <v>8405</v>
      </c>
      <c r="BF1290" s="1" t="str">
        <f>HYPERLINK("http://dx.doi.org/10.1099/ijsem.0.000994","http://dx.doi.org/10.1099/ijsem.0.000994")</f>
        <v>http://dx.doi.org/10.1099/ijsem.0.000994</v>
      </c>
      <c r="BG1290" s="1"/>
      <c r="BH1290" s="1"/>
      <c r="BI1290" s="1"/>
      <c r="BJ1290" s="1"/>
      <c r="BK1290" s="1"/>
      <c r="BL1290" s="1"/>
      <c r="BM1290" s="1"/>
      <c r="BN1290" s="1">
        <v>26921147</v>
      </c>
      <c r="BO1290" s="1"/>
      <c r="BP1290" s="1"/>
      <c r="BQ1290" s="1"/>
      <c r="BR1290" s="1"/>
      <c r="BS1290" s="1" t="s">
        <v>8406</v>
      </c>
      <c r="BT1290" s="1" t="str">
        <f>HYPERLINK("https%3A%2F%2Fwww.webofscience.com%2Fwos%2Fwoscc%2Ffull-record%2FWOS:000375837100026","View Full Record in Web of Science")</f>
        <v>View Full Record in Web of Science</v>
      </c>
      <c r="BU1290" s="1"/>
      <c r="BV1290" s="1"/>
      <c r="BW1290" s="1"/>
    </row>
    <row r="1291" spans="1:75" ht="12.75" customHeight="1" x14ac:dyDescent="0.2">
      <c r="A1291" s="1" t="s">
        <v>72</v>
      </c>
      <c r="B1291" s="1" t="s">
        <v>8407</v>
      </c>
      <c r="C1291" s="1"/>
      <c r="D1291" s="1"/>
      <c r="E1291" s="1"/>
      <c r="F1291" s="1" t="s">
        <v>8408</v>
      </c>
      <c r="G1291" s="1"/>
      <c r="H1291" s="1"/>
      <c r="I1291" s="1" t="s">
        <v>8409</v>
      </c>
      <c r="J1291" s="1" t="s">
        <v>95</v>
      </c>
      <c r="K1291" s="1"/>
      <c r="L1291" s="1"/>
      <c r="M1291" s="1"/>
      <c r="N1291" s="1"/>
      <c r="O1291" s="1"/>
      <c r="P1291" s="1"/>
      <c r="Q1291" s="1"/>
      <c r="R1291" s="1"/>
      <c r="S1291" s="1"/>
      <c r="T1291" s="1"/>
      <c r="U1291" s="1"/>
      <c r="V1291" s="1"/>
      <c r="W1291" s="1"/>
      <c r="X1291" s="1"/>
      <c r="Y1291" s="1"/>
      <c r="Z1291" s="1"/>
      <c r="AA1291" s="1" t="s">
        <v>5529</v>
      </c>
      <c r="AB1291" s="1" t="s">
        <v>5530</v>
      </c>
      <c r="AC1291" s="1"/>
      <c r="AD1291" s="1"/>
      <c r="AE1291" s="1"/>
      <c r="AF1291" s="1"/>
      <c r="AG1291" s="1"/>
      <c r="AH1291" s="1"/>
      <c r="AI1291" s="1"/>
      <c r="AJ1291" s="1"/>
      <c r="AK1291" s="1"/>
      <c r="AL1291" s="1"/>
      <c r="AM1291" s="1"/>
      <c r="AN1291" s="1"/>
      <c r="AO1291" s="1" t="s">
        <v>98</v>
      </c>
      <c r="AP1291" s="1" t="s">
        <v>99</v>
      </c>
      <c r="AQ1291" s="1"/>
      <c r="AR1291" s="1"/>
      <c r="AS1291" s="1"/>
      <c r="AT1291" s="1"/>
      <c r="AU1291" s="1">
        <v>2018</v>
      </c>
      <c r="AV1291" s="1"/>
      <c r="AW1291" s="1">
        <v>4</v>
      </c>
      <c r="AX1291" s="1"/>
      <c r="AY1291" s="1"/>
      <c r="AZ1291" s="1"/>
      <c r="BA1291" s="1"/>
      <c r="BB1291" s="1">
        <v>93</v>
      </c>
      <c r="BC1291" s="1">
        <v>98</v>
      </c>
      <c r="BD1291" s="1"/>
      <c r="BE1291" s="1" t="s">
        <v>8410</v>
      </c>
      <c r="BF1291" s="1" t="str">
        <f>HYPERLINK("http://dx.doi.org/10.25750/1995-4301-2018-4-093-098","http://dx.doi.org/10.25750/1995-4301-2018-4-093-098")</f>
        <v>http://dx.doi.org/10.25750/1995-4301-2018-4-093-098</v>
      </c>
      <c r="BG1291" s="1"/>
      <c r="BH1291" s="1"/>
      <c r="BI1291" s="1"/>
      <c r="BJ1291" s="1"/>
      <c r="BK1291" s="1"/>
      <c r="BL1291" s="1"/>
      <c r="BM1291" s="1"/>
      <c r="BN1291" s="1"/>
      <c r="BO1291" s="1"/>
      <c r="BP1291" s="1"/>
      <c r="BQ1291" s="1"/>
      <c r="BR1291" s="1"/>
      <c r="BS1291" s="1" t="s">
        <v>8411</v>
      </c>
      <c r="BT1291" s="1" t="str">
        <f>HYPERLINK("https%3A%2F%2Fwww.webofscience.com%2Fwos%2Fwoscc%2Ffull-record%2FWOS:000468565300012","View Full Record in Web of Science")</f>
        <v>View Full Record in Web of Science</v>
      </c>
      <c r="BU1291" s="1"/>
      <c r="BV1291" s="1"/>
      <c r="BW1291" s="1"/>
    </row>
    <row r="1292" spans="1:75" ht="12.75" customHeight="1" x14ac:dyDescent="0.2">
      <c r="A1292" s="1" t="s">
        <v>72</v>
      </c>
      <c r="B1292" s="1" t="s">
        <v>8412</v>
      </c>
      <c r="C1292" s="1"/>
      <c r="D1292" s="1"/>
      <c r="E1292" s="1"/>
      <c r="F1292" s="1" t="s">
        <v>8413</v>
      </c>
      <c r="G1292" s="1"/>
      <c r="H1292" s="1"/>
      <c r="I1292" s="1" t="s">
        <v>8414</v>
      </c>
      <c r="J1292" s="1" t="s">
        <v>95</v>
      </c>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t="s">
        <v>98</v>
      </c>
      <c r="AP1292" s="1" t="s">
        <v>99</v>
      </c>
      <c r="AQ1292" s="1"/>
      <c r="AR1292" s="1"/>
      <c r="AS1292" s="1"/>
      <c r="AT1292" s="1"/>
      <c r="AU1292" s="1">
        <v>2022</v>
      </c>
      <c r="AV1292" s="1"/>
      <c r="AW1292" s="1">
        <v>4</v>
      </c>
      <c r="AX1292" s="1"/>
      <c r="AY1292" s="1"/>
      <c r="AZ1292" s="1"/>
      <c r="BA1292" s="1"/>
      <c r="BB1292" s="1">
        <v>159</v>
      </c>
      <c r="BC1292" s="1">
        <v>165</v>
      </c>
      <c r="BD1292" s="1"/>
      <c r="BE1292" s="1" t="s">
        <v>8415</v>
      </c>
      <c r="BF1292" s="1" t="str">
        <f>HYPERLINK("http://dx.doi.org/10.25750/1995-4301-2022-4-159-165","http://dx.doi.org/10.25750/1995-4301-2022-4-159-165")</f>
        <v>http://dx.doi.org/10.25750/1995-4301-2022-4-159-165</v>
      </c>
      <c r="BG1292" s="1"/>
      <c r="BH1292" s="1"/>
      <c r="BI1292" s="1"/>
      <c r="BJ1292" s="1"/>
      <c r="BK1292" s="1"/>
      <c r="BL1292" s="1"/>
      <c r="BM1292" s="1"/>
      <c r="BN1292" s="1"/>
      <c r="BO1292" s="1"/>
      <c r="BP1292" s="1"/>
      <c r="BQ1292" s="1"/>
      <c r="BR1292" s="1"/>
      <c r="BS1292" s="1" t="s">
        <v>8416</v>
      </c>
      <c r="BT1292" s="1" t="str">
        <f>HYPERLINK("https%3A%2F%2Fwww.webofscience.com%2Fwos%2Fwoscc%2Ffull-record%2FWOS:000929704700022","View Full Record in Web of Science")</f>
        <v>View Full Record in Web of Science</v>
      </c>
      <c r="BU1292" s="1"/>
      <c r="BV1292" s="1"/>
      <c r="BW1292" s="1"/>
    </row>
    <row r="1293" spans="1:75" ht="12.75" customHeight="1" x14ac:dyDescent="0.2">
      <c r="A1293" s="1" t="s">
        <v>72</v>
      </c>
      <c r="B1293" s="1" t="s">
        <v>8417</v>
      </c>
      <c r="C1293" s="1"/>
      <c r="D1293" s="1"/>
      <c r="E1293" s="1"/>
      <c r="F1293" s="1" t="s">
        <v>8418</v>
      </c>
      <c r="G1293" s="1"/>
      <c r="H1293" s="1"/>
      <c r="I1293" s="1" t="s">
        <v>8419</v>
      </c>
      <c r="J1293" s="1" t="s">
        <v>95</v>
      </c>
      <c r="K1293" s="1"/>
      <c r="L1293" s="1"/>
      <c r="M1293" s="1"/>
      <c r="N1293" s="1"/>
      <c r="O1293" s="1"/>
      <c r="P1293" s="1"/>
      <c r="Q1293" s="1"/>
      <c r="R1293" s="1"/>
      <c r="S1293" s="1"/>
      <c r="T1293" s="1"/>
      <c r="U1293" s="1"/>
      <c r="V1293" s="1"/>
      <c r="W1293" s="1"/>
      <c r="X1293" s="1"/>
      <c r="Y1293" s="1"/>
      <c r="Z1293" s="1"/>
      <c r="AA1293" s="1" t="s">
        <v>8420</v>
      </c>
      <c r="AB1293" s="1" t="s">
        <v>8421</v>
      </c>
      <c r="AC1293" s="1"/>
      <c r="AD1293" s="1"/>
      <c r="AE1293" s="1"/>
      <c r="AF1293" s="1"/>
      <c r="AG1293" s="1"/>
      <c r="AH1293" s="1"/>
      <c r="AI1293" s="1"/>
      <c r="AJ1293" s="1"/>
      <c r="AK1293" s="1"/>
      <c r="AL1293" s="1"/>
      <c r="AM1293" s="1"/>
      <c r="AN1293" s="1"/>
      <c r="AO1293" s="1" t="s">
        <v>98</v>
      </c>
      <c r="AP1293" s="1" t="s">
        <v>99</v>
      </c>
      <c r="AQ1293" s="1"/>
      <c r="AR1293" s="1"/>
      <c r="AS1293" s="1"/>
      <c r="AT1293" s="1"/>
      <c r="AU1293" s="1">
        <v>2019</v>
      </c>
      <c r="AV1293" s="1"/>
      <c r="AW1293" s="1">
        <v>3</v>
      </c>
      <c r="AX1293" s="1"/>
      <c r="AY1293" s="1"/>
      <c r="AZ1293" s="1"/>
      <c r="BA1293" s="1"/>
      <c r="BB1293" s="1">
        <v>57</v>
      </c>
      <c r="BC1293" s="1">
        <v>65</v>
      </c>
      <c r="BD1293" s="1"/>
      <c r="BE1293" s="1" t="s">
        <v>8422</v>
      </c>
      <c r="BF1293" s="1" t="str">
        <f>HYPERLINK("http://dx.doi.org/10.25750/1995-4301-2019-3-057-065","http://dx.doi.org/10.25750/1995-4301-2019-3-057-065")</f>
        <v>http://dx.doi.org/10.25750/1995-4301-2019-3-057-065</v>
      </c>
      <c r="BG1293" s="1"/>
      <c r="BH1293" s="1"/>
      <c r="BI1293" s="1"/>
      <c r="BJ1293" s="1"/>
      <c r="BK1293" s="1"/>
      <c r="BL1293" s="1"/>
      <c r="BM1293" s="1"/>
      <c r="BN1293" s="1"/>
      <c r="BO1293" s="1"/>
      <c r="BP1293" s="1"/>
      <c r="BQ1293" s="1"/>
      <c r="BR1293" s="1"/>
      <c r="BS1293" s="1" t="s">
        <v>8423</v>
      </c>
      <c r="BT1293" s="1" t="str">
        <f>HYPERLINK("https%3A%2F%2Fwww.webofscience.com%2Fwos%2Fwoscc%2Ffull-record%2FWOS:000490704900008","View Full Record in Web of Science")</f>
        <v>View Full Record in Web of Science</v>
      </c>
      <c r="BU1293" s="1"/>
      <c r="BV1293" s="1"/>
      <c r="BW1293" s="1"/>
    </row>
    <row r="1294" spans="1:75" ht="12.75" customHeight="1" x14ac:dyDescent="0.2">
      <c r="A1294" s="1" t="s">
        <v>72</v>
      </c>
      <c r="B1294" s="1" t="s">
        <v>8424</v>
      </c>
      <c r="C1294" s="1"/>
      <c r="D1294" s="1"/>
      <c r="E1294" s="1"/>
      <c r="F1294" s="1" t="s">
        <v>8425</v>
      </c>
      <c r="G1294" s="1"/>
      <c r="H1294" s="1"/>
      <c r="I1294" s="1" t="s">
        <v>8426</v>
      </c>
      <c r="J1294" s="1" t="s">
        <v>3610</v>
      </c>
      <c r="K1294" s="1"/>
      <c r="L1294" s="1"/>
      <c r="M1294" s="1"/>
      <c r="N1294" s="1"/>
      <c r="O1294" s="1"/>
      <c r="P1294" s="1"/>
      <c r="Q1294" s="1"/>
      <c r="R1294" s="1"/>
      <c r="S1294" s="1"/>
      <c r="T1294" s="1"/>
      <c r="U1294" s="1"/>
      <c r="V1294" s="1"/>
      <c r="W1294" s="1"/>
      <c r="X1294" s="1"/>
      <c r="Y1294" s="1"/>
      <c r="Z1294" s="1"/>
      <c r="AA1294" s="1" t="s">
        <v>5529</v>
      </c>
      <c r="AB1294" s="1" t="s">
        <v>5530</v>
      </c>
      <c r="AC1294" s="1"/>
      <c r="AD1294" s="1"/>
      <c r="AE1294" s="1"/>
      <c r="AF1294" s="1"/>
      <c r="AG1294" s="1"/>
      <c r="AH1294" s="1"/>
      <c r="AI1294" s="1"/>
      <c r="AJ1294" s="1"/>
      <c r="AK1294" s="1"/>
      <c r="AL1294" s="1"/>
      <c r="AM1294" s="1"/>
      <c r="AN1294" s="1"/>
      <c r="AO1294" s="1" t="s">
        <v>3613</v>
      </c>
      <c r="AP1294" s="1"/>
      <c r="AQ1294" s="1"/>
      <c r="AR1294" s="1"/>
      <c r="AS1294" s="1"/>
      <c r="AT1294" s="1" t="s">
        <v>655</v>
      </c>
      <c r="AU1294" s="1">
        <v>2013</v>
      </c>
      <c r="AV1294" s="1">
        <v>46</v>
      </c>
      <c r="AW1294" s="1">
        <v>2</v>
      </c>
      <c r="AX1294" s="1"/>
      <c r="AY1294" s="1"/>
      <c r="AZ1294" s="1"/>
      <c r="BA1294" s="1"/>
      <c r="BB1294" s="1">
        <v>168</v>
      </c>
      <c r="BC1294" s="1">
        <v>175</v>
      </c>
      <c r="BD1294" s="1"/>
      <c r="BE1294" s="1" t="s">
        <v>8427</v>
      </c>
      <c r="BF1294" s="1" t="str">
        <f>HYPERLINK("http://dx.doi.org/10.1134/S1064229313020026","http://dx.doi.org/10.1134/S1064229313020026")</f>
        <v>http://dx.doi.org/10.1134/S1064229313020026</v>
      </c>
      <c r="BG1294" s="1"/>
      <c r="BH1294" s="1"/>
      <c r="BI1294" s="1"/>
      <c r="BJ1294" s="1"/>
      <c r="BK1294" s="1"/>
      <c r="BL1294" s="1"/>
      <c r="BM1294" s="1"/>
      <c r="BN1294" s="1"/>
      <c r="BO1294" s="1"/>
      <c r="BP1294" s="1"/>
      <c r="BQ1294" s="1"/>
      <c r="BR1294" s="1"/>
      <c r="BS1294" s="1" t="s">
        <v>8428</v>
      </c>
      <c r="BT1294" s="1" t="str">
        <f>HYPERLINK("https%3A%2F%2Fwww.webofscience.com%2Fwos%2Fwoscc%2Ffull-record%2FWOS:000316826200008","View Full Record in Web of Science")</f>
        <v>View Full Record in Web of Science</v>
      </c>
      <c r="BU1294" s="1"/>
      <c r="BV1294" s="1"/>
      <c r="BW1294" s="1"/>
    </row>
    <row r="1295" spans="1:75" ht="12.75" customHeight="1" x14ac:dyDescent="0.2">
      <c r="A1295" s="1" t="s">
        <v>72</v>
      </c>
      <c r="B1295" s="1" t="s">
        <v>8429</v>
      </c>
      <c r="C1295" s="1"/>
      <c r="D1295" s="1"/>
      <c r="E1295" s="1"/>
      <c r="F1295" s="1" t="s">
        <v>8430</v>
      </c>
      <c r="G1295" s="1"/>
      <c r="H1295" s="1"/>
      <c r="I1295" s="1" t="s">
        <v>8431</v>
      </c>
      <c r="J1295" s="1" t="s">
        <v>5436</v>
      </c>
      <c r="K1295" s="1"/>
      <c r="L1295" s="1"/>
      <c r="M1295" s="1"/>
      <c r="N1295" s="1"/>
      <c r="O1295" s="1"/>
      <c r="P1295" s="1"/>
      <c r="Q1295" s="1"/>
      <c r="R1295" s="1"/>
      <c r="S1295" s="1"/>
      <c r="T1295" s="1"/>
      <c r="U1295" s="1"/>
      <c r="V1295" s="1"/>
      <c r="W1295" s="1"/>
      <c r="X1295" s="1"/>
      <c r="Y1295" s="1"/>
      <c r="Z1295" s="1"/>
      <c r="AA1295" s="1" t="s">
        <v>8432</v>
      </c>
      <c r="AB1295" s="1" t="s">
        <v>8433</v>
      </c>
      <c r="AC1295" s="1"/>
      <c r="AD1295" s="1"/>
      <c r="AE1295" s="1"/>
      <c r="AF1295" s="1"/>
      <c r="AG1295" s="1"/>
      <c r="AH1295" s="1"/>
      <c r="AI1295" s="1"/>
      <c r="AJ1295" s="1"/>
      <c r="AK1295" s="1"/>
      <c r="AL1295" s="1"/>
      <c r="AM1295" s="1"/>
      <c r="AN1295" s="1"/>
      <c r="AO1295" s="1" t="s">
        <v>5439</v>
      </c>
      <c r="AP1295" s="1" t="s">
        <v>5440</v>
      </c>
      <c r="AQ1295" s="1"/>
      <c r="AR1295" s="1"/>
      <c r="AS1295" s="1"/>
      <c r="AT1295" s="1" t="s">
        <v>88</v>
      </c>
      <c r="AU1295" s="1">
        <v>2014</v>
      </c>
      <c r="AV1295" s="1">
        <v>50</v>
      </c>
      <c r="AW1295" s="1">
        <v>2</v>
      </c>
      <c r="AX1295" s="1"/>
      <c r="AY1295" s="1"/>
      <c r="AZ1295" s="1"/>
      <c r="BA1295" s="1"/>
      <c r="BB1295" s="1">
        <v>213</v>
      </c>
      <c r="BC1295" s="1">
        <v>222</v>
      </c>
      <c r="BD1295" s="1"/>
      <c r="BE1295" s="1" t="s">
        <v>8434</v>
      </c>
      <c r="BF1295" s="1" t="str">
        <f>HYPERLINK("http://dx.doi.org/10.1007/s11029-014-9408-0","http://dx.doi.org/10.1007/s11029-014-9408-0")</f>
        <v>http://dx.doi.org/10.1007/s11029-014-9408-0</v>
      </c>
      <c r="BG1295" s="1"/>
      <c r="BH1295" s="1"/>
      <c r="BI1295" s="1"/>
      <c r="BJ1295" s="1"/>
      <c r="BK1295" s="1"/>
      <c r="BL1295" s="1"/>
      <c r="BM1295" s="1"/>
      <c r="BN1295" s="1"/>
      <c r="BO1295" s="1"/>
      <c r="BP1295" s="1"/>
      <c r="BQ1295" s="1"/>
      <c r="BR1295" s="1"/>
      <c r="BS1295" s="1" t="s">
        <v>8435</v>
      </c>
      <c r="BT1295" s="1" t="str">
        <f>HYPERLINK("https%3A%2F%2Fwww.webofscience.com%2Fwos%2Fwoscc%2Ffull-record%2FWOS:000336390500009","View Full Record in Web of Science")</f>
        <v>View Full Record in Web of Science</v>
      </c>
      <c r="BU1295" s="1"/>
      <c r="BV1295" s="1"/>
      <c r="BW1295" s="1"/>
    </row>
    <row r="1296" spans="1:75" ht="12.75" customHeight="1" x14ac:dyDescent="0.2">
      <c r="A1296" s="1" t="s">
        <v>72</v>
      </c>
      <c r="B1296" s="1" t="s">
        <v>8436</v>
      </c>
      <c r="C1296" s="1"/>
      <c r="D1296" s="1"/>
      <c r="E1296" s="1"/>
      <c r="F1296" s="1" t="s">
        <v>8437</v>
      </c>
      <c r="G1296" s="1"/>
      <c r="H1296" s="1"/>
      <c r="I1296" s="1" t="s">
        <v>8438</v>
      </c>
      <c r="J1296" s="1" t="s">
        <v>8439</v>
      </c>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t="s">
        <v>8440</v>
      </c>
      <c r="AQ1296" s="1"/>
      <c r="AR1296" s="1"/>
      <c r="AS1296" s="1"/>
      <c r="AT1296" s="1" t="s">
        <v>8441</v>
      </c>
      <c r="AU1296" s="1">
        <v>2022</v>
      </c>
      <c r="AV1296" s="1">
        <v>7</v>
      </c>
      <c r="AW1296" s="1"/>
      <c r="AX1296" s="1"/>
      <c r="AY1296" s="1"/>
      <c r="AZ1296" s="1"/>
      <c r="BA1296" s="1"/>
      <c r="BB1296" s="1"/>
      <c r="BC1296" s="1"/>
      <c r="BD1296" s="1">
        <v>1016919</v>
      </c>
      <c r="BE1296" s="1" t="s">
        <v>8442</v>
      </c>
      <c r="BF1296" s="1" t="str">
        <f>HYPERLINK("http://dx.doi.org/10.3389/feduc.2022.1016919","http://dx.doi.org/10.3389/feduc.2022.1016919")</f>
        <v>http://dx.doi.org/10.3389/feduc.2022.1016919</v>
      </c>
      <c r="BG1296" s="1"/>
      <c r="BH1296" s="1"/>
      <c r="BI1296" s="1"/>
      <c r="BJ1296" s="1"/>
      <c r="BK1296" s="1"/>
      <c r="BL1296" s="1"/>
      <c r="BM1296" s="1"/>
      <c r="BN1296" s="1"/>
      <c r="BO1296" s="1"/>
      <c r="BP1296" s="1"/>
      <c r="BQ1296" s="1"/>
      <c r="BR1296" s="1"/>
      <c r="BS1296" s="1" t="s">
        <v>8443</v>
      </c>
      <c r="BT1296" s="1" t="str">
        <f>HYPERLINK("https%3A%2F%2Fwww.webofscience.com%2Fwos%2Fwoscc%2Ffull-record%2FWOS:000890601600001","View Full Record in Web of Science")</f>
        <v>View Full Record in Web of Science</v>
      </c>
      <c r="BU1296" s="1"/>
      <c r="BV1296" s="1"/>
      <c r="BW1296" s="1"/>
    </row>
    <row r="1297" spans="1:75" ht="12.75" customHeight="1" x14ac:dyDescent="0.2">
      <c r="A1297" s="1" t="s">
        <v>72</v>
      </c>
      <c r="B1297" s="1" t="s">
        <v>8444</v>
      </c>
      <c r="C1297" s="1"/>
      <c r="D1297" s="1"/>
      <c r="E1297" s="1"/>
      <c r="F1297" s="1" t="s">
        <v>8445</v>
      </c>
      <c r="G1297" s="1"/>
      <c r="H1297" s="1"/>
      <c r="I1297" s="1" t="s">
        <v>8446</v>
      </c>
      <c r="J1297" s="1" t="s">
        <v>95</v>
      </c>
      <c r="K1297" s="1"/>
      <c r="L1297" s="1"/>
      <c r="M1297" s="1"/>
      <c r="N1297" s="1"/>
      <c r="O1297" s="1"/>
      <c r="P1297" s="1"/>
      <c r="Q1297" s="1"/>
      <c r="R1297" s="1"/>
      <c r="S1297" s="1"/>
      <c r="T1297" s="1"/>
      <c r="U1297" s="1"/>
      <c r="V1297" s="1"/>
      <c r="W1297" s="1"/>
      <c r="X1297" s="1"/>
      <c r="Y1297" s="1"/>
      <c r="Z1297" s="1"/>
      <c r="AA1297" s="1" t="s">
        <v>8364</v>
      </c>
      <c r="AB1297" s="1" t="s">
        <v>8447</v>
      </c>
      <c r="AC1297" s="1"/>
      <c r="AD1297" s="1"/>
      <c r="AE1297" s="1"/>
      <c r="AF1297" s="1"/>
      <c r="AG1297" s="1"/>
      <c r="AH1297" s="1"/>
      <c r="AI1297" s="1"/>
      <c r="AJ1297" s="1"/>
      <c r="AK1297" s="1"/>
      <c r="AL1297" s="1"/>
      <c r="AM1297" s="1"/>
      <c r="AN1297" s="1"/>
      <c r="AO1297" s="1" t="s">
        <v>98</v>
      </c>
      <c r="AP1297" s="1" t="s">
        <v>99</v>
      </c>
      <c r="AQ1297" s="1"/>
      <c r="AR1297" s="1"/>
      <c r="AS1297" s="1"/>
      <c r="AT1297" s="1"/>
      <c r="AU1297" s="1">
        <v>2021</v>
      </c>
      <c r="AV1297" s="1"/>
      <c r="AW1297" s="1">
        <v>1</v>
      </c>
      <c r="AX1297" s="1"/>
      <c r="AY1297" s="1"/>
      <c r="AZ1297" s="1"/>
      <c r="BA1297" s="1"/>
      <c r="BB1297" s="1">
        <v>6</v>
      </c>
      <c r="BC1297" s="1">
        <v>15</v>
      </c>
      <c r="BD1297" s="1"/>
      <c r="BE1297" s="1" t="s">
        <v>8448</v>
      </c>
      <c r="BF1297" s="1" t="str">
        <f>HYPERLINK("http://dx.doi.org/10.25750/1995-4301-2021-1-006-015","http://dx.doi.org/10.25750/1995-4301-2021-1-006-015")</f>
        <v>http://dx.doi.org/10.25750/1995-4301-2021-1-006-015</v>
      </c>
      <c r="BG1297" s="1"/>
      <c r="BH1297" s="1"/>
      <c r="BI1297" s="1"/>
      <c r="BJ1297" s="1"/>
      <c r="BK1297" s="1"/>
      <c r="BL1297" s="1"/>
      <c r="BM1297" s="1"/>
      <c r="BN1297" s="1"/>
      <c r="BO1297" s="1"/>
      <c r="BP1297" s="1"/>
      <c r="BQ1297" s="1"/>
      <c r="BR1297" s="1"/>
      <c r="BS1297" s="1" t="s">
        <v>8449</v>
      </c>
      <c r="BT1297" s="1" t="str">
        <f>HYPERLINK("https%3A%2F%2Fwww.webofscience.com%2Fwos%2Fwoscc%2Ffull-record%2FWOS:000632219100001","View Full Record in Web of Science")</f>
        <v>View Full Record in Web of Science</v>
      </c>
      <c r="BU1297" s="1"/>
      <c r="BV1297" s="1"/>
      <c r="BW1297" s="1"/>
    </row>
    <row r="1298" spans="1:75" ht="12.75" customHeight="1" x14ac:dyDescent="0.2">
      <c r="A1298" s="1" t="s">
        <v>72</v>
      </c>
      <c r="B1298" s="1" t="s">
        <v>8450</v>
      </c>
      <c r="C1298" s="1"/>
      <c r="D1298" s="1"/>
      <c r="E1298" s="1"/>
      <c r="F1298" s="1" t="s">
        <v>8451</v>
      </c>
      <c r="G1298" s="1"/>
      <c r="H1298" s="1"/>
      <c r="I1298" s="1" t="s">
        <v>8452</v>
      </c>
      <c r="J1298" s="1" t="s">
        <v>95</v>
      </c>
      <c r="K1298" s="1"/>
      <c r="L1298" s="1"/>
      <c r="M1298" s="1"/>
      <c r="N1298" s="1"/>
      <c r="O1298" s="1"/>
      <c r="P1298" s="1"/>
      <c r="Q1298" s="1"/>
      <c r="R1298" s="1"/>
      <c r="S1298" s="1"/>
      <c r="T1298" s="1"/>
      <c r="U1298" s="1"/>
      <c r="V1298" s="1"/>
      <c r="W1298" s="1"/>
      <c r="X1298" s="1"/>
      <c r="Y1298" s="1"/>
      <c r="Z1298" s="1"/>
      <c r="AA1298" s="1" t="s">
        <v>5529</v>
      </c>
      <c r="AB1298" s="1" t="s">
        <v>5530</v>
      </c>
      <c r="AC1298" s="1"/>
      <c r="AD1298" s="1"/>
      <c r="AE1298" s="1"/>
      <c r="AF1298" s="1"/>
      <c r="AG1298" s="1"/>
      <c r="AH1298" s="1"/>
      <c r="AI1298" s="1"/>
      <c r="AJ1298" s="1"/>
      <c r="AK1298" s="1"/>
      <c r="AL1298" s="1"/>
      <c r="AM1298" s="1"/>
      <c r="AN1298" s="1"/>
      <c r="AO1298" s="1" t="s">
        <v>98</v>
      </c>
      <c r="AP1298" s="1" t="s">
        <v>99</v>
      </c>
      <c r="AQ1298" s="1"/>
      <c r="AR1298" s="1"/>
      <c r="AS1298" s="1"/>
      <c r="AT1298" s="1"/>
      <c r="AU1298" s="1">
        <v>2018</v>
      </c>
      <c r="AV1298" s="1"/>
      <c r="AW1298" s="1">
        <v>3</v>
      </c>
      <c r="AX1298" s="1"/>
      <c r="AY1298" s="1"/>
      <c r="AZ1298" s="1"/>
      <c r="BA1298" s="1"/>
      <c r="BB1298" s="1">
        <v>78</v>
      </c>
      <c r="BC1298" s="1">
        <v>85</v>
      </c>
      <c r="BD1298" s="1"/>
      <c r="BE1298" s="1" t="s">
        <v>8453</v>
      </c>
      <c r="BF1298" s="1" t="str">
        <f>HYPERLINK("http://dx.doi.org/10.25750/1995-4301-2018-3-078-085","http://dx.doi.org/10.25750/1995-4301-2018-3-078-085")</f>
        <v>http://dx.doi.org/10.25750/1995-4301-2018-3-078-085</v>
      </c>
      <c r="BG1298" s="1"/>
      <c r="BH1298" s="1"/>
      <c r="BI1298" s="1"/>
      <c r="BJ1298" s="1"/>
      <c r="BK1298" s="1"/>
      <c r="BL1298" s="1"/>
      <c r="BM1298" s="1"/>
      <c r="BN1298" s="1"/>
      <c r="BO1298" s="1"/>
      <c r="BP1298" s="1"/>
      <c r="BQ1298" s="1"/>
      <c r="BR1298" s="1"/>
      <c r="BS1298" s="1" t="s">
        <v>8454</v>
      </c>
      <c r="BT1298" s="1" t="str">
        <f>HYPERLINK("https%3A%2F%2Fwww.webofscience.com%2Fwos%2Fwoscc%2Ffull-record%2FWOS:000468564900011","View Full Record in Web of Science")</f>
        <v>View Full Record in Web of Science</v>
      </c>
      <c r="BU1298" s="1"/>
      <c r="BV1298" s="1"/>
      <c r="BW1298" s="1"/>
    </row>
    <row r="1299" spans="1:75" ht="12.75" customHeight="1" x14ac:dyDescent="0.2">
      <c r="A1299" s="1" t="s">
        <v>72</v>
      </c>
      <c r="B1299" s="1" t="s">
        <v>8392</v>
      </c>
      <c r="C1299" s="1"/>
      <c r="D1299" s="1"/>
      <c r="E1299" s="1"/>
      <c r="F1299" s="1" t="s">
        <v>8455</v>
      </c>
      <c r="G1299" s="1"/>
      <c r="H1299" s="1"/>
      <c r="I1299" s="1" t="s">
        <v>8456</v>
      </c>
      <c r="J1299" s="1" t="s">
        <v>166</v>
      </c>
      <c r="K1299" s="1"/>
      <c r="L1299" s="1"/>
      <c r="M1299" s="1"/>
      <c r="N1299" s="1"/>
      <c r="O1299" s="1"/>
      <c r="P1299" s="1"/>
      <c r="Q1299" s="1"/>
      <c r="R1299" s="1"/>
      <c r="S1299" s="1"/>
      <c r="T1299" s="1"/>
      <c r="U1299" s="1"/>
      <c r="V1299" s="1"/>
      <c r="W1299" s="1"/>
      <c r="X1299" s="1"/>
      <c r="Y1299" s="1"/>
      <c r="Z1299" s="1"/>
      <c r="AA1299" s="1"/>
      <c r="AB1299" s="1" t="s">
        <v>6516</v>
      </c>
      <c r="AC1299" s="1"/>
      <c r="AD1299" s="1"/>
      <c r="AE1299" s="1"/>
      <c r="AF1299" s="1"/>
      <c r="AG1299" s="1"/>
      <c r="AH1299" s="1"/>
      <c r="AI1299" s="1"/>
      <c r="AJ1299" s="1"/>
      <c r="AK1299" s="1"/>
      <c r="AL1299" s="1"/>
      <c r="AM1299" s="1"/>
      <c r="AN1299" s="1"/>
      <c r="AO1299" s="1" t="s">
        <v>169</v>
      </c>
      <c r="AP1299" s="1" t="s">
        <v>170</v>
      </c>
      <c r="AQ1299" s="1"/>
      <c r="AR1299" s="1"/>
      <c r="AS1299" s="1"/>
      <c r="AT1299" s="1" t="s">
        <v>491</v>
      </c>
      <c r="AU1299" s="1">
        <v>2022</v>
      </c>
      <c r="AV1299" s="1">
        <v>11</v>
      </c>
      <c r="AW1299" s="1">
        <v>2</v>
      </c>
      <c r="AX1299" s="1"/>
      <c r="AY1299" s="1"/>
      <c r="AZ1299" s="1"/>
      <c r="BA1299" s="1"/>
      <c r="BB1299" s="1">
        <v>526</v>
      </c>
      <c r="BC1299" s="1">
        <v>541</v>
      </c>
      <c r="BD1299" s="1"/>
      <c r="BE1299" s="1" t="s">
        <v>8457</v>
      </c>
      <c r="BF1299" s="1" t="str">
        <f>HYPERLINK("http://dx.doi.org/10.13187/ejced.2022.2.526","http://dx.doi.org/10.13187/ejced.2022.2.526")</f>
        <v>http://dx.doi.org/10.13187/ejced.2022.2.526</v>
      </c>
      <c r="BG1299" s="1"/>
      <c r="BH1299" s="1"/>
      <c r="BI1299" s="1"/>
      <c r="BJ1299" s="1"/>
      <c r="BK1299" s="1"/>
      <c r="BL1299" s="1"/>
      <c r="BM1299" s="1"/>
      <c r="BN1299" s="1"/>
      <c r="BO1299" s="1"/>
      <c r="BP1299" s="1"/>
      <c r="BQ1299" s="1"/>
      <c r="BR1299" s="1"/>
      <c r="BS1299" s="1" t="s">
        <v>8458</v>
      </c>
      <c r="BT1299" s="1" t="str">
        <f>HYPERLINK("https%3A%2F%2Fwww.webofscience.com%2Fwos%2Fwoscc%2Ffull-record%2FWOS:000823569900017","View Full Record in Web of Science")</f>
        <v>View Full Record in Web of Science</v>
      </c>
      <c r="BU1299" s="1"/>
      <c r="BV1299" s="1"/>
      <c r="BW1299" s="1"/>
    </row>
    <row r="1300" spans="1:75" ht="12.75" customHeight="1" x14ac:dyDescent="0.2">
      <c r="A1300" s="1" t="s">
        <v>72</v>
      </c>
      <c r="B1300" s="1" t="s">
        <v>8459</v>
      </c>
      <c r="C1300" s="1"/>
      <c r="D1300" s="1"/>
      <c r="E1300" s="1"/>
      <c r="F1300" s="1" t="s">
        <v>8460</v>
      </c>
      <c r="G1300" s="1"/>
      <c r="H1300" s="1"/>
      <c r="I1300" s="1" t="s">
        <v>8461</v>
      </c>
      <c r="J1300" s="1" t="s">
        <v>8291</v>
      </c>
      <c r="K1300" s="1"/>
      <c r="L1300" s="1"/>
      <c r="M1300" s="1"/>
      <c r="N1300" s="1"/>
      <c r="O1300" s="1"/>
      <c r="P1300" s="1"/>
      <c r="Q1300" s="1"/>
      <c r="R1300" s="1"/>
      <c r="S1300" s="1"/>
      <c r="T1300" s="1"/>
      <c r="U1300" s="1"/>
      <c r="V1300" s="1"/>
      <c r="W1300" s="1"/>
      <c r="X1300" s="1"/>
      <c r="Y1300" s="1"/>
      <c r="Z1300" s="1"/>
      <c r="AA1300" s="1" t="s">
        <v>8462</v>
      </c>
      <c r="AB1300" s="1" t="s">
        <v>8463</v>
      </c>
      <c r="AC1300" s="1"/>
      <c r="AD1300" s="1"/>
      <c r="AE1300" s="1"/>
      <c r="AF1300" s="1"/>
      <c r="AG1300" s="1"/>
      <c r="AH1300" s="1"/>
      <c r="AI1300" s="1"/>
      <c r="AJ1300" s="1"/>
      <c r="AK1300" s="1"/>
      <c r="AL1300" s="1"/>
      <c r="AM1300" s="1"/>
      <c r="AN1300" s="1"/>
      <c r="AO1300" s="1" t="s">
        <v>8294</v>
      </c>
      <c r="AP1300" s="1" t="s">
        <v>8295</v>
      </c>
      <c r="AQ1300" s="1"/>
      <c r="AR1300" s="1"/>
      <c r="AS1300" s="1"/>
      <c r="AT1300" s="1" t="s">
        <v>171</v>
      </c>
      <c r="AU1300" s="1">
        <v>2017</v>
      </c>
      <c r="AV1300" s="1">
        <v>21</v>
      </c>
      <c r="AW1300" s="1">
        <v>3</v>
      </c>
      <c r="AX1300" s="1"/>
      <c r="AY1300" s="1"/>
      <c r="AZ1300" s="1"/>
      <c r="BA1300" s="1"/>
      <c r="BB1300" s="1">
        <v>683</v>
      </c>
      <c r="BC1300" s="1">
        <v>691</v>
      </c>
      <c r="BD1300" s="1"/>
      <c r="BE1300" s="1" t="s">
        <v>8464</v>
      </c>
      <c r="BF1300" s="1" t="str">
        <f>HYPERLINK("http://dx.doi.org/10.1007/s10008-016-3405-2","http://dx.doi.org/10.1007/s10008-016-3405-2")</f>
        <v>http://dx.doi.org/10.1007/s10008-016-3405-2</v>
      </c>
      <c r="BG1300" s="1"/>
      <c r="BH1300" s="1"/>
      <c r="BI1300" s="1"/>
      <c r="BJ1300" s="1"/>
      <c r="BK1300" s="1"/>
      <c r="BL1300" s="1"/>
      <c r="BM1300" s="1"/>
      <c r="BN1300" s="1"/>
      <c r="BO1300" s="1"/>
      <c r="BP1300" s="1"/>
      <c r="BQ1300" s="1"/>
      <c r="BR1300" s="1"/>
      <c r="BS1300" s="1" t="s">
        <v>8465</v>
      </c>
      <c r="BT1300" s="1" t="str">
        <f>HYPERLINK("https%3A%2F%2Fwww.webofscience.com%2Fwos%2Fwoscc%2Ffull-record%2FWOS:000394379600007","View Full Record in Web of Science")</f>
        <v>View Full Record in Web of Science</v>
      </c>
      <c r="BU1300" s="1"/>
      <c r="BV1300" s="1"/>
      <c r="BW1300" s="1"/>
    </row>
    <row r="1301" spans="1:75" ht="12.75" customHeight="1" x14ac:dyDescent="0.2">
      <c r="A1301" s="1" t="s">
        <v>72</v>
      </c>
      <c r="B1301" s="1" t="s">
        <v>8466</v>
      </c>
      <c r="C1301" s="1"/>
      <c r="D1301" s="1"/>
      <c r="E1301" s="1"/>
      <c r="F1301" s="1" t="s">
        <v>8467</v>
      </c>
      <c r="G1301" s="1"/>
      <c r="H1301" s="1"/>
      <c r="I1301" s="1" t="s">
        <v>8468</v>
      </c>
      <c r="J1301" s="1" t="s">
        <v>8469</v>
      </c>
      <c r="K1301" s="1"/>
      <c r="L1301" s="1"/>
      <c r="M1301" s="1"/>
      <c r="N1301" s="1"/>
      <c r="O1301" s="1"/>
      <c r="P1301" s="1"/>
      <c r="Q1301" s="1"/>
      <c r="R1301" s="1"/>
      <c r="S1301" s="1"/>
      <c r="T1301" s="1"/>
      <c r="U1301" s="1"/>
      <c r="V1301" s="1"/>
      <c r="W1301" s="1"/>
      <c r="X1301" s="1"/>
      <c r="Y1301" s="1"/>
      <c r="Z1301" s="1"/>
      <c r="AA1301" s="1" t="s">
        <v>8470</v>
      </c>
      <c r="AB1301" s="1" t="s">
        <v>8471</v>
      </c>
      <c r="AC1301" s="1"/>
      <c r="AD1301" s="1"/>
      <c r="AE1301" s="1"/>
      <c r="AF1301" s="1"/>
      <c r="AG1301" s="1"/>
      <c r="AH1301" s="1"/>
      <c r="AI1301" s="1"/>
      <c r="AJ1301" s="1"/>
      <c r="AK1301" s="1"/>
      <c r="AL1301" s="1"/>
      <c r="AM1301" s="1"/>
      <c r="AN1301" s="1"/>
      <c r="AO1301" s="1" t="s">
        <v>8472</v>
      </c>
      <c r="AP1301" s="1" t="s">
        <v>8473</v>
      </c>
      <c r="AQ1301" s="1"/>
      <c r="AR1301" s="1"/>
      <c r="AS1301" s="1"/>
      <c r="AT1301" s="1" t="s">
        <v>8474</v>
      </c>
      <c r="AU1301" s="1">
        <v>2020</v>
      </c>
      <c r="AV1301" s="1">
        <v>99</v>
      </c>
      <c r="AW1301" s="1"/>
      <c r="AX1301" s="1"/>
      <c r="AY1301" s="1"/>
      <c r="AZ1301" s="1"/>
      <c r="BA1301" s="1"/>
      <c r="BB1301" s="1"/>
      <c r="BC1301" s="1"/>
      <c r="BD1301" s="1">
        <v>109504</v>
      </c>
      <c r="BE1301" s="1" t="s">
        <v>8475</v>
      </c>
      <c r="BF1301" s="1" t="str">
        <f>HYPERLINK("http://dx.doi.org/10.1016/j.jbiomech.2019.109504","http://dx.doi.org/10.1016/j.jbiomech.2019.109504")</f>
        <v>http://dx.doi.org/10.1016/j.jbiomech.2019.109504</v>
      </c>
      <c r="BG1301" s="1"/>
      <c r="BH1301" s="1"/>
      <c r="BI1301" s="1"/>
      <c r="BJ1301" s="1"/>
      <c r="BK1301" s="1"/>
      <c r="BL1301" s="1"/>
      <c r="BM1301" s="1"/>
      <c r="BN1301" s="1">
        <v>31753213</v>
      </c>
      <c r="BO1301" s="1"/>
      <c r="BP1301" s="1"/>
      <c r="BQ1301" s="1"/>
      <c r="BR1301" s="1"/>
      <c r="BS1301" s="1" t="s">
        <v>8476</v>
      </c>
      <c r="BT1301" s="1" t="str">
        <f>HYPERLINK("https%3A%2F%2Fwww.webofscience.com%2Fwos%2Fwoscc%2Ffull-record%2FWOS:000513294600016","View Full Record in Web of Science")</f>
        <v>View Full Record in Web of Science</v>
      </c>
      <c r="BU1301" s="1"/>
      <c r="BV1301" s="1"/>
      <c r="BW1301" s="1"/>
    </row>
    <row r="1302" spans="1:75" ht="12.75" customHeight="1" x14ac:dyDescent="0.2">
      <c r="A1302" s="1" t="s">
        <v>72</v>
      </c>
      <c r="B1302" s="1" t="s">
        <v>8477</v>
      </c>
      <c r="C1302" s="1"/>
      <c r="D1302" s="1"/>
      <c r="E1302" s="1"/>
      <c r="F1302" s="1" t="s">
        <v>8478</v>
      </c>
      <c r="G1302" s="1"/>
      <c r="H1302" s="1"/>
      <c r="I1302" s="1" t="s">
        <v>8479</v>
      </c>
      <c r="J1302" s="1" t="s">
        <v>131</v>
      </c>
      <c r="K1302" s="1"/>
      <c r="L1302" s="1"/>
      <c r="M1302" s="1"/>
      <c r="N1302" s="1"/>
      <c r="O1302" s="1"/>
      <c r="P1302" s="1"/>
      <c r="Q1302" s="1"/>
      <c r="R1302" s="1"/>
      <c r="S1302" s="1"/>
      <c r="T1302" s="1"/>
      <c r="U1302" s="1"/>
      <c r="V1302" s="1"/>
      <c r="W1302" s="1"/>
      <c r="X1302" s="1"/>
      <c r="Y1302" s="1"/>
      <c r="Z1302" s="1"/>
      <c r="AA1302" s="1" t="s">
        <v>8480</v>
      </c>
      <c r="AB1302" s="1" t="s">
        <v>8481</v>
      </c>
      <c r="AC1302" s="1"/>
      <c r="AD1302" s="1"/>
      <c r="AE1302" s="1"/>
      <c r="AF1302" s="1"/>
      <c r="AG1302" s="1"/>
      <c r="AH1302" s="1"/>
      <c r="AI1302" s="1"/>
      <c r="AJ1302" s="1"/>
      <c r="AK1302" s="1"/>
      <c r="AL1302" s="1"/>
      <c r="AM1302" s="1"/>
      <c r="AN1302" s="1"/>
      <c r="AO1302" s="1" t="s">
        <v>134</v>
      </c>
      <c r="AP1302" s="1" t="s">
        <v>135</v>
      </c>
      <c r="AQ1302" s="1"/>
      <c r="AR1302" s="1"/>
      <c r="AS1302" s="1"/>
      <c r="AT1302" s="1"/>
      <c r="AU1302" s="1">
        <v>2020</v>
      </c>
      <c r="AV1302" s="1">
        <v>20</v>
      </c>
      <c r="AW1302" s="1"/>
      <c r="AX1302" s="1"/>
      <c r="AY1302" s="1">
        <v>1</v>
      </c>
      <c r="AZ1302" s="1"/>
      <c r="BA1302" s="1"/>
      <c r="BB1302" s="1">
        <v>109</v>
      </c>
      <c r="BC1302" s="1">
        <v>115</v>
      </c>
      <c r="BD1302" s="1"/>
      <c r="BE1302" s="1" t="s">
        <v>8482</v>
      </c>
      <c r="BF1302" s="1" t="str">
        <f>HYPERLINK("http://dx.doi.org/10.14529/hsm20s114","http://dx.doi.org/10.14529/hsm20s114")</f>
        <v>http://dx.doi.org/10.14529/hsm20s114</v>
      </c>
      <c r="BG1302" s="1"/>
      <c r="BH1302" s="1"/>
      <c r="BI1302" s="1"/>
      <c r="BJ1302" s="1"/>
      <c r="BK1302" s="1"/>
      <c r="BL1302" s="1"/>
      <c r="BM1302" s="1"/>
      <c r="BN1302" s="1"/>
      <c r="BO1302" s="1"/>
      <c r="BP1302" s="1"/>
      <c r="BQ1302" s="1"/>
      <c r="BR1302" s="1"/>
      <c r="BS1302" s="1" t="s">
        <v>8483</v>
      </c>
      <c r="BT1302" s="1" t="str">
        <f>HYPERLINK("https%3A%2F%2Fwww.webofscience.com%2Fwos%2Fwoscc%2Ffull-record%2FWOS:000581820600014","View Full Record in Web of Science")</f>
        <v>View Full Record in Web of Science</v>
      </c>
      <c r="BU1302" s="1"/>
      <c r="BV1302" s="1"/>
      <c r="BW1302" s="1"/>
    </row>
    <row r="1303" spans="1:75" ht="12.75" customHeight="1" x14ac:dyDescent="0.2">
      <c r="A1303" s="1" t="s">
        <v>72</v>
      </c>
      <c r="B1303" s="1" t="s">
        <v>8484</v>
      </c>
      <c r="C1303" s="1"/>
      <c r="D1303" s="1"/>
      <c r="E1303" s="1"/>
      <c r="F1303" s="1" t="s">
        <v>8485</v>
      </c>
      <c r="G1303" s="1"/>
      <c r="H1303" s="1"/>
      <c r="I1303" s="1" t="s">
        <v>8486</v>
      </c>
      <c r="J1303" s="1" t="s">
        <v>8487</v>
      </c>
      <c r="K1303" s="1"/>
      <c r="L1303" s="1"/>
      <c r="M1303" s="1"/>
      <c r="N1303" s="1"/>
      <c r="O1303" s="1"/>
      <c r="P1303" s="1"/>
      <c r="Q1303" s="1"/>
      <c r="R1303" s="1"/>
      <c r="S1303" s="1"/>
      <c r="T1303" s="1"/>
      <c r="U1303" s="1"/>
      <c r="V1303" s="1"/>
      <c r="W1303" s="1"/>
      <c r="X1303" s="1"/>
      <c r="Y1303" s="1"/>
      <c r="Z1303" s="1"/>
      <c r="AA1303" s="1" t="s">
        <v>6729</v>
      </c>
      <c r="AB1303" s="1" t="s">
        <v>8488</v>
      </c>
      <c r="AC1303" s="1"/>
      <c r="AD1303" s="1"/>
      <c r="AE1303" s="1"/>
      <c r="AF1303" s="1"/>
      <c r="AG1303" s="1"/>
      <c r="AH1303" s="1"/>
      <c r="AI1303" s="1"/>
      <c r="AJ1303" s="1"/>
      <c r="AK1303" s="1"/>
      <c r="AL1303" s="1"/>
      <c r="AM1303" s="1"/>
      <c r="AN1303" s="1"/>
      <c r="AO1303" s="1" t="s">
        <v>8489</v>
      </c>
      <c r="AP1303" s="1" t="s">
        <v>8490</v>
      </c>
      <c r="AQ1303" s="1"/>
      <c r="AR1303" s="1"/>
      <c r="AS1303" s="1"/>
      <c r="AT1303" s="1"/>
      <c r="AU1303" s="1">
        <v>2017</v>
      </c>
      <c r="AV1303" s="1">
        <v>6</v>
      </c>
      <c r="AW1303" s="1">
        <v>12</v>
      </c>
      <c r="AX1303" s="1"/>
      <c r="AY1303" s="1"/>
      <c r="AZ1303" s="1"/>
      <c r="BA1303" s="1"/>
      <c r="BB1303" s="1" t="s">
        <v>8491</v>
      </c>
      <c r="BC1303" s="1" t="s">
        <v>8492</v>
      </c>
      <c r="BD1303" s="1"/>
      <c r="BE1303" s="1" t="s">
        <v>8493</v>
      </c>
      <c r="BF1303" s="1" t="str">
        <f>HYPERLINK("http://dx.doi.org/10.1149/2.0071712jss","http://dx.doi.org/10.1149/2.0071712jss")</f>
        <v>http://dx.doi.org/10.1149/2.0071712jss</v>
      </c>
      <c r="BG1303" s="1"/>
      <c r="BH1303" s="1"/>
      <c r="BI1303" s="1"/>
      <c r="BJ1303" s="1"/>
      <c r="BK1303" s="1"/>
      <c r="BL1303" s="1"/>
      <c r="BM1303" s="1"/>
      <c r="BN1303" s="1"/>
      <c r="BO1303" s="1"/>
      <c r="BP1303" s="1"/>
      <c r="BQ1303" s="1"/>
      <c r="BR1303" s="1"/>
      <c r="BS1303" s="1" t="s">
        <v>8494</v>
      </c>
      <c r="BT1303" s="1" t="str">
        <f>HYPERLINK("https%3A%2F%2Fwww.webofscience.com%2Fwos%2Fwoscc%2Ffull-record%2FWOS:000419175500012","View Full Record in Web of Science")</f>
        <v>View Full Record in Web of Science</v>
      </c>
      <c r="BU1303" s="1"/>
      <c r="BV1303" s="1"/>
      <c r="BW1303" s="1"/>
    </row>
    <row r="1304" spans="1:75" ht="12.75" customHeight="1" x14ac:dyDescent="0.2">
      <c r="A1304" s="1" t="s">
        <v>72</v>
      </c>
      <c r="B1304" s="1" t="s">
        <v>8495</v>
      </c>
      <c r="C1304" s="1"/>
      <c r="D1304" s="1"/>
      <c r="E1304" s="1"/>
      <c r="F1304" s="1" t="s">
        <v>8496</v>
      </c>
      <c r="G1304" s="1"/>
      <c r="H1304" s="1"/>
      <c r="I1304" s="1" t="s">
        <v>8497</v>
      </c>
      <c r="J1304" s="1" t="s">
        <v>793</v>
      </c>
      <c r="K1304" s="1"/>
      <c r="L1304" s="1"/>
      <c r="M1304" s="1"/>
      <c r="N1304" s="1"/>
      <c r="O1304" s="1"/>
      <c r="P1304" s="1"/>
      <c r="Q1304" s="1"/>
      <c r="R1304" s="1"/>
      <c r="S1304" s="1"/>
      <c r="T1304" s="1"/>
      <c r="U1304" s="1"/>
      <c r="V1304" s="1"/>
      <c r="W1304" s="1"/>
      <c r="X1304" s="1"/>
      <c r="Y1304" s="1"/>
      <c r="Z1304" s="1"/>
      <c r="AA1304" s="1" t="s">
        <v>8498</v>
      </c>
      <c r="AB1304" s="1" t="s">
        <v>8499</v>
      </c>
      <c r="AC1304" s="1"/>
      <c r="AD1304" s="1"/>
      <c r="AE1304" s="1"/>
      <c r="AF1304" s="1"/>
      <c r="AG1304" s="1"/>
      <c r="AH1304" s="1"/>
      <c r="AI1304" s="1"/>
      <c r="AJ1304" s="1"/>
      <c r="AK1304" s="1"/>
      <c r="AL1304" s="1"/>
      <c r="AM1304" s="1"/>
      <c r="AN1304" s="1"/>
      <c r="AO1304" s="1" t="s">
        <v>795</v>
      </c>
      <c r="AP1304" s="1" t="s">
        <v>796</v>
      </c>
      <c r="AQ1304" s="1"/>
      <c r="AR1304" s="1"/>
      <c r="AS1304" s="1"/>
      <c r="AT1304" s="1" t="s">
        <v>319</v>
      </c>
      <c r="AU1304" s="1">
        <v>2015</v>
      </c>
      <c r="AV1304" s="1">
        <v>8</v>
      </c>
      <c r="AW1304" s="1">
        <v>6</v>
      </c>
      <c r="AX1304" s="1"/>
      <c r="AY1304" s="1"/>
      <c r="AZ1304" s="1"/>
      <c r="BA1304" s="1"/>
      <c r="BB1304" s="1">
        <v>798</v>
      </c>
      <c r="BC1304" s="1">
        <v>803</v>
      </c>
      <c r="BD1304" s="1"/>
      <c r="BE1304" s="1" t="s">
        <v>8500</v>
      </c>
      <c r="BF1304" s="1" t="str">
        <f>HYPERLINK("http://dx.doi.org/10.1134/S1995425515060189","http://dx.doi.org/10.1134/S1995425515060189")</f>
        <v>http://dx.doi.org/10.1134/S1995425515060189</v>
      </c>
      <c r="BG1304" s="1"/>
      <c r="BH1304" s="1"/>
      <c r="BI1304" s="1"/>
      <c r="BJ1304" s="1"/>
      <c r="BK1304" s="1"/>
      <c r="BL1304" s="1"/>
      <c r="BM1304" s="1"/>
      <c r="BN1304" s="1"/>
      <c r="BO1304" s="1"/>
      <c r="BP1304" s="1"/>
      <c r="BQ1304" s="1"/>
      <c r="BR1304" s="1"/>
      <c r="BS1304" s="1" t="s">
        <v>8501</v>
      </c>
      <c r="BT1304" s="1" t="str">
        <f>HYPERLINK("https%3A%2F%2Fwww.webofscience.com%2Fwos%2Fwoscc%2Ffull-record%2FWOS:000366640300016","View Full Record in Web of Science")</f>
        <v>View Full Record in Web of Science</v>
      </c>
      <c r="BU1304" s="1"/>
      <c r="BV1304" s="1"/>
      <c r="BW1304" s="1"/>
    </row>
    <row r="1305" spans="1:75" ht="12.75" customHeight="1" x14ac:dyDescent="0.2">
      <c r="A1305" s="1" t="s">
        <v>72</v>
      </c>
      <c r="B1305" s="1" t="s">
        <v>8502</v>
      </c>
      <c r="C1305" s="1"/>
      <c r="D1305" s="1"/>
      <c r="E1305" s="1"/>
      <c r="F1305" s="1" t="s">
        <v>8503</v>
      </c>
      <c r="G1305" s="1"/>
      <c r="H1305" s="1"/>
      <c r="I1305" s="1" t="s">
        <v>8504</v>
      </c>
      <c r="J1305" s="1" t="s">
        <v>7842</v>
      </c>
      <c r="K1305" s="1"/>
      <c r="L1305" s="1"/>
      <c r="M1305" s="1"/>
      <c r="N1305" s="1"/>
      <c r="O1305" s="1"/>
      <c r="P1305" s="1"/>
      <c r="Q1305" s="1"/>
      <c r="R1305" s="1"/>
      <c r="S1305" s="1"/>
      <c r="T1305" s="1"/>
      <c r="U1305" s="1"/>
      <c r="V1305" s="1"/>
      <c r="W1305" s="1"/>
      <c r="X1305" s="1"/>
      <c r="Y1305" s="1"/>
      <c r="Z1305" s="1"/>
      <c r="AA1305" s="1" t="s">
        <v>8505</v>
      </c>
      <c r="AB1305" s="1" t="s">
        <v>8506</v>
      </c>
      <c r="AC1305" s="1"/>
      <c r="AD1305" s="1"/>
      <c r="AE1305" s="1"/>
      <c r="AF1305" s="1"/>
      <c r="AG1305" s="1"/>
      <c r="AH1305" s="1"/>
      <c r="AI1305" s="1"/>
      <c r="AJ1305" s="1"/>
      <c r="AK1305" s="1"/>
      <c r="AL1305" s="1"/>
      <c r="AM1305" s="1"/>
      <c r="AN1305" s="1"/>
      <c r="AO1305" s="1" t="s">
        <v>7845</v>
      </c>
      <c r="AP1305" s="1"/>
      <c r="AQ1305" s="1"/>
      <c r="AR1305" s="1"/>
      <c r="AS1305" s="1"/>
      <c r="AT1305" s="1" t="s">
        <v>7846</v>
      </c>
      <c r="AU1305" s="1">
        <v>2022</v>
      </c>
      <c r="AV1305" s="1">
        <v>12</v>
      </c>
      <c r="AW1305" s="1"/>
      <c r="AX1305" s="1"/>
      <c r="AY1305" s="1"/>
      <c r="AZ1305" s="1" t="s">
        <v>339</v>
      </c>
      <c r="BA1305" s="1"/>
      <c r="BB1305" s="1"/>
      <c r="BC1305" s="1"/>
      <c r="BD1305" s="1"/>
      <c r="BE1305" s="1"/>
      <c r="BF1305" s="1"/>
      <c r="BG1305" s="1"/>
      <c r="BH1305" s="1"/>
      <c r="BI1305" s="1"/>
      <c r="BJ1305" s="1"/>
      <c r="BK1305" s="1"/>
      <c r="BL1305" s="1"/>
      <c r="BM1305" s="1"/>
      <c r="BN1305" s="1"/>
      <c r="BO1305" s="1"/>
      <c r="BP1305" s="1"/>
      <c r="BQ1305" s="1"/>
      <c r="BR1305" s="1"/>
      <c r="BS1305" s="1" t="s">
        <v>8507</v>
      </c>
      <c r="BT1305" s="1" t="str">
        <f>HYPERLINK("https%3A%2F%2Fwww.webofscience.com%2Fwos%2Fwoscc%2Ffull-record%2FWOS:000934358700003","View Full Record in Web of Science")</f>
        <v>View Full Record in Web of Science</v>
      </c>
      <c r="BU1305" s="1"/>
      <c r="BV1305" s="1"/>
      <c r="BW1305" s="1"/>
    </row>
    <row r="1306" spans="1:75" ht="12.75" customHeight="1" x14ac:dyDescent="0.2">
      <c r="A1306" s="1" t="s">
        <v>72</v>
      </c>
      <c r="B1306" s="1" t="s">
        <v>8392</v>
      </c>
      <c r="C1306" s="1"/>
      <c r="D1306" s="1"/>
      <c r="E1306" s="1"/>
      <c r="F1306" s="1" t="s">
        <v>8508</v>
      </c>
      <c r="G1306" s="1"/>
      <c r="H1306" s="1"/>
      <c r="I1306" s="1" t="s">
        <v>8509</v>
      </c>
      <c r="J1306" s="1" t="s">
        <v>166</v>
      </c>
      <c r="K1306" s="1"/>
      <c r="L1306" s="1"/>
      <c r="M1306" s="1"/>
      <c r="N1306" s="1"/>
      <c r="O1306" s="1"/>
      <c r="P1306" s="1"/>
      <c r="Q1306" s="1"/>
      <c r="R1306" s="1"/>
      <c r="S1306" s="1"/>
      <c r="T1306" s="1"/>
      <c r="U1306" s="1"/>
      <c r="V1306" s="1"/>
      <c r="W1306" s="1"/>
      <c r="X1306" s="1"/>
      <c r="Y1306" s="1"/>
      <c r="Z1306" s="1"/>
      <c r="AA1306" s="1"/>
      <c r="AB1306" s="1" t="s">
        <v>6516</v>
      </c>
      <c r="AC1306" s="1"/>
      <c r="AD1306" s="1"/>
      <c r="AE1306" s="1"/>
      <c r="AF1306" s="1"/>
      <c r="AG1306" s="1"/>
      <c r="AH1306" s="1"/>
      <c r="AI1306" s="1"/>
      <c r="AJ1306" s="1"/>
      <c r="AK1306" s="1"/>
      <c r="AL1306" s="1"/>
      <c r="AM1306" s="1"/>
      <c r="AN1306" s="1"/>
      <c r="AO1306" s="1" t="s">
        <v>169</v>
      </c>
      <c r="AP1306" s="1" t="s">
        <v>170</v>
      </c>
      <c r="AQ1306" s="1"/>
      <c r="AR1306" s="1"/>
      <c r="AS1306" s="1"/>
      <c r="AT1306" s="1" t="s">
        <v>830</v>
      </c>
      <c r="AU1306" s="1">
        <v>2022</v>
      </c>
      <c r="AV1306" s="1">
        <v>11</v>
      </c>
      <c r="AW1306" s="1">
        <v>3</v>
      </c>
      <c r="AX1306" s="1"/>
      <c r="AY1306" s="1"/>
      <c r="AZ1306" s="1"/>
      <c r="BA1306" s="1"/>
      <c r="BB1306" s="1">
        <v>898</v>
      </c>
      <c r="BC1306" s="1">
        <v>913</v>
      </c>
      <c r="BD1306" s="1"/>
      <c r="BE1306" s="1" t="s">
        <v>8510</v>
      </c>
      <c r="BF1306" s="1" t="str">
        <f>HYPERLINK("http://dx.doi.org/10.13187/ejced.2022.3.898","http://dx.doi.org/10.13187/ejced.2022.3.898")</f>
        <v>http://dx.doi.org/10.13187/ejced.2022.3.898</v>
      </c>
      <c r="BG1306" s="1"/>
      <c r="BH1306" s="1"/>
      <c r="BI1306" s="1"/>
      <c r="BJ1306" s="1"/>
      <c r="BK1306" s="1"/>
      <c r="BL1306" s="1"/>
      <c r="BM1306" s="1"/>
      <c r="BN1306" s="1"/>
      <c r="BO1306" s="1"/>
      <c r="BP1306" s="1"/>
      <c r="BQ1306" s="1"/>
      <c r="BR1306" s="1"/>
      <c r="BS1306" s="1" t="s">
        <v>8511</v>
      </c>
      <c r="BT1306" s="1" t="str">
        <f>HYPERLINK("https%3A%2F%2Fwww.webofscience.com%2Fwos%2Fwoscc%2Ffull-record%2FWOS:000862890700018","View Full Record in Web of Science")</f>
        <v>View Full Record in Web of Science</v>
      </c>
      <c r="BU1306" s="1"/>
      <c r="BV1306" s="1"/>
      <c r="BW1306" s="1"/>
    </row>
    <row r="1307" spans="1:75" ht="12.75" customHeight="1" x14ac:dyDescent="0.2">
      <c r="A1307" s="1" t="s">
        <v>72</v>
      </c>
      <c r="B1307" s="1" t="s">
        <v>8512</v>
      </c>
      <c r="C1307" s="1"/>
      <c r="D1307" s="1"/>
      <c r="E1307" s="1"/>
      <c r="F1307" s="1" t="s">
        <v>8513</v>
      </c>
      <c r="G1307" s="1"/>
      <c r="H1307" s="1"/>
      <c r="I1307" s="1" t="s">
        <v>8514</v>
      </c>
      <c r="J1307" s="1" t="s">
        <v>95</v>
      </c>
      <c r="K1307" s="1"/>
      <c r="L1307" s="1"/>
      <c r="M1307" s="1"/>
      <c r="N1307" s="1"/>
      <c r="O1307" s="1"/>
      <c r="P1307" s="1"/>
      <c r="Q1307" s="1"/>
      <c r="R1307" s="1"/>
      <c r="S1307" s="1"/>
      <c r="T1307" s="1"/>
      <c r="U1307" s="1"/>
      <c r="V1307" s="1"/>
      <c r="W1307" s="1"/>
      <c r="X1307" s="1"/>
      <c r="Y1307" s="1"/>
      <c r="Z1307" s="1"/>
      <c r="AA1307" s="1" t="s">
        <v>8515</v>
      </c>
      <c r="AB1307" s="1" t="s">
        <v>8516</v>
      </c>
      <c r="AC1307" s="1"/>
      <c r="AD1307" s="1"/>
      <c r="AE1307" s="1"/>
      <c r="AF1307" s="1"/>
      <c r="AG1307" s="1"/>
      <c r="AH1307" s="1"/>
      <c r="AI1307" s="1"/>
      <c r="AJ1307" s="1"/>
      <c r="AK1307" s="1"/>
      <c r="AL1307" s="1"/>
      <c r="AM1307" s="1"/>
      <c r="AN1307" s="1"/>
      <c r="AO1307" s="1" t="s">
        <v>98</v>
      </c>
      <c r="AP1307" s="1" t="s">
        <v>99</v>
      </c>
      <c r="AQ1307" s="1"/>
      <c r="AR1307" s="1"/>
      <c r="AS1307" s="1"/>
      <c r="AT1307" s="1"/>
      <c r="AU1307" s="1">
        <v>2022</v>
      </c>
      <c r="AV1307" s="1"/>
      <c r="AW1307" s="1">
        <v>4</v>
      </c>
      <c r="AX1307" s="1"/>
      <c r="AY1307" s="1"/>
      <c r="AZ1307" s="1"/>
      <c r="BA1307" s="1"/>
      <c r="BB1307" s="1">
        <v>196</v>
      </c>
      <c r="BC1307" s="1">
        <v>203</v>
      </c>
      <c r="BD1307" s="1"/>
      <c r="BE1307" s="1" t="s">
        <v>8517</v>
      </c>
      <c r="BF1307" s="1" t="str">
        <f>HYPERLINK("http://dx.doi.org/10.25750/1995-4301-2022-4-196-203","http://dx.doi.org/10.25750/1995-4301-2022-4-196-203")</f>
        <v>http://dx.doi.org/10.25750/1995-4301-2022-4-196-203</v>
      </c>
      <c r="BG1307" s="1"/>
      <c r="BH1307" s="1"/>
      <c r="BI1307" s="1"/>
      <c r="BJ1307" s="1"/>
      <c r="BK1307" s="1"/>
      <c r="BL1307" s="1"/>
      <c r="BM1307" s="1"/>
      <c r="BN1307" s="1"/>
      <c r="BO1307" s="1"/>
      <c r="BP1307" s="1"/>
      <c r="BQ1307" s="1"/>
      <c r="BR1307" s="1"/>
      <c r="BS1307" s="1" t="s">
        <v>8518</v>
      </c>
      <c r="BT1307" s="1" t="str">
        <f>HYPERLINK("https%3A%2F%2Fwww.webofscience.com%2Fwos%2Fwoscc%2Ffull-record%2FWOS:000929704700027","View Full Record in Web of Science")</f>
        <v>View Full Record in Web of Science</v>
      </c>
      <c r="BU1307" s="1"/>
      <c r="BV1307" s="1"/>
      <c r="BW1307" s="1"/>
    </row>
    <row r="1308" spans="1:75" ht="12.75" customHeight="1" x14ac:dyDescent="0.2">
      <c r="A1308" s="1" t="s">
        <v>72</v>
      </c>
      <c r="B1308" s="1" t="s">
        <v>8519</v>
      </c>
      <c r="C1308" s="1"/>
      <c r="D1308" s="1"/>
      <c r="E1308" s="1"/>
      <c r="F1308" s="1" t="s">
        <v>8520</v>
      </c>
      <c r="G1308" s="1"/>
      <c r="H1308" s="1"/>
      <c r="I1308" s="1" t="s">
        <v>8521</v>
      </c>
      <c r="J1308" s="1" t="s">
        <v>685</v>
      </c>
      <c r="K1308" s="1"/>
      <c r="L1308" s="1"/>
      <c r="M1308" s="1"/>
      <c r="N1308" s="1"/>
      <c r="O1308" s="1"/>
      <c r="P1308" s="1"/>
      <c r="Q1308" s="1"/>
      <c r="R1308" s="1"/>
      <c r="S1308" s="1"/>
      <c r="T1308" s="1"/>
      <c r="U1308" s="1"/>
      <c r="V1308" s="1"/>
      <c r="W1308" s="1"/>
      <c r="X1308" s="1"/>
      <c r="Y1308" s="1"/>
      <c r="Z1308" s="1"/>
      <c r="AA1308" s="1" t="s">
        <v>7251</v>
      </c>
      <c r="AB1308" s="1" t="s">
        <v>6972</v>
      </c>
      <c r="AC1308" s="1"/>
      <c r="AD1308" s="1"/>
      <c r="AE1308" s="1"/>
      <c r="AF1308" s="1"/>
      <c r="AG1308" s="1"/>
      <c r="AH1308" s="1"/>
      <c r="AI1308" s="1"/>
      <c r="AJ1308" s="1"/>
      <c r="AK1308" s="1"/>
      <c r="AL1308" s="1"/>
      <c r="AM1308" s="1"/>
      <c r="AN1308" s="1"/>
      <c r="AO1308" s="1" t="s">
        <v>687</v>
      </c>
      <c r="AP1308" s="1" t="s">
        <v>688</v>
      </c>
      <c r="AQ1308" s="1"/>
      <c r="AR1308" s="1"/>
      <c r="AS1308" s="1"/>
      <c r="AT1308" s="1" t="s">
        <v>403</v>
      </c>
      <c r="AU1308" s="1">
        <v>2022</v>
      </c>
      <c r="AV1308" s="1">
        <v>49</v>
      </c>
      <c r="AW1308" s="1">
        <v>6</v>
      </c>
      <c r="AX1308" s="1"/>
      <c r="AY1308" s="1"/>
      <c r="AZ1308" s="1"/>
      <c r="BA1308" s="1"/>
      <c r="BB1308" s="1">
        <v>713</v>
      </c>
      <c r="BC1308" s="1">
        <v>720</v>
      </c>
      <c r="BD1308" s="1"/>
      <c r="BE1308" s="1" t="s">
        <v>8522</v>
      </c>
      <c r="BF1308" s="1" t="str">
        <f>HYPERLINK("http://dx.doi.org/10.1134/S1062359022010137","http://dx.doi.org/10.1134/S1062359022010137")</f>
        <v>http://dx.doi.org/10.1134/S1062359022010137</v>
      </c>
      <c r="BG1308" s="1"/>
      <c r="BH1308" s="1"/>
      <c r="BI1308" s="1"/>
      <c r="BJ1308" s="1"/>
      <c r="BK1308" s="1"/>
      <c r="BL1308" s="1"/>
      <c r="BM1308" s="1"/>
      <c r="BN1308" s="1"/>
      <c r="BO1308" s="1"/>
      <c r="BP1308" s="1"/>
      <c r="BQ1308" s="1"/>
      <c r="BR1308" s="1"/>
      <c r="BS1308" s="1" t="s">
        <v>8523</v>
      </c>
      <c r="BT1308" s="1" t="str">
        <f>HYPERLINK("https%3A%2F%2Fwww.webofscience.com%2Fwos%2Fwoscc%2Ffull-record%2FWOS:000901195000017","View Full Record in Web of Science")</f>
        <v>View Full Record in Web of Science</v>
      </c>
      <c r="BU1308" s="1"/>
      <c r="BV1308" s="1"/>
      <c r="BW1308" s="1"/>
    </row>
    <row r="1309" spans="1:75" ht="12.75" customHeight="1" x14ac:dyDescent="0.2">
      <c r="A1309" s="1" t="s">
        <v>72</v>
      </c>
      <c r="B1309" s="1" t="s">
        <v>8524</v>
      </c>
      <c r="C1309" s="1"/>
      <c r="D1309" s="1"/>
      <c r="E1309" s="1"/>
      <c r="F1309" s="1" t="s">
        <v>8525</v>
      </c>
      <c r="G1309" s="1"/>
      <c r="H1309" s="1"/>
      <c r="I1309" s="1" t="s">
        <v>8526</v>
      </c>
      <c r="J1309" s="1" t="s">
        <v>6054</v>
      </c>
      <c r="K1309" s="1"/>
      <c r="L1309" s="1"/>
      <c r="M1309" s="1"/>
      <c r="N1309" s="1"/>
      <c r="O1309" s="1"/>
      <c r="P1309" s="1"/>
      <c r="Q1309" s="1"/>
      <c r="R1309" s="1"/>
      <c r="S1309" s="1"/>
      <c r="T1309" s="1"/>
      <c r="U1309" s="1"/>
      <c r="V1309" s="1"/>
      <c r="W1309" s="1"/>
      <c r="X1309" s="1"/>
      <c r="Y1309" s="1"/>
      <c r="Z1309" s="1"/>
      <c r="AA1309" s="1"/>
      <c r="AB1309" s="1" t="s">
        <v>8527</v>
      </c>
      <c r="AC1309" s="1"/>
      <c r="AD1309" s="1"/>
      <c r="AE1309" s="1"/>
      <c r="AF1309" s="1"/>
      <c r="AG1309" s="1"/>
      <c r="AH1309" s="1"/>
      <c r="AI1309" s="1"/>
      <c r="AJ1309" s="1"/>
      <c r="AK1309" s="1"/>
      <c r="AL1309" s="1"/>
      <c r="AM1309" s="1"/>
      <c r="AN1309" s="1"/>
      <c r="AO1309" s="1" t="s">
        <v>6055</v>
      </c>
      <c r="AP1309" s="1"/>
      <c r="AQ1309" s="1"/>
      <c r="AR1309" s="1"/>
      <c r="AS1309" s="1"/>
      <c r="AT1309" s="1" t="s">
        <v>88</v>
      </c>
      <c r="AU1309" s="1">
        <v>2021</v>
      </c>
      <c r="AV1309" s="1">
        <v>25</v>
      </c>
      <c r="AW1309" s="1"/>
      <c r="AX1309" s="1"/>
      <c r="AY1309" s="1"/>
      <c r="AZ1309" s="1">
        <v>2</v>
      </c>
      <c r="BA1309" s="1"/>
      <c r="BB1309" s="1">
        <v>1001</v>
      </c>
      <c r="BC1309" s="1">
        <v>1012</v>
      </c>
      <c r="BD1309" s="1"/>
      <c r="BE1309" s="1" t="s">
        <v>8528</v>
      </c>
      <c r="BF1309" s="1" t="str">
        <f>HYPERLINK("http://dx.doi.org/10.22633/rpge.v25iesp.2.15282","http://dx.doi.org/10.22633/rpge.v25iesp.2.15282")</f>
        <v>http://dx.doi.org/10.22633/rpge.v25iesp.2.15282</v>
      </c>
      <c r="BG1309" s="1"/>
      <c r="BH1309" s="1"/>
      <c r="BI1309" s="1"/>
      <c r="BJ1309" s="1"/>
      <c r="BK1309" s="1"/>
      <c r="BL1309" s="1"/>
      <c r="BM1309" s="1"/>
      <c r="BN1309" s="1"/>
      <c r="BO1309" s="1"/>
      <c r="BP1309" s="1"/>
      <c r="BQ1309" s="1"/>
      <c r="BR1309" s="1"/>
      <c r="BS1309" s="1" t="s">
        <v>8529</v>
      </c>
      <c r="BT1309" s="1" t="str">
        <f>HYPERLINK("https%3A%2F%2Fwww.webofscience.com%2Fwos%2Fwoscc%2Ffull-record%2FWOS:000687825100023","View Full Record in Web of Science")</f>
        <v>View Full Record in Web of Science</v>
      </c>
      <c r="BU1309" s="1"/>
      <c r="BV1309" s="1"/>
      <c r="BW1309" s="1"/>
    </row>
    <row r="1310" spans="1:75" ht="12.75" customHeight="1" x14ac:dyDescent="0.2">
      <c r="A1310" s="1" t="s">
        <v>72</v>
      </c>
      <c r="B1310" s="1" t="s">
        <v>8530</v>
      </c>
      <c r="C1310" s="1"/>
      <c r="D1310" s="1"/>
      <c r="E1310" s="1"/>
      <c r="F1310" s="1" t="s">
        <v>8531</v>
      </c>
      <c r="G1310" s="1"/>
      <c r="H1310" s="1"/>
      <c r="I1310" s="1" t="s">
        <v>8532</v>
      </c>
      <c r="J1310" s="1" t="s">
        <v>95</v>
      </c>
      <c r="K1310" s="1"/>
      <c r="L1310" s="1"/>
      <c r="M1310" s="1"/>
      <c r="N1310" s="1"/>
      <c r="O1310" s="1"/>
      <c r="P1310" s="1"/>
      <c r="Q1310" s="1"/>
      <c r="R1310" s="1"/>
      <c r="S1310" s="1"/>
      <c r="T1310" s="1"/>
      <c r="U1310" s="1"/>
      <c r="V1310" s="1"/>
      <c r="W1310" s="1"/>
      <c r="X1310" s="1"/>
      <c r="Y1310" s="1"/>
      <c r="Z1310" s="1"/>
      <c r="AA1310" s="1" t="s">
        <v>8533</v>
      </c>
      <c r="AB1310" s="1" t="s">
        <v>8534</v>
      </c>
      <c r="AC1310" s="1"/>
      <c r="AD1310" s="1"/>
      <c r="AE1310" s="1"/>
      <c r="AF1310" s="1"/>
      <c r="AG1310" s="1"/>
      <c r="AH1310" s="1"/>
      <c r="AI1310" s="1"/>
      <c r="AJ1310" s="1"/>
      <c r="AK1310" s="1"/>
      <c r="AL1310" s="1"/>
      <c r="AM1310" s="1"/>
      <c r="AN1310" s="1"/>
      <c r="AO1310" s="1" t="s">
        <v>98</v>
      </c>
      <c r="AP1310" s="1" t="s">
        <v>99</v>
      </c>
      <c r="AQ1310" s="1"/>
      <c r="AR1310" s="1"/>
      <c r="AS1310" s="1"/>
      <c r="AT1310" s="1"/>
      <c r="AU1310" s="1">
        <v>2020</v>
      </c>
      <c r="AV1310" s="1"/>
      <c r="AW1310" s="1">
        <v>2</v>
      </c>
      <c r="AX1310" s="1"/>
      <c r="AY1310" s="1"/>
      <c r="AZ1310" s="1"/>
      <c r="BA1310" s="1"/>
      <c r="BB1310" s="1">
        <v>166</v>
      </c>
      <c r="BC1310" s="1">
        <v>171</v>
      </c>
      <c r="BD1310" s="1"/>
      <c r="BE1310" s="1" t="s">
        <v>8535</v>
      </c>
      <c r="BF1310" s="1" t="str">
        <f>HYPERLINK("http://dx.doi.org/10.25750/1995-4301-2020-2-166-171","http://dx.doi.org/10.25750/1995-4301-2020-2-166-171")</f>
        <v>http://dx.doi.org/10.25750/1995-4301-2020-2-166-171</v>
      </c>
      <c r="BG1310" s="1"/>
      <c r="BH1310" s="1"/>
      <c r="BI1310" s="1"/>
      <c r="BJ1310" s="1"/>
      <c r="BK1310" s="1"/>
      <c r="BL1310" s="1"/>
      <c r="BM1310" s="1"/>
      <c r="BN1310" s="1"/>
      <c r="BO1310" s="1"/>
      <c r="BP1310" s="1"/>
      <c r="BQ1310" s="1"/>
      <c r="BR1310" s="1"/>
      <c r="BS1310" s="1" t="s">
        <v>8536</v>
      </c>
      <c r="BT1310" s="1" t="str">
        <f>HYPERLINK("https%3A%2F%2Fwww.webofscience.com%2Fwos%2Fwoscc%2Ffull-record%2FWOS:000545295600023","View Full Record in Web of Science")</f>
        <v>View Full Record in Web of Science</v>
      </c>
      <c r="BU1310" s="1"/>
      <c r="BV1310" s="1"/>
      <c r="BW1310" s="1"/>
    </row>
    <row r="1311" spans="1:75" ht="12.75" customHeight="1" x14ac:dyDescent="0.2">
      <c r="A1311" s="1" t="s">
        <v>72</v>
      </c>
      <c r="B1311" s="1" t="s">
        <v>8537</v>
      </c>
      <c r="C1311" s="1"/>
      <c r="D1311" s="1"/>
      <c r="E1311" s="1"/>
      <c r="F1311" s="1" t="s">
        <v>8538</v>
      </c>
      <c r="G1311" s="1"/>
      <c r="H1311" s="1"/>
      <c r="I1311" s="1" t="s">
        <v>8539</v>
      </c>
      <c r="J1311" s="1" t="s">
        <v>8540</v>
      </c>
      <c r="K1311" s="1"/>
      <c r="L1311" s="1"/>
      <c r="M1311" s="1"/>
      <c r="N1311" s="1"/>
      <c r="O1311" s="1"/>
      <c r="P1311" s="1"/>
      <c r="Q1311" s="1"/>
      <c r="R1311" s="1"/>
      <c r="S1311" s="1"/>
      <c r="T1311" s="1"/>
      <c r="U1311" s="1"/>
      <c r="V1311" s="1"/>
      <c r="W1311" s="1"/>
      <c r="X1311" s="1"/>
      <c r="Y1311" s="1"/>
      <c r="Z1311" s="1"/>
      <c r="AA1311" s="1" t="s">
        <v>8541</v>
      </c>
      <c r="AB1311" s="1" t="s">
        <v>8542</v>
      </c>
      <c r="AC1311" s="1"/>
      <c r="AD1311" s="1"/>
      <c r="AE1311" s="1"/>
      <c r="AF1311" s="1"/>
      <c r="AG1311" s="1"/>
      <c r="AH1311" s="1"/>
      <c r="AI1311" s="1"/>
      <c r="AJ1311" s="1"/>
      <c r="AK1311" s="1"/>
      <c r="AL1311" s="1"/>
      <c r="AM1311" s="1"/>
      <c r="AN1311" s="1"/>
      <c r="AO1311" s="1"/>
      <c r="AP1311" s="1" t="s">
        <v>8543</v>
      </c>
      <c r="AQ1311" s="1"/>
      <c r="AR1311" s="1"/>
      <c r="AS1311" s="1"/>
      <c r="AT1311" s="1" t="s">
        <v>171</v>
      </c>
      <c r="AU1311" s="1">
        <v>2018</v>
      </c>
      <c r="AV1311" s="1">
        <v>6</v>
      </c>
      <c r="AW1311" s="1">
        <v>1</v>
      </c>
      <c r="AX1311" s="1"/>
      <c r="AY1311" s="1"/>
      <c r="AZ1311" s="1"/>
      <c r="BA1311" s="1"/>
      <c r="BB1311" s="1"/>
      <c r="BC1311" s="1"/>
      <c r="BD1311" s="1">
        <v>5</v>
      </c>
      <c r="BE1311" s="1" t="s">
        <v>8544</v>
      </c>
      <c r="BF1311" s="1" t="str">
        <f>HYPERLINK("http://dx.doi.org/10.3390/biomedicines6010005","http://dx.doi.org/10.3390/biomedicines6010005")</f>
        <v>http://dx.doi.org/10.3390/biomedicines6010005</v>
      </c>
      <c r="BG1311" s="1"/>
      <c r="BH1311" s="1"/>
      <c r="BI1311" s="1"/>
      <c r="BJ1311" s="1"/>
      <c r="BK1311" s="1"/>
      <c r="BL1311" s="1"/>
      <c r="BM1311" s="1"/>
      <c r="BN1311" s="1">
        <v>29301323</v>
      </c>
      <c r="BO1311" s="1"/>
      <c r="BP1311" s="1"/>
      <c r="BQ1311" s="1"/>
      <c r="BR1311" s="1"/>
      <c r="BS1311" s="1" t="s">
        <v>8545</v>
      </c>
      <c r="BT1311" s="1" t="str">
        <f>HYPERLINK("https%3A%2F%2Fwww.webofscience.com%2Fwos%2Fwoscc%2Ffull-record%2FWOS:000428505300005","View Full Record in Web of Science")</f>
        <v>View Full Record in Web of Science</v>
      </c>
      <c r="BU1311" s="1"/>
      <c r="BV1311" s="1"/>
      <c r="BW1311" s="1"/>
    </row>
    <row r="1312" spans="1:75" ht="12.75" customHeight="1" x14ac:dyDescent="0.2">
      <c r="A1312" s="1" t="s">
        <v>72</v>
      </c>
      <c r="B1312" s="1" t="s">
        <v>8546</v>
      </c>
      <c r="C1312" s="1"/>
      <c r="D1312" s="1"/>
      <c r="E1312" s="1"/>
      <c r="F1312" s="1" t="s">
        <v>8547</v>
      </c>
      <c r="G1312" s="1"/>
      <c r="H1312" s="1"/>
      <c r="I1312" s="1" t="s">
        <v>8548</v>
      </c>
      <c r="J1312" s="1" t="s">
        <v>2233</v>
      </c>
      <c r="K1312" s="1"/>
      <c r="L1312" s="1"/>
      <c r="M1312" s="1"/>
      <c r="N1312" s="1"/>
      <c r="O1312" s="1"/>
      <c r="P1312" s="1"/>
      <c r="Q1312" s="1"/>
      <c r="R1312" s="1"/>
      <c r="S1312" s="1"/>
      <c r="T1312" s="1"/>
      <c r="U1312" s="1"/>
      <c r="V1312" s="1"/>
      <c r="W1312" s="1"/>
      <c r="X1312" s="1"/>
      <c r="Y1312" s="1"/>
      <c r="Z1312" s="1"/>
      <c r="AA1312" s="1" t="s">
        <v>8549</v>
      </c>
      <c r="AB1312" s="1" t="s">
        <v>8550</v>
      </c>
      <c r="AC1312" s="1"/>
      <c r="AD1312" s="1"/>
      <c r="AE1312" s="1"/>
      <c r="AF1312" s="1"/>
      <c r="AG1312" s="1"/>
      <c r="AH1312" s="1"/>
      <c r="AI1312" s="1"/>
      <c r="AJ1312" s="1"/>
      <c r="AK1312" s="1"/>
      <c r="AL1312" s="1"/>
      <c r="AM1312" s="1"/>
      <c r="AN1312" s="1"/>
      <c r="AO1312" s="1" t="s">
        <v>2234</v>
      </c>
      <c r="AP1312" s="1" t="s">
        <v>2235</v>
      </c>
      <c r="AQ1312" s="1"/>
      <c r="AR1312" s="1"/>
      <c r="AS1312" s="1"/>
      <c r="AT1312" s="1"/>
      <c r="AU1312" s="1">
        <v>2018</v>
      </c>
      <c r="AV1312" s="1">
        <v>12</v>
      </c>
      <c r="AW1312" s="1">
        <v>4</v>
      </c>
      <c r="AX1312" s="1"/>
      <c r="AY1312" s="1"/>
      <c r="AZ1312" s="1"/>
      <c r="BA1312" s="1"/>
      <c r="BB1312" s="1">
        <v>515</v>
      </c>
      <c r="BC1312" s="1">
        <v>524</v>
      </c>
      <c r="BD1312" s="1"/>
      <c r="BE1312" s="1" t="s">
        <v>8551</v>
      </c>
      <c r="BF1312" s="1" t="str">
        <f>HYPERLINK("http://dx.doi.org/10.17150/2500-4255.2018.12(4).515-524","http://dx.doi.org/10.17150/2500-4255.2018.12(4).515-524")</f>
        <v>http://dx.doi.org/10.17150/2500-4255.2018.12(4).515-524</v>
      </c>
      <c r="BG1312" s="1"/>
      <c r="BH1312" s="1"/>
      <c r="BI1312" s="1"/>
      <c r="BJ1312" s="1"/>
      <c r="BK1312" s="1"/>
      <c r="BL1312" s="1"/>
      <c r="BM1312" s="1"/>
      <c r="BN1312" s="1"/>
      <c r="BO1312" s="1"/>
      <c r="BP1312" s="1"/>
      <c r="BQ1312" s="1"/>
      <c r="BR1312" s="1"/>
      <c r="BS1312" s="1" t="s">
        <v>8552</v>
      </c>
      <c r="BT1312" s="1" t="str">
        <f>HYPERLINK("https%3A%2F%2Fwww.webofscience.com%2Fwos%2Fwoscc%2Ffull-record%2FWOS:000444615800007","View Full Record in Web of Science")</f>
        <v>View Full Record in Web of Science</v>
      </c>
      <c r="BU1312" s="1"/>
      <c r="BV1312" s="1"/>
      <c r="BW1312" s="1"/>
    </row>
    <row r="1313" spans="1:75" ht="12.75" customHeight="1" x14ac:dyDescent="0.2">
      <c r="A1313" s="1" t="s">
        <v>72</v>
      </c>
      <c r="B1313" s="1" t="s">
        <v>8392</v>
      </c>
      <c r="C1313" s="1"/>
      <c r="D1313" s="1"/>
      <c r="E1313" s="1"/>
      <c r="F1313" s="1" t="s">
        <v>8553</v>
      </c>
      <c r="G1313" s="1"/>
      <c r="H1313" s="1"/>
      <c r="I1313" s="1" t="s">
        <v>8554</v>
      </c>
      <c r="J1313" s="1" t="s">
        <v>166</v>
      </c>
      <c r="K1313" s="1"/>
      <c r="L1313" s="1"/>
      <c r="M1313" s="1"/>
      <c r="N1313" s="1"/>
      <c r="O1313" s="1"/>
      <c r="P1313" s="1"/>
      <c r="Q1313" s="1"/>
      <c r="R1313" s="1"/>
      <c r="S1313" s="1"/>
      <c r="T1313" s="1"/>
      <c r="U1313" s="1"/>
      <c r="V1313" s="1"/>
      <c r="W1313" s="1"/>
      <c r="X1313" s="1"/>
      <c r="Y1313" s="1"/>
      <c r="Z1313" s="1"/>
      <c r="AA1313" s="1"/>
      <c r="AB1313" s="1"/>
      <c r="AC1313" s="1"/>
      <c r="AD1313" s="1"/>
      <c r="AE1313" s="1"/>
      <c r="AF1313" s="1"/>
      <c r="AG1313" s="1"/>
      <c r="AH1313" s="1"/>
      <c r="AI1313" s="1"/>
      <c r="AJ1313" s="1"/>
      <c r="AK1313" s="1"/>
      <c r="AL1313" s="1"/>
      <c r="AM1313" s="1"/>
      <c r="AN1313" s="1"/>
      <c r="AO1313" s="1" t="s">
        <v>169</v>
      </c>
      <c r="AP1313" s="1" t="s">
        <v>170</v>
      </c>
      <c r="AQ1313" s="1"/>
      <c r="AR1313" s="1"/>
      <c r="AS1313" s="1"/>
      <c r="AT1313" s="1" t="s">
        <v>403</v>
      </c>
      <c r="AU1313" s="1">
        <v>2022</v>
      </c>
      <c r="AV1313" s="1">
        <v>11</v>
      </c>
      <c r="AW1313" s="1">
        <v>4</v>
      </c>
      <c r="AX1313" s="1"/>
      <c r="AY1313" s="1"/>
      <c r="AZ1313" s="1"/>
      <c r="BA1313" s="1"/>
      <c r="BB1313" s="1">
        <v>1222</v>
      </c>
      <c r="BC1313" s="1">
        <v>1235</v>
      </c>
      <c r="BD1313" s="1"/>
      <c r="BE1313" s="1" t="s">
        <v>8555</v>
      </c>
      <c r="BF1313" s="1" t="str">
        <f>HYPERLINK("http://dx.doi.org/10.13187/ejced.2022.4","http://dx.doi.org/10.13187/ejced.2022.4")</f>
        <v>http://dx.doi.org/10.13187/ejced.2022.4</v>
      </c>
      <c r="BG1313" s="1"/>
      <c r="BH1313" s="1"/>
      <c r="BI1313" s="1"/>
      <c r="BJ1313" s="1"/>
      <c r="BK1313" s="1"/>
      <c r="BL1313" s="1"/>
      <c r="BM1313" s="1"/>
      <c r="BN1313" s="1"/>
      <c r="BO1313" s="1"/>
      <c r="BP1313" s="1"/>
      <c r="BQ1313" s="1"/>
      <c r="BR1313" s="1"/>
      <c r="BS1313" s="1" t="s">
        <v>8556</v>
      </c>
      <c r="BT1313" s="1" t="str">
        <f>HYPERLINK("https%3A%2F%2Fwww.webofscience.com%2Fwos%2Fwoscc%2Ffull-record%2FWOS:000914876300015","View Full Record in Web of Science")</f>
        <v>View Full Record in Web of Science</v>
      </c>
      <c r="BU1313" s="1"/>
      <c r="BV1313" s="1"/>
      <c r="BW1313" s="1"/>
    </row>
    <row r="1314" spans="1:75" ht="12.75" customHeight="1" x14ac:dyDescent="0.2">
      <c r="A1314" s="1" t="s">
        <v>72</v>
      </c>
      <c r="B1314" s="1" t="s">
        <v>8557</v>
      </c>
      <c r="C1314" s="1"/>
      <c r="D1314" s="1"/>
      <c r="E1314" s="1"/>
      <c r="F1314" s="1" t="s">
        <v>8558</v>
      </c>
      <c r="G1314" s="1"/>
      <c r="H1314" s="1"/>
      <c r="I1314" s="1" t="s">
        <v>8559</v>
      </c>
      <c r="J1314" s="1" t="s">
        <v>95</v>
      </c>
      <c r="K1314" s="1"/>
      <c r="L1314" s="1"/>
      <c r="M1314" s="1"/>
      <c r="N1314" s="1"/>
      <c r="O1314" s="1"/>
      <c r="P1314" s="1"/>
      <c r="Q1314" s="1"/>
      <c r="R1314" s="1"/>
      <c r="S1314" s="1"/>
      <c r="T1314" s="1"/>
      <c r="U1314" s="1"/>
      <c r="V1314" s="1"/>
      <c r="W1314" s="1"/>
      <c r="X1314" s="1"/>
      <c r="Y1314" s="1"/>
      <c r="Z1314" s="1"/>
      <c r="AA1314" s="1" t="s">
        <v>8560</v>
      </c>
      <c r="AB1314" s="1" t="s">
        <v>8561</v>
      </c>
      <c r="AC1314" s="1"/>
      <c r="AD1314" s="1"/>
      <c r="AE1314" s="1"/>
      <c r="AF1314" s="1"/>
      <c r="AG1314" s="1"/>
      <c r="AH1314" s="1"/>
      <c r="AI1314" s="1"/>
      <c r="AJ1314" s="1"/>
      <c r="AK1314" s="1"/>
      <c r="AL1314" s="1"/>
      <c r="AM1314" s="1"/>
      <c r="AN1314" s="1"/>
      <c r="AO1314" s="1" t="s">
        <v>98</v>
      </c>
      <c r="AP1314" s="1" t="s">
        <v>99</v>
      </c>
      <c r="AQ1314" s="1"/>
      <c r="AR1314" s="1"/>
      <c r="AS1314" s="1"/>
      <c r="AT1314" s="1"/>
      <c r="AU1314" s="1">
        <v>2020</v>
      </c>
      <c r="AV1314" s="1"/>
      <c r="AW1314" s="1">
        <v>1</v>
      </c>
      <c r="AX1314" s="1"/>
      <c r="AY1314" s="1"/>
      <c r="AZ1314" s="1"/>
      <c r="BA1314" s="1"/>
      <c r="BB1314" s="1">
        <v>130</v>
      </c>
      <c r="BC1314" s="1">
        <v>135</v>
      </c>
      <c r="BD1314" s="1"/>
      <c r="BE1314" s="1" t="s">
        <v>8562</v>
      </c>
      <c r="BF1314" s="1" t="str">
        <f>HYPERLINK("http://dx.doi.org/10.25750/1995-4301-2020-1-130-135","http://dx.doi.org/10.25750/1995-4301-2020-1-130-135")</f>
        <v>http://dx.doi.org/10.25750/1995-4301-2020-1-130-135</v>
      </c>
      <c r="BG1314" s="1"/>
      <c r="BH1314" s="1"/>
      <c r="BI1314" s="1"/>
      <c r="BJ1314" s="1"/>
      <c r="BK1314" s="1"/>
      <c r="BL1314" s="1"/>
      <c r="BM1314" s="1"/>
      <c r="BN1314" s="1"/>
      <c r="BO1314" s="1"/>
      <c r="BP1314" s="1"/>
      <c r="BQ1314" s="1"/>
      <c r="BR1314" s="1"/>
      <c r="BS1314" s="1" t="s">
        <v>8563</v>
      </c>
      <c r="BT1314" s="1" t="str">
        <f>HYPERLINK("https%3A%2F%2Fwww.webofscience.com%2Fwos%2Fwoscc%2Ffull-record%2FWOS:000522789400019","View Full Record in Web of Science")</f>
        <v>View Full Record in Web of Science</v>
      </c>
      <c r="BU1314" s="1"/>
      <c r="BV1314" s="1"/>
      <c r="BW1314" s="1"/>
    </row>
    <row r="1315" spans="1:75" ht="12.75" customHeight="1" x14ac:dyDescent="0.2">
      <c r="A1315" s="1" t="s">
        <v>72</v>
      </c>
      <c r="B1315" s="1" t="s">
        <v>8564</v>
      </c>
      <c r="C1315" s="1"/>
      <c r="D1315" s="1"/>
      <c r="E1315" s="1"/>
      <c r="F1315" s="1" t="s">
        <v>8565</v>
      </c>
      <c r="G1315" s="1"/>
      <c r="H1315" s="1"/>
      <c r="I1315" s="1" t="s">
        <v>8566</v>
      </c>
      <c r="J1315" s="1" t="s">
        <v>8567</v>
      </c>
      <c r="K1315" s="1"/>
      <c r="L1315" s="1"/>
      <c r="M1315" s="1"/>
      <c r="N1315" s="1"/>
      <c r="O1315" s="1" t="s">
        <v>8568</v>
      </c>
      <c r="P1315" s="1" t="s">
        <v>8569</v>
      </c>
      <c r="Q1315" s="1" t="s">
        <v>2563</v>
      </c>
      <c r="R1315" s="1"/>
      <c r="S1315" s="1"/>
      <c r="T1315" s="1"/>
      <c r="U1315" s="1"/>
      <c r="V1315" s="1"/>
      <c r="W1315" s="1"/>
      <c r="X1315" s="1"/>
      <c r="Y1315" s="1"/>
      <c r="Z1315" s="1"/>
      <c r="AA1315" s="1" t="s">
        <v>8570</v>
      </c>
      <c r="AB1315" s="1" t="s">
        <v>8571</v>
      </c>
      <c r="AC1315" s="1"/>
      <c r="AD1315" s="1"/>
      <c r="AE1315" s="1"/>
      <c r="AF1315" s="1"/>
      <c r="AG1315" s="1"/>
      <c r="AH1315" s="1"/>
      <c r="AI1315" s="1"/>
      <c r="AJ1315" s="1"/>
      <c r="AK1315" s="1"/>
      <c r="AL1315" s="1"/>
      <c r="AM1315" s="1"/>
      <c r="AN1315" s="1"/>
      <c r="AO1315" s="1" t="s">
        <v>8572</v>
      </c>
      <c r="AP1315" s="1" t="s">
        <v>8573</v>
      </c>
      <c r="AQ1315" s="1"/>
      <c r="AR1315" s="1"/>
      <c r="AS1315" s="1"/>
      <c r="AT1315" s="1" t="s">
        <v>491</v>
      </c>
      <c r="AU1315" s="1">
        <v>2020</v>
      </c>
      <c r="AV1315" s="1">
        <v>93</v>
      </c>
      <c r="AW1315" s="1" t="s">
        <v>8574</v>
      </c>
      <c r="AX1315" s="1"/>
      <c r="AY1315" s="1"/>
      <c r="AZ1315" s="1" t="s">
        <v>339</v>
      </c>
      <c r="BA1315" s="1"/>
      <c r="BB1315" s="1">
        <v>299</v>
      </c>
      <c r="BC1315" s="1">
        <v>315</v>
      </c>
      <c r="BD1315" s="1"/>
      <c r="BE1315" s="1" t="s">
        <v>8575</v>
      </c>
      <c r="BF1315" s="1" t="str">
        <f>HYPERLINK("http://dx.doi.org/10.1163/15685403-00003976","http://dx.doi.org/10.1163/15685403-00003976")</f>
        <v>http://dx.doi.org/10.1163/15685403-00003976</v>
      </c>
      <c r="BG1315" s="1"/>
      <c r="BH1315" s="1"/>
      <c r="BI1315" s="1"/>
      <c r="BJ1315" s="1"/>
      <c r="BK1315" s="1"/>
      <c r="BL1315" s="1"/>
      <c r="BM1315" s="1"/>
      <c r="BN1315" s="1"/>
      <c r="BO1315" s="1"/>
      <c r="BP1315" s="1"/>
      <c r="BQ1315" s="1"/>
      <c r="BR1315" s="1"/>
      <c r="BS1315" s="1" t="s">
        <v>8576</v>
      </c>
      <c r="BT1315" s="1" t="str">
        <f>HYPERLINK("https%3A%2F%2Fwww.webofscience.com%2Fwos%2Fwoscc%2Ffull-record%2FWOS:000540781400006","View Full Record in Web of Science")</f>
        <v>View Full Record in Web of Science</v>
      </c>
      <c r="BU1315" s="1"/>
      <c r="BV1315" s="1"/>
      <c r="BW1315" s="1"/>
    </row>
    <row r="1316" spans="1:75" ht="12.75" customHeight="1" x14ac:dyDescent="0.2">
      <c r="A1316" s="1" t="s">
        <v>72</v>
      </c>
      <c r="B1316" s="1" t="s">
        <v>8577</v>
      </c>
      <c r="C1316" s="1"/>
      <c r="D1316" s="1"/>
      <c r="E1316" s="1"/>
      <c r="F1316" s="1" t="s">
        <v>8578</v>
      </c>
      <c r="G1316" s="1"/>
      <c r="H1316" s="1"/>
      <c r="I1316" s="1" t="s">
        <v>8579</v>
      </c>
      <c r="J1316" s="1" t="s">
        <v>95</v>
      </c>
      <c r="K1316" s="1"/>
      <c r="L1316" s="1"/>
      <c r="M1316" s="1"/>
      <c r="N1316" s="1"/>
      <c r="O1316" s="1"/>
      <c r="P1316" s="1"/>
      <c r="Q1316" s="1"/>
      <c r="R1316" s="1"/>
      <c r="S1316" s="1"/>
      <c r="T1316" s="1"/>
      <c r="U1316" s="1"/>
      <c r="V1316" s="1"/>
      <c r="W1316" s="1"/>
      <c r="X1316" s="1"/>
      <c r="Y1316" s="1"/>
      <c r="Z1316" s="1"/>
      <c r="AA1316" s="1" t="s">
        <v>7239</v>
      </c>
      <c r="AB1316" s="1" t="s">
        <v>7073</v>
      </c>
      <c r="AC1316" s="1"/>
      <c r="AD1316" s="1"/>
      <c r="AE1316" s="1"/>
      <c r="AF1316" s="1"/>
      <c r="AG1316" s="1"/>
      <c r="AH1316" s="1"/>
      <c r="AI1316" s="1"/>
      <c r="AJ1316" s="1"/>
      <c r="AK1316" s="1"/>
      <c r="AL1316" s="1"/>
      <c r="AM1316" s="1"/>
      <c r="AN1316" s="1"/>
      <c r="AO1316" s="1" t="s">
        <v>98</v>
      </c>
      <c r="AP1316" s="1" t="s">
        <v>99</v>
      </c>
      <c r="AQ1316" s="1"/>
      <c r="AR1316" s="1"/>
      <c r="AS1316" s="1"/>
      <c r="AT1316" s="1"/>
      <c r="AU1316" s="1">
        <v>2020</v>
      </c>
      <c r="AV1316" s="1"/>
      <c r="AW1316" s="1">
        <v>4</v>
      </c>
      <c r="AX1316" s="1"/>
      <c r="AY1316" s="1"/>
      <c r="AZ1316" s="1"/>
      <c r="BA1316" s="1"/>
      <c r="BB1316" s="1">
        <v>143</v>
      </c>
      <c r="BC1316" s="1">
        <v>148</v>
      </c>
      <c r="BD1316" s="1"/>
      <c r="BE1316" s="1" t="s">
        <v>8580</v>
      </c>
      <c r="BF1316" s="1" t="str">
        <f>HYPERLINK("http://dx.doi.org/10.25750/1995-4301-2020-4-143-148","http://dx.doi.org/10.25750/1995-4301-2020-4-143-148")</f>
        <v>http://dx.doi.org/10.25750/1995-4301-2020-4-143-148</v>
      </c>
      <c r="BG1316" s="1"/>
      <c r="BH1316" s="1"/>
      <c r="BI1316" s="1"/>
      <c r="BJ1316" s="1"/>
      <c r="BK1316" s="1"/>
      <c r="BL1316" s="1"/>
      <c r="BM1316" s="1"/>
      <c r="BN1316" s="1"/>
      <c r="BO1316" s="1"/>
      <c r="BP1316" s="1"/>
      <c r="BQ1316" s="1"/>
      <c r="BR1316" s="1"/>
      <c r="BS1316" s="1" t="s">
        <v>8581</v>
      </c>
      <c r="BT1316" s="1" t="str">
        <f>HYPERLINK("https%3A%2F%2Fwww.webofscience.com%2Fwos%2Fwoscc%2Ffull-record%2FWOS:000597810500022","View Full Record in Web of Science")</f>
        <v>View Full Record in Web of Science</v>
      </c>
      <c r="BU1316" s="1"/>
      <c r="BV1316" s="1"/>
      <c r="BW1316" s="1"/>
    </row>
    <row r="1317" spans="1:75" ht="12.75" customHeight="1" x14ac:dyDescent="0.2">
      <c r="A1317" s="1" t="s">
        <v>72</v>
      </c>
      <c r="B1317" s="1" t="s">
        <v>8582</v>
      </c>
      <c r="C1317" s="1"/>
      <c r="D1317" s="1"/>
      <c r="E1317" s="1"/>
      <c r="F1317" s="1" t="s">
        <v>8583</v>
      </c>
      <c r="G1317" s="1"/>
      <c r="H1317" s="1"/>
      <c r="I1317" s="1" t="s">
        <v>8584</v>
      </c>
      <c r="J1317" s="1" t="s">
        <v>95</v>
      </c>
      <c r="K1317" s="1"/>
      <c r="L1317" s="1"/>
      <c r="M1317" s="1"/>
      <c r="N1317" s="1"/>
      <c r="O1317" s="1"/>
      <c r="P1317" s="1"/>
      <c r="Q1317" s="1"/>
      <c r="R1317" s="1"/>
      <c r="S1317" s="1"/>
      <c r="T1317" s="1"/>
      <c r="U1317" s="1"/>
      <c r="V1317" s="1"/>
      <c r="W1317" s="1"/>
      <c r="X1317" s="1"/>
      <c r="Y1317" s="1"/>
      <c r="Z1317" s="1"/>
      <c r="AA1317" s="1" t="s">
        <v>7239</v>
      </c>
      <c r="AB1317" s="1" t="s">
        <v>8585</v>
      </c>
      <c r="AC1317" s="1"/>
      <c r="AD1317" s="1"/>
      <c r="AE1317" s="1"/>
      <c r="AF1317" s="1"/>
      <c r="AG1317" s="1"/>
      <c r="AH1317" s="1"/>
      <c r="AI1317" s="1"/>
      <c r="AJ1317" s="1"/>
      <c r="AK1317" s="1"/>
      <c r="AL1317" s="1"/>
      <c r="AM1317" s="1"/>
      <c r="AN1317" s="1"/>
      <c r="AO1317" s="1" t="s">
        <v>98</v>
      </c>
      <c r="AP1317" s="1" t="s">
        <v>99</v>
      </c>
      <c r="AQ1317" s="1"/>
      <c r="AR1317" s="1"/>
      <c r="AS1317" s="1"/>
      <c r="AT1317" s="1"/>
      <c r="AU1317" s="1">
        <v>2022</v>
      </c>
      <c r="AV1317" s="1"/>
      <c r="AW1317" s="1">
        <v>1</v>
      </c>
      <c r="AX1317" s="1"/>
      <c r="AY1317" s="1"/>
      <c r="AZ1317" s="1"/>
      <c r="BA1317" s="1"/>
      <c r="BB1317" s="1">
        <v>102</v>
      </c>
      <c r="BC1317" s="1">
        <v>108</v>
      </c>
      <c r="BD1317" s="1"/>
      <c r="BE1317" s="1" t="s">
        <v>8586</v>
      </c>
      <c r="BF1317" s="1" t="str">
        <f>HYPERLINK("http://dx.doi.org/10.25750/1995-4301-2022-1-102-108","http://dx.doi.org/10.25750/1995-4301-2022-1-102-108")</f>
        <v>http://dx.doi.org/10.25750/1995-4301-2022-1-102-108</v>
      </c>
      <c r="BG1317" s="1"/>
      <c r="BH1317" s="1"/>
      <c r="BI1317" s="1"/>
      <c r="BJ1317" s="1"/>
      <c r="BK1317" s="1"/>
      <c r="BL1317" s="1"/>
      <c r="BM1317" s="1"/>
      <c r="BN1317" s="1"/>
      <c r="BO1317" s="1"/>
      <c r="BP1317" s="1"/>
      <c r="BQ1317" s="1"/>
      <c r="BR1317" s="1"/>
      <c r="BS1317" s="1" t="s">
        <v>8587</v>
      </c>
      <c r="BT1317" s="1" t="str">
        <f>HYPERLINK("https%3A%2F%2Fwww.webofscience.com%2Fwos%2Fwoscc%2Ffull-record%2FWOS:000819811100014","View Full Record in Web of Science")</f>
        <v>View Full Record in Web of Science</v>
      </c>
      <c r="BU1317" s="1"/>
      <c r="BV1317" s="1"/>
      <c r="BW1317" s="1"/>
    </row>
    <row r="1318" spans="1:75" ht="12.75" customHeight="1" x14ac:dyDescent="0.2">
      <c r="A1318" s="1" t="s">
        <v>72</v>
      </c>
      <c r="B1318" s="1" t="s">
        <v>8588</v>
      </c>
      <c r="C1318" s="1"/>
      <c r="D1318" s="1"/>
      <c r="E1318" s="1"/>
      <c r="F1318" s="1" t="s">
        <v>8589</v>
      </c>
      <c r="G1318" s="1"/>
      <c r="H1318" s="1"/>
      <c r="I1318" s="1" t="s">
        <v>8590</v>
      </c>
      <c r="J1318" s="1" t="s">
        <v>95</v>
      </c>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c r="AK1318" s="1"/>
      <c r="AL1318" s="1"/>
      <c r="AM1318" s="1"/>
      <c r="AN1318" s="1"/>
      <c r="AO1318" s="1" t="s">
        <v>98</v>
      </c>
      <c r="AP1318" s="1" t="s">
        <v>99</v>
      </c>
      <c r="AQ1318" s="1"/>
      <c r="AR1318" s="1"/>
      <c r="AS1318" s="1"/>
      <c r="AT1318" s="1"/>
      <c r="AU1318" s="1">
        <v>2022</v>
      </c>
      <c r="AV1318" s="1"/>
      <c r="AW1318" s="1">
        <v>2</v>
      </c>
      <c r="AX1318" s="1"/>
      <c r="AY1318" s="1"/>
      <c r="AZ1318" s="1"/>
      <c r="BA1318" s="1"/>
      <c r="BB1318" s="1">
        <v>228</v>
      </c>
      <c r="BC1318" s="1">
        <v>233</v>
      </c>
      <c r="BD1318" s="1"/>
      <c r="BE1318" s="1" t="s">
        <v>8591</v>
      </c>
      <c r="BF1318" s="1" t="str">
        <f>HYPERLINK("http://dx.doi.org/10.5750/1995-4301-2022-2-228-233","http://dx.doi.org/10.5750/1995-4301-2022-2-228-233")</f>
        <v>http://dx.doi.org/10.5750/1995-4301-2022-2-228-233</v>
      </c>
      <c r="BG1318" s="1"/>
      <c r="BH1318" s="1"/>
      <c r="BI1318" s="1"/>
      <c r="BJ1318" s="1"/>
      <c r="BK1318" s="1"/>
      <c r="BL1318" s="1"/>
      <c r="BM1318" s="1"/>
      <c r="BN1318" s="1"/>
      <c r="BO1318" s="1"/>
      <c r="BP1318" s="1"/>
      <c r="BQ1318" s="1"/>
      <c r="BR1318" s="1"/>
      <c r="BS1318" s="1" t="s">
        <v>8592</v>
      </c>
      <c r="BT1318" s="1" t="str">
        <f>HYPERLINK("https%3A%2F%2Fwww.webofscience.com%2Fwos%2Fwoscc%2Ffull-record%2FWOS:000820802000029","View Full Record in Web of Science")</f>
        <v>View Full Record in Web of Science</v>
      </c>
      <c r="BU1318" s="1"/>
      <c r="BV1318" s="1"/>
      <c r="BW1318" s="1"/>
    </row>
    <row r="1319" spans="1:75" ht="12.75" customHeight="1" x14ac:dyDescent="0.2">
      <c r="A1319" s="1" t="s">
        <v>72</v>
      </c>
      <c r="B1319" s="1" t="s">
        <v>7912</v>
      </c>
      <c r="C1319" s="1"/>
      <c r="D1319" s="1"/>
      <c r="E1319" s="1"/>
      <c r="F1319" s="1" t="s">
        <v>8593</v>
      </c>
      <c r="G1319" s="1"/>
      <c r="H1319" s="1"/>
      <c r="I1319" s="1" t="s">
        <v>8594</v>
      </c>
      <c r="J1319" s="1" t="s">
        <v>95</v>
      </c>
      <c r="K1319" s="1"/>
      <c r="L1319" s="1"/>
      <c r="M1319" s="1"/>
      <c r="N1319" s="1"/>
      <c r="O1319" s="1"/>
      <c r="P1319" s="1"/>
      <c r="Q1319" s="1"/>
      <c r="R1319" s="1"/>
      <c r="S1319" s="1"/>
      <c r="T1319" s="1"/>
      <c r="U1319" s="1"/>
      <c r="V1319" s="1"/>
      <c r="W1319" s="1"/>
      <c r="X1319" s="1"/>
      <c r="Y1319" s="1"/>
      <c r="Z1319" s="1"/>
      <c r="AA1319" s="1" t="s">
        <v>7758</v>
      </c>
      <c r="AB1319" s="1" t="s">
        <v>7759</v>
      </c>
      <c r="AC1319" s="1"/>
      <c r="AD1319" s="1"/>
      <c r="AE1319" s="1"/>
      <c r="AF1319" s="1"/>
      <c r="AG1319" s="1"/>
      <c r="AH1319" s="1"/>
      <c r="AI1319" s="1"/>
      <c r="AJ1319" s="1"/>
      <c r="AK1319" s="1"/>
      <c r="AL1319" s="1"/>
      <c r="AM1319" s="1"/>
      <c r="AN1319" s="1"/>
      <c r="AO1319" s="1" t="s">
        <v>98</v>
      </c>
      <c r="AP1319" s="1" t="s">
        <v>99</v>
      </c>
      <c r="AQ1319" s="1"/>
      <c r="AR1319" s="1"/>
      <c r="AS1319" s="1"/>
      <c r="AT1319" s="1"/>
      <c r="AU1319" s="1">
        <v>2019</v>
      </c>
      <c r="AV1319" s="1"/>
      <c r="AW1319" s="1">
        <v>2</v>
      </c>
      <c r="AX1319" s="1"/>
      <c r="AY1319" s="1"/>
      <c r="AZ1319" s="1"/>
      <c r="BA1319" s="1"/>
      <c r="BB1319" s="1">
        <v>14</v>
      </c>
      <c r="BC1319" s="1">
        <v>31</v>
      </c>
      <c r="BD1319" s="1"/>
      <c r="BE1319" s="1" t="s">
        <v>8595</v>
      </c>
      <c r="BF1319" s="1" t="str">
        <f>HYPERLINK("http://dx.doi.org/10.25750/1995-4301-2019-2-014-031","http://dx.doi.org/10.25750/1995-4301-2019-2-014-031")</f>
        <v>http://dx.doi.org/10.25750/1995-4301-2019-2-014-031</v>
      </c>
      <c r="BG1319" s="1"/>
      <c r="BH1319" s="1"/>
      <c r="BI1319" s="1"/>
      <c r="BJ1319" s="1"/>
      <c r="BK1319" s="1"/>
      <c r="BL1319" s="1"/>
      <c r="BM1319" s="1"/>
      <c r="BN1319" s="1"/>
      <c r="BO1319" s="1"/>
      <c r="BP1319" s="1"/>
      <c r="BQ1319" s="1"/>
      <c r="BR1319" s="1"/>
      <c r="BS1319" s="1" t="s">
        <v>8596</v>
      </c>
      <c r="BT1319" s="1" t="str">
        <f>HYPERLINK("https%3A%2F%2Fwww.webofscience.com%2Fwos%2Fwoscc%2Ffull-record%2FWOS:000477826000002","View Full Record in Web of Science")</f>
        <v>View Full Record in Web of Science</v>
      </c>
      <c r="BU1319" s="1"/>
      <c r="BV1319" s="1"/>
      <c r="BW1319" s="1"/>
    </row>
    <row r="1320" spans="1:75" ht="12.75" customHeight="1" x14ac:dyDescent="0.2">
      <c r="A1320" s="1" t="s">
        <v>147</v>
      </c>
      <c r="B1320" s="1" t="s">
        <v>8597</v>
      </c>
      <c r="C1320" s="1"/>
      <c r="D1320" s="1" t="s">
        <v>8598</v>
      </c>
      <c r="E1320" s="1"/>
      <c r="F1320" s="1" t="s">
        <v>8599</v>
      </c>
      <c r="G1320" s="1"/>
      <c r="H1320" s="1"/>
      <c r="I1320" s="1" t="s">
        <v>8600</v>
      </c>
      <c r="J1320" s="1" t="s">
        <v>8601</v>
      </c>
      <c r="K1320" s="1"/>
      <c r="L1320" s="1"/>
      <c r="M1320" s="1"/>
      <c r="N1320" s="1"/>
      <c r="O1320" s="1" t="s">
        <v>8602</v>
      </c>
      <c r="P1320" s="1" t="s">
        <v>8603</v>
      </c>
      <c r="Q1320" s="1" t="s">
        <v>8604</v>
      </c>
      <c r="R1320" s="1" t="s">
        <v>8605</v>
      </c>
      <c r="S1320" s="1" t="s">
        <v>8606</v>
      </c>
      <c r="T1320" s="1"/>
      <c r="U1320" s="1"/>
      <c r="V1320" s="1"/>
      <c r="W1320" s="1"/>
      <c r="X1320" s="1"/>
      <c r="Y1320" s="1"/>
      <c r="Z1320" s="1"/>
      <c r="AA1320" s="1" t="s">
        <v>5324</v>
      </c>
      <c r="AB1320" s="1" t="s">
        <v>5325</v>
      </c>
      <c r="AC1320" s="1"/>
      <c r="AD1320" s="1"/>
      <c r="AE1320" s="1"/>
      <c r="AF1320" s="1"/>
      <c r="AG1320" s="1"/>
      <c r="AH1320" s="1"/>
      <c r="AI1320" s="1"/>
      <c r="AJ1320" s="1"/>
      <c r="AK1320" s="1"/>
      <c r="AL1320" s="1"/>
      <c r="AM1320" s="1"/>
      <c r="AN1320" s="1"/>
      <c r="AO1320" s="1"/>
      <c r="AP1320" s="1"/>
      <c r="AQ1320" s="1" t="s">
        <v>8607</v>
      </c>
      <c r="AR1320" s="1"/>
      <c r="AS1320" s="1"/>
      <c r="AT1320" s="1"/>
      <c r="AU1320" s="1">
        <v>2017</v>
      </c>
      <c r="AV1320" s="1"/>
      <c r="AW1320" s="1"/>
      <c r="AX1320" s="1"/>
      <c r="AY1320" s="1"/>
      <c r="AZ1320" s="1"/>
      <c r="BA1320" s="1"/>
      <c r="BB1320" s="1">
        <v>87</v>
      </c>
      <c r="BC1320" s="1">
        <v>92</v>
      </c>
      <c r="BD1320" s="1"/>
      <c r="BE1320" s="1" t="s">
        <v>8608</v>
      </c>
      <c r="BF1320" s="1" t="str">
        <f>HYPERLINK("http://dx.doi.org/10.1109/WAINA.2017.116","http://dx.doi.org/10.1109/WAINA.2017.116")</f>
        <v>http://dx.doi.org/10.1109/WAINA.2017.116</v>
      </c>
      <c r="BG1320" s="1"/>
      <c r="BH1320" s="1"/>
      <c r="BI1320" s="1"/>
      <c r="BJ1320" s="1"/>
      <c r="BK1320" s="1"/>
      <c r="BL1320" s="1"/>
      <c r="BM1320" s="1"/>
      <c r="BN1320" s="1"/>
      <c r="BO1320" s="1"/>
      <c r="BP1320" s="1"/>
      <c r="BQ1320" s="1"/>
      <c r="BR1320" s="1"/>
      <c r="BS1320" s="1" t="s">
        <v>8609</v>
      </c>
      <c r="BT1320" s="1" t="str">
        <f>HYPERLINK("https%3A%2F%2Fwww.webofscience.com%2Fwos%2Fwoscc%2Ffull-record%2FWOS:000403401900016","View Full Record in Web of Science")</f>
        <v>View Full Record in Web of Science</v>
      </c>
      <c r="BU1320" s="1"/>
      <c r="BV1320" s="1"/>
      <c r="BW1320" s="1"/>
    </row>
    <row r="1321" spans="1:75" ht="12.75" customHeight="1" x14ac:dyDescent="0.2">
      <c r="A1321" s="1" t="s">
        <v>72</v>
      </c>
      <c r="B1321" s="1" t="s">
        <v>8610</v>
      </c>
      <c r="C1321" s="1"/>
      <c r="D1321" s="1"/>
      <c r="E1321" s="1"/>
      <c r="F1321" s="1" t="s">
        <v>8611</v>
      </c>
      <c r="G1321" s="1"/>
      <c r="H1321" s="1"/>
      <c r="I1321" s="1" t="s">
        <v>8612</v>
      </c>
      <c r="J1321" s="1" t="s">
        <v>95</v>
      </c>
      <c r="K1321" s="1"/>
      <c r="L1321" s="1"/>
      <c r="M1321" s="1"/>
      <c r="N1321" s="1"/>
      <c r="O1321" s="1"/>
      <c r="P1321" s="1"/>
      <c r="Q1321" s="1"/>
      <c r="R1321" s="1"/>
      <c r="S1321" s="1"/>
      <c r="T1321" s="1"/>
      <c r="U1321" s="1"/>
      <c r="V1321" s="1"/>
      <c r="W1321" s="1"/>
      <c r="X1321" s="1"/>
      <c r="Y1321" s="1"/>
      <c r="Z1321" s="1"/>
      <c r="AA1321" s="1" t="s">
        <v>7213</v>
      </c>
      <c r="AB1321" s="1" t="s">
        <v>7214</v>
      </c>
      <c r="AC1321" s="1"/>
      <c r="AD1321" s="1"/>
      <c r="AE1321" s="1"/>
      <c r="AF1321" s="1"/>
      <c r="AG1321" s="1"/>
      <c r="AH1321" s="1"/>
      <c r="AI1321" s="1"/>
      <c r="AJ1321" s="1"/>
      <c r="AK1321" s="1"/>
      <c r="AL1321" s="1"/>
      <c r="AM1321" s="1"/>
      <c r="AN1321" s="1"/>
      <c r="AO1321" s="1" t="s">
        <v>98</v>
      </c>
      <c r="AP1321" s="1" t="s">
        <v>99</v>
      </c>
      <c r="AQ1321" s="1"/>
      <c r="AR1321" s="1"/>
      <c r="AS1321" s="1"/>
      <c r="AT1321" s="1"/>
      <c r="AU1321" s="1">
        <v>2020</v>
      </c>
      <c r="AV1321" s="1"/>
      <c r="AW1321" s="1">
        <v>4</v>
      </c>
      <c r="AX1321" s="1"/>
      <c r="AY1321" s="1"/>
      <c r="AZ1321" s="1"/>
      <c r="BA1321" s="1"/>
      <c r="BB1321" s="1">
        <v>176</v>
      </c>
      <c r="BC1321" s="1">
        <v>184</v>
      </c>
      <c r="BD1321" s="1"/>
      <c r="BE1321" s="1" t="s">
        <v>8613</v>
      </c>
      <c r="BF1321" s="1" t="str">
        <f>HYPERLINK("http://dx.doi.org/10.25750/1995-4301-2020-4-176-184","http://dx.doi.org/10.25750/1995-4301-2020-4-176-184")</f>
        <v>http://dx.doi.org/10.25750/1995-4301-2020-4-176-184</v>
      </c>
      <c r="BG1321" s="1"/>
      <c r="BH1321" s="1"/>
      <c r="BI1321" s="1"/>
      <c r="BJ1321" s="1"/>
      <c r="BK1321" s="1"/>
      <c r="BL1321" s="1"/>
      <c r="BM1321" s="1"/>
      <c r="BN1321" s="1"/>
      <c r="BO1321" s="1"/>
      <c r="BP1321" s="1"/>
      <c r="BQ1321" s="1"/>
      <c r="BR1321" s="1"/>
      <c r="BS1321" s="1" t="s">
        <v>8614</v>
      </c>
      <c r="BT1321" s="1" t="str">
        <f>HYPERLINK("https%3A%2F%2Fwww.webofscience.com%2Fwos%2Fwoscc%2Ffull-record%2FWOS:000597810500027","View Full Record in Web of Science")</f>
        <v>View Full Record in Web of Science</v>
      </c>
      <c r="BU1321" s="1"/>
      <c r="BV1321" s="1"/>
      <c r="BW1321" s="1"/>
    </row>
    <row r="1322" spans="1:75" ht="12.75" customHeight="1" x14ac:dyDescent="0.2">
      <c r="A1322" s="1" t="s">
        <v>72</v>
      </c>
      <c r="B1322" s="1" t="s">
        <v>8615</v>
      </c>
      <c r="C1322" s="1"/>
      <c r="D1322" s="1"/>
      <c r="E1322" s="1"/>
      <c r="F1322" s="1" t="s">
        <v>8616</v>
      </c>
      <c r="G1322" s="1"/>
      <c r="H1322" s="1"/>
      <c r="I1322" s="1" t="s">
        <v>8617</v>
      </c>
      <c r="J1322" s="1" t="s">
        <v>3610</v>
      </c>
      <c r="K1322" s="1"/>
      <c r="L1322" s="1"/>
      <c r="M1322" s="1"/>
      <c r="N1322" s="1"/>
      <c r="O1322" s="1"/>
      <c r="P1322" s="1"/>
      <c r="Q1322" s="1"/>
      <c r="R1322" s="1"/>
      <c r="S1322" s="1"/>
      <c r="T1322" s="1"/>
      <c r="U1322" s="1"/>
      <c r="V1322" s="1"/>
      <c r="W1322" s="1"/>
      <c r="X1322" s="1"/>
      <c r="Y1322" s="1"/>
      <c r="Z1322" s="1"/>
      <c r="AA1322" s="1" t="s">
        <v>8618</v>
      </c>
      <c r="AB1322" s="1" t="s">
        <v>8619</v>
      </c>
      <c r="AC1322" s="1"/>
      <c r="AD1322" s="1"/>
      <c r="AE1322" s="1"/>
      <c r="AF1322" s="1"/>
      <c r="AG1322" s="1"/>
      <c r="AH1322" s="1"/>
      <c r="AI1322" s="1"/>
      <c r="AJ1322" s="1"/>
      <c r="AK1322" s="1"/>
      <c r="AL1322" s="1"/>
      <c r="AM1322" s="1"/>
      <c r="AN1322" s="1"/>
      <c r="AO1322" s="1" t="s">
        <v>3613</v>
      </c>
      <c r="AP1322" s="1" t="s">
        <v>4602</v>
      </c>
      <c r="AQ1322" s="1"/>
      <c r="AR1322" s="1"/>
      <c r="AS1322" s="1"/>
      <c r="AT1322" s="1" t="s">
        <v>88</v>
      </c>
      <c r="AU1322" s="1">
        <v>2018</v>
      </c>
      <c r="AV1322" s="1">
        <v>51</v>
      </c>
      <c r="AW1322" s="1">
        <v>5</v>
      </c>
      <c r="AX1322" s="1"/>
      <c r="AY1322" s="1"/>
      <c r="AZ1322" s="1"/>
      <c r="BA1322" s="1"/>
      <c r="BB1322" s="1">
        <v>550</v>
      </c>
      <c r="BC1322" s="1">
        <v>560</v>
      </c>
      <c r="BD1322" s="1"/>
      <c r="BE1322" s="1" t="s">
        <v>8620</v>
      </c>
      <c r="BF1322" s="1" t="str">
        <f>HYPERLINK("http://dx.doi.org/10.1134/S1064229318030031","http://dx.doi.org/10.1134/S1064229318030031")</f>
        <v>http://dx.doi.org/10.1134/S1064229318030031</v>
      </c>
      <c r="BG1322" s="1"/>
      <c r="BH1322" s="1"/>
      <c r="BI1322" s="1"/>
      <c r="BJ1322" s="1"/>
      <c r="BK1322" s="1"/>
      <c r="BL1322" s="1"/>
      <c r="BM1322" s="1"/>
      <c r="BN1322" s="1"/>
      <c r="BO1322" s="1"/>
      <c r="BP1322" s="1"/>
      <c r="BQ1322" s="1"/>
      <c r="BR1322" s="1"/>
      <c r="BS1322" s="1" t="s">
        <v>8621</v>
      </c>
      <c r="BT1322" s="1" t="str">
        <f>HYPERLINK("https%3A%2F%2Fwww.webofscience.com%2Fwos%2Fwoscc%2Ffull-record%2FWOS:000433121200008","View Full Record in Web of Science")</f>
        <v>View Full Record in Web of Science</v>
      </c>
      <c r="BU1322" s="1"/>
      <c r="BV1322" s="1"/>
      <c r="BW1322" s="1"/>
    </row>
    <row r="1323" spans="1:75" ht="12.75" customHeight="1" x14ac:dyDescent="0.2">
      <c r="A1323" s="1" t="s">
        <v>72</v>
      </c>
      <c r="B1323" s="1" t="s">
        <v>8622</v>
      </c>
      <c r="C1323" s="1"/>
      <c r="D1323" s="1"/>
      <c r="E1323" s="1"/>
      <c r="F1323" s="1" t="s">
        <v>8623</v>
      </c>
      <c r="G1323" s="1"/>
      <c r="H1323" s="1"/>
      <c r="I1323" s="1" t="s">
        <v>8624</v>
      </c>
      <c r="J1323" s="1" t="s">
        <v>793</v>
      </c>
      <c r="K1323" s="1"/>
      <c r="L1323" s="1"/>
      <c r="M1323" s="1"/>
      <c r="N1323" s="1"/>
      <c r="O1323" s="1"/>
      <c r="P1323" s="1"/>
      <c r="Q1323" s="1"/>
      <c r="R1323" s="1"/>
      <c r="S1323" s="1"/>
      <c r="T1323" s="1"/>
      <c r="U1323" s="1"/>
      <c r="V1323" s="1"/>
      <c r="W1323" s="1"/>
      <c r="X1323" s="1"/>
      <c r="Y1323" s="1"/>
      <c r="Z1323" s="1"/>
      <c r="AA1323" s="1" t="s">
        <v>7903</v>
      </c>
      <c r="AB1323" s="1" t="s">
        <v>7904</v>
      </c>
      <c r="AC1323" s="1"/>
      <c r="AD1323" s="1"/>
      <c r="AE1323" s="1"/>
      <c r="AF1323" s="1"/>
      <c r="AG1323" s="1"/>
      <c r="AH1323" s="1"/>
      <c r="AI1323" s="1"/>
      <c r="AJ1323" s="1"/>
      <c r="AK1323" s="1"/>
      <c r="AL1323" s="1"/>
      <c r="AM1323" s="1"/>
      <c r="AN1323" s="1"/>
      <c r="AO1323" s="1" t="s">
        <v>795</v>
      </c>
      <c r="AP1323" s="1" t="s">
        <v>796</v>
      </c>
      <c r="AQ1323" s="1"/>
      <c r="AR1323" s="1"/>
      <c r="AS1323" s="1"/>
      <c r="AT1323" s="1" t="s">
        <v>319</v>
      </c>
      <c r="AU1323" s="1">
        <v>2015</v>
      </c>
      <c r="AV1323" s="1">
        <v>8</v>
      </c>
      <c r="AW1323" s="1">
        <v>6</v>
      </c>
      <c r="AX1323" s="1"/>
      <c r="AY1323" s="1"/>
      <c r="AZ1323" s="1"/>
      <c r="BA1323" s="1"/>
      <c r="BB1323" s="1">
        <v>695</v>
      </c>
      <c r="BC1323" s="1">
        <v>702</v>
      </c>
      <c r="BD1323" s="1"/>
      <c r="BE1323" s="1" t="s">
        <v>8625</v>
      </c>
      <c r="BF1323" s="1" t="str">
        <f>HYPERLINK("http://dx.doi.org/10.1134/S1995425515060050","http://dx.doi.org/10.1134/S1995425515060050")</f>
        <v>http://dx.doi.org/10.1134/S1995425515060050</v>
      </c>
      <c r="BG1323" s="1"/>
      <c r="BH1323" s="1"/>
      <c r="BI1323" s="1"/>
      <c r="BJ1323" s="1"/>
      <c r="BK1323" s="1"/>
      <c r="BL1323" s="1"/>
      <c r="BM1323" s="1"/>
      <c r="BN1323" s="1"/>
      <c r="BO1323" s="1"/>
      <c r="BP1323" s="1"/>
      <c r="BQ1323" s="1"/>
      <c r="BR1323" s="1"/>
      <c r="BS1323" s="1" t="s">
        <v>8626</v>
      </c>
      <c r="BT1323" s="1" t="str">
        <f>HYPERLINK("https%3A%2F%2Fwww.webofscience.com%2Fwos%2Fwoscc%2Ffull-record%2FWOS:000366640300004","View Full Record in Web of Science")</f>
        <v>View Full Record in Web of Science</v>
      </c>
      <c r="BU1323" s="1"/>
      <c r="BV1323" s="1"/>
      <c r="BW1323" s="1"/>
    </row>
    <row r="1324" spans="1:75" ht="12.75" customHeight="1" x14ac:dyDescent="0.2">
      <c r="A1324" s="1" t="s">
        <v>72</v>
      </c>
      <c r="B1324" s="1" t="s">
        <v>8627</v>
      </c>
      <c r="C1324" s="1"/>
      <c r="D1324" s="1"/>
      <c r="E1324" s="1"/>
      <c r="F1324" s="1" t="s">
        <v>8628</v>
      </c>
      <c r="G1324" s="1"/>
      <c r="H1324" s="1"/>
      <c r="I1324" s="1" t="s">
        <v>8629</v>
      </c>
      <c r="J1324" s="1" t="s">
        <v>8630</v>
      </c>
      <c r="K1324" s="1"/>
      <c r="L1324" s="1"/>
      <c r="M1324" s="1"/>
      <c r="N1324" s="1"/>
      <c r="O1324" s="1"/>
      <c r="P1324" s="1"/>
      <c r="Q1324" s="1"/>
      <c r="R1324" s="1"/>
      <c r="S1324" s="1"/>
      <c r="T1324" s="1"/>
      <c r="U1324" s="1"/>
      <c r="V1324" s="1"/>
      <c r="W1324" s="1"/>
      <c r="X1324" s="1"/>
      <c r="Y1324" s="1"/>
      <c r="Z1324" s="1"/>
      <c r="AA1324" s="1" t="s">
        <v>8631</v>
      </c>
      <c r="AB1324" s="1" t="s">
        <v>8632</v>
      </c>
      <c r="AC1324" s="1"/>
      <c r="AD1324" s="1"/>
      <c r="AE1324" s="1"/>
      <c r="AF1324" s="1"/>
      <c r="AG1324" s="1"/>
      <c r="AH1324" s="1"/>
      <c r="AI1324" s="1"/>
      <c r="AJ1324" s="1"/>
      <c r="AK1324" s="1"/>
      <c r="AL1324" s="1"/>
      <c r="AM1324" s="1"/>
      <c r="AN1324" s="1"/>
      <c r="AO1324" s="1" t="s">
        <v>8633</v>
      </c>
      <c r="AP1324" s="1" t="s">
        <v>8634</v>
      </c>
      <c r="AQ1324" s="1"/>
      <c r="AR1324" s="1"/>
      <c r="AS1324" s="1"/>
      <c r="AT1324" s="1" t="s">
        <v>8635</v>
      </c>
      <c r="AU1324" s="1">
        <v>2022</v>
      </c>
      <c r="AV1324" s="1">
        <v>34</v>
      </c>
      <c r="AW1324" s="1">
        <v>10</v>
      </c>
      <c r="AX1324" s="1"/>
      <c r="AY1324" s="1"/>
      <c r="AZ1324" s="1"/>
      <c r="BA1324" s="1"/>
      <c r="BB1324" s="1">
        <v>4785</v>
      </c>
      <c r="BC1324" s="1">
        <v>4794</v>
      </c>
      <c r="BD1324" s="1"/>
      <c r="BE1324" s="1" t="s">
        <v>8636</v>
      </c>
      <c r="BF1324" s="1" t="str">
        <f>HYPERLINK("http://dx.doi.org/10.1021/acs.chemmater.2c01159","http://dx.doi.org/10.1021/acs.chemmater.2c01159")</f>
        <v>http://dx.doi.org/10.1021/acs.chemmater.2c01159</v>
      </c>
      <c r="BG1324" s="1"/>
      <c r="BH1324" s="1"/>
      <c r="BI1324" s="1"/>
      <c r="BJ1324" s="1"/>
      <c r="BK1324" s="1"/>
      <c r="BL1324" s="1"/>
      <c r="BM1324" s="1"/>
      <c r="BN1324" s="1"/>
      <c r="BO1324" s="1"/>
      <c r="BP1324" s="1"/>
      <c r="BQ1324" s="1"/>
      <c r="BR1324" s="1"/>
      <c r="BS1324" s="1" t="s">
        <v>8637</v>
      </c>
      <c r="BT1324" s="1" t="str">
        <f>HYPERLINK("https%3A%2F%2Fwww.webofscience.com%2Fwos%2Fwoscc%2Ffull-record%2FWOS:000805874800051","View Full Record in Web of Science")</f>
        <v>View Full Record in Web of Science</v>
      </c>
      <c r="BU1324" s="1"/>
      <c r="BV1324" s="1"/>
      <c r="BW1324" s="1"/>
    </row>
    <row r="1325" spans="1:75" ht="12.75" customHeight="1" x14ac:dyDescent="0.2">
      <c r="A1325" s="1" t="s">
        <v>72</v>
      </c>
      <c r="B1325" s="1" t="s">
        <v>8638</v>
      </c>
      <c r="C1325" s="1"/>
      <c r="D1325" s="1"/>
      <c r="E1325" s="1"/>
      <c r="F1325" s="1" t="s">
        <v>8639</v>
      </c>
      <c r="G1325" s="1"/>
      <c r="H1325" s="1"/>
      <c r="I1325" s="1" t="s">
        <v>8640</v>
      </c>
      <c r="J1325" s="1" t="s">
        <v>95</v>
      </c>
      <c r="K1325" s="1"/>
      <c r="L1325" s="1"/>
      <c r="M1325" s="1"/>
      <c r="N1325" s="1"/>
      <c r="O1325" s="1"/>
      <c r="P1325" s="1"/>
      <c r="Q1325" s="1"/>
      <c r="R1325" s="1"/>
      <c r="S1325" s="1"/>
      <c r="T1325" s="1"/>
      <c r="U1325" s="1"/>
      <c r="V1325" s="1"/>
      <c r="W1325" s="1"/>
      <c r="X1325" s="1"/>
      <c r="Y1325" s="1"/>
      <c r="Z1325" s="1"/>
      <c r="AA1325" s="1" t="s">
        <v>8641</v>
      </c>
      <c r="AB1325" s="1" t="s">
        <v>8642</v>
      </c>
      <c r="AC1325" s="1"/>
      <c r="AD1325" s="1"/>
      <c r="AE1325" s="1"/>
      <c r="AF1325" s="1"/>
      <c r="AG1325" s="1"/>
      <c r="AH1325" s="1"/>
      <c r="AI1325" s="1"/>
      <c r="AJ1325" s="1"/>
      <c r="AK1325" s="1"/>
      <c r="AL1325" s="1"/>
      <c r="AM1325" s="1"/>
      <c r="AN1325" s="1"/>
      <c r="AO1325" s="1" t="s">
        <v>98</v>
      </c>
      <c r="AP1325" s="1" t="s">
        <v>99</v>
      </c>
      <c r="AQ1325" s="1"/>
      <c r="AR1325" s="1"/>
      <c r="AS1325" s="1"/>
      <c r="AT1325" s="1"/>
      <c r="AU1325" s="1">
        <v>2018</v>
      </c>
      <c r="AV1325" s="1"/>
      <c r="AW1325" s="1">
        <v>3</v>
      </c>
      <c r="AX1325" s="1"/>
      <c r="AY1325" s="1"/>
      <c r="AZ1325" s="1"/>
      <c r="BA1325" s="1"/>
      <c r="BB1325" s="1">
        <v>12</v>
      </c>
      <c r="BC1325" s="1">
        <v>18</v>
      </c>
      <c r="BD1325" s="1"/>
      <c r="BE1325" s="1" t="s">
        <v>8643</v>
      </c>
      <c r="BF1325" s="1" t="str">
        <f>HYPERLINK("http://dx.doi.org/10.25750/1995-4301-2018-3-012-018","http://dx.doi.org/10.25750/1995-4301-2018-3-012-018")</f>
        <v>http://dx.doi.org/10.25750/1995-4301-2018-3-012-018</v>
      </c>
      <c r="BG1325" s="1"/>
      <c r="BH1325" s="1"/>
      <c r="BI1325" s="1"/>
      <c r="BJ1325" s="1"/>
      <c r="BK1325" s="1"/>
      <c r="BL1325" s="1"/>
      <c r="BM1325" s="1"/>
      <c r="BN1325" s="1"/>
      <c r="BO1325" s="1"/>
      <c r="BP1325" s="1"/>
      <c r="BQ1325" s="1"/>
      <c r="BR1325" s="1"/>
      <c r="BS1325" s="1" t="s">
        <v>8644</v>
      </c>
      <c r="BT1325" s="1" t="str">
        <f>HYPERLINK("https%3A%2F%2Fwww.webofscience.com%2Fwos%2Fwoscc%2Ffull-record%2FWOS:000468564900002","View Full Record in Web of Science")</f>
        <v>View Full Record in Web of Science</v>
      </c>
      <c r="BU1325" s="1"/>
      <c r="BV1325" s="1"/>
      <c r="BW1325" s="1"/>
    </row>
    <row r="1326" spans="1:75" ht="12.75" customHeight="1" x14ac:dyDescent="0.2">
      <c r="A1326" s="1" t="s">
        <v>72</v>
      </c>
      <c r="B1326" s="1" t="s">
        <v>8645</v>
      </c>
      <c r="C1326" s="1"/>
      <c r="D1326" s="1"/>
      <c r="E1326" s="1"/>
      <c r="F1326" s="1" t="s">
        <v>8646</v>
      </c>
      <c r="G1326" s="1"/>
      <c r="H1326" s="1"/>
      <c r="I1326" s="1" t="s">
        <v>8647</v>
      </c>
      <c r="J1326" s="1" t="s">
        <v>5813</v>
      </c>
      <c r="K1326" s="1"/>
      <c r="L1326" s="1"/>
      <c r="M1326" s="1"/>
      <c r="N1326" s="1"/>
      <c r="O1326" s="1"/>
      <c r="P1326" s="1"/>
      <c r="Q1326" s="1"/>
      <c r="R1326" s="1"/>
      <c r="S1326" s="1"/>
      <c r="T1326" s="1"/>
      <c r="U1326" s="1"/>
      <c r="V1326" s="1"/>
      <c r="W1326" s="1"/>
      <c r="X1326" s="1"/>
      <c r="Y1326" s="1"/>
      <c r="Z1326" s="1"/>
      <c r="AA1326" s="1" t="s">
        <v>8648</v>
      </c>
      <c r="AB1326" s="1" t="s">
        <v>8649</v>
      </c>
      <c r="AC1326" s="1"/>
      <c r="AD1326" s="1"/>
      <c r="AE1326" s="1"/>
      <c r="AF1326" s="1"/>
      <c r="AG1326" s="1"/>
      <c r="AH1326" s="1"/>
      <c r="AI1326" s="1"/>
      <c r="AJ1326" s="1"/>
      <c r="AK1326" s="1"/>
      <c r="AL1326" s="1"/>
      <c r="AM1326" s="1"/>
      <c r="AN1326" s="1"/>
      <c r="AO1326" s="1" t="s">
        <v>5814</v>
      </c>
      <c r="AP1326" s="1" t="s">
        <v>5815</v>
      </c>
      <c r="AQ1326" s="1"/>
      <c r="AR1326" s="1"/>
      <c r="AS1326" s="1"/>
      <c r="AT1326" s="1" t="s">
        <v>491</v>
      </c>
      <c r="AU1326" s="1">
        <v>2018</v>
      </c>
      <c r="AV1326" s="1">
        <v>62</v>
      </c>
      <c r="AW1326" s="1">
        <v>6</v>
      </c>
      <c r="AX1326" s="1"/>
      <c r="AY1326" s="1"/>
      <c r="AZ1326" s="1"/>
      <c r="BA1326" s="1"/>
      <c r="BB1326" s="1">
        <v>75</v>
      </c>
      <c r="BC1326" s="1">
        <v>79</v>
      </c>
      <c r="BD1326" s="1"/>
      <c r="BE1326" s="1" t="s">
        <v>8650</v>
      </c>
      <c r="BF1326" s="1" t="str">
        <f>HYPERLINK("http://dx.doi.org/10.3103/S1066369X18060087","http://dx.doi.org/10.3103/S1066369X18060087")</f>
        <v>http://dx.doi.org/10.3103/S1066369X18060087</v>
      </c>
      <c r="BG1326" s="1"/>
      <c r="BH1326" s="1"/>
      <c r="BI1326" s="1"/>
      <c r="BJ1326" s="1"/>
      <c r="BK1326" s="1"/>
      <c r="BL1326" s="1"/>
      <c r="BM1326" s="1"/>
      <c r="BN1326" s="1"/>
      <c r="BO1326" s="1"/>
      <c r="BP1326" s="1"/>
      <c r="BQ1326" s="1"/>
      <c r="BR1326" s="1"/>
      <c r="BS1326" s="1" t="s">
        <v>8651</v>
      </c>
      <c r="BT1326" s="1" t="str">
        <f>HYPERLINK("https%3A%2F%2Fwww.webofscience.com%2Fwos%2Fwoscc%2Ffull-record%2FWOS:000433579100008","View Full Record in Web of Science")</f>
        <v>View Full Record in Web of Science</v>
      </c>
      <c r="BU1326" s="1"/>
      <c r="BV1326" s="1"/>
      <c r="BW1326" s="1"/>
    </row>
    <row r="1327" spans="1:75" ht="12.75" customHeight="1" x14ac:dyDescent="0.2">
      <c r="A1327" s="1" t="s">
        <v>72</v>
      </c>
      <c r="B1327" s="1" t="s">
        <v>8652</v>
      </c>
      <c r="C1327" s="1"/>
      <c r="D1327" s="1"/>
      <c r="E1327" s="1"/>
      <c r="F1327" s="1" t="s">
        <v>8653</v>
      </c>
      <c r="G1327" s="1"/>
      <c r="H1327" s="1"/>
      <c r="I1327" s="1" t="s">
        <v>8654</v>
      </c>
      <c r="J1327" s="1" t="s">
        <v>95</v>
      </c>
      <c r="K1327" s="1"/>
      <c r="L1327" s="1"/>
      <c r="M1327" s="1"/>
      <c r="N1327" s="1"/>
      <c r="O1327" s="1"/>
      <c r="P1327" s="1"/>
      <c r="Q1327" s="1"/>
      <c r="R1327" s="1"/>
      <c r="S1327" s="1"/>
      <c r="T1327" s="1"/>
      <c r="U1327" s="1"/>
      <c r="V1327" s="1"/>
      <c r="W1327" s="1"/>
      <c r="X1327" s="1"/>
      <c r="Y1327" s="1"/>
      <c r="Z1327" s="1"/>
      <c r="AA1327" s="1" t="s">
        <v>8655</v>
      </c>
      <c r="AB1327" s="1" t="s">
        <v>8656</v>
      </c>
      <c r="AC1327" s="1"/>
      <c r="AD1327" s="1"/>
      <c r="AE1327" s="1"/>
      <c r="AF1327" s="1"/>
      <c r="AG1327" s="1"/>
      <c r="AH1327" s="1"/>
      <c r="AI1327" s="1"/>
      <c r="AJ1327" s="1"/>
      <c r="AK1327" s="1"/>
      <c r="AL1327" s="1"/>
      <c r="AM1327" s="1"/>
      <c r="AN1327" s="1"/>
      <c r="AO1327" s="1" t="s">
        <v>98</v>
      </c>
      <c r="AP1327" s="1" t="s">
        <v>99</v>
      </c>
      <c r="AQ1327" s="1"/>
      <c r="AR1327" s="1"/>
      <c r="AS1327" s="1"/>
      <c r="AT1327" s="1"/>
      <c r="AU1327" s="1">
        <v>2018</v>
      </c>
      <c r="AV1327" s="1"/>
      <c r="AW1327" s="1">
        <v>4</v>
      </c>
      <c r="AX1327" s="1"/>
      <c r="AY1327" s="1"/>
      <c r="AZ1327" s="1"/>
      <c r="BA1327" s="1"/>
      <c r="BB1327" s="1">
        <v>114</v>
      </c>
      <c r="BC1327" s="1">
        <v>118</v>
      </c>
      <c r="BD1327" s="1"/>
      <c r="BE1327" s="1" t="s">
        <v>8657</v>
      </c>
      <c r="BF1327" s="1" t="str">
        <f>HYPERLINK("http://dx.doi.org/10.25750/1995-4301-2018-4-114-118","http://dx.doi.org/10.25750/1995-4301-2018-4-114-118")</f>
        <v>http://dx.doi.org/10.25750/1995-4301-2018-4-114-118</v>
      </c>
      <c r="BG1327" s="1"/>
      <c r="BH1327" s="1"/>
      <c r="BI1327" s="1"/>
      <c r="BJ1327" s="1"/>
      <c r="BK1327" s="1"/>
      <c r="BL1327" s="1"/>
      <c r="BM1327" s="1"/>
      <c r="BN1327" s="1"/>
      <c r="BO1327" s="1"/>
      <c r="BP1327" s="1"/>
      <c r="BQ1327" s="1"/>
      <c r="BR1327" s="1"/>
      <c r="BS1327" s="1" t="s">
        <v>8658</v>
      </c>
      <c r="BT1327" s="1" t="str">
        <f>HYPERLINK("https%3A%2F%2Fwww.webofscience.com%2Fwos%2Fwoscc%2Ffull-record%2FWOS:000468565300015","View Full Record in Web of Science")</f>
        <v>View Full Record in Web of Science</v>
      </c>
      <c r="BU1327" s="1"/>
      <c r="BV1327" s="1"/>
      <c r="BW1327" s="1"/>
    </row>
    <row r="1328" spans="1:75" ht="12.75" customHeight="1" x14ac:dyDescent="0.2">
      <c r="A1328" s="1" t="s">
        <v>72</v>
      </c>
      <c r="B1328" s="1" t="s">
        <v>8659</v>
      </c>
      <c r="C1328" s="1"/>
      <c r="D1328" s="1"/>
      <c r="E1328" s="1"/>
      <c r="F1328" s="1" t="s">
        <v>8660</v>
      </c>
      <c r="G1328" s="1"/>
      <c r="H1328" s="1"/>
      <c r="I1328" s="1" t="s">
        <v>8661</v>
      </c>
      <c r="J1328" s="1" t="s">
        <v>971</v>
      </c>
      <c r="K1328" s="1"/>
      <c r="L1328" s="1"/>
      <c r="M1328" s="1"/>
      <c r="N1328" s="1"/>
      <c r="O1328" s="1"/>
      <c r="P1328" s="1"/>
      <c r="Q1328" s="1"/>
      <c r="R1328" s="1"/>
      <c r="S1328" s="1"/>
      <c r="T1328" s="1"/>
      <c r="U1328" s="1"/>
      <c r="V1328" s="1"/>
      <c r="W1328" s="1"/>
      <c r="X1328" s="1"/>
      <c r="Y1328" s="1"/>
      <c r="Z1328" s="1"/>
      <c r="AA1328" s="1" t="s">
        <v>8662</v>
      </c>
      <c r="AB1328" s="1" t="s">
        <v>6602</v>
      </c>
      <c r="AC1328" s="1"/>
      <c r="AD1328" s="1"/>
      <c r="AE1328" s="1"/>
      <c r="AF1328" s="1"/>
      <c r="AG1328" s="1"/>
      <c r="AH1328" s="1"/>
      <c r="AI1328" s="1"/>
      <c r="AJ1328" s="1"/>
      <c r="AK1328" s="1"/>
      <c r="AL1328" s="1"/>
      <c r="AM1328" s="1"/>
      <c r="AN1328" s="1"/>
      <c r="AO1328" s="1" t="s">
        <v>973</v>
      </c>
      <c r="AP1328" s="1" t="s">
        <v>974</v>
      </c>
      <c r="AQ1328" s="1"/>
      <c r="AR1328" s="1"/>
      <c r="AS1328" s="1"/>
      <c r="AT1328" s="1" t="s">
        <v>171</v>
      </c>
      <c r="AU1328" s="1">
        <v>2017</v>
      </c>
      <c r="AV1328" s="1">
        <v>53</v>
      </c>
      <c r="AW1328" s="1">
        <v>2</v>
      </c>
      <c r="AX1328" s="1"/>
      <c r="AY1328" s="1"/>
      <c r="AZ1328" s="1"/>
      <c r="BA1328" s="1"/>
      <c r="BB1328" s="1">
        <v>258</v>
      </c>
      <c r="BC1328" s="1">
        <v>266</v>
      </c>
      <c r="BD1328" s="1"/>
      <c r="BE1328" s="1" t="s">
        <v>8663</v>
      </c>
      <c r="BF1328" s="1" t="str">
        <f>HYPERLINK("http://dx.doi.org/10.1134/S0003683817020077","http://dx.doi.org/10.1134/S0003683817020077")</f>
        <v>http://dx.doi.org/10.1134/S0003683817020077</v>
      </c>
      <c r="BG1328" s="1"/>
      <c r="BH1328" s="1"/>
      <c r="BI1328" s="1"/>
      <c r="BJ1328" s="1"/>
      <c r="BK1328" s="1"/>
      <c r="BL1328" s="1"/>
      <c r="BM1328" s="1"/>
      <c r="BN1328" s="1"/>
      <c r="BO1328" s="1"/>
      <c r="BP1328" s="1"/>
      <c r="BQ1328" s="1"/>
      <c r="BR1328" s="1"/>
      <c r="BS1328" s="1" t="s">
        <v>8664</v>
      </c>
      <c r="BT1328" s="1" t="str">
        <f>HYPERLINK("https%3A%2F%2Fwww.webofscience.com%2Fwos%2Fwoscc%2Ffull-record%2FWOS:000396266800017","View Full Record in Web of Science")</f>
        <v>View Full Record in Web of Science</v>
      </c>
      <c r="BU1328" s="1"/>
      <c r="BV1328" s="1"/>
      <c r="BW1328" s="1"/>
    </row>
    <row r="1329" spans="1:75" ht="12.75" customHeight="1" x14ac:dyDescent="0.2">
      <c r="A1329" s="1" t="s">
        <v>72</v>
      </c>
      <c r="B1329" s="1" t="s">
        <v>8665</v>
      </c>
      <c r="C1329" s="1"/>
      <c r="D1329" s="1"/>
      <c r="E1329" s="1"/>
      <c r="F1329" s="1" t="s">
        <v>8666</v>
      </c>
      <c r="G1329" s="1"/>
      <c r="H1329" s="1"/>
      <c r="I1329" s="1" t="s">
        <v>8667</v>
      </c>
      <c r="J1329" s="1" t="s">
        <v>6373</v>
      </c>
      <c r="K1329" s="1"/>
      <c r="L1329" s="1"/>
      <c r="M1329" s="1"/>
      <c r="N1329" s="1"/>
      <c r="O1329" s="1"/>
      <c r="P1329" s="1"/>
      <c r="Q1329" s="1"/>
      <c r="R1329" s="1"/>
      <c r="S1329" s="1"/>
      <c r="T1329" s="1"/>
      <c r="U1329" s="1"/>
      <c r="V1329" s="1"/>
      <c r="W1329" s="1"/>
      <c r="X1329" s="1"/>
      <c r="Y1329" s="1"/>
      <c r="Z1329" s="1"/>
      <c r="AA1329" s="1"/>
      <c r="AB1329" s="1"/>
      <c r="AC1329" s="1"/>
      <c r="AD1329" s="1"/>
      <c r="AE1329" s="1"/>
      <c r="AF1329" s="1"/>
      <c r="AG1329" s="1"/>
      <c r="AH1329" s="1"/>
      <c r="AI1329" s="1"/>
      <c r="AJ1329" s="1"/>
      <c r="AK1329" s="1"/>
      <c r="AL1329" s="1"/>
      <c r="AM1329" s="1"/>
      <c r="AN1329" s="1"/>
      <c r="AO1329" s="1" t="s">
        <v>6374</v>
      </c>
      <c r="AP1329" s="1"/>
      <c r="AQ1329" s="1"/>
      <c r="AR1329" s="1"/>
      <c r="AS1329" s="1"/>
      <c r="AT1329" s="1" t="s">
        <v>8668</v>
      </c>
      <c r="AU1329" s="1">
        <v>2022</v>
      </c>
      <c r="AV1329" s="1">
        <v>10</v>
      </c>
      <c r="AW1329" s="1"/>
      <c r="AX1329" s="1"/>
      <c r="AY1329" s="1"/>
      <c r="AZ1329" s="1"/>
      <c r="BA1329" s="1"/>
      <c r="BB1329" s="1"/>
      <c r="BC1329" s="1"/>
      <c r="BD1329" s="1">
        <v>1025441</v>
      </c>
      <c r="BE1329" s="1" t="s">
        <v>8669</v>
      </c>
      <c r="BF1329" s="1" t="str">
        <f>HYPERLINK("http://dx.doi.org/10.3389/fenrg.2022.1025441","http://dx.doi.org/10.3389/fenrg.2022.1025441")</f>
        <v>http://dx.doi.org/10.3389/fenrg.2022.1025441</v>
      </c>
      <c r="BG1329" s="1"/>
      <c r="BH1329" s="1"/>
      <c r="BI1329" s="1"/>
      <c r="BJ1329" s="1"/>
      <c r="BK1329" s="1"/>
      <c r="BL1329" s="1"/>
      <c r="BM1329" s="1"/>
      <c r="BN1329" s="1"/>
      <c r="BO1329" s="1"/>
      <c r="BP1329" s="1"/>
      <c r="BQ1329" s="1"/>
      <c r="BR1329" s="1"/>
      <c r="BS1329" s="1" t="s">
        <v>8670</v>
      </c>
      <c r="BT1329" s="1" t="str">
        <f>HYPERLINK("https%3A%2F%2Fwww.webofscience.com%2Fwos%2Fwoscc%2Ffull-record%2FWOS:000894516000001","View Full Record in Web of Science")</f>
        <v>View Full Record in Web of Science</v>
      </c>
      <c r="BU1329" s="1"/>
      <c r="BV1329" s="1"/>
      <c r="BW1329" s="1"/>
    </row>
    <row r="1330" spans="1:75" ht="12.75" customHeight="1" x14ac:dyDescent="0.2">
      <c r="A1330" s="1" t="s">
        <v>72</v>
      </c>
      <c r="B1330" s="1" t="s">
        <v>8671</v>
      </c>
      <c r="C1330" s="1"/>
      <c r="D1330" s="1"/>
      <c r="E1330" s="1"/>
      <c r="F1330" s="1" t="s">
        <v>8672</v>
      </c>
      <c r="G1330" s="1"/>
      <c r="H1330" s="1"/>
      <c r="I1330" s="1" t="s">
        <v>8673</v>
      </c>
      <c r="J1330" s="1" t="s">
        <v>8674</v>
      </c>
      <c r="K1330" s="1"/>
      <c r="L1330" s="1"/>
      <c r="M1330" s="1"/>
      <c r="N1330" s="1"/>
      <c r="O1330" s="1"/>
      <c r="P1330" s="1"/>
      <c r="Q1330" s="1"/>
      <c r="R1330" s="1"/>
      <c r="S1330" s="1"/>
      <c r="T1330" s="1"/>
      <c r="U1330" s="1"/>
      <c r="V1330" s="1"/>
      <c r="W1330" s="1"/>
      <c r="X1330" s="1"/>
      <c r="Y1330" s="1"/>
      <c r="Z1330" s="1"/>
      <c r="AA1330" s="1" t="s">
        <v>8675</v>
      </c>
      <c r="AB1330" s="1" t="s">
        <v>8676</v>
      </c>
      <c r="AC1330" s="1"/>
      <c r="AD1330" s="1"/>
      <c r="AE1330" s="1"/>
      <c r="AF1330" s="1"/>
      <c r="AG1330" s="1"/>
      <c r="AH1330" s="1"/>
      <c r="AI1330" s="1"/>
      <c r="AJ1330" s="1"/>
      <c r="AK1330" s="1"/>
      <c r="AL1330" s="1"/>
      <c r="AM1330" s="1"/>
      <c r="AN1330" s="1"/>
      <c r="AO1330" s="1" t="s">
        <v>8677</v>
      </c>
      <c r="AP1330" s="1" t="s">
        <v>8678</v>
      </c>
      <c r="AQ1330" s="1"/>
      <c r="AR1330" s="1"/>
      <c r="AS1330" s="1"/>
      <c r="AT1330" s="1" t="s">
        <v>541</v>
      </c>
      <c r="AU1330" s="1">
        <v>2021</v>
      </c>
      <c r="AV1330" s="1">
        <v>9</v>
      </c>
      <c r="AW1330" s="1"/>
      <c r="AX1330" s="1"/>
      <c r="AY1330" s="1"/>
      <c r="AZ1330" s="1" t="s">
        <v>339</v>
      </c>
      <c r="BA1330" s="1"/>
      <c r="BB1330" s="1"/>
      <c r="BC1330" s="1"/>
      <c r="BD1330" s="1" t="s">
        <v>8679</v>
      </c>
      <c r="BE1330" s="1" t="s">
        <v>8680</v>
      </c>
      <c r="BF1330" s="1" t="str">
        <f>HYPERLINK("http://dx.doi.org/10.20511/pyr2021.v9nSPE1.1223","http://dx.doi.org/10.20511/pyr2021.v9nSPE1.1223")</f>
        <v>http://dx.doi.org/10.20511/pyr2021.v9nSPE1.1223</v>
      </c>
      <c r="BG1330" s="1"/>
      <c r="BH1330" s="1"/>
      <c r="BI1330" s="1"/>
      <c r="BJ1330" s="1"/>
      <c r="BK1330" s="1"/>
      <c r="BL1330" s="1"/>
      <c r="BM1330" s="1"/>
      <c r="BN1330" s="1"/>
      <c r="BO1330" s="1"/>
      <c r="BP1330" s="1"/>
      <c r="BQ1330" s="1"/>
      <c r="BR1330" s="1"/>
      <c r="BS1330" s="1" t="s">
        <v>8681</v>
      </c>
      <c r="BT1330" s="1" t="str">
        <f>HYPERLINK("https%3A%2F%2Fwww.webofscience.com%2Fwos%2Fwoscc%2Ffull-record%2FWOS:000697163700002","View Full Record in Web of Science")</f>
        <v>View Full Record in Web of Science</v>
      </c>
      <c r="BU1330" s="1"/>
      <c r="BV1330" s="1"/>
      <c r="BW1330" s="1"/>
    </row>
    <row r="1331" spans="1:75" ht="12.75" customHeight="1" x14ac:dyDescent="0.2">
      <c r="A1331" s="1" t="s">
        <v>72</v>
      </c>
      <c r="B1331" s="1" t="s">
        <v>8682</v>
      </c>
      <c r="C1331" s="1"/>
      <c r="D1331" s="1"/>
      <c r="E1331" s="1"/>
      <c r="F1331" s="1" t="s">
        <v>8683</v>
      </c>
      <c r="G1331" s="1"/>
      <c r="H1331" s="1"/>
      <c r="I1331" s="1" t="s">
        <v>8684</v>
      </c>
      <c r="J1331" s="1" t="s">
        <v>95</v>
      </c>
      <c r="K1331" s="1"/>
      <c r="L1331" s="1"/>
      <c r="M1331" s="1"/>
      <c r="N1331" s="1"/>
      <c r="O1331" s="1"/>
      <c r="P1331" s="1"/>
      <c r="Q1331" s="1"/>
      <c r="R1331" s="1"/>
      <c r="S1331" s="1"/>
      <c r="T1331" s="1"/>
      <c r="U1331" s="1"/>
      <c r="V1331" s="1"/>
      <c r="W1331" s="1"/>
      <c r="X1331" s="1"/>
      <c r="Y1331" s="1"/>
      <c r="Z1331" s="1"/>
      <c r="AA1331" s="1" t="s">
        <v>8685</v>
      </c>
      <c r="AB1331" s="1" t="s">
        <v>8686</v>
      </c>
      <c r="AC1331" s="1"/>
      <c r="AD1331" s="1"/>
      <c r="AE1331" s="1"/>
      <c r="AF1331" s="1"/>
      <c r="AG1331" s="1"/>
      <c r="AH1331" s="1"/>
      <c r="AI1331" s="1"/>
      <c r="AJ1331" s="1"/>
      <c r="AK1331" s="1"/>
      <c r="AL1331" s="1"/>
      <c r="AM1331" s="1"/>
      <c r="AN1331" s="1"/>
      <c r="AO1331" s="1" t="s">
        <v>98</v>
      </c>
      <c r="AP1331" s="1" t="s">
        <v>99</v>
      </c>
      <c r="AQ1331" s="1"/>
      <c r="AR1331" s="1"/>
      <c r="AS1331" s="1"/>
      <c r="AT1331" s="1"/>
      <c r="AU1331" s="1">
        <v>2019</v>
      </c>
      <c r="AV1331" s="1"/>
      <c r="AW1331" s="1">
        <v>1</v>
      </c>
      <c r="AX1331" s="1"/>
      <c r="AY1331" s="1"/>
      <c r="AZ1331" s="1"/>
      <c r="BA1331" s="1"/>
      <c r="BB1331" s="1">
        <v>111</v>
      </c>
      <c r="BC1331" s="1">
        <v>115</v>
      </c>
      <c r="BD1331" s="1"/>
      <c r="BE1331" s="1" t="s">
        <v>8687</v>
      </c>
      <c r="BF1331" s="1" t="str">
        <f>HYPERLINK("http://dx.doi.org/10.25750/1995-4301-2019-1-111-115","http://dx.doi.org/10.25750/1995-4301-2019-1-111-115")</f>
        <v>http://dx.doi.org/10.25750/1995-4301-2019-1-111-115</v>
      </c>
      <c r="BG1331" s="1"/>
      <c r="BH1331" s="1"/>
      <c r="BI1331" s="1"/>
      <c r="BJ1331" s="1"/>
      <c r="BK1331" s="1"/>
      <c r="BL1331" s="1"/>
      <c r="BM1331" s="1"/>
      <c r="BN1331" s="1"/>
      <c r="BO1331" s="1"/>
      <c r="BP1331" s="1"/>
      <c r="BQ1331" s="1"/>
      <c r="BR1331" s="1"/>
      <c r="BS1331" s="1" t="s">
        <v>8688</v>
      </c>
      <c r="BT1331" s="1" t="str">
        <f>HYPERLINK("https%3A%2F%2Fwww.webofscience.com%2Fwos%2Fwoscc%2Ffull-record%2FWOS:000468565900016","View Full Record in Web of Science")</f>
        <v>View Full Record in Web of Science</v>
      </c>
      <c r="BU1331" s="1"/>
      <c r="BV1331" s="1"/>
      <c r="BW1331" s="1"/>
    </row>
    <row r="1332" spans="1:75" ht="12.75" customHeight="1" x14ac:dyDescent="0.2">
      <c r="A1332" s="1" t="s">
        <v>72</v>
      </c>
      <c r="B1332" s="1" t="s">
        <v>8689</v>
      </c>
      <c r="C1332" s="1"/>
      <c r="D1332" s="1"/>
      <c r="E1332" s="1"/>
      <c r="F1332" s="1" t="s">
        <v>8690</v>
      </c>
      <c r="G1332" s="1"/>
      <c r="H1332" s="1"/>
      <c r="I1332" s="1" t="s">
        <v>8691</v>
      </c>
      <c r="J1332" s="1" t="s">
        <v>95</v>
      </c>
      <c r="K1332" s="1"/>
      <c r="L1332" s="1"/>
      <c r="M1332" s="1"/>
      <c r="N1332" s="1"/>
      <c r="O1332" s="1"/>
      <c r="P1332" s="1"/>
      <c r="Q1332" s="1"/>
      <c r="R1332" s="1"/>
      <c r="S1332" s="1"/>
      <c r="T1332" s="1"/>
      <c r="U1332" s="1"/>
      <c r="V1332" s="1"/>
      <c r="W1332" s="1"/>
      <c r="X1332" s="1"/>
      <c r="Y1332" s="1"/>
      <c r="Z1332" s="1"/>
      <c r="AA1332" s="1" t="s">
        <v>7326</v>
      </c>
      <c r="AB1332" s="1" t="s">
        <v>8692</v>
      </c>
      <c r="AC1332" s="1"/>
      <c r="AD1332" s="1"/>
      <c r="AE1332" s="1"/>
      <c r="AF1332" s="1"/>
      <c r="AG1332" s="1"/>
      <c r="AH1332" s="1"/>
      <c r="AI1332" s="1"/>
      <c r="AJ1332" s="1"/>
      <c r="AK1332" s="1"/>
      <c r="AL1332" s="1"/>
      <c r="AM1332" s="1"/>
      <c r="AN1332" s="1"/>
      <c r="AO1332" s="1" t="s">
        <v>98</v>
      </c>
      <c r="AP1332" s="1" t="s">
        <v>99</v>
      </c>
      <c r="AQ1332" s="1"/>
      <c r="AR1332" s="1"/>
      <c r="AS1332" s="1"/>
      <c r="AT1332" s="1"/>
      <c r="AU1332" s="1">
        <v>2020</v>
      </c>
      <c r="AV1332" s="1"/>
      <c r="AW1332" s="1">
        <v>3</v>
      </c>
      <c r="AX1332" s="1"/>
      <c r="AY1332" s="1"/>
      <c r="AZ1332" s="1"/>
      <c r="BA1332" s="1"/>
      <c r="BB1332" s="1">
        <v>161</v>
      </c>
      <c r="BC1332" s="1">
        <v>167</v>
      </c>
      <c r="BD1332" s="1"/>
      <c r="BE1332" s="1" t="s">
        <v>8693</v>
      </c>
      <c r="BF1332" s="1" t="str">
        <f>HYPERLINK("http://dx.doi.org/10.25750/1995-4301-2020-3-161-167","http://dx.doi.org/10.25750/1995-4301-2020-3-161-167")</f>
        <v>http://dx.doi.org/10.25750/1995-4301-2020-3-161-167</v>
      </c>
      <c r="BG1332" s="1"/>
      <c r="BH1332" s="1"/>
      <c r="BI1332" s="1"/>
      <c r="BJ1332" s="1"/>
      <c r="BK1332" s="1"/>
      <c r="BL1332" s="1"/>
      <c r="BM1332" s="1"/>
      <c r="BN1332" s="1"/>
      <c r="BO1332" s="1"/>
      <c r="BP1332" s="1"/>
      <c r="BQ1332" s="1"/>
      <c r="BR1332" s="1"/>
      <c r="BS1332" s="1" t="s">
        <v>8694</v>
      </c>
      <c r="BT1332" s="1" t="str">
        <f>HYPERLINK("https%3A%2F%2Fwww.webofscience.com%2Fwos%2Fwoscc%2Ffull-record%2FWOS:000580337700024","View Full Record in Web of Science")</f>
        <v>View Full Record in Web of Science</v>
      </c>
      <c r="BU1332" s="1"/>
      <c r="BV1332" s="1"/>
      <c r="BW1332" s="1"/>
    </row>
    <row r="1333" spans="1:75" ht="12.75" customHeight="1" x14ac:dyDescent="0.2">
      <c r="A1333" s="1" t="s">
        <v>72</v>
      </c>
      <c r="B1333" s="1" t="s">
        <v>8695</v>
      </c>
      <c r="C1333" s="1"/>
      <c r="D1333" s="1"/>
      <c r="E1333" s="1"/>
      <c r="F1333" s="1" t="s">
        <v>8696</v>
      </c>
      <c r="G1333" s="1"/>
      <c r="H1333" s="1"/>
      <c r="I1333" s="1" t="s">
        <v>8697</v>
      </c>
      <c r="J1333" s="1" t="s">
        <v>8698</v>
      </c>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c r="AH1333" s="1"/>
      <c r="AI1333" s="1"/>
      <c r="AJ1333" s="1"/>
      <c r="AK1333" s="1"/>
      <c r="AL1333" s="1"/>
      <c r="AM1333" s="1"/>
      <c r="AN1333" s="1"/>
      <c r="AO1333" s="1" t="s">
        <v>8699</v>
      </c>
      <c r="AP1333" s="1"/>
      <c r="AQ1333" s="1"/>
      <c r="AR1333" s="1"/>
      <c r="AS1333" s="1"/>
      <c r="AT1333" s="1"/>
      <c r="AU1333" s="1">
        <v>2020</v>
      </c>
      <c r="AV1333" s="1">
        <v>13</v>
      </c>
      <c r="AW1333" s="1">
        <v>9</v>
      </c>
      <c r="AX1333" s="1"/>
      <c r="AY1333" s="1"/>
      <c r="AZ1333" s="1" t="s">
        <v>339</v>
      </c>
      <c r="BA1333" s="1"/>
      <c r="BB1333" s="1">
        <v>83</v>
      </c>
      <c r="BC1333" s="1">
        <v>85</v>
      </c>
      <c r="BD1333" s="1"/>
      <c r="BE1333" s="1"/>
      <c r="BF1333" s="1"/>
      <c r="BG1333" s="1"/>
      <c r="BH1333" s="1"/>
      <c r="BI1333" s="1"/>
      <c r="BJ1333" s="1"/>
      <c r="BK1333" s="1"/>
      <c r="BL1333" s="1"/>
      <c r="BM1333" s="1"/>
      <c r="BN1333" s="1"/>
      <c r="BO1333" s="1"/>
      <c r="BP1333" s="1"/>
      <c r="BQ1333" s="1"/>
      <c r="BR1333" s="1"/>
      <c r="BS1333" s="1" t="s">
        <v>8700</v>
      </c>
      <c r="BT1333" s="1" t="str">
        <f>HYPERLINK("https%3A%2F%2Fwww.webofscience.com%2Fwos%2Fwoscc%2Ffull-record%2FWOS:000640077600013","View Full Record in Web of Science")</f>
        <v>View Full Record in Web of Science</v>
      </c>
      <c r="BU1333" s="1"/>
      <c r="BV1333" s="1"/>
      <c r="BW1333" s="1"/>
    </row>
    <row r="1334" spans="1:75" ht="12.75" customHeight="1" x14ac:dyDescent="0.2">
      <c r="A1334" s="1" t="s">
        <v>72</v>
      </c>
      <c r="B1334" s="1" t="s">
        <v>8701</v>
      </c>
      <c r="C1334" s="1"/>
      <c r="D1334" s="1"/>
      <c r="E1334" s="1"/>
      <c r="F1334" s="1" t="s">
        <v>8702</v>
      </c>
      <c r="G1334" s="1"/>
      <c r="H1334" s="1"/>
      <c r="I1334" s="1" t="s">
        <v>8703</v>
      </c>
      <c r="J1334" s="1" t="s">
        <v>8704</v>
      </c>
      <c r="K1334" s="1"/>
      <c r="L1334" s="1"/>
      <c r="M1334" s="1"/>
      <c r="N1334" s="1"/>
      <c r="O1334" s="1"/>
      <c r="P1334" s="1"/>
      <c r="Q1334" s="1"/>
      <c r="R1334" s="1"/>
      <c r="S1334" s="1"/>
      <c r="T1334" s="1"/>
      <c r="U1334" s="1"/>
      <c r="V1334" s="1"/>
      <c r="W1334" s="1"/>
      <c r="X1334" s="1"/>
      <c r="Y1334" s="1"/>
      <c r="Z1334" s="1"/>
      <c r="AA1334" s="1" t="s">
        <v>8705</v>
      </c>
      <c r="AB1334" s="1" t="s">
        <v>8706</v>
      </c>
      <c r="AC1334" s="1"/>
      <c r="AD1334" s="1"/>
      <c r="AE1334" s="1"/>
      <c r="AF1334" s="1"/>
      <c r="AG1334" s="1"/>
      <c r="AH1334" s="1"/>
      <c r="AI1334" s="1"/>
      <c r="AJ1334" s="1"/>
      <c r="AK1334" s="1"/>
      <c r="AL1334" s="1"/>
      <c r="AM1334" s="1"/>
      <c r="AN1334" s="1"/>
      <c r="AO1334" s="1" t="s">
        <v>8707</v>
      </c>
      <c r="AP1334" s="1" t="s">
        <v>8708</v>
      </c>
      <c r="AQ1334" s="1"/>
      <c r="AR1334" s="1"/>
      <c r="AS1334" s="1"/>
      <c r="AT1334" s="1"/>
      <c r="AU1334" s="1">
        <v>2018</v>
      </c>
      <c r="AV1334" s="1">
        <v>94</v>
      </c>
      <c r="AW1334" s="1">
        <v>9</v>
      </c>
      <c r="AX1334" s="1"/>
      <c r="AY1334" s="1"/>
      <c r="AZ1334" s="1"/>
      <c r="BA1334" s="1"/>
      <c r="BB1334" s="1">
        <v>825</v>
      </c>
      <c r="BC1334" s="1">
        <v>828</v>
      </c>
      <c r="BD1334" s="1"/>
      <c r="BE1334" s="1" t="s">
        <v>8709</v>
      </c>
      <c r="BF1334" s="1" t="str">
        <f>HYPERLINK("http://dx.doi.org/10.1080/09553002.2018.1492167","http://dx.doi.org/10.1080/09553002.2018.1492167")</f>
        <v>http://dx.doi.org/10.1080/09553002.2018.1492167</v>
      </c>
      <c r="BG1334" s="1"/>
      <c r="BH1334" s="1"/>
      <c r="BI1334" s="1"/>
      <c r="BJ1334" s="1"/>
      <c r="BK1334" s="1"/>
      <c r="BL1334" s="1"/>
      <c r="BM1334" s="1"/>
      <c r="BN1334" s="1">
        <v>29952691</v>
      </c>
      <c r="BO1334" s="1"/>
      <c r="BP1334" s="1"/>
      <c r="BQ1334" s="1"/>
      <c r="BR1334" s="1"/>
      <c r="BS1334" s="1" t="s">
        <v>8710</v>
      </c>
      <c r="BT1334" s="1" t="str">
        <f>HYPERLINK("https%3A%2F%2Fwww.webofscience.com%2Fwos%2Fwoscc%2Ffull-record%2FWOS:000451552200005","View Full Record in Web of Science")</f>
        <v>View Full Record in Web of Science</v>
      </c>
      <c r="BU1334" s="1"/>
      <c r="BV1334" s="1"/>
      <c r="BW1334" s="1"/>
    </row>
    <row r="1335" spans="1:75" ht="12.75" customHeight="1" x14ac:dyDescent="0.2">
      <c r="A1335" s="1" t="s">
        <v>72</v>
      </c>
      <c r="B1335" s="1" t="s">
        <v>8711</v>
      </c>
      <c r="C1335" s="1"/>
      <c r="D1335" s="1"/>
      <c r="E1335" s="1"/>
      <c r="F1335" s="1" t="s">
        <v>8712</v>
      </c>
      <c r="G1335" s="1"/>
      <c r="H1335" s="1"/>
      <c r="I1335" s="1" t="s">
        <v>8713</v>
      </c>
      <c r="J1335" s="1" t="s">
        <v>7100</v>
      </c>
      <c r="K1335" s="1"/>
      <c r="L1335" s="1"/>
      <c r="M1335" s="1"/>
      <c r="N1335" s="1"/>
      <c r="O1335" s="1"/>
      <c r="P1335" s="1"/>
      <c r="Q1335" s="1"/>
      <c r="R1335" s="1"/>
      <c r="S1335" s="1"/>
      <c r="T1335" s="1"/>
      <c r="U1335" s="1"/>
      <c r="V1335" s="1"/>
      <c r="W1335" s="1"/>
      <c r="X1335" s="1"/>
      <c r="Y1335" s="1"/>
      <c r="Z1335" s="1"/>
      <c r="AA1335" s="1" t="s">
        <v>8714</v>
      </c>
      <c r="AB1335" s="1" t="s">
        <v>8715</v>
      </c>
      <c r="AC1335" s="1"/>
      <c r="AD1335" s="1"/>
      <c r="AE1335" s="1"/>
      <c r="AF1335" s="1"/>
      <c r="AG1335" s="1"/>
      <c r="AH1335" s="1"/>
      <c r="AI1335" s="1"/>
      <c r="AJ1335" s="1"/>
      <c r="AK1335" s="1"/>
      <c r="AL1335" s="1"/>
      <c r="AM1335" s="1"/>
      <c r="AN1335" s="1"/>
      <c r="AO1335" s="1" t="s">
        <v>7103</v>
      </c>
      <c r="AP1335" s="1" t="s">
        <v>7104</v>
      </c>
      <c r="AQ1335" s="1"/>
      <c r="AR1335" s="1"/>
      <c r="AS1335" s="1"/>
      <c r="AT1335" s="1" t="s">
        <v>8716</v>
      </c>
      <c r="AU1335" s="1">
        <v>2020</v>
      </c>
      <c r="AV1335" s="1">
        <v>238</v>
      </c>
      <c r="AW1335" s="1"/>
      <c r="AX1335" s="1"/>
      <c r="AY1335" s="1"/>
      <c r="AZ1335" s="1"/>
      <c r="BA1335" s="1"/>
      <c r="BB1335" s="1"/>
      <c r="BC1335" s="1"/>
      <c r="BD1335" s="1">
        <v>116166</v>
      </c>
      <c r="BE1335" s="1" t="s">
        <v>8717</v>
      </c>
      <c r="BF1335" s="1" t="str">
        <f>HYPERLINK("http://dx.doi.org/10.1016/j.carbpol.2020.116166","http://dx.doi.org/10.1016/j.carbpol.2020.116166")</f>
        <v>http://dx.doi.org/10.1016/j.carbpol.2020.116166</v>
      </c>
      <c r="BG1335" s="1"/>
      <c r="BH1335" s="1"/>
      <c r="BI1335" s="1"/>
      <c r="BJ1335" s="1"/>
      <c r="BK1335" s="1"/>
      <c r="BL1335" s="1"/>
      <c r="BM1335" s="1"/>
      <c r="BN1335" s="1">
        <v>32299571</v>
      </c>
      <c r="BO1335" s="1"/>
      <c r="BP1335" s="1"/>
      <c r="BQ1335" s="1"/>
      <c r="BR1335" s="1"/>
      <c r="BS1335" s="1" t="s">
        <v>8718</v>
      </c>
      <c r="BT1335" s="1" t="str">
        <f>HYPERLINK("https%3A%2F%2Fwww.webofscience.com%2Fwos%2Fwoscc%2Ffull-record%2FWOS:000526413700004","View Full Record in Web of Science")</f>
        <v>View Full Record in Web of Science</v>
      </c>
      <c r="BU1335" s="1"/>
      <c r="BV1335" s="1"/>
      <c r="BW1335" s="1"/>
    </row>
    <row r="1336" spans="1:75" ht="12.75" customHeight="1" x14ac:dyDescent="0.2">
      <c r="A1336" s="1" t="s">
        <v>72</v>
      </c>
      <c r="B1336" s="1" t="s">
        <v>8719</v>
      </c>
      <c r="C1336" s="1"/>
      <c r="D1336" s="1"/>
      <c r="E1336" s="1"/>
      <c r="F1336" s="1" t="s">
        <v>8720</v>
      </c>
      <c r="G1336" s="1"/>
      <c r="H1336" s="1"/>
      <c r="I1336" s="1" t="s">
        <v>8721</v>
      </c>
      <c r="J1336" s="1" t="s">
        <v>2633</v>
      </c>
      <c r="K1336" s="1"/>
      <c r="L1336" s="1"/>
      <c r="M1336" s="1"/>
      <c r="N1336" s="1"/>
      <c r="O1336" s="1"/>
      <c r="P1336" s="1"/>
      <c r="Q1336" s="1"/>
      <c r="R1336" s="1"/>
      <c r="S1336" s="1"/>
      <c r="T1336" s="1"/>
      <c r="U1336" s="1"/>
      <c r="V1336" s="1"/>
      <c r="W1336" s="1"/>
      <c r="X1336" s="1"/>
      <c r="Y1336" s="1"/>
      <c r="Z1336" s="1"/>
      <c r="AA1336" s="1" t="s">
        <v>8722</v>
      </c>
      <c r="AB1336" s="1" t="s">
        <v>8723</v>
      </c>
      <c r="AC1336" s="1"/>
      <c r="AD1336" s="1"/>
      <c r="AE1336" s="1"/>
      <c r="AF1336" s="1"/>
      <c r="AG1336" s="1"/>
      <c r="AH1336" s="1"/>
      <c r="AI1336" s="1"/>
      <c r="AJ1336" s="1"/>
      <c r="AK1336" s="1"/>
      <c r="AL1336" s="1"/>
      <c r="AM1336" s="1"/>
      <c r="AN1336" s="1"/>
      <c r="AO1336" s="1" t="s">
        <v>2634</v>
      </c>
      <c r="AP1336" s="1"/>
      <c r="AQ1336" s="1"/>
      <c r="AR1336" s="1"/>
      <c r="AS1336" s="1"/>
      <c r="AT1336" s="1"/>
      <c r="AU1336" s="1">
        <v>2019</v>
      </c>
      <c r="AV1336" s="1">
        <v>23</v>
      </c>
      <c r="AW1336" s="1">
        <v>4</v>
      </c>
      <c r="AX1336" s="1"/>
      <c r="AY1336" s="1"/>
      <c r="AZ1336" s="1"/>
      <c r="BA1336" s="1"/>
      <c r="BB1336" s="1">
        <v>182</v>
      </c>
      <c r="BC1336" s="1">
        <v>188</v>
      </c>
      <c r="BD1336" s="1"/>
      <c r="BE1336" s="1" t="s">
        <v>8724</v>
      </c>
      <c r="BF1336" s="1" t="str">
        <f>HYPERLINK("http://dx.doi.org/10.15561/18189172.2019.0404","http://dx.doi.org/10.15561/18189172.2019.0404")</f>
        <v>http://dx.doi.org/10.15561/18189172.2019.0404</v>
      </c>
      <c r="BG1336" s="1"/>
      <c r="BH1336" s="1"/>
      <c r="BI1336" s="1"/>
      <c r="BJ1336" s="1"/>
      <c r="BK1336" s="1"/>
      <c r="BL1336" s="1"/>
      <c r="BM1336" s="1"/>
      <c r="BN1336" s="1"/>
      <c r="BO1336" s="1"/>
      <c r="BP1336" s="1"/>
      <c r="BQ1336" s="1"/>
      <c r="BR1336" s="1"/>
      <c r="BS1336" s="1" t="s">
        <v>8725</v>
      </c>
      <c r="BT1336" s="1" t="str">
        <f>HYPERLINK("https%3A%2F%2Fwww.webofscience.com%2Fwos%2Fwoscc%2Ffull-record%2FWOS:000482200500004","View Full Record in Web of Science")</f>
        <v>View Full Record in Web of Science</v>
      </c>
      <c r="BU1336" s="1"/>
      <c r="BV1336" s="1"/>
      <c r="BW1336" s="1"/>
    </row>
    <row r="1337" spans="1:75" ht="12.75" customHeight="1" x14ac:dyDescent="0.2">
      <c r="A1337" s="1" t="s">
        <v>72</v>
      </c>
      <c r="B1337" s="1" t="s">
        <v>8726</v>
      </c>
      <c r="C1337" s="1"/>
      <c r="D1337" s="1"/>
      <c r="E1337" s="1"/>
      <c r="F1337" s="1" t="s">
        <v>8727</v>
      </c>
      <c r="G1337" s="1"/>
      <c r="H1337" s="1"/>
      <c r="I1337" s="1" t="s">
        <v>8728</v>
      </c>
      <c r="J1337" s="1" t="s">
        <v>6322</v>
      </c>
      <c r="K1337" s="1"/>
      <c r="L1337" s="1"/>
      <c r="M1337" s="1"/>
      <c r="N1337" s="1"/>
      <c r="O1337" s="1"/>
      <c r="P1337" s="1"/>
      <c r="Q1337" s="1"/>
      <c r="R1337" s="1"/>
      <c r="S1337" s="1"/>
      <c r="T1337" s="1"/>
      <c r="U1337" s="1"/>
      <c r="V1337" s="1"/>
      <c r="W1337" s="1"/>
      <c r="X1337" s="1"/>
      <c r="Y1337" s="1"/>
      <c r="Z1337" s="1"/>
      <c r="AA1337" s="1" t="s">
        <v>8729</v>
      </c>
      <c r="AB1337" s="1" t="s">
        <v>8730</v>
      </c>
      <c r="AC1337" s="1"/>
      <c r="AD1337" s="1"/>
      <c r="AE1337" s="1"/>
      <c r="AF1337" s="1"/>
      <c r="AG1337" s="1"/>
      <c r="AH1337" s="1"/>
      <c r="AI1337" s="1"/>
      <c r="AJ1337" s="1"/>
      <c r="AK1337" s="1"/>
      <c r="AL1337" s="1"/>
      <c r="AM1337" s="1"/>
      <c r="AN1337" s="1"/>
      <c r="AO1337" s="1"/>
      <c r="AP1337" s="1" t="s">
        <v>6325</v>
      </c>
      <c r="AQ1337" s="1"/>
      <c r="AR1337" s="1"/>
      <c r="AS1337" s="1"/>
      <c r="AT1337" s="1" t="s">
        <v>1173</v>
      </c>
      <c r="AU1337" s="1">
        <v>2018</v>
      </c>
      <c r="AV1337" s="1">
        <v>10</v>
      </c>
      <c r="AW1337" s="1">
        <v>8</v>
      </c>
      <c r="AX1337" s="1"/>
      <c r="AY1337" s="1"/>
      <c r="AZ1337" s="1"/>
      <c r="BA1337" s="1"/>
      <c r="BB1337" s="1"/>
      <c r="BC1337" s="1"/>
      <c r="BD1337" s="1">
        <v>817</v>
      </c>
      <c r="BE1337" s="1" t="s">
        <v>8731</v>
      </c>
      <c r="BF1337" s="1" t="str">
        <f>HYPERLINK("http://dx.doi.org/10.3390/polym10080817","http://dx.doi.org/10.3390/polym10080817")</f>
        <v>http://dx.doi.org/10.3390/polym10080817</v>
      </c>
      <c r="BG1337" s="1"/>
      <c r="BH1337" s="1"/>
      <c r="BI1337" s="1"/>
      <c r="BJ1337" s="1"/>
      <c r="BK1337" s="1"/>
      <c r="BL1337" s="1"/>
      <c r="BM1337" s="1"/>
      <c r="BN1337" s="1">
        <v>30960742</v>
      </c>
      <c r="BO1337" s="1"/>
      <c r="BP1337" s="1"/>
      <c r="BQ1337" s="1"/>
      <c r="BR1337" s="1"/>
      <c r="BS1337" s="1" t="s">
        <v>8732</v>
      </c>
      <c r="BT1337" s="1" t="str">
        <f>HYPERLINK("https%3A%2F%2Fwww.webofscience.com%2Fwos%2Fwoscc%2Ffull-record%2FWOS:000445410200010","View Full Record in Web of Science")</f>
        <v>View Full Record in Web of Science</v>
      </c>
      <c r="BU1337" s="1"/>
      <c r="BV1337" s="1"/>
      <c r="BW1337" s="1"/>
    </row>
    <row r="1338" spans="1:75" ht="12.75" customHeight="1" x14ac:dyDescent="0.2">
      <c r="A1338" s="1" t="s">
        <v>72</v>
      </c>
      <c r="B1338" s="1" t="s">
        <v>8733</v>
      </c>
      <c r="C1338" s="1"/>
      <c r="D1338" s="1"/>
      <c r="E1338" s="1"/>
      <c r="F1338" s="1" t="s">
        <v>8734</v>
      </c>
      <c r="G1338" s="1"/>
      <c r="H1338" s="1"/>
      <c r="I1338" s="1" t="s">
        <v>8735</v>
      </c>
      <c r="J1338" s="1" t="s">
        <v>8736</v>
      </c>
      <c r="K1338" s="1"/>
      <c r="L1338" s="1"/>
      <c r="M1338" s="1"/>
      <c r="N1338" s="1"/>
      <c r="O1338" s="1"/>
      <c r="P1338" s="1"/>
      <c r="Q1338" s="1"/>
      <c r="R1338" s="1"/>
      <c r="S1338" s="1"/>
      <c r="T1338" s="1"/>
      <c r="U1338" s="1"/>
      <c r="V1338" s="1"/>
      <c r="W1338" s="1"/>
      <c r="X1338" s="1"/>
      <c r="Y1338" s="1"/>
      <c r="Z1338" s="1"/>
      <c r="AA1338" s="1" t="s">
        <v>8737</v>
      </c>
      <c r="AB1338" s="1" t="s">
        <v>8738</v>
      </c>
      <c r="AC1338" s="1"/>
      <c r="AD1338" s="1"/>
      <c r="AE1338" s="1"/>
      <c r="AF1338" s="1"/>
      <c r="AG1338" s="1"/>
      <c r="AH1338" s="1"/>
      <c r="AI1338" s="1"/>
      <c r="AJ1338" s="1"/>
      <c r="AK1338" s="1"/>
      <c r="AL1338" s="1"/>
      <c r="AM1338" s="1"/>
      <c r="AN1338" s="1"/>
      <c r="AO1338" s="1" t="s">
        <v>8739</v>
      </c>
      <c r="AP1338" s="1" t="s">
        <v>8740</v>
      </c>
      <c r="AQ1338" s="1"/>
      <c r="AR1338" s="1"/>
      <c r="AS1338" s="1"/>
      <c r="AT1338" s="1" t="s">
        <v>830</v>
      </c>
      <c r="AU1338" s="1">
        <v>2016</v>
      </c>
      <c r="AV1338" s="1">
        <v>31</v>
      </c>
      <c r="AW1338" s="1">
        <v>5</v>
      </c>
      <c r="AX1338" s="1"/>
      <c r="AY1338" s="1"/>
      <c r="AZ1338" s="1"/>
      <c r="BA1338" s="1"/>
      <c r="BB1338" s="1">
        <v>481</v>
      </c>
      <c r="BC1338" s="1">
        <v>497</v>
      </c>
      <c r="BD1338" s="1"/>
      <c r="BE1338" s="1" t="s">
        <v>8741</v>
      </c>
      <c r="BF1338" s="1" t="str">
        <f>HYPERLINK("http://dx.doi.org/10.1177/0883911516637374","http://dx.doi.org/10.1177/0883911516637374")</f>
        <v>http://dx.doi.org/10.1177/0883911516637374</v>
      </c>
      <c r="BG1338" s="1"/>
      <c r="BH1338" s="1"/>
      <c r="BI1338" s="1"/>
      <c r="BJ1338" s="1"/>
      <c r="BK1338" s="1"/>
      <c r="BL1338" s="1"/>
      <c r="BM1338" s="1"/>
      <c r="BN1338" s="1"/>
      <c r="BO1338" s="1"/>
      <c r="BP1338" s="1"/>
      <c r="BQ1338" s="1"/>
      <c r="BR1338" s="1"/>
      <c r="BS1338" s="1" t="s">
        <v>8742</v>
      </c>
      <c r="BT1338" s="1" t="str">
        <f>HYPERLINK("https%3A%2F%2Fwww.webofscience.com%2Fwos%2Fwoscc%2Ffull-record%2FWOS:000382858400004","View Full Record in Web of Science")</f>
        <v>View Full Record in Web of Science</v>
      </c>
      <c r="BU1338" s="1"/>
      <c r="BV1338" s="1"/>
      <c r="BW1338" s="1"/>
    </row>
    <row r="1339" spans="1:75" ht="12.75" customHeight="1" x14ac:dyDescent="0.2">
      <c r="A1339" s="1" t="s">
        <v>72</v>
      </c>
      <c r="B1339" s="1" t="s">
        <v>8743</v>
      </c>
      <c r="C1339" s="1"/>
      <c r="D1339" s="1"/>
      <c r="E1339" s="1"/>
      <c r="F1339" s="1" t="s">
        <v>8744</v>
      </c>
      <c r="G1339" s="1"/>
      <c r="H1339" s="1"/>
      <c r="I1339" s="1" t="s">
        <v>8745</v>
      </c>
      <c r="J1339" s="1" t="s">
        <v>8746</v>
      </c>
      <c r="K1339" s="1"/>
      <c r="L1339" s="1"/>
      <c r="M1339" s="1"/>
      <c r="N1339" s="1"/>
      <c r="O1339" s="1"/>
      <c r="P1339" s="1"/>
      <c r="Q1339" s="1"/>
      <c r="R1339" s="1"/>
      <c r="S1339" s="1"/>
      <c r="T1339" s="1"/>
      <c r="U1339" s="1"/>
      <c r="V1339" s="1"/>
      <c r="W1339" s="1"/>
      <c r="X1339" s="1"/>
      <c r="Y1339" s="1"/>
      <c r="Z1339" s="1"/>
      <c r="AA1339" s="1" t="s">
        <v>8747</v>
      </c>
      <c r="AB1339" s="1" t="s">
        <v>8748</v>
      </c>
      <c r="AC1339" s="1"/>
      <c r="AD1339" s="1"/>
      <c r="AE1339" s="1"/>
      <c r="AF1339" s="1"/>
      <c r="AG1339" s="1"/>
      <c r="AH1339" s="1"/>
      <c r="AI1339" s="1"/>
      <c r="AJ1339" s="1"/>
      <c r="AK1339" s="1"/>
      <c r="AL1339" s="1"/>
      <c r="AM1339" s="1"/>
      <c r="AN1339" s="1"/>
      <c r="AO1339" s="1" t="s">
        <v>8749</v>
      </c>
      <c r="AP1339" s="1" t="s">
        <v>8750</v>
      </c>
      <c r="AQ1339" s="1"/>
      <c r="AR1339" s="1"/>
      <c r="AS1339" s="1"/>
      <c r="AT1339" s="1"/>
      <c r="AU1339" s="1">
        <v>2016</v>
      </c>
      <c r="AV1339" s="1">
        <v>65</v>
      </c>
      <c r="AW1339" s="1">
        <v>9</v>
      </c>
      <c r="AX1339" s="1"/>
      <c r="AY1339" s="1"/>
      <c r="AZ1339" s="1"/>
      <c r="BA1339" s="1"/>
      <c r="BB1339" s="1">
        <v>433</v>
      </c>
      <c r="BC1339" s="1">
        <v>441</v>
      </c>
      <c r="BD1339" s="1"/>
      <c r="BE1339" s="1" t="s">
        <v>8751</v>
      </c>
      <c r="BF1339" s="1" t="str">
        <f>HYPERLINK("http://dx.doi.org/10.1080/00914037.2015.1129955","http://dx.doi.org/10.1080/00914037.2015.1129955")</f>
        <v>http://dx.doi.org/10.1080/00914037.2015.1129955</v>
      </c>
      <c r="BG1339" s="1"/>
      <c r="BH1339" s="1"/>
      <c r="BI1339" s="1"/>
      <c r="BJ1339" s="1"/>
      <c r="BK1339" s="1"/>
      <c r="BL1339" s="1"/>
      <c r="BM1339" s="1"/>
      <c r="BN1339" s="1"/>
      <c r="BO1339" s="1"/>
      <c r="BP1339" s="1"/>
      <c r="BQ1339" s="1"/>
      <c r="BR1339" s="1"/>
      <c r="BS1339" s="1" t="s">
        <v>8752</v>
      </c>
      <c r="BT1339" s="1" t="str">
        <f>HYPERLINK("https%3A%2F%2Fwww.webofscience.com%2Fwos%2Fwoscc%2Ffull-record%2FWOS:000373128600001","View Full Record in Web of Science")</f>
        <v>View Full Record in Web of Science</v>
      </c>
      <c r="BU1339" s="1"/>
      <c r="BV1339" s="1"/>
      <c r="BW1339" s="1"/>
    </row>
    <row r="1340" spans="1:75" ht="12.75" customHeight="1" x14ac:dyDescent="0.2">
      <c r="A1340" s="1" t="s">
        <v>72</v>
      </c>
      <c r="B1340" s="1" t="s">
        <v>8659</v>
      </c>
      <c r="C1340" s="1"/>
      <c r="D1340" s="1"/>
      <c r="E1340" s="1"/>
      <c r="F1340" s="1" t="s">
        <v>8660</v>
      </c>
      <c r="G1340" s="1"/>
      <c r="H1340" s="1"/>
      <c r="I1340" s="1" t="s">
        <v>8753</v>
      </c>
      <c r="J1340" s="1" t="s">
        <v>8754</v>
      </c>
      <c r="K1340" s="1"/>
      <c r="L1340" s="1"/>
      <c r="M1340" s="1"/>
      <c r="N1340" s="1"/>
      <c r="O1340" s="1"/>
      <c r="P1340" s="1"/>
      <c r="Q1340" s="1"/>
      <c r="R1340" s="1"/>
      <c r="S1340" s="1"/>
      <c r="T1340" s="1"/>
      <c r="U1340" s="1"/>
      <c r="V1340" s="1"/>
      <c r="W1340" s="1"/>
      <c r="X1340" s="1"/>
      <c r="Y1340" s="1"/>
      <c r="Z1340" s="1"/>
      <c r="AA1340" s="1" t="s">
        <v>8755</v>
      </c>
      <c r="AB1340" s="1" t="s">
        <v>8756</v>
      </c>
      <c r="AC1340" s="1"/>
      <c r="AD1340" s="1"/>
      <c r="AE1340" s="1"/>
      <c r="AF1340" s="1"/>
      <c r="AG1340" s="1"/>
      <c r="AH1340" s="1"/>
      <c r="AI1340" s="1"/>
      <c r="AJ1340" s="1"/>
      <c r="AK1340" s="1"/>
      <c r="AL1340" s="1"/>
      <c r="AM1340" s="1"/>
      <c r="AN1340" s="1"/>
      <c r="AO1340" s="1" t="s">
        <v>8757</v>
      </c>
      <c r="AP1340" s="1" t="s">
        <v>8758</v>
      </c>
      <c r="AQ1340" s="1"/>
      <c r="AR1340" s="1"/>
      <c r="AS1340" s="1"/>
      <c r="AT1340" s="1" t="s">
        <v>198</v>
      </c>
      <c r="AU1340" s="1">
        <v>2018</v>
      </c>
      <c r="AV1340" s="1">
        <v>12</v>
      </c>
      <c r="AW1340" s="1">
        <v>2</v>
      </c>
      <c r="AX1340" s="1"/>
      <c r="AY1340" s="1"/>
      <c r="AZ1340" s="1"/>
      <c r="BA1340" s="1"/>
      <c r="BB1340" s="1">
        <v>93</v>
      </c>
      <c r="BC1340" s="1">
        <v>106</v>
      </c>
      <c r="BD1340" s="1"/>
      <c r="BE1340" s="1" t="s">
        <v>8759</v>
      </c>
      <c r="BF1340" s="1" t="str">
        <f>HYPERLINK("http://dx.doi.org/10.1134/S1990747818020058","http://dx.doi.org/10.1134/S1990747818020058")</f>
        <v>http://dx.doi.org/10.1134/S1990747818020058</v>
      </c>
      <c r="BG1340" s="1"/>
      <c r="BH1340" s="1"/>
      <c r="BI1340" s="1"/>
      <c r="BJ1340" s="1"/>
      <c r="BK1340" s="1"/>
      <c r="BL1340" s="1"/>
      <c r="BM1340" s="1"/>
      <c r="BN1340" s="1"/>
      <c r="BO1340" s="1"/>
      <c r="BP1340" s="1"/>
      <c r="BQ1340" s="1"/>
      <c r="BR1340" s="1"/>
      <c r="BS1340" s="1" t="s">
        <v>8760</v>
      </c>
      <c r="BT1340" s="1" t="str">
        <f>HYPERLINK("https%3A%2F%2Fwww.webofscience.com%2Fwos%2Fwoscc%2Ffull-record%2FWOS:000454748800001","View Full Record in Web of Science")</f>
        <v>View Full Record in Web of Science</v>
      </c>
      <c r="BU1340" s="1"/>
      <c r="BV1340" s="1"/>
      <c r="BW1340" s="1"/>
    </row>
    <row r="1341" spans="1:75" ht="12.75" customHeight="1" x14ac:dyDescent="0.2">
      <c r="A1341" s="1" t="s">
        <v>147</v>
      </c>
      <c r="B1341" s="1" t="s">
        <v>8761</v>
      </c>
      <c r="C1341" s="1"/>
      <c r="D1341" s="1" t="s">
        <v>8762</v>
      </c>
      <c r="E1341" s="1"/>
      <c r="F1341" s="1" t="s">
        <v>8763</v>
      </c>
      <c r="G1341" s="1"/>
      <c r="H1341" s="1"/>
      <c r="I1341" s="1" t="s">
        <v>8764</v>
      </c>
      <c r="J1341" s="1" t="s">
        <v>8765</v>
      </c>
      <c r="K1341" s="1" t="s">
        <v>1494</v>
      </c>
      <c r="L1341" s="1"/>
      <c r="M1341" s="1"/>
      <c r="N1341" s="1"/>
      <c r="O1341" s="1" t="s">
        <v>8766</v>
      </c>
      <c r="P1341" s="1" t="s">
        <v>8767</v>
      </c>
      <c r="Q1341" s="1" t="s">
        <v>910</v>
      </c>
      <c r="R1341" s="1" t="s">
        <v>8768</v>
      </c>
      <c r="S1341" s="1"/>
      <c r="T1341" s="1"/>
      <c r="U1341" s="1"/>
      <c r="V1341" s="1"/>
      <c r="W1341" s="1"/>
      <c r="X1341" s="1"/>
      <c r="Y1341" s="1"/>
      <c r="Z1341" s="1"/>
      <c r="AA1341" s="1" t="s">
        <v>8769</v>
      </c>
      <c r="AB1341" s="1" t="s">
        <v>8770</v>
      </c>
      <c r="AC1341" s="1"/>
      <c r="AD1341" s="1"/>
      <c r="AE1341" s="1"/>
      <c r="AF1341" s="1"/>
      <c r="AG1341" s="1"/>
      <c r="AH1341" s="1"/>
      <c r="AI1341" s="1"/>
      <c r="AJ1341" s="1"/>
      <c r="AK1341" s="1"/>
      <c r="AL1341" s="1"/>
      <c r="AM1341" s="1"/>
      <c r="AN1341" s="1"/>
      <c r="AO1341" s="1" t="s">
        <v>1500</v>
      </c>
      <c r="AP1341" s="1" t="s">
        <v>1304</v>
      </c>
      <c r="AQ1341" s="1" t="s">
        <v>8771</v>
      </c>
      <c r="AR1341" s="1"/>
      <c r="AS1341" s="1"/>
      <c r="AT1341" s="1"/>
      <c r="AU1341" s="1">
        <v>2019</v>
      </c>
      <c r="AV1341" s="1">
        <v>11619</v>
      </c>
      <c r="AW1341" s="1"/>
      <c r="AX1341" s="1"/>
      <c r="AY1341" s="1"/>
      <c r="AZ1341" s="1"/>
      <c r="BA1341" s="1"/>
      <c r="BB1341" s="1">
        <v>257</v>
      </c>
      <c r="BC1341" s="1">
        <v>269</v>
      </c>
      <c r="BD1341" s="1"/>
      <c r="BE1341" s="1" t="s">
        <v>8772</v>
      </c>
      <c r="BF1341" s="1" t="str">
        <f>HYPERLINK("http://dx.doi.org/10.1007/978-3-030-24289-3_20","http://dx.doi.org/10.1007/978-3-030-24289-3_20")</f>
        <v>http://dx.doi.org/10.1007/978-3-030-24289-3_20</v>
      </c>
      <c r="BG1341" s="1"/>
      <c r="BH1341" s="1"/>
      <c r="BI1341" s="1"/>
      <c r="BJ1341" s="1"/>
      <c r="BK1341" s="1"/>
      <c r="BL1341" s="1"/>
      <c r="BM1341" s="1"/>
      <c r="BN1341" s="1"/>
      <c r="BO1341" s="1"/>
      <c r="BP1341" s="1"/>
      <c r="BQ1341" s="1"/>
      <c r="BR1341" s="1"/>
      <c r="BS1341" s="1" t="s">
        <v>8773</v>
      </c>
      <c r="BT1341" s="1" t="str">
        <f>HYPERLINK("https%3A%2F%2Fwww.webofscience.com%2Fwos%2Fwoscc%2Ffull-record%2FWOS:000661318700020","View Full Record in Web of Science")</f>
        <v>View Full Record in Web of Science</v>
      </c>
      <c r="BU1341" s="1"/>
      <c r="BV1341" s="1"/>
      <c r="BW1341" s="1"/>
    </row>
    <row r="1342" spans="1:75" ht="12.75" customHeight="1" x14ac:dyDescent="0.2">
      <c r="A1342" s="1" t="s">
        <v>147</v>
      </c>
      <c r="B1342" s="1" t="s">
        <v>8774</v>
      </c>
      <c r="C1342" s="1"/>
      <c r="D1342" s="1" t="s">
        <v>8775</v>
      </c>
      <c r="E1342" s="1"/>
      <c r="F1342" s="1" t="s">
        <v>8776</v>
      </c>
      <c r="G1342" s="1"/>
      <c r="H1342" s="1"/>
      <c r="I1342" s="1" t="s">
        <v>8777</v>
      </c>
      <c r="J1342" s="1" t="s">
        <v>8778</v>
      </c>
      <c r="K1342" s="1"/>
      <c r="L1342" s="1"/>
      <c r="M1342" s="1"/>
      <c r="N1342" s="1"/>
      <c r="O1342" s="1" t="s">
        <v>8779</v>
      </c>
      <c r="P1342" s="1" t="s">
        <v>8780</v>
      </c>
      <c r="Q1342" s="1" t="s">
        <v>1316</v>
      </c>
      <c r="R1342" s="1"/>
      <c r="S1342" s="1"/>
      <c r="T1342" s="1"/>
      <c r="U1342" s="1"/>
      <c r="V1342" s="1"/>
      <c r="W1342" s="1"/>
      <c r="X1342" s="1"/>
      <c r="Y1342" s="1"/>
      <c r="Z1342" s="1"/>
      <c r="AA1342" s="1" t="s">
        <v>8781</v>
      </c>
      <c r="AB1342" s="1" t="s">
        <v>8782</v>
      </c>
      <c r="AC1342" s="1"/>
      <c r="AD1342" s="1"/>
      <c r="AE1342" s="1"/>
      <c r="AF1342" s="1"/>
      <c r="AG1342" s="1"/>
      <c r="AH1342" s="1"/>
      <c r="AI1342" s="1"/>
      <c r="AJ1342" s="1"/>
      <c r="AK1342" s="1"/>
      <c r="AL1342" s="1"/>
      <c r="AM1342" s="1"/>
      <c r="AN1342" s="1"/>
      <c r="AO1342" s="1"/>
      <c r="AP1342" s="1"/>
      <c r="AQ1342" s="1" t="s">
        <v>8783</v>
      </c>
      <c r="AR1342" s="1"/>
      <c r="AS1342" s="1"/>
      <c r="AT1342" s="1"/>
      <c r="AU1342" s="1">
        <v>2019</v>
      </c>
      <c r="AV1342" s="1"/>
      <c r="AW1342" s="1"/>
      <c r="AX1342" s="1"/>
      <c r="AY1342" s="1"/>
      <c r="AZ1342" s="1"/>
      <c r="BA1342" s="1"/>
      <c r="BB1342" s="1">
        <v>648</v>
      </c>
      <c r="BC1342" s="1">
        <v>655</v>
      </c>
      <c r="BD1342" s="1"/>
      <c r="BE1342" s="1" t="s">
        <v>8784</v>
      </c>
      <c r="BF1342" s="1" t="str">
        <f>HYPERLINK("http://dx.doi.org/10.5220/0007839606480655","http://dx.doi.org/10.5220/0007839606480655")</f>
        <v>http://dx.doi.org/10.5220/0007839606480655</v>
      </c>
      <c r="BG1342" s="1"/>
      <c r="BH1342" s="1"/>
      <c r="BI1342" s="1"/>
      <c r="BJ1342" s="1"/>
      <c r="BK1342" s="1"/>
      <c r="BL1342" s="1"/>
      <c r="BM1342" s="1"/>
      <c r="BN1342" s="1"/>
      <c r="BO1342" s="1"/>
      <c r="BP1342" s="1"/>
      <c r="BQ1342" s="1"/>
      <c r="BR1342" s="1"/>
      <c r="BS1342" s="1" t="s">
        <v>8785</v>
      </c>
      <c r="BT1342" s="1" t="str">
        <f>HYPERLINK("https%3A%2F%2Fwww.webofscience.com%2Fwos%2Fwoscc%2Ffull-record%2FWOS:000571063100076","View Full Record in Web of Science")</f>
        <v>View Full Record in Web of Science</v>
      </c>
      <c r="BU1342" s="1"/>
      <c r="BV1342" s="1"/>
      <c r="BW1342" s="1"/>
    </row>
    <row r="1343" spans="1:75" ht="12.75" customHeight="1" x14ac:dyDescent="0.2">
      <c r="A1343" s="1" t="s">
        <v>72</v>
      </c>
      <c r="B1343" s="1" t="s">
        <v>8786</v>
      </c>
      <c r="C1343" s="1"/>
      <c r="D1343" s="1"/>
      <c r="E1343" s="1"/>
      <c r="F1343" s="1" t="s">
        <v>8787</v>
      </c>
      <c r="G1343" s="1"/>
      <c r="H1343" s="1"/>
      <c r="I1343" s="1" t="s">
        <v>8788</v>
      </c>
      <c r="J1343" s="1" t="s">
        <v>95</v>
      </c>
      <c r="K1343" s="1"/>
      <c r="L1343" s="1"/>
      <c r="M1343" s="1"/>
      <c r="N1343" s="1"/>
      <c r="O1343" s="1"/>
      <c r="P1343" s="1"/>
      <c r="Q1343" s="1"/>
      <c r="R1343" s="1"/>
      <c r="S1343" s="1"/>
      <c r="T1343" s="1"/>
      <c r="U1343" s="1"/>
      <c r="V1343" s="1"/>
      <c r="W1343" s="1"/>
      <c r="X1343" s="1"/>
      <c r="Y1343" s="1"/>
      <c r="Z1343" s="1"/>
      <c r="AA1343" s="1" t="s">
        <v>8789</v>
      </c>
      <c r="AB1343" s="1" t="s">
        <v>8790</v>
      </c>
      <c r="AC1343" s="1"/>
      <c r="AD1343" s="1"/>
      <c r="AE1343" s="1"/>
      <c r="AF1343" s="1"/>
      <c r="AG1343" s="1"/>
      <c r="AH1343" s="1"/>
      <c r="AI1343" s="1"/>
      <c r="AJ1343" s="1"/>
      <c r="AK1343" s="1"/>
      <c r="AL1343" s="1"/>
      <c r="AM1343" s="1"/>
      <c r="AN1343" s="1"/>
      <c r="AO1343" s="1" t="s">
        <v>98</v>
      </c>
      <c r="AP1343" s="1" t="s">
        <v>99</v>
      </c>
      <c r="AQ1343" s="1"/>
      <c r="AR1343" s="1"/>
      <c r="AS1343" s="1"/>
      <c r="AT1343" s="1"/>
      <c r="AU1343" s="1">
        <v>2018</v>
      </c>
      <c r="AV1343" s="1"/>
      <c r="AW1343" s="1">
        <v>2</v>
      </c>
      <c r="AX1343" s="1"/>
      <c r="AY1343" s="1"/>
      <c r="AZ1343" s="1"/>
      <c r="BA1343" s="1"/>
      <c r="BB1343" s="1">
        <v>5</v>
      </c>
      <c r="BC1343" s="1">
        <v>15</v>
      </c>
      <c r="BD1343" s="1"/>
      <c r="BE1343" s="1" t="s">
        <v>8791</v>
      </c>
      <c r="BF1343" s="1" t="str">
        <f>HYPERLINK("http://dx.doi.org/10.25750/1995-4301-2018-2-005-015","http://dx.doi.org/10.25750/1995-4301-2018-2-005-015")</f>
        <v>http://dx.doi.org/10.25750/1995-4301-2018-2-005-015</v>
      </c>
      <c r="BG1343" s="1"/>
      <c r="BH1343" s="1"/>
      <c r="BI1343" s="1"/>
      <c r="BJ1343" s="1"/>
      <c r="BK1343" s="1"/>
      <c r="BL1343" s="1"/>
      <c r="BM1343" s="1"/>
      <c r="BN1343" s="1"/>
      <c r="BO1343" s="1"/>
      <c r="BP1343" s="1"/>
      <c r="BQ1343" s="1"/>
      <c r="BR1343" s="1"/>
      <c r="BS1343" s="1" t="s">
        <v>8792</v>
      </c>
      <c r="BT1343" s="1" t="str">
        <f>HYPERLINK("https%3A%2F%2Fwww.webofscience.com%2Fwos%2Fwoscc%2Ffull-record%2FWOS:000468564500001","View Full Record in Web of Science")</f>
        <v>View Full Record in Web of Science</v>
      </c>
      <c r="BU1343" s="1"/>
      <c r="BV1343" s="1"/>
      <c r="BW1343" s="1"/>
    </row>
    <row r="1344" spans="1:75" ht="12.75" customHeight="1" x14ac:dyDescent="0.2">
      <c r="A1344" s="1" t="s">
        <v>72</v>
      </c>
      <c r="B1344" s="1" t="s">
        <v>8793</v>
      </c>
      <c r="C1344" s="1"/>
      <c r="D1344" s="1"/>
      <c r="E1344" s="1"/>
      <c r="F1344" s="1" t="s">
        <v>8794</v>
      </c>
      <c r="G1344" s="1"/>
      <c r="H1344" s="1"/>
      <c r="I1344" s="1" t="s">
        <v>8795</v>
      </c>
      <c r="J1344" s="1" t="s">
        <v>8796</v>
      </c>
      <c r="K1344" s="1"/>
      <c r="L1344" s="1"/>
      <c r="M1344" s="1"/>
      <c r="N1344" s="1"/>
      <c r="O1344" s="1"/>
      <c r="P1344" s="1"/>
      <c r="Q1344" s="1"/>
      <c r="R1344" s="1"/>
      <c r="S1344" s="1"/>
      <c r="T1344" s="1"/>
      <c r="U1344" s="1"/>
      <c r="V1344" s="1"/>
      <c r="W1344" s="1"/>
      <c r="X1344" s="1"/>
      <c r="Y1344" s="1"/>
      <c r="Z1344" s="1"/>
      <c r="AA1344" s="1" t="s">
        <v>6440</v>
      </c>
      <c r="AB1344" s="1" t="s">
        <v>8797</v>
      </c>
      <c r="AC1344" s="1"/>
      <c r="AD1344" s="1"/>
      <c r="AE1344" s="1"/>
      <c r="AF1344" s="1"/>
      <c r="AG1344" s="1"/>
      <c r="AH1344" s="1"/>
      <c r="AI1344" s="1"/>
      <c r="AJ1344" s="1"/>
      <c r="AK1344" s="1"/>
      <c r="AL1344" s="1"/>
      <c r="AM1344" s="1"/>
      <c r="AN1344" s="1"/>
      <c r="AO1344" s="1"/>
      <c r="AP1344" s="1" t="s">
        <v>8798</v>
      </c>
      <c r="AQ1344" s="1"/>
      <c r="AR1344" s="1"/>
      <c r="AS1344" s="1"/>
      <c r="AT1344" s="1" t="s">
        <v>319</v>
      </c>
      <c r="AU1344" s="1">
        <v>2022</v>
      </c>
      <c r="AV1344" s="1">
        <v>12</v>
      </c>
      <c r="AW1344" s="1">
        <v>11</v>
      </c>
      <c r="AX1344" s="1"/>
      <c r="AY1344" s="1"/>
      <c r="AZ1344" s="1"/>
      <c r="BA1344" s="1"/>
      <c r="BB1344" s="1"/>
      <c r="BC1344" s="1"/>
      <c r="BD1344" s="1">
        <v>1084</v>
      </c>
      <c r="BE1344" s="1" t="s">
        <v>8799</v>
      </c>
      <c r="BF1344" s="1" t="str">
        <f>HYPERLINK("http://dx.doi.org/10.3390/membranes12111084","http://dx.doi.org/10.3390/membranes12111084")</f>
        <v>http://dx.doi.org/10.3390/membranes12111084</v>
      </c>
      <c r="BG1344" s="1"/>
      <c r="BH1344" s="1"/>
      <c r="BI1344" s="1"/>
      <c r="BJ1344" s="1"/>
      <c r="BK1344" s="1"/>
      <c r="BL1344" s="1"/>
      <c r="BM1344" s="1"/>
      <c r="BN1344" s="1">
        <v>36363639</v>
      </c>
      <c r="BO1344" s="1"/>
      <c r="BP1344" s="1"/>
      <c r="BQ1344" s="1"/>
      <c r="BR1344" s="1"/>
      <c r="BS1344" s="1" t="s">
        <v>8800</v>
      </c>
      <c r="BT1344" s="1" t="str">
        <f>HYPERLINK("https%3A%2F%2Fwww.webofscience.com%2Fwos%2Fwoscc%2Ffull-record%2FWOS:000884345100001","View Full Record in Web of Science")</f>
        <v>View Full Record in Web of Science</v>
      </c>
      <c r="BU1344" s="1"/>
      <c r="BV1344" s="1"/>
      <c r="BW1344" s="1"/>
    </row>
    <row r="1345" spans="1:75" ht="12.75" customHeight="1" x14ac:dyDescent="0.2">
      <c r="A1345" s="1" t="s">
        <v>72</v>
      </c>
      <c r="B1345" s="1" t="s">
        <v>8801</v>
      </c>
      <c r="C1345" s="1"/>
      <c r="D1345" s="1"/>
      <c r="E1345" s="1"/>
      <c r="F1345" s="1" t="s">
        <v>8802</v>
      </c>
      <c r="G1345" s="1"/>
      <c r="H1345" s="1"/>
      <c r="I1345" s="1" t="s">
        <v>8803</v>
      </c>
      <c r="J1345" s="1" t="s">
        <v>95</v>
      </c>
      <c r="K1345" s="1"/>
      <c r="L1345" s="1"/>
      <c r="M1345" s="1"/>
      <c r="N1345" s="1"/>
      <c r="O1345" s="1"/>
      <c r="P1345" s="1"/>
      <c r="Q1345" s="1"/>
      <c r="R1345" s="1"/>
      <c r="S1345" s="1"/>
      <c r="T1345" s="1"/>
      <c r="U1345" s="1"/>
      <c r="V1345" s="1"/>
      <c r="W1345" s="1"/>
      <c r="X1345" s="1"/>
      <c r="Y1345" s="1"/>
      <c r="Z1345" s="1"/>
      <c r="AA1345" s="1" t="s">
        <v>8804</v>
      </c>
      <c r="AB1345" s="1" t="s">
        <v>8805</v>
      </c>
      <c r="AC1345" s="1"/>
      <c r="AD1345" s="1"/>
      <c r="AE1345" s="1"/>
      <c r="AF1345" s="1"/>
      <c r="AG1345" s="1"/>
      <c r="AH1345" s="1"/>
      <c r="AI1345" s="1"/>
      <c r="AJ1345" s="1"/>
      <c r="AK1345" s="1"/>
      <c r="AL1345" s="1"/>
      <c r="AM1345" s="1"/>
      <c r="AN1345" s="1"/>
      <c r="AO1345" s="1" t="s">
        <v>98</v>
      </c>
      <c r="AP1345" s="1" t="s">
        <v>99</v>
      </c>
      <c r="AQ1345" s="1"/>
      <c r="AR1345" s="1"/>
      <c r="AS1345" s="1"/>
      <c r="AT1345" s="1"/>
      <c r="AU1345" s="1">
        <v>2020</v>
      </c>
      <c r="AV1345" s="1"/>
      <c r="AW1345" s="1">
        <v>4</v>
      </c>
      <c r="AX1345" s="1"/>
      <c r="AY1345" s="1"/>
      <c r="AZ1345" s="1"/>
      <c r="BA1345" s="1"/>
      <c r="BB1345" s="1">
        <v>216</v>
      </c>
      <c r="BC1345" s="1">
        <v>222</v>
      </c>
      <c r="BD1345" s="1"/>
      <c r="BE1345" s="1" t="s">
        <v>8806</v>
      </c>
      <c r="BF1345" s="1" t="str">
        <f>HYPERLINK("http://dx.doi.org/10.25750/1995-4301-2020-4-216-222","http://dx.doi.org/10.25750/1995-4301-2020-4-216-222")</f>
        <v>http://dx.doi.org/10.25750/1995-4301-2020-4-216-222</v>
      </c>
      <c r="BG1345" s="1"/>
      <c r="BH1345" s="1"/>
      <c r="BI1345" s="1"/>
      <c r="BJ1345" s="1"/>
      <c r="BK1345" s="1"/>
      <c r="BL1345" s="1"/>
      <c r="BM1345" s="1"/>
      <c r="BN1345" s="1"/>
      <c r="BO1345" s="1"/>
      <c r="BP1345" s="1"/>
      <c r="BQ1345" s="1"/>
      <c r="BR1345" s="1"/>
      <c r="BS1345" s="1" t="s">
        <v>8807</v>
      </c>
      <c r="BT1345" s="1" t="str">
        <f>HYPERLINK("https%3A%2F%2Fwww.webofscience.com%2Fwos%2Fwoscc%2Ffull-record%2FWOS:000597810500033","View Full Record in Web of Science")</f>
        <v>View Full Record in Web of Science</v>
      </c>
      <c r="BU1345" s="1"/>
      <c r="BV1345" s="1"/>
      <c r="BW1345" s="1"/>
    </row>
    <row r="1346" spans="1:75" ht="12.75" customHeight="1" x14ac:dyDescent="0.2">
      <c r="A1346" s="1" t="s">
        <v>72</v>
      </c>
      <c r="B1346" s="1" t="s">
        <v>8808</v>
      </c>
      <c r="C1346" s="1"/>
      <c r="D1346" s="1"/>
      <c r="E1346" s="1"/>
      <c r="F1346" s="1" t="s">
        <v>8809</v>
      </c>
      <c r="G1346" s="1"/>
      <c r="H1346" s="1"/>
      <c r="I1346" s="1" t="s">
        <v>8810</v>
      </c>
      <c r="J1346" s="1" t="s">
        <v>8811</v>
      </c>
      <c r="K1346" s="1"/>
      <c r="L1346" s="1"/>
      <c r="M1346" s="1"/>
      <c r="N1346" s="1"/>
      <c r="O1346" s="1"/>
      <c r="P1346" s="1"/>
      <c r="Q1346" s="1"/>
      <c r="R1346" s="1"/>
      <c r="S1346" s="1"/>
      <c r="T1346" s="1"/>
      <c r="U1346" s="1"/>
      <c r="V1346" s="1"/>
      <c r="W1346" s="1"/>
      <c r="X1346" s="1"/>
      <c r="Y1346" s="1"/>
      <c r="Z1346" s="1"/>
      <c r="AA1346" s="1" t="s">
        <v>8812</v>
      </c>
      <c r="AB1346" s="1" t="s">
        <v>8813</v>
      </c>
      <c r="AC1346" s="1"/>
      <c r="AD1346" s="1"/>
      <c r="AE1346" s="1"/>
      <c r="AF1346" s="1"/>
      <c r="AG1346" s="1"/>
      <c r="AH1346" s="1"/>
      <c r="AI1346" s="1"/>
      <c r="AJ1346" s="1"/>
      <c r="AK1346" s="1"/>
      <c r="AL1346" s="1"/>
      <c r="AM1346" s="1"/>
      <c r="AN1346" s="1"/>
      <c r="AO1346" s="1" t="s">
        <v>8814</v>
      </c>
      <c r="AP1346" s="1" t="s">
        <v>8815</v>
      </c>
      <c r="AQ1346" s="1"/>
      <c r="AR1346" s="1"/>
      <c r="AS1346" s="1"/>
      <c r="AT1346" s="1" t="s">
        <v>8816</v>
      </c>
      <c r="AU1346" s="1">
        <v>2022</v>
      </c>
      <c r="AV1346" s="1">
        <v>48</v>
      </c>
      <c r="AW1346" s="1">
        <v>5</v>
      </c>
      <c r="AX1346" s="1"/>
      <c r="AY1346" s="1"/>
      <c r="AZ1346" s="1"/>
      <c r="BA1346" s="1"/>
      <c r="BB1346" s="1">
        <v>6124</v>
      </c>
      <c r="BC1346" s="1">
        <v>6130</v>
      </c>
      <c r="BD1346" s="1"/>
      <c r="BE1346" s="1" t="s">
        <v>8817</v>
      </c>
      <c r="BF1346" s="1" t="str">
        <f>HYPERLINK("http://dx.doi.org/10.1016/j.ceramint.2021.11.151","http://dx.doi.org/10.1016/j.ceramint.2021.11.151")</f>
        <v>http://dx.doi.org/10.1016/j.ceramint.2021.11.151</v>
      </c>
      <c r="BG1346" s="1"/>
      <c r="BH1346" s="1" t="s">
        <v>3630</v>
      </c>
      <c r="BI1346" s="1"/>
      <c r="BJ1346" s="1"/>
      <c r="BK1346" s="1"/>
      <c r="BL1346" s="1"/>
      <c r="BM1346" s="1"/>
      <c r="BN1346" s="1"/>
      <c r="BO1346" s="1"/>
      <c r="BP1346" s="1"/>
      <c r="BQ1346" s="1"/>
      <c r="BR1346" s="1"/>
      <c r="BS1346" s="1" t="s">
        <v>8818</v>
      </c>
      <c r="BT1346" s="1" t="str">
        <f>HYPERLINK("https%3A%2F%2Fwww.webofscience.com%2Fwos%2Fwoscc%2Ffull-record%2FWOS:000752874700003","View Full Record in Web of Science")</f>
        <v>View Full Record in Web of Science</v>
      </c>
      <c r="BU1346" s="1"/>
      <c r="BV1346" s="1"/>
      <c r="BW1346" s="1"/>
    </row>
    <row r="1347" spans="1:75" ht="12.75" customHeight="1" x14ac:dyDescent="0.2">
      <c r="A1347" s="1" t="s">
        <v>72</v>
      </c>
      <c r="B1347" s="1" t="s">
        <v>8819</v>
      </c>
      <c r="C1347" s="1"/>
      <c r="D1347" s="1"/>
      <c r="E1347" s="1"/>
      <c r="F1347" s="1" t="s">
        <v>8820</v>
      </c>
      <c r="G1347" s="1"/>
      <c r="H1347" s="1"/>
      <c r="I1347" s="1" t="s">
        <v>8821</v>
      </c>
      <c r="J1347" s="1" t="s">
        <v>701</v>
      </c>
      <c r="K1347" s="1"/>
      <c r="L1347" s="1"/>
      <c r="M1347" s="1"/>
      <c r="N1347" s="1"/>
      <c r="O1347" s="1"/>
      <c r="P1347" s="1"/>
      <c r="Q1347" s="1"/>
      <c r="R1347" s="1"/>
      <c r="S1347" s="1"/>
      <c r="T1347" s="1"/>
      <c r="U1347" s="1"/>
      <c r="V1347" s="1"/>
      <c r="W1347" s="1"/>
      <c r="X1347" s="1"/>
      <c r="Y1347" s="1"/>
      <c r="Z1347" s="1"/>
      <c r="AA1347" s="1" t="s">
        <v>8822</v>
      </c>
      <c r="AB1347" s="1"/>
      <c r="AC1347" s="1"/>
      <c r="AD1347" s="1"/>
      <c r="AE1347" s="1"/>
      <c r="AF1347" s="1"/>
      <c r="AG1347" s="1"/>
      <c r="AH1347" s="1"/>
      <c r="AI1347" s="1"/>
      <c r="AJ1347" s="1"/>
      <c r="AK1347" s="1"/>
      <c r="AL1347" s="1"/>
      <c r="AM1347" s="1"/>
      <c r="AN1347" s="1"/>
      <c r="AO1347" s="1" t="s">
        <v>702</v>
      </c>
      <c r="AP1347" s="1"/>
      <c r="AQ1347" s="1"/>
      <c r="AR1347" s="1"/>
      <c r="AS1347" s="1"/>
      <c r="AT1347" s="1" t="s">
        <v>78</v>
      </c>
      <c r="AU1347" s="1">
        <v>2020</v>
      </c>
      <c r="AV1347" s="1">
        <v>12</v>
      </c>
      <c r="AW1347" s="1">
        <v>3</v>
      </c>
      <c r="AX1347" s="1"/>
      <c r="AY1347" s="1"/>
      <c r="AZ1347" s="1"/>
      <c r="BA1347" s="1"/>
      <c r="BB1347" s="1">
        <v>228</v>
      </c>
      <c r="BC1347" s="1">
        <v>239</v>
      </c>
      <c r="BD1347" s="1"/>
      <c r="BE1347" s="1"/>
      <c r="BF1347" s="1"/>
      <c r="BG1347" s="1"/>
      <c r="BH1347" s="1"/>
      <c r="BI1347" s="1"/>
      <c r="BJ1347" s="1"/>
      <c r="BK1347" s="1"/>
      <c r="BL1347" s="1"/>
      <c r="BM1347" s="1"/>
      <c r="BN1347" s="1"/>
      <c r="BO1347" s="1"/>
      <c r="BP1347" s="1"/>
      <c r="BQ1347" s="1"/>
      <c r="BR1347" s="1"/>
      <c r="BS1347" s="1" t="s">
        <v>8823</v>
      </c>
      <c r="BT1347" s="1" t="str">
        <f>HYPERLINK("https%3A%2F%2Fwww.webofscience.com%2Fwos%2Fwoscc%2Ffull-record%2FWOS:000539097400020","View Full Record in Web of Science")</f>
        <v>View Full Record in Web of Science</v>
      </c>
      <c r="BU1347" s="1"/>
      <c r="BV1347" s="1"/>
      <c r="BW1347" s="1"/>
    </row>
    <row r="1348" spans="1:75" ht="12.75" customHeight="1" x14ac:dyDescent="0.2">
      <c r="A1348" s="1" t="s">
        <v>72</v>
      </c>
      <c r="B1348" s="1" t="s">
        <v>8824</v>
      </c>
      <c r="C1348" s="1"/>
      <c r="D1348" s="1"/>
      <c r="E1348" s="1"/>
      <c r="F1348" s="1" t="s">
        <v>8825</v>
      </c>
      <c r="G1348" s="1"/>
      <c r="H1348" s="1"/>
      <c r="I1348" s="1" t="s">
        <v>8826</v>
      </c>
      <c r="J1348" s="1" t="s">
        <v>95</v>
      </c>
      <c r="K1348" s="1"/>
      <c r="L1348" s="1"/>
      <c r="M1348" s="1"/>
      <c r="N1348" s="1"/>
      <c r="O1348" s="1"/>
      <c r="P1348" s="1"/>
      <c r="Q1348" s="1"/>
      <c r="R1348" s="1"/>
      <c r="S1348" s="1"/>
      <c r="T1348" s="1"/>
      <c r="U1348" s="1"/>
      <c r="V1348" s="1"/>
      <c r="W1348" s="1"/>
      <c r="X1348" s="1"/>
      <c r="Y1348" s="1"/>
      <c r="Z1348" s="1"/>
      <c r="AA1348" s="1" t="s">
        <v>7239</v>
      </c>
      <c r="AB1348" s="1" t="s">
        <v>7073</v>
      </c>
      <c r="AC1348" s="1"/>
      <c r="AD1348" s="1"/>
      <c r="AE1348" s="1"/>
      <c r="AF1348" s="1"/>
      <c r="AG1348" s="1"/>
      <c r="AH1348" s="1"/>
      <c r="AI1348" s="1"/>
      <c r="AJ1348" s="1"/>
      <c r="AK1348" s="1"/>
      <c r="AL1348" s="1"/>
      <c r="AM1348" s="1"/>
      <c r="AN1348" s="1"/>
      <c r="AO1348" s="1" t="s">
        <v>98</v>
      </c>
      <c r="AP1348" s="1" t="s">
        <v>99</v>
      </c>
      <c r="AQ1348" s="1"/>
      <c r="AR1348" s="1"/>
      <c r="AS1348" s="1"/>
      <c r="AT1348" s="1"/>
      <c r="AU1348" s="1">
        <v>2019</v>
      </c>
      <c r="AV1348" s="1"/>
      <c r="AW1348" s="1">
        <v>2</v>
      </c>
      <c r="AX1348" s="1"/>
      <c r="AY1348" s="1"/>
      <c r="AZ1348" s="1"/>
      <c r="BA1348" s="1"/>
      <c r="BB1348" s="1">
        <v>113</v>
      </c>
      <c r="BC1348" s="1">
        <v>120</v>
      </c>
      <c r="BD1348" s="1"/>
      <c r="BE1348" s="1" t="s">
        <v>8827</v>
      </c>
      <c r="BF1348" s="1" t="str">
        <f>HYPERLINK("http://dx.doi.org/10.25750/1995-4301-2019-2-113-120","http://dx.doi.org/10.25750/1995-4301-2019-2-113-120")</f>
        <v>http://dx.doi.org/10.25750/1995-4301-2019-2-113-120</v>
      </c>
      <c r="BG1348" s="1"/>
      <c r="BH1348" s="1"/>
      <c r="BI1348" s="1"/>
      <c r="BJ1348" s="1"/>
      <c r="BK1348" s="1"/>
      <c r="BL1348" s="1"/>
      <c r="BM1348" s="1"/>
      <c r="BN1348" s="1"/>
      <c r="BO1348" s="1"/>
      <c r="BP1348" s="1"/>
      <c r="BQ1348" s="1"/>
      <c r="BR1348" s="1"/>
      <c r="BS1348" s="1" t="s">
        <v>8828</v>
      </c>
      <c r="BT1348" s="1" t="str">
        <f>HYPERLINK("https%3A%2F%2Fwww.webofscience.com%2Fwos%2Fwoscc%2Ffull-record%2FWOS:000477826000014","View Full Record in Web of Science")</f>
        <v>View Full Record in Web of Science</v>
      </c>
      <c r="BU1348" s="1"/>
      <c r="BV1348" s="1"/>
      <c r="BW1348" s="1"/>
    </row>
    <row r="1349" spans="1:75" ht="12.75" customHeight="1" x14ac:dyDescent="0.2">
      <c r="A1349" s="1" t="s">
        <v>72</v>
      </c>
      <c r="B1349" s="1" t="s">
        <v>8829</v>
      </c>
      <c r="C1349" s="1"/>
      <c r="D1349" s="1"/>
      <c r="E1349" s="1"/>
      <c r="F1349" s="1" t="s">
        <v>8830</v>
      </c>
      <c r="G1349" s="1"/>
      <c r="H1349" s="1"/>
      <c r="I1349" s="1" t="s">
        <v>8831</v>
      </c>
      <c r="J1349" s="1" t="s">
        <v>95</v>
      </c>
      <c r="K1349" s="1"/>
      <c r="L1349" s="1"/>
      <c r="M1349" s="1"/>
      <c r="N1349" s="1"/>
      <c r="O1349" s="1"/>
      <c r="P1349" s="1"/>
      <c r="Q1349" s="1"/>
      <c r="R1349" s="1"/>
      <c r="S1349" s="1"/>
      <c r="T1349" s="1"/>
      <c r="U1349" s="1"/>
      <c r="V1349" s="1"/>
      <c r="W1349" s="1"/>
      <c r="X1349" s="1"/>
      <c r="Y1349" s="1"/>
      <c r="Z1349" s="1"/>
      <c r="AA1349" s="1" t="s">
        <v>8832</v>
      </c>
      <c r="AB1349" s="1" t="s">
        <v>8833</v>
      </c>
      <c r="AC1349" s="1"/>
      <c r="AD1349" s="1"/>
      <c r="AE1349" s="1"/>
      <c r="AF1349" s="1"/>
      <c r="AG1349" s="1"/>
      <c r="AH1349" s="1"/>
      <c r="AI1349" s="1"/>
      <c r="AJ1349" s="1"/>
      <c r="AK1349" s="1"/>
      <c r="AL1349" s="1"/>
      <c r="AM1349" s="1"/>
      <c r="AN1349" s="1"/>
      <c r="AO1349" s="1" t="s">
        <v>98</v>
      </c>
      <c r="AP1349" s="1" t="s">
        <v>99</v>
      </c>
      <c r="AQ1349" s="1"/>
      <c r="AR1349" s="1"/>
      <c r="AS1349" s="1"/>
      <c r="AT1349" s="1"/>
      <c r="AU1349" s="1">
        <v>2019</v>
      </c>
      <c r="AV1349" s="1"/>
      <c r="AW1349" s="1">
        <v>3</v>
      </c>
      <c r="AX1349" s="1"/>
      <c r="AY1349" s="1"/>
      <c r="AZ1349" s="1"/>
      <c r="BA1349" s="1"/>
      <c r="BB1349" s="1">
        <v>101</v>
      </c>
      <c r="BC1349" s="1">
        <v>108</v>
      </c>
      <c r="BD1349" s="1"/>
      <c r="BE1349" s="1" t="s">
        <v>8834</v>
      </c>
      <c r="BF1349" s="1" t="str">
        <f>HYPERLINK("http://dx.doi.org/10.25750/1995-4301-2019-3-101-108","http://dx.doi.org/10.25750/1995-4301-2019-3-101-108")</f>
        <v>http://dx.doi.org/10.25750/1995-4301-2019-3-101-108</v>
      </c>
      <c r="BG1349" s="1"/>
      <c r="BH1349" s="1"/>
      <c r="BI1349" s="1"/>
      <c r="BJ1349" s="1"/>
      <c r="BK1349" s="1"/>
      <c r="BL1349" s="1"/>
      <c r="BM1349" s="1"/>
      <c r="BN1349" s="1"/>
      <c r="BO1349" s="1"/>
      <c r="BP1349" s="1"/>
      <c r="BQ1349" s="1"/>
      <c r="BR1349" s="1"/>
      <c r="BS1349" s="1" t="s">
        <v>8835</v>
      </c>
      <c r="BT1349" s="1" t="str">
        <f>HYPERLINK("https%3A%2F%2Fwww.webofscience.com%2Fwos%2Fwoscc%2Ffull-record%2FWOS:000490704900014","View Full Record in Web of Science")</f>
        <v>View Full Record in Web of Science</v>
      </c>
      <c r="BU1349" s="1"/>
      <c r="BV1349" s="1"/>
      <c r="BW1349" s="1"/>
    </row>
    <row r="1350" spans="1:75" ht="12.75" customHeight="1" x14ac:dyDescent="0.2">
      <c r="A1350" s="1" t="s">
        <v>72</v>
      </c>
      <c r="B1350" s="1" t="s">
        <v>8836</v>
      </c>
      <c r="C1350" s="1"/>
      <c r="D1350" s="1"/>
      <c r="E1350" s="1"/>
      <c r="F1350" s="1" t="s">
        <v>8837</v>
      </c>
      <c r="G1350" s="1"/>
      <c r="H1350" s="1"/>
      <c r="I1350" s="1" t="s">
        <v>8838</v>
      </c>
      <c r="J1350" s="1" t="s">
        <v>95</v>
      </c>
      <c r="K1350" s="1"/>
      <c r="L1350" s="1"/>
      <c r="M1350" s="1"/>
      <c r="N1350" s="1"/>
      <c r="O1350" s="1"/>
      <c r="P1350" s="1"/>
      <c r="Q1350" s="1"/>
      <c r="R1350" s="1"/>
      <c r="S1350" s="1"/>
      <c r="T1350" s="1"/>
      <c r="U1350" s="1"/>
      <c r="V1350" s="1"/>
      <c r="W1350" s="1"/>
      <c r="X1350" s="1"/>
      <c r="Y1350" s="1"/>
      <c r="Z1350" s="1"/>
      <c r="AA1350" s="1" t="s">
        <v>8839</v>
      </c>
      <c r="AB1350" s="1" t="s">
        <v>8840</v>
      </c>
      <c r="AC1350" s="1"/>
      <c r="AD1350" s="1"/>
      <c r="AE1350" s="1"/>
      <c r="AF1350" s="1"/>
      <c r="AG1350" s="1"/>
      <c r="AH1350" s="1"/>
      <c r="AI1350" s="1"/>
      <c r="AJ1350" s="1"/>
      <c r="AK1350" s="1"/>
      <c r="AL1350" s="1"/>
      <c r="AM1350" s="1"/>
      <c r="AN1350" s="1"/>
      <c r="AO1350" s="1" t="s">
        <v>98</v>
      </c>
      <c r="AP1350" s="1" t="s">
        <v>99</v>
      </c>
      <c r="AQ1350" s="1"/>
      <c r="AR1350" s="1"/>
      <c r="AS1350" s="1"/>
      <c r="AT1350" s="1"/>
      <c r="AU1350" s="1">
        <v>2019</v>
      </c>
      <c r="AV1350" s="1"/>
      <c r="AW1350" s="1">
        <v>3</v>
      </c>
      <c r="AX1350" s="1"/>
      <c r="AY1350" s="1"/>
      <c r="AZ1350" s="1"/>
      <c r="BA1350" s="1"/>
      <c r="BB1350" s="1">
        <v>72</v>
      </c>
      <c r="BC1350" s="1">
        <v>79</v>
      </c>
      <c r="BD1350" s="1"/>
      <c r="BE1350" s="1" t="s">
        <v>8841</v>
      </c>
      <c r="BF1350" s="1" t="str">
        <f>HYPERLINK("http://dx.doi.org/10.25750/1995-4301-2019-3-072-079","http://dx.doi.org/10.25750/1995-4301-2019-3-072-079")</f>
        <v>http://dx.doi.org/10.25750/1995-4301-2019-3-072-079</v>
      </c>
      <c r="BG1350" s="1"/>
      <c r="BH1350" s="1"/>
      <c r="BI1350" s="1"/>
      <c r="BJ1350" s="1"/>
      <c r="BK1350" s="1"/>
      <c r="BL1350" s="1"/>
      <c r="BM1350" s="1"/>
      <c r="BN1350" s="1"/>
      <c r="BO1350" s="1"/>
      <c r="BP1350" s="1"/>
      <c r="BQ1350" s="1"/>
      <c r="BR1350" s="1"/>
      <c r="BS1350" s="1" t="s">
        <v>8842</v>
      </c>
      <c r="BT1350" s="1" t="str">
        <f>HYPERLINK("https%3A%2F%2Fwww.webofscience.com%2Fwos%2Fwoscc%2Ffull-record%2FWOS:000490704900010","View Full Record in Web of Science")</f>
        <v>View Full Record in Web of Science</v>
      </c>
      <c r="BU1350" s="1"/>
      <c r="BV1350" s="1"/>
      <c r="BW1350" s="1"/>
    </row>
    <row r="1351" spans="1:75" ht="12.75" customHeight="1" x14ac:dyDescent="0.2">
      <c r="A1351" s="1" t="s">
        <v>72</v>
      </c>
      <c r="B1351" s="1" t="s">
        <v>8843</v>
      </c>
      <c r="C1351" s="1"/>
      <c r="D1351" s="1"/>
      <c r="E1351" s="1"/>
      <c r="F1351" s="1" t="s">
        <v>8844</v>
      </c>
      <c r="G1351" s="1"/>
      <c r="H1351" s="1"/>
      <c r="I1351" s="1" t="s">
        <v>8845</v>
      </c>
      <c r="J1351" s="1" t="s">
        <v>95</v>
      </c>
      <c r="K1351" s="1"/>
      <c r="L1351" s="1"/>
      <c r="M1351" s="1"/>
      <c r="N1351" s="1"/>
      <c r="O1351" s="1"/>
      <c r="P1351" s="1"/>
      <c r="Q1351" s="1"/>
      <c r="R1351" s="1"/>
      <c r="S1351" s="1"/>
      <c r="T1351" s="1"/>
      <c r="U1351" s="1"/>
      <c r="V1351" s="1"/>
      <c r="W1351" s="1"/>
      <c r="X1351" s="1"/>
      <c r="Y1351" s="1"/>
      <c r="Z1351" s="1"/>
      <c r="AA1351" s="1" t="s">
        <v>8846</v>
      </c>
      <c r="AB1351" s="1" t="s">
        <v>8847</v>
      </c>
      <c r="AC1351" s="1"/>
      <c r="AD1351" s="1"/>
      <c r="AE1351" s="1"/>
      <c r="AF1351" s="1"/>
      <c r="AG1351" s="1"/>
      <c r="AH1351" s="1"/>
      <c r="AI1351" s="1"/>
      <c r="AJ1351" s="1"/>
      <c r="AK1351" s="1"/>
      <c r="AL1351" s="1"/>
      <c r="AM1351" s="1"/>
      <c r="AN1351" s="1"/>
      <c r="AO1351" s="1" t="s">
        <v>98</v>
      </c>
      <c r="AP1351" s="1" t="s">
        <v>99</v>
      </c>
      <c r="AQ1351" s="1"/>
      <c r="AR1351" s="1"/>
      <c r="AS1351" s="1"/>
      <c r="AT1351" s="1"/>
      <c r="AU1351" s="1">
        <v>2018</v>
      </c>
      <c r="AV1351" s="1"/>
      <c r="AW1351" s="1">
        <v>2</v>
      </c>
      <c r="AX1351" s="1"/>
      <c r="AY1351" s="1"/>
      <c r="AZ1351" s="1"/>
      <c r="BA1351" s="1"/>
      <c r="BB1351" s="1">
        <v>117</v>
      </c>
      <c r="BC1351" s="1" t="s">
        <v>107</v>
      </c>
      <c r="BD1351" s="1"/>
      <c r="BE1351" s="1" t="s">
        <v>8848</v>
      </c>
      <c r="BF1351" s="1" t="str">
        <f>HYPERLINK("http://dx.doi.org/10.25750/1995-4301-2018-2-117-124","http://dx.doi.org/10.25750/1995-4301-2018-2-117-124")</f>
        <v>http://dx.doi.org/10.25750/1995-4301-2018-2-117-124</v>
      </c>
      <c r="BG1351" s="1"/>
      <c r="BH1351" s="1"/>
      <c r="BI1351" s="1"/>
      <c r="BJ1351" s="1"/>
      <c r="BK1351" s="1"/>
      <c r="BL1351" s="1"/>
      <c r="BM1351" s="1"/>
      <c r="BN1351" s="1"/>
      <c r="BO1351" s="1"/>
      <c r="BP1351" s="1"/>
      <c r="BQ1351" s="1"/>
      <c r="BR1351" s="1"/>
      <c r="BS1351" s="1" t="s">
        <v>8849</v>
      </c>
      <c r="BT1351" s="1" t="str">
        <f>HYPERLINK("https%3A%2F%2Fwww.webofscience.com%2Fwos%2Fwoscc%2Ffull-record%2FWOS:000468564500016","View Full Record in Web of Science")</f>
        <v>View Full Record in Web of Science</v>
      </c>
      <c r="BU1351" s="1"/>
      <c r="BV1351" s="1"/>
      <c r="BW1351" s="1"/>
    </row>
    <row r="1352" spans="1:75" ht="12.75" customHeight="1" x14ac:dyDescent="0.2">
      <c r="A1352" s="1" t="s">
        <v>72</v>
      </c>
      <c r="B1352" s="1" t="s">
        <v>8659</v>
      </c>
      <c r="C1352" s="1"/>
      <c r="D1352" s="1"/>
      <c r="E1352" s="1"/>
      <c r="F1352" s="1" t="s">
        <v>8660</v>
      </c>
      <c r="G1352" s="1"/>
      <c r="H1352" s="1"/>
      <c r="I1352" s="1" t="s">
        <v>8850</v>
      </c>
      <c r="J1352" s="1" t="s">
        <v>8851</v>
      </c>
      <c r="K1352" s="1"/>
      <c r="L1352" s="1"/>
      <c r="M1352" s="1"/>
      <c r="N1352" s="1"/>
      <c r="O1352" s="1"/>
      <c r="P1352" s="1"/>
      <c r="Q1352" s="1"/>
      <c r="R1352" s="1"/>
      <c r="S1352" s="1"/>
      <c r="T1352" s="1"/>
      <c r="U1352" s="1"/>
      <c r="V1352" s="1"/>
      <c r="W1352" s="1"/>
      <c r="X1352" s="1"/>
      <c r="Y1352" s="1"/>
      <c r="Z1352" s="1"/>
      <c r="AA1352" s="1" t="s">
        <v>8755</v>
      </c>
      <c r="AB1352" s="1" t="s">
        <v>8756</v>
      </c>
      <c r="AC1352" s="1"/>
      <c r="AD1352" s="1"/>
      <c r="AE1352" s="1"/>
      <c r="AF1352" s="1"/>
      <c r="AG1352" s="1"/>
      <c r="AH1352" s="1"/>
      <c r="AI1352" s="1"/>
      <c r="AJ1352" s="1"/>
      <c r="AK1352" s="1"/>
      <c r="AL1352" s="1"/>
      <c r="AM1352" s="1"/>
      <c r="AN1352" s="1"/>
      <c r="AO1352" s="1" t="s">
        <v>8852</v>
      </c>
      <c r="AP1352" s="1"/>
      <c r="AQ1352" s="1"/>
      <c r="AR1352" s="1"/>
      <c r="AS1352" s="1"/>
      <c r="AT1352" s="1" t="s">
        <v>2803</v>
      </c>
      <c r="AU1352" s="1">
        <v>2018</v>
      </c>
      <c r="AV1352" s="1">
        <v>35</v>
      </c>
      <c r="AW1352" s="1">
        <v>2</v>
      </c>
      <c r="AX1352" s="1"/>
      <c r="AY1352" s="1"/>
      <c r="AZ1352" s="1"/>
      <c r="BA1352" s="1"/>
      <c r="BB1352" s="1">
        <v>115</v>
      </c>
      <c r="BC1352" s="1">
        <v>130</v>
      </c>
      <c r="BD1352" s="1"/>
      <c r="BE1352" s="1" t="s">
        <v>8853</v>
      </c>
      <c r="BF1352" s="1" t="str">
        <f>HYPERLINK("http://dx.doi.org/10.7868/S0233475518020032","http://dx.doi.org/10.7868/S0233475518020032")</f>
        <v>http://dx.doi.org/10.7868/S0233475518020032</v>
      </c>
      <c r="BG1352" s="1"/>
      <c r="BH1352" s="1"/>
      <c r="BI1352" s="1"/>
      <c r="BJ1352" s="1"/>
      <c r="BK1352" s="1"/>
      <c r="BL1352" s="1"/>
      <c r="BM1352" s="1"/>
      <c r="BN1352" s="1"/>
      <c r="BO1352" s="1"/>
      <c r="BP1352" s="1"/>
      <c r="BQ1352" s="1"/>
      <c r="BR1352" s="1"/>
      <c r="BS1352" s="1" t="s">
        <v>8854</v>
      </c>
      <c r="BT1352" s="1" t="str">
        <f>HYPERLINK("https%3A%2F%2Fwww.webofscience.com%2Fwos%2Fwoscc%2Ffull-record%2FWOS:000434479000003","View Full Record in Web of Science")</f>
        <v>View Full Record in Web of Science</v>
      </c>
      <c r="BU1352" s="1"/>
      <c r="BV1352" s="1"/>
      <c r="BW1352" s="1"/>
    </row>
    <row r="1353" spans="1:75" ht="12.75" customHeight="1" x14ac:dyDescent="0.2">
      <c r="A1353" s="1" t="s">
        <v>72</v>
      </c>
      <c r="B1353" s="1" t="s">
        <v>8855</v>
      </c>
      <c r="C1353" s="1"/>
      <c r="D1353" s="1"/>
      <c r="E1353" s="1"/>
      <c r="F1353" s="1" t="s">
        <v>8856</v>
      </c>
      <c r="G1353" s="1"/>
      <c r="H1353" s="1"/>
      <c r="I1353" s="1" t="s">
        <v>8857</v>
      </c>
      <c r="J1353" s="1" t="s">
        <v>8118</v>
      </c>
      <c r="K1353" s="1"/>
      <c r="L1353" s="1"/>
      <c r="M1353" s="1"/>
      <c r="N1353" s="1"/>
      <c r="O1353" s="1"/>
      <c r="P1353" s="1"/>
      <c r="Q1353" s="1"/>
      <c r="R1353" s="1"/>
      <c r="S1353" s="1"/>
      <c r="T1353" s="1"/>
      <c r="U1353" s="1"/>
      <c r="V1353" s="1"/>
      <c r="W1353" s="1"/>
      <c r="X1353" s="1"/>
      <c r="Y1353" s="1"/>
      <c r="Z1353" s="1"/>
      <c r="AA1353" s="1" t="s">
        <v>8858</v>
      </c>
      <c r="AB1353" s="1" t="s">
        <v>8859</v>
      </c>
      <c r="AC1353" s="1"/>
      <c r="AD1353" s="1"/>
      <c r="AE1353" s="1"/>
      <c r="AF1353" s="1"/>
      <c r="AG1353" s="1"/>
      <c r="AH1353" s="1"/>
      <c r="AI1353" s="1"/>
      <c r="AJ1353" s="1"/>
      <c r="AK1353" s="1"/>
      <c r="AL1353" s="1"/>
      <c r="AM1353" s="1"/>
      <c r="AN1353" s="1"/>
      <c r="AO1353" s="1" t="s">
        <v>8121</v>
      </c>
      <c r="AP1353" s="1"/>
      <c r="AQ1353" s="1"/>
      <c r="AR1353" s="1"/>
      <c r="AS1353" s="1"/>
      <c r="AT1353" s="1" t="s">
        <v>8860</v>
      </c>
      <c r="AU1353" s="1">
        <v>2022</v>
      </c>
      <c r="AV1353" s="1">
        <v>12</v>
      </c>
      <c r="AW1353" s="1">
        <v>3</v>
      </c>
      <c r="AX1353" s="1"/>
      <c r="AY1353" s="1"/>
      <c r="AZ1353" s="1"/>
      <c r="BA1353" s="1"/>
      <c r="BB1353" s="1">
        <v>359</v>
      </c>
      <c r="BC1353" s="1">
        <v>364</v>
      </c>
      <c r="BD1353" s="1"/>
      <c r="BE1353" s="1" t="s">
        <v>8861</v>
      </c>
      <c r="BF1353" s="1" t="str">
        <f>HYPERLINK("http://dx.doi.org/10.31407/ijees12.345","http://dx.doi.org/10.31407/ijees12.345")</f>
        <v>http://dx.doi.org/10.31407/ijees12.345</v>
      </c>
      <c r="BG1353" s="1"/>
      <c r="BH1353" s="1"/>
      <c r="BI1353" s="1"/>
      <c r="BJ1353" s="1"/>
      <c r="BK1353" s="1"/>
      <c r="BL1353" s="1"/>
      <c r="BM1353" s="1"/>
      <c r="BN1353" s="1"/>
      <c r="BO1353" s="1"/>
      <c r="BP1353" s="1"/>
      <c r="BQ1353" s="1"/>
      <c r="BR1353" s="1"/>
      <c r="BS1353" s="1" t="s">
        <v>8862</v>
      </c>
      <c r="BT1353" s="1" t="str">
        <f>HYPERLINK("https%3A%2F%2Fwww.webofscience.com%2Fwos%2Fwoscc%2Ffull-record%2FWOS:000828158500045","View Full Record in Web of Science")</f>
        <v>View Full Record in Web of Science</v>
      </c>
      <c r="BU1353" s="1"/>
      <c r="BV1353" s="1"/>
      <c r="BW1353" s="1"/>
    </row>
    <row r="1354" spans="1:75" ht="12.75" customHeight="1" x14ac:dyDescent="0.2">
      <c r="A1354" s="1" t="s">
        <v>72</v>
      </c>
      <c r="B1354" s="1" t="s">
        <v>8863</v>
      </c>
      <c r="C1354" s="1"/>
      <c r="D1354" s="1"/>
      <c r="E1354" s="1"/>
      <c r="F1354" s="1" t="s">
        <v>8864</v>
      </c>
      <c r="G1354" s="1"/>
      <c r="H1354" s="1"/>
      <c r="I1354" s="1" t="s">
        <v>8865</v>
      </c>
      <c r="J1354" s="1" t="s">
        <v>716</v>
      </c>
      <c r="K1354" s="1"/>
      <c r="L1354" s="1"/>
      <c r="M1354" s="1"/>
      <c r="N1354" s="1"/>
      <c r="O1354" s="1"/>
      <c r="P1354" s="1"/>
      <c r="Q1354" s="1"/>
      <c r="R1354" s="1"/>
      <c r="S1354" s="1"/>
      <c r="T1354" s="1"/>
      <c r="U1354" s="1"/>
      <c r="V1354" s="1"/>
      <c r="W1354" s="1"/>
      <c r="X1354" s="1"/>
      <c r="Y1354" s="1"/>
      <c r="Z1354" s="1"/>
      <c r="AA1354" s="1" t="s">
        <v>8866</v>
      </c>
      <c r="AB1354" s="1" t="s">
        <v>6575</v>
      </c>
      <c r="AC1354" s="1"/>
      <c r="AD1354" s="1"/>
      <c r="AE1354" s="1"/>
      <c r="AF1354" s="1"/>
      <c r="AG1354" s="1"/>
      <c r="AH1354" s="1"/>
      <c r="AI1354" s="1"/>
      <c r="AJ1354" s="1"/>
      <c r="AK1354" s="1"/>
      <c r="AL1354" s="1"/>
      <c r="AM1354" s="1"/>
      <c r="AN1354" s="1"/>
      <c r="AO1354" s="1" t="s">
        <v>719</v>
      </c>
      <c r="AP1354" s="1" t="s">
        <v>720</v>
      </c>
      <c r="AQ1354" s="1"/>
      <c r="AR1354" s="1"/>
      <c r="AS1354" s="1"/>
      <c r="AT1354" s="1" t="s">
        <v>198</v>
      </c>
      <c r="AU1354" s="1">
        <v>2019</v>
      </c>
      <c r="AV1354" s="1"/>
      <c r="AW1354" s="1">
        <v>441</v>
      </c>
      <c r="AX1354" s="1"/>
      <c r="AY1354" s="1"/>
      <c r="AZ1354" s="1"/>
      <c r="BA1354" s="1"/>
      <c r="BB1354" s="1">
        <v>235</v>
      </c>
      <c r="BC1354" s="1">
        <v>242</v>
      </c>
      <c r="BD1354" s="1"/>
      <c r="BE1354" s="1" t="s">
        <v>8867</v>
      </c>
      <c r="BF1354" s="1" t="str">
        <f>HYPERLINK("http://dx.doi.org/10.17223/15617793/441/31","http://dx.doi.org/10.17223/15617793/441/31")</f>
        <v>http://dx.doi.org/10.17223/15617793/441/31</v>
      </c>
      <c r="BG1354" s="1"/>
      <c r="BH1354" s="1"/>
      <c r="BI1354" s="1"/>
      <c r="BJ1354" s="1"/>
      <c r="BK1354" s="1"/>
      <c r="BL1354" s="1"/>
      <c r="BM1354" s="1"/>
      <c r="BN1354" s="1"/>
      <c r="BO1354" s="1"/>
      <c r="BP1354" s="1"/>
      <c r="BQ1354" s="1"/>
      <c r="BR1354" s="1"/>
      <c r="BS1354" s="1" t="s">
        <v>8868</v>
      </c>
      <c r="BT1354" s="1" t="str">
        <f>HYPERLINK("https%3A%2F%2Fwww.webofscience.com%2Fwos%2Fwoscc%2Ffull-record%2FWOS:000468214400031","View Full Record in Web of Science")</f>
        <v>View Full Record in Web of Science</v>
      </c>
      <c r="BU1354" s="1"/>
      <c r="BV1354" s="1"/>
      <c r="BW1354" s="1"/>
    </row>
    <row r="1355" spans="1:75" ht="12.75" customHeight="1" x14ac:dyDescent="0.2">
      <c r="A1355" s="1" t="s">
        <v>72</v>
      </c>
      <c r="B1355" s="1" t="s">
        <v>8869</v>
      </c>
      <c r="C1355" s="1"/>
      <c r="D1355" s="1"/>
      <c r="E1355" s="1"/>
      <c r="F1355" s="1" t="s">
        <v>8870</v>
      </c>
      <c r="G1355" s="1"/>
      <c r="H1355" s="1"/>
      <c r="I1355" s="1" t="s">
        <v>8871</v>
      </c>
      <c r="J1355" s="1" t="s">
        <v>95</v>
      </c>
      <c r="K1355" s="1"/>
      <c r="L1355" s="1"/>
      <c r="M1355" s="1"/>
      <c r="N1355" s="1"/>
      <c r="O1355" s="1"/>
      <c r="P1355" s="1"/>
      <c r="Q1355" s="1"/>
      <c r="R1355" s="1"/>
      <c r="S1355" s="1"/>
      <c r="T1355" s="1"/>
      <c r="U1355" s="1"/>
      <c r="V1355" s="1"/>
      <c r="W1355" s="1"/>
      <c r="X1355" s="1"/>
      <c r="Y1355" s="1"/>
      <c r="Z1355" s="1"/>
      <c r="AA1355" s="1" t="s">
        <v>8872</v>
      </c>
      <c r="AB1355" s="1" t="s">
        <v>8873</v>
      </c>
      <c r="AC1355" s="1"/>
      <c r="AD1355" s="1"/>
      <c r="AE1355" s="1"/>
      <c r="AF1355" s="1"/>
      <c r="AG1355" s="1"/>
      <c r="AH1355" s="1"/>
      <c r="AI1355" s="1"/>
      <c r="AJ1355" s="1"/>
      <c r="AK1355" s="1"/>
      <c r="AL1355" s="1"/>
      <c r="AM1355" s="1"/>
      <c r="AN1355" s="1"/>
      <c r="AO1355" s="1" t="s">
        <v>98</v>
      </c>
      <c r="AP1355" s="1" t="s">
        <v>99</v>
      </c>
      <c r="AQ1355" s="1"/>
      <c r="AR1355" s="1"/>
      <c r="AS1355" s="1"/>
      <c r="AT1355" s="1"/>
      <c r="AU1355" s="1">
        <v>2021</v>
      </c>
      <c r="AV1355" s="1"/>
      <c r="AW1355" s="1">
        <v>2</v>
      </c>
      <c r="AX1355" s="1"/>
      <c r="AY1355" s="1"/>
      <c r="AZ1355" s="1"/>
      <c r="BA1355" s="1"/>
      <c r="BB1355" s="1">
        <v>215</v>
      </c>
      <c r="BC1355" s="1">
        <v>221</v>
      </c>
      <c r="BD1355" s="1"/>
      <c r="BE1355" s="1" t="s">
        <v>8874</v>
      </c>
      <c r="BF1355" s="1" t="str">
        <f>HYPERLINK("http://dx.doi.org/10.25750/1995-4301-2021-2-215-221","http://dx.doi.org/10.25750/1995-4301-2021-2-215-221")</f>
        <v>http://dx.doi.org/10.25750/1995-4301-2021-2-215-221</v>
      </c>
      <c r="BG1355" s="1"/>
      <c r="BH1355" s="1"/>
      <c r="BI1355" s="1"/>
      <c r="BJ1355" s="1"/>
      <c r="BK1355" s="1"/>
      <c r="BL1355" s="1"/>
      <c r="BM1355" s="1"/>
      <c r="BN1355" s="1"/>
      <c r="BO1355" s="1"/>
      <c r="BP1355" s="1"/>
      <c r="BQ1355" s="1"/>
      <c r="BR1355" s="1"/>
      <c r="BS1355" s="1" t="s">
        <v>8875</v>
      </c>
      <c r="BT1355" s="1" t="str">
        <f>HYPERLINK("https%3A%2F%2Fwww.webofscience.com%2Fwos%2Fwoscc%2Ffull-record%2FWOS:000667025400031","View Full Record in Web of Science")</f>
        <v>View Full Record in Web of Science</v>
      </c>
      <c r="BU1355" s="1"/>
      <c r="BV1355" s="1"/>
      <c r="BW1355" s="1"/>
    </row>
    <row r="1356" spans="1:75" ht="12.75" customHeight="1" x14ac:dyDescent="0.2">
      <c r="A1356" s="1" t="s">
        <v>72</v>
      </c>
      <c r="B1356" s="1" t="s">
        <v>8876</v>
      </c>
      <c r="C1356" s="1"/>
      <c r="D1356" s="1"/>
      <c r="E1356" s="1"/>
      <c r="F1356" s="1" t="s">
        <v>8877</v>
      </c>
      <c r="G1356" s="1"/>
      <c r="H1356" s="1"/>
      <c r="I1356" s="1" t="s">
        <v>8878</v>
      </c>
      <c r="J1356" s="1" t="s">
        <v>8879</v>
      </c>
      <c r="K1356" s="1"/>
      <c r="L1356" s="1"/>
      <c r="M1356" s="1"/>
      <c r="N1356" s="1"/>
      <c r="O1356" s="1"/>
      <c r="P1356" s="1"/>
      <c r="Q1356" s="1"/>
      <c r="R1356" s="1"/>
      <c r="S1356" s="1"/>
      <c r="T1356" s="1"/>
      <c r="U1356" s="1"/>
      <c r="V1356" s="1"/>
      <c r="W1356" s="1"/>
      <c r="X1356" s="1"/>
      <c r="Y1356" s="1"/>
      <c r="Z1356" s="1"/>
      <c r="AA1356" s="1" t="s">
        <v>8880</v>
      </c>
      <c r="AB1356" s="1" t="s">
        <v>8881</v>
      </c>
      <c r="AC1356" s="1"/>
      <c r="AD1356" s="1"/>
      <c r="AE1356" s="1"/>
      <c r="AF1356" s="1"/>
      <c r="AG1356" s="1"/>
      <c r="AH1356" s="1"/>
      <c r="AI1356" s="1"/>
      <c r="AJ1356" s="1"/>
      <c r="AK1356" s="1"/>
      <c r="AL1356" s="1"/>
      <c r="AM1356" s="1"/>
      <c r="AN1356" s="1"/>
      <c r="AO1356" s="1" t="s">
        <v>8882</v>
      </c>
      <c r="AP1356" s="1"/>
      <c r="AQ1356" s="1"/>
      <c r="AR1356" s="1"/>
      <c r="AS1356" s="1"/>
      <c r="AT1356" s="1" t="s">
        <v>8883</v>
      </c>
      <c r="AU1356" s="1">
        <v>2015</v>
      </c>
      <c r="AV1356" s="1">
        <v>10</v>
      </c>
      <c r="AW1356" s="1">
        <v>9</v>
      </c>
      <c r="AX1356" s="1"/>
      <c r="AY1356" s="1"/>
      <c r="AZ1356" s="1"/>
      <c r="BA1356" s="1"/>
      <c r="BB1356" s="1"/>
      <c r="BC1356" s="1"/>
      <c r="BD1356" s="1" t="s">
        <v>8884</v>
      </c>
      <c r="BE1356" s="1" t="s">
        <v>8885</v>
      </c>
      <c r="BF1356" s="1" t="str">
        <f>HYPERLINK("http://dx.doi.org/10.1371/journal.pone.0137517","http://dx.doi.org/10.1371/journal.pone.0137517")</f>
        <v>http://dx.doi.org/10.1371/journal.pone.0137517</v>
      </c>
      <c r="BG1356" s="1"/>
      <c r="BH1356" s="1"/>
      <c r="BI1356" s="1"/>
      <c r="BJ1356" s="1"/>
      <c r="BK1356" s="1"/>
      <c r="BL1356" s="1"/>
      <c r="BM1356" s="1"/>
      <c r="BN1356" s="1">
        <v>26356744</v>
      </c>
      <c r="BO1356" s="1"/>
      <c r="BP1356" s="1"/>
      <c r="BQ1356" s="1"/>
      <c r="BR1356" s="1"/>
      <c r="BS1356" s="1" t="s">
        <v>8886</v>
      </c>
      <c r="BT1356" s="1" t="str">
        <f>HYPERLINK("https%3A%2F%2Fwww.webofscience.com%2Fwos%2Fwoscc%2Ffull-record%2FWOS:000360965800053","View Full Record in Web of Science")</f>
        <v>View Full Record in Web of Science</v>
      </c>
      <c r="BU1356" s="1"/>
      <c r="BV1356" s="1"/>
      <c r="BW1356" s="1"/>
    </row>
    <row r="1357" spans="1:75" ht="12.75" customHeight="1" x14ac:dyDescent="0.2">
      <c r="A1357" s="1" t="s">
        <v>72</v>
      </c>
      <c r="B1357" s="1" t="s">
        <v>8887</v>
      </c>
      <c r="C1357" s="1"/>
      <c r="D1357" s="1"/>
      <c r="E1357" s="1"/>
      <c r="F1357" s="1" t="s">
        <v>8888</v>
      </c>
      <c r="G1357" s="1"/>
      <c r="H1357" s="1"/>
      <c r="I1357" s="1" t="s">
        <v>8889</v>
      </c>
      <c r="J1357" s="1" t="s">
        <v>5139</v>
      </c>
      <c r="K1357" s="1"/>
      <c r="L1357" s="1"/>
      <c r="M1357" s="1"/>
      <c r="N1357" s="1"/>
      <c r="O1357" s="1"/>
      <c r="P1357" s="1"/>
      <c r="Q1357" s="1"/>
      <c r="R1357" s="1"/>
      <c r="S1357" s="1"/>
      <c r="T1357" s="1"/>
      <c r="U1357" s="1"/>
      <c r="V1357" s="1"/>
      <c r="W1357" s="1"/>
      <c r="X1357" s="1"/>
      <c r="Y1357" s="1"/>
      <c r="Z1357" s="1"/>
      <c r="AA1357" s="1" t="s">
        <v>8890</v>
      </c>
      <c r="AB1357" s="1" t="s">
        <v>8891</v>
      </c>
      <c r="AC1357" s="1"/>
      <c r="AD1357" s="1"/>
      <c r="AE1357" s="1"/>
      <c r="AF1357" s="1"/>
      <c r="AG1357" s="1"/>
      <c r="AH1357" s="1"/>
      <c r="AI1357" s="1"/>
      <c r="AJ1357" s="1"/>
      <c r="AK1357" s="1"/>
      <c r="AL1357" s="1"/>
      <c r="AM1357" s="1"/>
      <c r="AN1357" s="1"/>
      <c r="AO1357" s="1" t="s">
        <v>5142</v>
      </c>
      <c r="AP1357" s="1" t="s">
        <v>5143</v>
      </c>
      <c r="AQ1357" s="1"/>
      <c r="AR1357" s="1"/>
      <c r="AS1357" s="1"/>
      <c r="AT1357" s="1"/>
      <c r="AU1357" s="1">
        <v>2018</v>
      </c>
      <c r="AV1357" s="1">
        <v>14</v>
      </c>
      <c r="AW1357" s="1">
        <v>4</v>
      </c>
      <c r="AX1357" s="1"/>
      <c r="AY1357" s="1"/>
      <c r="AZ1357" s="1"/>
      <c r="BA1357" s="1"/>
      <c r="BB1357" s="1">
        <v>1305</v>
      </c>
      <c r="BC1357" s="1">
        <v>1315</v>
      </c>
      <c r="BD1357" s="1"/>
      <c r="BE1357" s="1" t="s">
        <v>8892</v>
      </c>
      <c r="BF1357" s="1" t="str">
        <f>HYPERLINK("http://dx.doi.org/10.29333/ejmste/83561","http://dx.doi.org/10.29333/ejmste/83561")</f>
        <v>http://dx.doi.org/10.29333/ejmste/83561</v>
      </c>
      <c r="BG1357" s="1"/>
      <c r="BH1357" s="1"/>
      <c r="BI1357" s="1"/>
      <c r="BJ1357" s="1"/>
      <c r="BK1357" s="1"/>
      <c r="BL1357" s="1"/>
      <c r="BM1357" s="1"/>
      <c r="BN1357" s="1"/>
      <c r="BO1357" s="1"/>
      <c r="BP1357" s="1"/>
      <c r="BQ1357" s="1"/>
      <c r="BR1357" s="1"/>
      <c r="BS1357" s="1" t="s">
        <v>8893</v>
      </c>
      <c r="BT1357" s="1" t="str">
        <f>HYPERLINK("https%3A%2F%2Fwww.webofscience.com%2Fwos%2Fwoscc%2Ffull-record%2FWOS:000429004200016","View Full Record in Web of Science")</f>
        <v>View Full Record in Web of Science</v>
      </c>
      <c r="BU1357" s="1"/>
      <c r="BV1357" s="1"/>
      <c r="BW1357" s="1"/>
    </row>
    <row r="1358" spans="1:75" ht="12.75" customHeight="1" x14ac:dyDescent="0.2">
      <c r="A1358" s="1" t="s">
        <v>1342</v>
      </c>
      <c r="B1358" s="1" t="s">
        <v>8894</v>
      </c>
      <c r="C1358" s="1"/>
      <c r="D1358" s="1" t="s">
        <v>8895</v>
      </c>
      <c r="E1358" s="1"/>
      <c r="F1358" s="1" t="s">
        <v>8896</v>
      </c>
      <c r="G1358" s="1"/>
      <c r="H1358" s="1"/>
      <c r="I1358" s="1" t="s">
        <v>8897</v>
      </c>
      <c r="J1358" s="1" t="s">
        <v>8898</v>
      </c>
      <c r="K1358" s="1" t="s">
        <v>8899</v>
      </c>
      <c r="L1358" s="1"/>
      <c r="M1358" s="1"/>
      <c r="N1358" s="1"/>
      <c r="O1358" s="1"/>
      <c r="P1358" s="1"/>
      <c r="Q1358" s="1"/>
      <c r="R1358" s="1"/>
      <c r="S1358" s="1"/>
      <c r="T1358" s="1"/>
      <c r="U1358" s="1"/>
      <c r="V1358" s="1"/>
      <c r="W1358" s="1"/>
      <c r="X1358" s="1"/>
      <c r="Y1358" s="1"/>
      <c r="Z1358" s="1"/>
      <c r="AA1358" s="1" t="s">
        <v>8900</v>
      </c>
      <c r="AB1358" s="1" t="s">
        <v>8901</v>
      </c>
      <c r="AC1358" s="1"/>
      <c r="AD1358" s="1"/>
      <c r="AE1358" s="1"/>
      <c r="AF1358" s="1"/>
      <c r="AG1358" s="1"/>
      <c r="AH1358" s="1"/>
      <c r="AI1358" s="1"/>
      <c r="AJ1358" s="1"/>
      <c r="AK1358" s="1"/>
      <c r="AL1358" s="1"/>
      <c r="AM1358" s="1"/>
      <c r="AN1358" s="1"/>
      <c r="AO1358" s="1" t="s">
        <v>4580</v>
      </c>
      <c r="AP1358" s="1" t="s">
        <v>4581</v>
      </c>
      <c r="AQ1358" s="1" t="s">
        <v>8902</v>
      </c>
      <c r="AR1358" s="1"/>
      <c r="AS1358" s="1"/>
      <c r="AT1358" s="1"/>
      <c r="AU1358" s="1">
        <v>2019</v>
      </c>
      <c r="AV1358" s="1">
        <v>182</v>
      </c>
      <c r="AW1358" s="1"/>
      <c r="AX1358" s="1"/>
      <c r="AY1358" s="1"/>
      <c r="AZ1358" s="1"/>
      <c r="BA1358" s="1"/>
      <c r="BB1358" s="1">
        <v>83</v>
      </c>
      <c r="BC1358" s="1">
        <v>89</v>
      </c>
      <c r="BD1358" s="1"/>
      <c r="BE1358" s="1" t="s">
        <v>8903</v>
      </c>
      <c r="BF1358" s="1" t="str">
        <f>HYPERLINK("http://dx.doi.org/10.1007/978-3-030-01514-5_10","http://dx.doi.org/10.1007/978-3-030-01514-5_10")</f>
        <v>http://dx.doi.org/10.1007/978-3-030-01514-5_10</v>
      </c>
      <c r="BG1358" s="1" t="s">
        <v>8904</v>
      </c>
      <c r="BH1358" s="1"/>
      <c r="BI1358" s="1"/>
      <c r="BJ1358" s="1"/>
      <c r="BK1358" s="1"/>
      <c r="BL1358" s="1"/>
      <c r="BM1358" s="1"/>
      <c r="BN1358" s="1"/>
      <c r="BO1358" s="1"/>
      <c r="BP1358" s="1"/>
      <c r="BQ1358" s="1"/>
      <c r="BR1358" s="1"/>
      <c r="BS1358" s="1" t="s">
        <v>8905</v>
      </c>
      <c r="BT1358" s="1" t="str">
        <f>HYPERLINK("https%3A%2F%2Fwww.webofscience.com%2Fwos%2Fwoscc%2Ffull-record%2FWOS:000475508000011","View Full Record in Web of Science")</f>
        <v>View Full Record in Web of Science</v>
      </c>
      <c r="BU1358" s="1"/>
      <c r="BV1358" s="1"/>
      <c r="BW1358" s="1"/>
    </row>
    <row r="1359" spans="1:75" ht="12.75" customHeight="1" x14ac:dyDescent="0.2">
      <c r="A1359" s="1" t="s">
        <v>72</v>
      </c>
      <c r="B1359" s="1" t="s">
        <v>8906</v>
      </c>
      <c r="C1359" s="1"/>
      <c r="D1359" s="1"/>
      <c r="E1359" s="1"/>
      <c r="F1359" s="1" t="s">
        <v>8907</v>
      </c>
      <c r="G1359" s="1"/>
      <c r="H1359" s="1"/>
      <c r="I1359" s="1" t="s">
        <v>8908</v>
      </c>
      <c r="J1359" s="1" t="s">
        <v>8909</v>
      </c>
      <c r="K1359" s="1"/>
      <c r="L1359" s="1"/>
      <c r="M1359" s="1"/>
      <c r="N1359" s="1"/>
      <c r="O1359" s="1"/>
      <c r="P1359" s="1"/>
      <c r="Q1359" s="1"/>
      <c r="R1359" s="1"/>
      <c r="S1359" s="1"/>
      <c r="T1359" s="1"/>
      <c r="U1359" s="1"/>
      <c r="V1359" s="1"/>
      <c r="W1359" s="1"/>
      <c r="X1359" s="1"/>
      <c r="Y1359" s="1"/>
      <c r="Z1359" s="1"/>
      <c r="AA1359" s="1" t="s">
        <v>8910</v>
      </c>
      <c r="AB1359" s="1" t="s">
        <v>8911</v>
      </c>
      <c r="AC1359" s="1"/>
      <c r="AD1359" s="1"/>
      <c r="AE1359" s="1"/>
      <c r="AF1359" s="1"/>
      <c r="AG1359" s="1"/>
      <c r="AH1359" s="1"/>
      <c r="AI1359" s="1"/>
      <c r="AJ1359" s="1"/>
      <c r="AK1359" s="1"/>
      <c r="AL1359" s="1"/>
      <c r="AM1359" s="1"/>
      <c r="AN1359" s="1"/>
      <c r="AO1359" s="1" t="s">
        <v>8912</v>
      </c>
      <c r="AP1359" s="1"/>
      <c r="AQ1359" s="1"/>
      <c r="AR1359" s="1"/>
      <c r="AS1359" s="1"/>
      <c r="AT1359" s="1"/>
      <c r="AU1359" s="1">
        <v>2020</v>
      </c>
      <c r="AV1359" s="1">
        <v>15</v>
      </c>
      <c r="AW1359" s="1">
        <v>13</v>
      </c>
      <c r="AX1359" s="1"/>
      <c r="AY1359" s="1"/>
      <c r="AZ1359" s="1"/>
      <c r="BA1359" s="1"/>
      <c r="BB1359" s="1">
        <v>96</v>
      </c>
      <c r="BC1359" s="1">
        <v>115</v>
      </c>
      <c r="BD1359" s="1"/>
      <c r="BE1359" s="1" t="s">
        <v>8913</v>
      </c>
      <c r="BF1359" s="1" t="str">
        <f>HYPERLINK("http://dx.doi.org/10.3991/ijet.v15i13.14663","http://dx.doi.org/10.3991/ijet.v15i13.14663")</f>
        <v>http://dx.doi.org/10.3991/ijet.v15i13.14663</v>
      </c>
      <c r="BG1359" s="1"/>
      <c r="BH1359" s="1"/>
      <c r="BI1359" s="1"/>
      <c r="BJ1359" s="1"/>
      <c r="BK1359" s="1"/>
      <c r="BL1359" s="1"/>
      <c r="BM1359" s="1"/>
      <c r="BN1359" s="1"/>
      <c r="BO1359" s="1"/>
      <c r="BP1359" s="1"/>
      <c r="BQ1359" s="1"/>
      <c r="BR1359" s="1"/>
      <c r="BS1359" s="1" t="s">
        <v>8914</v>
      </c>
      <c r="BT1359" s="1" t="str">
        <f>HYPERLINK("https%3A%2F%2Fwww.webofscience.com%2Fwos%2Fwoscc%2Ffull-record%2FWOS:000549475600007","View Full Record in Web of Science")</f>
        <v>View Full Record in Web of Science</v>
      </c>
      <c r="BU1359" s="1"/>
      <c r="BV1359" s="1"/>
      <c r="BW1359" s="1"/>
    </row>
    <row r="1360" spans="1:75" ht="12.75" customHeight="1" x14ac:dyDescent="0.2">
      <c r="A1360" s="1" t="s">
        <v>72</v>
      </c>
      <c r="B1360" s="1" t="s">
        <v>8915</v>
      </c>
      <c r="C1360" s="1"/>
      <c r="D1360" s="1"/>
      <c r="E1360" s="1"/>
      <c r="F1360" s="1" t="s">
        <v>8916</v>
      </c>
      <c r="G1360" s="1"/>
      <c r="H1360" s="1"/>
      <c r="I1360" s="1" t="s">
        <v>8917</v>
      </c>
      <c r="J1360" s="1" t="s">
        <v>8918</v>
      </c>
      <c r="K1360" s="1"/>
      <c r="L1360" s="1"/>
      <c r="M1360" s="1"/>
      <c r="N1360" s="1"/>
      <c r="O1360" s="1"/>
      <c r="P1360" s="1"/>
      <c r="Q1360" s="1"/>
      <c r="R1360" s="1"/>
      <c r="S1360" s="1"/>
      <c r="T1360" s="1"/>
      <c r="U1360" s="1"/>
      <c r="V1360" s="1"/>
      <c r="W1360" s="1"/>
      <c r="X1360" s="1"/>
      <c r="Y1360" s="1"/>
      <c r="Z1360" s="1"/>
      <c r="AA1360" s="1" t="s">
        <v>8919</v>
      </c>
      <c r="AB1360" s="1" t="s">
        <v>8920</v>
      </c>
      <c r="AC1360" s="1"/>
      <c r="AD1360" s="1"/>
      <c r="AE1360" s="1"/>
      <c r="AF1360" s="1"/>
      <c r="AG1360" s="1"/>
      <c r="AH1360" s="1"/>
      <c r="AI1360" s="1"/>
      <c r="AJ1360" s="1"/>
      <c r="AK1360" s="1"/>
      <c r="AL1360" s="1"/>
      <c r="AM1360" s="1"/>
      <c r="AN1360" s="1"/>
      <c r="AO1360" s="1" t="s">
        <v>8921</v>
      </c>
      <c r="AP1360" s="1" t="s">
        <v>8922</v>
      </c>
      <c r="AQ1360" s="1"/>
      <c r="AR1360" s="1"/>
      <c r="AS1360" s="1"/>
      <c r="AT1360" s="1" t="s">
        <v>8357</v>
      </c>
      <c r="AU1360" s="1">
        <v>2019</v>
      </c>
      <c r="AV1360" s="1">
        <v>36</v>
      </c>
      <c r="AW1360" s="1">
        <v>12</v>
      </c>
      <c r="AX1360" s="1"/>
      <c r="AY1360" s="1"/>
      <c r="AZ1360" s="1"/>
      <c r="BA1360" s="1"/>
      <c r="BB1360" s="1">
        <v>1772</v>
      </c>
      <c r="BC1360" s="1">
        <v>1781</v>
      </c>
      <c r="BD1360" s="1"/>
      <c r="BE1360" s="1" t="s">
        <v>8923</v>
      </c>
      <c r="BF1360" s="1" t="str">
        <f>HYPERLINK("http://dx.doi.org/10.1080/07420528.2019.1683858","http://dx.doi.org/10.1080/07420528.2019.1683858")</f>
        <v>http://dx.doi.org/10.1080/07420528.2019.1683858</v>
      </c>
      <c r="BG1360" s="1"/>
      <c r="BH1360" s="1" t="s">
        <v>4696</v>
      </c>
      <c r="BI1360" s="1"/>
      <c r="BJ1360" s="1"/>
      <c r="BK1360" s="1"/>
      <c r="BL1360" s="1"/>
      <c r="BM1360" s="1"/>
      <c r="BN1360" s="1">
        <v>31658823</v>
      </c>
      <c r="BO1360" s="1"/>
      <c r="BP1360" s="1"/>
      <c r="BQ1360" s="1"/>
      <c r="BR1360" s="1"/>
      <c r="BS1360" s="1" t="s">
        <v>8924</v>
      </c>
      <c r="BT1360" s="1" t="str">
        <f>HYPERLINK("https%3A%2F%2Fwww.webofscience.com%2Fwos%2Fwoscc%2Ffull-record%2FWOS:000493027100001","View Full Record in Web of Science")</f>
        <v>View Full Record in Web of Science</v>
      </c>
      <c r="BU1360" s="1"/>
      <c r="BV1360" s="1"/>
      <c r="BW1360" s="1"/>
    </row>
    <row r="1361" spans="1:75" ht="12.75" customHeight="1" x14ac:dyDescent="0.2">
      <c r="A1361" s="1" t="s">
        <v>72</v>
      </c>
      <c r="B1361" s="1" t="s">
        <v>8925</v>
      </c>
      <c r="C1361" s="1"/>
      <c r="D1361" s="1"/>
      <c r="E1361" s="1"/>
      <c r="F1361" s="1" t="s">
        <v>8926</v>
      </c>
      <c r="G1361" s="1"/>
      <c r="H1361" s="1"/>
      <c r="I1361" s="1" t="s">
        <v>8927</v>
      </c>
      <c r="J1361" s="1" t="s">
        <v>8928</v>
      </c>
      <c r="K1361" s="1"/>
      <c r="L1361" s="1"/>
      <c r="M1361" s="1"/>
      <c r="N1361" s="1"/>
      <c r="O1361" s="1"/>
      <c r="P1361" s="1"/>
      <c r="Q1361" s="1"/>
      <c r="R1361" s="1"/>
      <c r="S1361" s="1"/>
      <c r="T1361" s="1"/>
      <c r="U1361" s="1"/>
      <c r="V1361" s="1"/>
      <c r="W1361" s="1"/>
      <c r="X1361" s="1"/>
      <c r="Y1361" s="1"/>
      <c r="Z1361" s="1"/>
      <c r="AA1361" s="1" t="s">
        <v>8929</v>
      </c>
      <c r="AB1361" s="1" t="s">
        <v>8930</v>
      </c>
      <c r="AC1361" s="1"/>
      <c r="AD1361" s="1"/>
      <c r="AE1361" s="1"/>
      <c r="AF1361" s="1"/>
      <c r="AG1361" s="1"/>
      <c r="AH1361" s="1"/>
      <c r="AI1361" s="1"/>
      <c r="AJ1361" s="1"/>
      <c r="AK1361" s="1"/>
      <c r="AL1361" s="1"/>
      <c r="AM1361" s="1"/>
      <c r="AN1361" s="1"/>
      <c r="AO1361" s="1" t="s">
        <v>8931</v>
      </c>
      <c r="AP1361" s="1"/>
      <c r="AQ1361" s="1"/>
      <c r="AR1361" s="1"/>
      <c r="AS1361" s="1"/>
      <c r="AT1361" s="1" t="s">
        <v>198</v>
      </c>
      <c r="AU1361" s="1">
        <v>2023</v>
      </c>
      <c r="AV1361" s="1">
        <v>13</v>
      </c>
      <c r="AW1361" s="1">
        <v>2</v>
      </c>
      <c r="AX1361" s="1"/>
      <c r="AY1361" s="1"/>
      <c r="AZ1361" s="1"/>
      <c r="BA1361" s="1"/>
      <c r="BB1361" s="1"/>
      <c r="BC1361" s="1"/>
      <c r="BD1361" s="1" t="s">
        <v>8932</v>
      </c>
      <c r="BE1361" s="1" t="s">
        <v>8933</v>
      </c>
      <c r="BF1361" s="1" t="str">
        <f>HYPERLINK("http://dx.doi.org/10.30935/ojcmt/12877","http://dx.doi.org/10.30935/ojcmt/12877")</f>
        <v>http://dx.doi.org/10.30935/ojcmt/12877</v>
      </c>
      <c r="BG1361" s="1"/>
      <c r="BH1361" s="1"/>
      <c r="BI1361" s="1"/>
      <c r="BJ1361" s="1"/>
      <c r="BK1361" s="1"/>
      <c r="BL1361" s="1"/>
      <c r="BM1361" s="1"/>
      <c r="BN1361" s="1"/>
      <c r="BO1361" s="1"/>
      <c r="BP1361" s="1"/>
      <c r="BQ1361" s="1"/>
      <c r="BR1361" s="1"/>
      <c r="BS1361" s="1" t="s">
        <v>8934</v>
      </c>
      <c r="BT1361" s="1" t="str">
        <f>HYPERLINK("https%3A%2F%2Fwww.webofscience.com%2Fwos%2Fwoscc%2Ffull-record%2FWOS:000925822400002","View Full Record in Web of Science")</f>
        <v>View Full Record in Web of Science</v>
      </c>
      <c r="BU1361" s="1"/>
      <c r="BV1361" s="1"/>
      <c r="BW1361" s="1"/>
    </row>
    <row r="1362" spans="1:75" ht="12.75" customHeight="1" x14ac:dyDescent="0.2">
      <c r="A1362" s="1" t="s">
        <v>72</v>
      </c>
      <c r="B1362" s="1" t="s">
        <v>8935</v>
      </c>
      <c r="C1362" s="1"/>
      <c r="D1362" s="1"/>
      <c r="E1362" s="1"/>
      <c r="F1362" s="1" t="s">
        <v>8936</v>
      </c>
      <c r="G1362" s="1"/>
      <c r="H1362" s="1"/>
      <c r="I1362" s="1" t="s">
        <v>8937</v>
      </c>
      <c r="J1362" s="1" t="s">
        <v>8851</v>
      </c>
      <c r="K1362" s="1"/>
      <c r="L1362" s="1"/>
      <c r="M1362" s="1"/>
      <c r="N1362" s="1"/>
      <c r="O1362" s="1"/>
      <c r="P1362" s="1"/>
      <c r="Q1362" s="1"/>
      <c r="R1362" s="1"/>
      <c r="S1362" s="1"/>
      <c r="T1362" s="1"/>
      <c r="U1362" s="1"/>
      <c r="V1362" s="1"/>
      <c r="W1362" s="1"/>
      <c r="X1362" s="1"/>
      <c r="Y1362" s="1"/>
      <c r="Z1362" s="1"/>
      <c r="AA1362" s="1" t="s">
        <v>8938</v>
      </c>
      <c r="AB1362" s="1" t="s">
        <v>8939</v>
      </c>
      <c r="AC1362" s="1"/>
      <c r="AD1362" s="1"/>
      <c r="AE1362" s="1"/>
      <c r="AF1362" s="1"/>
      <c r="AG1362" s="1"/>
      <c r="AH1362" s="1"/>
      <c r="AI1362" s="1"/>
      <c r="AJ1362" s="1"/>
      <c r="AK1362" s="1"/>
      <c r="AL1362" s="1"/>
      <c r="AM1362" s="1"/>
      <c r="AN1362" s="1"/>
      <c r="AO1362" s="1" t="s">
        <v>8852</v>
      </c>
      <c r="AP1362" s="1"/>
      <c r="AQ1362" s="1"/>
      <c r="AR1362" s="1"/>
      <c r="AS1362" s="1"/>
      <c r="AT1362" s="1" t="s">
        <v>313</v>
      </c>
      <c r="AU1362" s="1">
        <v>2015</v>
      </c>
      <c r="AV1362" s="1">
        <v>32</v>
      </c>
      <c r="AW1362" s="1">
        <v>4</v>
      </c>
      <c r="AX1362" s="1"/>
      <c r="AY1362" s="1"/>
      <c r="AZ1362" s="1"/>
      <c r="BA1362" s="1"/>
      <c r="BB1362" s="1">
        <v>274</v>
      </c>
      <c r="BC1362" s="1">
        <v>286</v>
      </c>
      <c r="BD1362" s="1"/>
      <c r="BE1362" s="1" t="s">
        <v>8940</v>
      </c>
      <c r="BF1362" s="1" t="str">
        <f>HYPERLINK("http://dx.doi.org/10.7868/S0233475515030032","http://dx.doi.org/10.7868/S0233475515030032")</f>
        <v>http://dx.doi.org/10.7868/S0233475515030032</v>
      </c>
      <c r="BG1362" s="1"/>
      <c r="BH1362" s="1"/>
      <c r="BI1362" s="1"/>
      <c r="BJ1362" s="1"/>
      <c r="BK1362" s="1"/>
      <c r="BL1362" s="1"/>
      <c r="BM1362" s="1"/>
      <c r="BN1362" s="1"/>
      <c r="BO1362" s="1"/>
      <c r="BP1362" s="1"/>
      <c r="BQ1362" s="1"/>
      <c r="BR1362" s="1"/>
      <c r="BS1362" s="1" t="s">
        <v>8941</v>
      </c>
      <c r="BT1362" s="1" t="str">
        <f>HYPERLINK("https%3A%2F%2Fwww.webofscience.com%2Fwos%2Fwoscc%2Ffull-record%2FWOS:000360029300006","View Full Record in Web of Science")</f>
        <v>View Full Record in Web of Science</v>
      </c>
      <c r="BU1362" s="1"/>
      <c r="BV1362" s="1"/>
      <c r="BW1362" s="1"/>
    </row>
    <row r="1363" spans="1:75" ht="12.75" customHeight="1" x14ac:dyDescent="0.2">
      <c r="A1363" s="1" t="s">
        <v>72</v>
      </c>
      <c r="B1363" s="1" t="s">
        <v>8942</v>
      </c>
      <c r="C1363" s="1"/>
      <c r="D1363" s="1"/>
      <c r="E1363" s="1"/>
      <c r="F1363" s="1" t="s">
        <v>8943</v>
      </c>
      <c r="G1363" s="1"/>
      <c r="H1363" s="1"/>
      <c r="I1363" s="1" t="s">
        <v>8944</v>
      </c>
      <c r="J1363" s="1" t="s">
        <v>8945</v>
      </c>
      <c r="K1363" s="1"/>
      <c r="L1363" s="1"/>
      <c r="M1363" s="1"/>
      <c r="N1363" s="1"/>
      <c r="O1363" s="1"/>
      <c r="P1363" s="1"/>
      <c r="Q1363" s="1"/>
      <c r="R1363" s="1"/>
      <c r="S1363" s="1"/>
      <c r="T1363" s="1"/>
      <c r="U1363" s="1"/>
      <c r="V1363" s="1"/>
      <c r="W1363" s="1"/>
      <c r="X1363" s="1"/>
      <c r="Y1363" s="1"/>
      <c r="Z1363" s="1"/>
      <c r="AA1363" s="1" t="s">
        <v>8946</v>
      </c>
      <c r="AB1363" s="1" t="s">
        <v>8947</v>
      </c>
      <c r="AC1363" s="1"/>
      <c r="AD1363" s="1"/>
      <c r="AE1363" s="1"/>
      <c r="AF1363" s="1"/>
      <c r="AG1363" s="1"/>
      <c r="AH1363" s="1"/>
      <c r="AI1363" s="1"/>
      <c r="AJ1363" s="1"/>
      <c r="AK1363" s="1"/>
      <c r="AL1363" s="1"/>
      <c r="AM1363" s="1"/>
      <c r="AN1363" s="1"/>
      <c r="AO1363" s="1" t="s">
        <v>8948</v>
      </c>
      <c r="AP1363" s="1" t="s">
        <v>8949</v>
      </c>
      <c r="AQ1363" s="1"/>
      <c r="AR1363" s="1"/>
      <c r="AS1363" s="1"/>
      <c r="AT1363" s="1"/>
      <c r="AU1363" s="1">
        <v>2018</v>
      </c>
      <c r="AV1363" s="1">
        <v>19</v>
      </c>
      <c r="AW1363" s="1">
        <v>1</v>
      </c>
      <c r="AX1363" s="1"/>
      <c r="AY1363" s="1"/>
      <c r="AZ1363" s="1"/>
      <c r="BA1363" s="1"/>
      <c r="BB1363" s="1">
        <v>43</v>
      </c>
      <c r="BC1363" s="1">
        <v>47</v>
      </c>
      <c r="BD1363" s="1"/>
      <c r="BE1363" s="1" t="s">
        <v>8950</v>
      </c>
      <c r="BF1363" s="1" t="str">
        <f>HYPERLINK("http://dx.doi.org/10.15407/jnpae2018.01.043","http://dx.doi.org/10.15407/jnpae2018.01.043")</f>
        <v>http://dx.doi.org/10.15407/jnpae2018.01.043</v>
      </c>
      <c r="BG1363" s="1"/>
      <c r="BH1363" s="1"/>
      <c r="BI1363" s="1"/>
      <c r="BJ1363" s="1"/>
      <c r="BK1363" s="1"/>
      <c r="BL1363" s="1"/>
      <c r="BM1363" s="1"/>
      <c r="BN1363" s="1"/>
      <c r="BO1363" s="1"/>
      <c r="BP1363" s="1"/>
      <c r="BQ1363" s="1"/>
      <c r="BR1363" s="1"/>
      <c r="BS1363" s="1" t="s">
        <v>8951</v>
      </c>
      <c r="BT1363" s="1" t="str">
        <f>HYPERLINK("https%3A%2F%2Fwww.webofscience.com%2Fwos%2Fwoscc%2Ffull-record%2FWOS:000461273700005","View Full Record in Web of Science")</f>
        <v>View Full Record in Web of Science</v>
      </c>
      <c r="BU1363" s="1"/>
      <c r="BV1363" s="1"/>
      <c r="BW1363" s="1"/>
    </row>
    <row r="1364" spans="1:75" ht="12.75" customHeight="1" x14ac:dyDescent="0.2">
      <c r="A1364" s="1" t="s">
        <v>72</v>
      </c>
      <c r="B1364" s="1" t="s">
        <v>8863</v>
      </c>
      <c r="C1364" s="1"/>
      <c r="D1364" s="1"/>
      <c r="E1364" s="1"/>
      <c r="F1364" s="1" t="s">
        <v>8864</v>
      </c>
      <c r="G1364" s="1"/>
      <c r="H1364" s="1"/>
      <c r="I1364" s="1" t="s">
        <v>8952</v>
      </c>
      <c r="J1364" s="1" t="s">
        <v>716</v>
      </c>
      <c r="K1364" s="1"/>
      <c r="L1364" s="1"/>
      <c r="M1364" s="1"/>
      <c r="N1364" s="1"/>
      <c r="O1364" s="1"/>
      <c r="P1364" s="1"/>
      <c r="Q1364" s="1"/>
      <c r="R1364" s="1"/>
      <c r="S1364" s="1"/>
      <c r="T1364" s="1"/>
      <c r="U1364" s="1"/>
      <c r="V1364" s="1"/>
      <c r="W1364" s="1"/>
      <c r="X1364" s="1"/>
      <c r="Y1364" s="1"/>
      <c r="Z1364" s="1"/>
      <c r="AA1364" s="1" t="s">
        <v>8866</v>
      </c>
      <c r="AB1364" s="1" t="s">
        <v>6575</v>
      </c>
      <c r="AC1364" s="1"/>
      <c r="AD1364" s="1"/>
      <c r="AE1364" s="1"/>
      <c r="AF1364" s="1"/>
      <c r="AG1364" s="1"/>
      <c r="AH1364" s="1"/>
      <c r="AI1364" s="1"/>
      <c r="AJ1364" s="1"/>
      <c r="AK1364" s="1"/>
      <c r="AL1364" s="1"/>
      <c r="AM1364" s="1"/>
      <c r="AN1364" s="1"/>
      <c r="AO1364" s="1" t="s">
        <v>719</v>
      </c>
      <c r="AP1364" s="1" t="s">
        <v>720</v>
      </c>
      <c r="AQ1364" s="1"/>
      <c r="AR1364" s="1"/>
      <c r="AS1364" s="1"/>
      <c r="AT1364" s="1" t="s">
        <v>491</v>
      </c>
      <c r="AU1364" s="1">
        <v>2018</v>
      </c>
      <c r="AV1364" s="1"/>
      <c r="AW1364" s="1">
        <v>431</v>
      </c>
      <c r="AX1364" s="1"/>
      <c r="AY1364" s="1"/>
      <c r="AZ1364" s="1"/>
      <c r="BA1364" s="1"/>
      <c r="BB1364" s="1">
        <v>215</v>
      </c>
      <c r="BC1364" s="1">
        <v>221</v>
      </c>
      <c r="BD1364" s="1"/>
      <c r="BE1364" s="1" t="s">
        <v>8953</v>
      </c>
      <c r="BF1364" s="1" t="str">
        <f>HYPERLINK("http://dx.doi.org/10.17223/15617793/431/30","http://dx.doi.org/10.17223/15617793/431/30")</f>
        <v>http://dx.doi.org/10.17223/15617793/431/30</v>
      </c>
      <c r="BG1364" s="1"/>
      <c r="BH1364" s="1"/>
      <c r="BI1364" s="1"/>
      <c r="BJ1364" s="1"/>
      <c r="BK1364" s="1"/>
      <c r="BL1364" s="1"/>
      <c r="BM1364" s="1"/>
      <c r="BN1364" s="1"/>
      <c r="BO1364" s="1"/>
      <c r="BP1364" s="1"/>
      <c r="BQ1364" s="1"/>
      <c r="BR1364" s="1"/>
      <c r="BS1364" s="1" t="s">
        <v>8954</v>
      </c>
      <c r="BT1364" s="1" t="str">
        <f>HYPERLINK("https%3A%2F%2Fwww.webofscience.com%2Fwos%2Fwoscc%2Ffull-record%2FWOS:000441014600030","View Full Record in Web of Science")</f>
        <v>View Full Record in Web of Science</v>
      </c>
      <c r="BU1364" s="1"/>
      <c r="BV1364" s="1"/>
      <c r="BW1364" s="1"/>
    </row>
    <row r="1365" spans="1:75" ht="12.75" customHeight="1" x14ac:dyDescent="0.2">
      <c r="A1365" s="1" t="s">
        <v>72</v>
      </c>
      <c r="B1365" s="1" t="s">
        <v>8955</v>
      </c>
      <c r="C1365" s="1"/>
      <c r="D1365" s="1"/>
      <c r="E1365" s="1"/>
      <c r="F1365" s="1" t="s">
        <v>8956</v>
      </c>
      <c r="G1365" s="1"/>
      <c r="H1365" s="1"/>
      <c r="I1365" s="1" t="s">
        <v>8957</v>
      </c>
      <c r="J1365" s="1" t="s">
        <v>8958</v>
      </c>
      <c r="K1365" s="1"/>
      <c r="L1365" s="1"/>
      <c r="M1365" s="1"/>
      <c r="N1365" s="1"/>
      <c r="O1365" s="1"/>
      <c r="P1365" s="1"/>
      <c r="Q1365" s="1"/>
      <c r="R1365" s="1"/>
      <c r="S1365" s="1"/>
      <c r="T1365" s="1"/>
      <c r="U1365" s="1"/>
      <c r="V1365" s="1"/>
      <c r="W1365" s="1"/>
      <c r="X1365" s="1"/>
      <c r="Y1365" s="1"/>
      <c r="Z1365" s="1"/>
      <c r="AA1365" s="1" t="s">
        <v>8959</v>
      </c>
      <c r="AB1365" s="1" t="s">
        <v>8960</v>
      </c>
      <c r="AC1365" s="1"/>
      <c r="AD1365" s="1"/>
      <c r="AE1365" s="1"/>
      <c r="AF1365" s="1"/>
      <c r="AG1365" s="1"/>
      <c r="AH1365" s="1"/>
      <c r="AI1365" s="1"/>
      <c r="AJ1365" s="1"/>
      <c r="AK1365" s="1"/>
      <c r="AL1365" s="1"/>
      <c r="AM1365" s="1"/>
      <c r="AN1365" s="1"/>
      <c r="AO1365" s="1" t="s">
        <v>8961</v>
      </c>
      <c r="AP1365" s="1" t="s">
        <v>8962</v>
      </c>
      <c r="AQ1365" s="1"/>
      <c r="AR1365" s="1"/>
      <c r="AS1365" s="1"/>
      <c r="AT1365" s="1" t="s">
        <v>319</v>
      </c>
      <c r="AU1365" s="1">
        <v>2015</v>
      </c>
      <c r="AV1365" s="1">
        <v>781</v>
      </c>
      <c r="AW1365" s="1"/>
      <c r="AX1365" s="1"/>
      <c r="AY1365" s="1"/>
      <c r="AZ1365" s="1"/>
      <c r="BA1365" s="1"/>
      <c r="BB1365" s="1">
        <v>49</v>
      </c>
      <c r="BC1365" s="1">
        <v>57</v>
      </c>
      <c r="BD1365" s="1"/>
      <c r="BE1365" s="1" t="s">
        <v>8963</v>
      </c>
      <c r="BF1365" s="1" t="str">
        <f>HYPERLINK("http://dx.doi.org/10.1016/j.mrfmmm.2015.09.004","http://dx.doi.org/10.1016/j.mrfmmm.2015.09.004")</f>
        <v>http://dx.doi.org/10.1016/j.mrfmmm.2015.09.004</v>
      </c>
      <c r="BG1365" s="1"/>
      <c r="BH1365" s="1"/>
      <c r="BI1365" s="1"/>
      <c r="BJ1365" s="1"/>
      <c r="BK1365" s="1"/>
      <c r="BL1365" s="1"/>
      <c r="BM1365" s="1"/>
      <c r="BN1365" s="1">
        <v>26432500</v>
      </c>
      <c r="BO1365" s="1"/>
      <c r="BP1365" s="1"/>
      <c r="BQ1365" s="1"/>
      <c r="BR1365" s="1"/>
      <c r="BS1365" s="1" t="s">
        <v>8964</v>
      </c>
      <c r="BT1365" s="1" t="str">
        <f>HYPERLINK("https%3A%2F%2Fwww.webofscience.com%2Fwos%2Fwoscc%2Ffull-record%2FWOS:000364160200006","View Full Record in Web of Science")</f>
        <v>View Full Record in Web of Science</v>
      </c>
      <c r="BU1365" s="1"/>
      <c r="BV1365" s="1"/>
      <c r="BW1365" s="1"/>
    </row>
    <row r="1366" spans="1:75" ht="12.75" customHeight="1" x14ac:dyDescent="0.2">
      <c r="A1366" s="1" t="s">
        <v>72</v>
      </c>
      <c r="B1366" s="1" t="s">
        <v>8965</v>
      </c>
      <c r="C1366" s="1"/>
      <c r="D1366" s="1"/>
      <c r="E1366" s="1"/>
      <c r="F1366" s="1" t="s">
        <v>8966</v>
      </c>
      <c r="G1366" s="1"/>
      <c r="H1366" s="1"/>
      <c r="I1366" s="1" t="s">
        <v>8967</v>
      </c>
      <c r="J1366" s="1" t="s">
        <v>8968</v>
      </c>
      <c r="K1366" s="1"/>
      <c r="L1366" s="1"/>
      <c r="M1366" s="1"/>
      <c r="N1366" s="1"/>
      <c r="O1366" s="1"/>
      <c r="P1366" s="1"/>
      <c r="Q1366" s="1"/>
      <c r="R1366" s="1"/>
      <c r="S1366" s="1"/>
      <c r="T1366" s="1"/>
      <c r="U1366" s="1"/>
      <c r="V1366" s="1"/>
      <c r="W1366" s="1"/>
      <c r="X1366" s="1"/>
      <c r="Y1366" s="1"/>
      <c r="Z1366" s="1"/>
      <c r="AA1366" s="1" t="s">
        <v>8969</v>
      </c>
      <c r="AB1366" s="1" t="s">
        <v>8970</v>
      </c>
      <c r="AC1366" s="1"/>
      <c r="AD1366" s="1"/>
      <c r="AE1366" s="1"/>
      <c r="AF1366" s="1"/>
      <c r="AG1366" s="1"/>
      <c r="AH1366" s="1"/>
      <c r="AI1366" s="1"/>
      <c r="AJ1366" s="1"/>
      <c r="AK1366" s="1"/>
      <c r="AL1366" s="1"/>
      <c r="AM1366" s="1"/>
      <c r="AN1366" s="1"/>
      <c r="AO1366" s="1" t="s">
        <v>8971</v>
      </c>
      <c r="AP1366" s="1" t="s">
        <v>8972</v>
      </c>
      <c r="AQ1366" s="1"/>
      <c r="AR1366" s="1"/>
      <c r="AS1366" s="1"/>
      <c r="AT1366" s="1"/>
      <c r="AU1366" s="1">
        <v>2018</v>
      </c>
      <c r="AV1366" s="1">
        <v>32</v>
      </c>
      <c r="AW1366" s="1">
        <v>6</v>
      </c>
      <c r="AX1366" s="1"/>
      <c r="AY1366" s="1"/>
      <c r="AZ1366" s="1"/>
      <c r="BA1366" s="1"/>
      <c r="BB1366" s="1">
        <v>1041</v>
      </c>
      <c r="BC1366" s="1">
        <v>1055</v>
      </c>
      <c r="BD1366" s="1"/>
      <c r="BE1366" s="1" t="s">
        <v>8973</v>
      </c>
      <c r="BF1366" s="1" t="str">
        <f>HYPERLINK("http://dx.doi.org/10.1108/IJEM-10-2017-0296","http://dx.doi.org/10.1108/IJEM-10-2017-0296")</f>
        <v>http://dx.doi.org/10.1108/IJEM-10-2017-0296</v>
      </c>
      <c r="BG1366" s="1"/>
      <c r="BH1366" s="1"/>
      <c r="BI1366" s="1"/>
      <c r="BJ1366" s="1"/>
      <c r="BK1366" s="1"/>
      <c r="BL1366" s="1"/>
      <c r="BM1366" s="1"/>
      <c r="BN1366" s="1"/>
      <c r="BO1366" s="1"/>
      <c r="BP1366" s="1"/>
      <c r="BQ1366" s="1"/>
      <c r="BR1366" s="1"/>
      <c r="BS1366" s="1" t="s">
        <v>8974</v>
      </c>
      <c r="BT1366" s="1" t="str">
        <f>HYPERLINK("https%3A%2F%2Fwww.webofscience.com%2Fwos%2Fwoscc%2Ffull-record%2FWOS:000442506100007","View Full Record in Web of Science")</f>
        <v>View Full Record in Web of Science</v>
      </c>
      <c r="BU1366" s="1"/>
      <c r="BV1366" s="1"/>
      <c r="BW1366" s="1"/>
    </row>
    <row r="1367" spans="1:75" ht="12.75" customHeight="1" x14ac:dyDescent="0.2">
      <c r="A1367" s="1" t="s">
        <v>72</v>
      </c>
      <c r="B1367" s="1" t="s">
        <v>8975</v>
      </c>
      <c r="C1367" s="1"/>
      <c r="D1367" s="1"/>
      <c r="E1367" s="1"/>
      <c r="F1367" s="1" t="s">
        <v>8976</v>
      </c>
      <c r="G1367" s="1"/>
      <c r="H1367" s="1"/>
      <c r="I1367" s="1" t="s">
        <v>8977</v>
      </c>
      <c r="J1367" s="1" t="s">
        <v>8978</v>
      </c>
      <c r="K1367" s="1"/>
      <c r="L1367" s="1"/>
      <c r="M1367" s="1"/>
      <c r="N1367" s="1"/>
      <c r="O1367" s="1"/>
      <c r="P1367" s="1"/>
      <c r="Q1367" s="1"/>
      <c r="R1367" s="1"/>
      <c r="S1367" s="1"/>
      <c r="T1367" s="1"/>
      <c r="U1367" s="1"/>
      <c r="V1367" s="1"/>
      <c r="W1367" s="1"/>
      <c r="X1367" s="1"/>
      <c r="Y1367" s="1"/>
      <c r="Z1367" s="1"/>
      <c r="AA1367" s="1" t="s">
        <v>8979</v>
      </c>
      <c r="AB1367" s="1" t="s">
        <v>8980</v>
      </c>
      <c r="AC1367" s="1"/>
      <c r="AD1367" s="1"/>
      <c r="AE1367" s="1"/>
      <c r="AF1367" s="1"/>
      <c r="AG1367" s="1"/>
      <c r="AH1367" s="1"/>
      <c r="AI1367" s="1"/>
      <c r="AJ1367" s="1"/>
      <c r="AK1367" s="1"/>
      <c r="AL1367" s="1"/>
      <c r="AM1367" s="1"/>
      <c r="AN1367" s="1"/>
      <c r="AO1367" s="1" t="s">
        <v>8981</v>
      </c>
      <c r="AP1367" s="1"/>
      <c r="AQ1367" s="1"/>
      <c r="AR1367" s="1"/>
      <c r="AS1367" s="1"/>
      <c r="AT1367" s="1" t="s">
        <v>541</v>
      </c>
      <c r="AU1367" s="1">
        <v>2021</v>
      </c>
      <c r="AV1367" s="1">
        <v>8</v>
      </c>
      <c r="AW1367" s="1">
        <v>31</v>
      </c>
      <c r="AX1367" s="1"/>
      <c r="AY1367" s="1"/>
      <c r="AZ1367" s="1"/>
      <c r="BA1367" s="1"/>
      <c r="BB1367" s="1">
        <v>155</v>
      </c>
      <c r="BC1367" s="1">
        <v>161</v>
      </c>
      <c r="BD1367" s="1"/>
      <c r="BE1367" s="1"/>
      <c r="BF1367" s="1"/>
      <c r="BG1367" s="1"/>
      <c r="BH1367" s="1"/>
      <c r="BI1367" s="1"/>
      <c r="BJ1367" s="1"/>
      <c r="BK1367" s="1"/>
      <c r="BL1367" s="1"/>
      <c r="BM1367" s="1"/>
      <c r="BN1367" s="1"/>
      <c r="BO1367" s="1"/>
      <c r="BP1367" s="1"/>
      <c r="BQ1367" s="1"/>
      <c r="BR1367" s="1"/>
      <c r="BS1367" s="1" t="s">
        <v>8982</v>
      </c>
      <c r="BT1367" s="1" t="str">
        <f>HYPERLINK("https%3A%2F%2Fwww.webofscience.com%2Fwos%2Fwoscc%2Ffull-record%2FWOS:000629197300019","View Full Record in Web of Science")</f>
        <v>View Full Record in Web of Science</v>
      </c>
      <c r="BU1367" s="1"/>
      <c r="BV1367" s="1"/>
      <c r="BW1367" s="1"/>
    </row>
    <row r="1368" spans="1:75" ht="12.75" customHeight="1" x14ac:dyDescent="0.2">
      <c r="A1368" s="1" t="s">
        <v>72</v>
      </c>
      <c r="B1368" s="1" t="s">
        <v>8983</v>
      </c>
      <c r="C1368" s="1"/>
      <c r="D1368" s="1"/>
      <c r="E1368" s="1"/>
      <c r="F1368" s="1" t="s">
        <v>8984</v>
      </c>
      <c r="G1368" s="1"/>
      <c r="H1368" s="1"/>
      <c r="I1368" s="1" t="s">
        <v>8985</v>
      </c>
      <c r="J1368" s="1" t="s">
        <v>8986</v>
      </c>
      <c r="K1368" s="1"/>
      <c r="L1368" s="1"/>
      <c r="M1368" s="1"/>
      <c r="N1368" s="1"/>
      <c r="O1368" s="1"/>
      <c r="P1368" s="1"/>
      <c r="Q1368" s="1"/>
      <c r="R1368" s="1"/>
      <c r="S1368" s="1"/>
      <c r="T1368" s="1"/>
      <c r="U1368" s="1"/>
      <c r="V1368" s="1"/>
      <c r="W1368" s="1"/>
      <c r="X1368" s="1"/>
      <c r="Y1368" s="1"/>
      <c r="Z1368" s="1"/>
      <c r="AA1368" s="1" t="s">
        <v>8987</v>
      </c>
      <c r="AB1368" s="1" t="s">
        <v>8988</v>
      </c>
      <c r="AC1368" s="1"/>
      <c r="AD1368" s="1"/>
      <c r="AE1368" s="1"/>
      <c r="AF1368" s="1"/>
      <c r="AG1368" s="1"/>
      <c r="AH1368" s="1"/>
      <c r="AI1368" s="1"/>
      <c r="AJ1368" s="1"/>
      <c r="AK1368" s="1"/>
      <c r="AL1368" s="1"/>
      <c r="AM1368" s="1"/>
      <c r="AN1368" s="1"/>
      <c r="AO1368" s="1"/>
      <c r="AP1368" s="1" t="s">
        <v>8989</v>
      </c>
      <c r="AQ1368" s="1"/>
      <c r="AR1368" s="1"/>
      <c r="AS1368" s="1"/>
      <c r="AT1368" s="1" t="s">
        <v>8990</v>
      </c>
      <c r="AU1368" s="1">
        <v>2022</v>
      </c>
      <c r="AV1368" s="1">
        <v>9</v>
      </c>
      <c r="AW1368" s="1">
        <v>1</v>
      </c>
      <c r="AX1368" s="1"/>
      <c r="AY1368" s="1"/>
      <c r="AZ1368" s="1"/>
      <c r="BA1368" s="1"/>
      <c r="BB1368" s="1"/>
      <c r="BC1368" s="1"/>
      <c r="BD1368" s="1">
        <v>141</v>
      </c>
      <c r="BE1368" s="1" t="s">
        <v>8991</v>
      </c>
      <c r="BF1368" s="1" t="str">
        <f>HYPERLINK("http://dx.doi.org/10.1057/s41599-022-01151-2","http://dx.doi.org/10.1057/s41599-022-01151-2")</f>
        <v>http://dx.doi.org/10.1057/s41599-022-01151-2</v>
      </c>
      <c r="BG1368" s="1"/>
      <c r="BH1368" s="1"/>
      <c r="BI1368" s="1"/>
      <c r="BJ1368" s="1"/>
      <c r="BK1368" s="1"/>
      <c r="BL1368" s="1"/>
      <c r="BM1368" s="1"/>
      <c r="BN1368" s="1"/>
      <c r="BO1368" s="1"/>
      <c r="BP1368" s="1"/>
      <c r="BQ1368" s="1"/>
      <c r="BR1368" s="1"/>
      <c r="BS1368" s="1" t="s">
        <v>8992</v>
      </c>
      <c r="BT1368" s="1" t="str">
        <f>HYPERLINK("https%3A%2F%2Fwww.webofscience.com%2Fwos%2Fwoscc%2Ffull-record%2FWOS:000784659800003","View Full Record in Web of Science")</f>
        <v>View Full Record in Web of Science</v>
      </c>
      <c r="BU1368" s="1"/>
      <c r="BV1368" s="1"/>
      <c r="BW1368" s="1"/>
    </row>
    <row r="1369" spans="1:75" ht="12.75" customHeight="1" x14ac:dyDescent="0.2">
      <c r="A1369" s="1" t="s">
        <v>72</v>
      </c>
      <c r="B1369" s="1" t="s">
        <v>8993</v>
      </c>
      <c r="C1369" s="1"/>
      <c r="D1369" s="1"/>
      <c r="E1369" s="1"/>
      <c r="F1369" s="1" t="s">
        <v>8994</v>
      </c>
      <c r="G1369" s="1"/>
      <c r="H1369" s="1"/>
      <c r="I1369" s="1" t="s">
        <v>8995</v>
      </c>
      <c r="J1369" s="1" t="s">
        <v>8996</v>
      </c>
      <c r="K1369" s="1"/>
      <c r="L1369" s="1"/>
      <c r="M1369" s="1"/>
      <c r="N1369" s="1"/>
      <c r="O1369" s="1"/>
      <c r="P1369" s="1"/>
      <c r="Q1369" s="1"/>
      <c r="R1369" s="1"/>
      <c r="S1369" s="1"/>
      <c r="T1369" s="1"/>
      <c r="U1369" s="1"/>
      <c r="V1369" s="1"/>
      <c r="W1369" s="1"/>
      <c r="X1369" s="1"/>
      <c r="Y1369" s="1"/>
      <c r="Z1369" s="1"/>
      <c r="AA1369" s="1" t="s">
        <v>8997</v>
      </c>
      <c r="AB1369" s="1" t="s">
        <v>8998</v>
      </c>
      <c r="AC1369" s="1"/>
      <c r="AD1369" s="1"/>
      <c r="AE1369" s="1"/>
      <c r="AF1369" s="1"/>
      <c r="AG1369" s="1"/>
      <c r="AH1369" s="1"/>
      <c r="AI1369" s="1"/>
      <c r="AJ1369" s="1"/>
      <c r="AK1369" s="1"/>
      <c r="AL1369" s="1"/>
      <c r="AM1369" s="1"/>
      <c r="AN1369" s="1"/>
      <c r="AO1369" s="1" t="s">
        <v>8999</v>
      </c>
      <c r="AP1369" s="1" t="s">
        <v>9000</v>
      </c>
      <c r="AQ1369" s="1"/>
      <c r="AR1369" s="1"/>
      <c r="AS1369" s="1"/>
      <c r="AT1369" s="1" t="s">
        <v>491</v>
      </c>
      <c r="AU1369" s="1">
        <v>2022</v>
      </c>
      <c r="AV1369" s="1">
        <v>27</v>
      </c>
      <c r="AW1369" s="1">
        <v>5</v>
      </c>
      <c r="AX1369" s="1"/>
      <c r="AY1369" s="1"/>
      <c r="AZ1369" s="1"/>
      <c r="BA1369" s="1"/>
      <c r="BB1369" s="1">
        <v>1585</v>
      </c>
      <c r="BC1369" s="1">
        <v>1591</v>
      </c>
      <c r="BD1369" s="1"/>
      <c r="BE1369" s="1" t="s">
        <v>9001</v>
      </c>
      <c r="BF1369" s="1" t="str">
        <f>HYPERLINK("http://dx.doi.org/10.1007/s40519-021-01259-5","http://dx.doi.org/10.1007/s40519-021-01259-5")</f>
        <v>http://dx.doi.org/10.1007/s40519-021-01259-5</v>
      </c>
      <c r="BG1369" s="1"/>
      <c r="BH1369" s="1" t="s">
        <v>3630</v>
      </c>
      <c r="BI1369" s="1"/>
      <c r="BJ1369" s="1"/>
      <c r="BK1369" s="1"/>
      <c r="BL1369" s="1"/>
      <c r="BM1369" s="1"/>
      <c r="BN1369" s="1">
        <v>35178680</v>
      </c>
      <c r="BO1369" s="1"/>
      <c r="BP1369" s="1"/>
      <c r="BQ1369" s="1"/>
      <c r="BR1369" s="1"/>
      <c r="BS1369" s="1" t="s">
        <v>9002</v>
      </c>
      <c r="BT1369" s="1" t="str">
        <f>HYPERLINK("https%3A%2F%2Fwww.webofscience.com%2Fwos%2Fwoscc%2Ffull-record%2FWOS:000757328000001","View Full Record in Web of Science")</f>
        <v>View Full Record in Web of Science</v>
      </c>
      <c r="BU1369" s="1"/>
      <c r="BV1369" s="1"/>
      <c r="BW1369" s="1"/>
    </row>
    <row r="1370" spans="1:75" ht="12.75" customHeight="1" x14ac:dyDescent="0.2">
      <c r="A1370" s="1" t="s">
        <v>72</v>
      </c>
      <c r="B1370" s="1" t="s">
        <v>9003</v>
      </c>
      <c r="C1370" s="1"/>
      <c r="D1370" s="1"/>
      <c r="E1370" s="1"/>
      <c r="F1370" s="1" t="s">
        <v>9004</v>
      </c>
      <c r="G1370" s="1"/>
      <c r="H1370" s="1"/>
      <c r="I1370" s="1" t="s">
        <v>9005</v>
      </c>
      <c r="J1370" s="1" t="s">
        <v>9006</v>
      </c>
      <c r="K1370" s="1"/>
      <c r="L1370" s="1"/>
      <c r="M1370" s="1"/>
      <c r="N1370" s="1"/>
      <c r="O1370" s="1"/>
      <c r="P1370" s="1"/>
      <c r="Q1370" s="1"/>
      <c r="R1370" s="1"/>
      <c r="S1370" s="1"/>
      <c r="T1370" s="1"/>
      <c r="U1370" s="1"/>
      <c r="V1370" s="1"/>
      <c r="W1370" s="1"/>
      <c r="X1370" s="1"/>
      <c r="Y1370" s="1"/>
      <c r="Z1370" s="1"/>
      <c r="AA1370" s="1" t="s">
        <v>9007</v>
      </c>
      <c r="AB1370" s="1" t="s">
        <v>9008</v>
      </c>
      <c r="AC1370" s="1"/>
      <c r="AD1370" s="1"/>
      <c r="AE1370" s="1"/>
      <c r="AF1370" s="1"/>
      <c r="AG1370" s="1"/>
      <c r="AH1370" s="1"/>
      <c r="AI1370" s="1"/>
      <c r="AJ1370" s="1"/>
      <c r="AK1370" s="1"/>
      <c r="AL1370" s="1"/>
      <c r="AM1370" s="1"/>
      <c r="AN1370" s="1"/>
      <c r="AO1370" s="1" t="s">
        <v>9009</v>
      </c>
      <c r="AP1370" s="1"/>
      <c r="AQ1370" s="1"/>
      <c r="AR1370" s="1"/>
      <c r="AS1370" s="1"/>
      <c r="AT1370" s="1"/>
      <c r="AU1370" s="1">
        <v>2021</v>
      </c>
      <c r="AV1370" s="1"/>
      <c r="AW1370" s="1" t="s">
        <v>2451</v>
      </c>
      <c r="AX1370" s="1">
        <v>1</v>
      </c>
      <c r="AY1370" s="1"/>
      <c r="AZ1370" s="1">
        <v>1</v>
      </c>
      <c r="BA1370" s="1"/>
      <c r="BB1370" s="1">
        <v>122</v>
      </c>
      <c r="BC1370" s="1">
        <v>127</v>
      </c>
      <c r="BD1370" s="1"/>
      <c r="BE1370" s="1"/>
      <c r="BF1370" s="1"/>
      <c r="BG1370" s="1"/>
      <c r="BH1370" s="1"/>
      <c r="BI1370" s="1"/>
      <c r="BJ1370" s="1"/>
      <c r="BK1370" s="1"/>
      <c r="BL1370" s="1"/>
      <c r="BM1370" s="1"/>
      <c r="BN1370" s="1"/>
      <c r="BO1370" s="1"/>
      <c r="BP1370" s="1"/>
      <c r="BQ1370" s="1"/>
      <c r="BR1370" s="1"/>
      <c r="BS1370" s="1" t="s">
        <v>9010</v>
      </c>
      <c r="BT1370" s="1" t="str">
        <f>HYPERLINK("https%3A%2F%2Fwww.webofscience.com%2Fwos%2Fwoscc%2Ffull-record%2FWOS:000653732600016","View Full Record in Web of Science")</f>
        <v>View Full Record in Web of Science</v>
      </c>
      <c r="BU1370" s="1"/>
      <c r="BV1370" s="1"/>
      <c r="BW1370" s="1"/>
    </row>
    <row r="1371" spans="1:75" ht="12.75" customHeight="1" x14ac:dyDescent="0.2">
      <c r="A1371" s="1" t="s">
        <v>72</v>
      </c>
      <c r="B1371" s="1" t="s">
        <v>9011</v>
      </c>
      <c r="C1371" s="1"/>
      <c r="D1371" s="1"/>
      <c r="E1371" s="1"/>
      <c r="F1371" s="1" t="s">
        <v>9012</v>
      </c>
      <c r="G1371" s="1"/>
      <c r="H1371" s="1"/>
      <c r="I1371" s="1" t="s">
        <v>9013</v>
      </c>
      <c r="J1371" s="1" t="s">
        <v>5139</v>
      </c>
      <c r="K1371" s="1"/>
      <c r="L1371" s="1"/>
      <c r="M1371" s="1"/>
      <c r="N1371" s="1"/>
      <c r="O1371" s="1"/>
      <c r="P1371" s="1"/>
      <c r="Q1371" s="1"/>
      <c r="R1371" s="1"/>
      <c r="S1371" s="1"/>
      <c r="T1371" s="1"/>
      <c r="U1371" s="1"/>
      <c r="V1371" s="1"/>
      <c r="W1371" s="1"/>
      <c r="X1371" s="1"/>
      <c r="Y1371" s="1"/>
      <c r="Z1371" s="1"/>
      <c r="AA1371" s="1" t="s">
        <v>9014</v>
      </c>
      <c r="AB1371" s="1" t="s">
        <v>9015</v>
      </c>
      <c r="AC1371" s="1"/>
      <c r="AD1371" s="1"/>
      <c r="AE1371" s="1"/>
      <c r="AF1371" s="1"/>
      <c r="AG1371" s="1"/>
      <c r="AH1371" s="1"/>
      <c r="AI1371" s="1"/>
      <c r="AJ1371" s="1"/>
      <c r="AK1371" s="1"/>
      <c r="AL1371" s="1"/>
      <c r="AM1371" s="1"/>
      <c r="AN1371" s="1"/>
      <c r="AO1371" s="1" t="s">
        <v>5142</v>
      </c>
      <c r="AP1371" s="1" t="s">
        <v>5143</v>
      </c>
      <c r="AQ1371" s="1"/>
      <c r="AR1371" s="1"/>
      <c r="AS1371" s="1"/>
      <c r="AT1371" s="1" t="s">
        <v>541</v>
      </c>
      <c r="AU1371" s="1">
        <v>2018</v>
      </c>
      <c r="AV1371" s="1">
        <v>14</v>
      </c>
      <c r="AW1371" s="1">
        <v>1</v>
      </c>
      <c r="AX1371" s="1"/>
      <c r="AY1371" s="1"/>
      <c r="AZ1371" s="1"/>
      <c r="BA1371" s="1"/>
      <c r="BB1371" s="1">
        <v>543</v>
      </c>
      <c r="BC1371" s="1">
        <v>552</v>
      </c>
      <c r="BD1371" s="1"/>
      <c r="BE1371" s="1" t="s">
        <v>9016</v>
      </c>
      <c r="BF1371" s="1" t="str">
        <f>HYPERLINK("http://dx.doi.org/10.12973/ejmste/80613","http://dx.doi.org/10.12973/ejmste/80613")</f>
        <v>http://dx.doi.org/10.12973/ejmste/80613</v>
      </c>
      <c r="BG1371" s="1"/>
      <c r="BH1371" s="1"/>
      <c r="BI1371" s="1"/>
      <c r="BJ1371" s="1"/>
      <c r="BK1371" s="1"/>
      <c r="BL1371" s="1"/>
      <c r="BM1371" s="1"/>
      <c r="BN1371" s="1"/>
      <c r="BO1371" s="1"/>
      <c r="BP1371" s="1"/>
      <c r="BQ1371" s="1"/>
      <c r="BR1371" s="1"/>
      <c r="BS1371" s="1" t="s">
        <v>9017</v>
      </c>
      <c r="BT1371" s="1" t="str">
        <f>HYPERLINK("https%3A%2F%2Fwww.webofscience.com%2Fwos%2Fwoscc%2Ffull-record%2FWOS:000423586100043","View Full Record in Web of Science")</f>
        <v>View Full Record in Web of Science</v>
      </c>
      <c r="BU1371" s="1"/>
      <c r="BV1371" s="1"/>
      <c r="BW1371" s="1"/>
    </row>
    <row r="1372" spans="1:75" ht="12.75" customHeight="1" x14ac:dyDescent="0.2">
      <c r="A1372" s="1" t="s">
        <v>147</v>
      </c>
      <c r="B1372" s="1" t="s">
        <v>9018</v>
      </c>
      <c r="C1372" s="1"/>
      <c r="D1372" s="1"/>
      <c r="E1372" s="1"/>
      <c r="F1372" s="1" t="s">
        <v>9019</v>
      </c>
      <c r="G1372" s="1"/>
      <c r="H1372" s="1"/>
      <c r="I1372" s="1" t="s">
        <v>9020</v>
      </c>
      <c r="J1372" s="1" t="s">
        <v>9021</v>
      </c>
      <c r="K1372" s="1"/>
      <c r="L1372" s="1"/>
      <c r="M1372" s="1"/>
      <c r="N1372" s="1"/>
      <c r="O1372" s="1" t="s">
        <v>9022</v>
      </c>
      <c r="P1372" s="1" t="s">
        <v>9023</v>
      </c>
      <c r="Q1372" s="1" t="s">
        <v>9024</v>
      </c>
      <c r="R1372" s="1"/>
      <c r="S1372" s="1"/>
      <c r="T1372" s="1"/>
      <c r="U1372" s="1"/>
      <c r="V1372" s="1"/>
      <c r="W1372" s="1"/>
      <c r="X1372" s="1"/>
      <c r="Y1372" s="1"/>
      <c r="Z1372" s="1"/>
      <c r="AA1372" s="1" t="s">
        <v>9025</v>
      </c>
      <c r="AB1372" s="1" t="s">
        <v>9026</v>
      </c>
      <c r="AC1372" s="1"/>
      <c r="AD1372" s="1"/>
      <c r="AE1372" s="1"/>
      <c r="AF1372" s="1"/>
      <c r="AG1372" s="1"/>
      <c r="AH1372" s="1"/>
      <c r="AI1372" s="1"/>
      <c r="AJ1372" s="1"/>
      <c r="AK1372" s="1"/>
      <c r="AL1372" s="1"/>
      <c r="AM1372" s="1"/>
      <c r="AN1372" s="1"/>
      <c r="AO1372" s="1" t="s">
        <v>9027</v>
      </c>
      <c r="AP1372" s="1" t="s">
        <v>9028</v>
      </c>
      <c r="AQ1372" s="1"/>
      <c r="AR1372" s="1"/>
      <c r="AS1372" s="1"/>
      <c r="AT1372" s="1" t="s">
        <v>1167</v>
      </c>
      <c r="AU1372" s="1">
        <v>2018</v>
      </c>
      <c r="AV1372" s="1">
        <v>381</v>
      </c>
      <c r="AW1372" s="1">
        <v>1</v>
      </c>
      <c r="AX1372" s="1"/>
      <c r="AY1372" s="1"/>
      <c r="AZ1372" s="1" t="s">
        <v>339</v>
      </c>
      <c r="BA1372" s="1"/>
      <c r="BB1372" s="1"/>
      <c r="BC1372" s="1"/>
      <c r="BD1372" s="1" t="s">
        <v>9029</v>
      </c>
      <c r="BE1372" s="1" t="s">
        <v>9030</v>
      </c>
      <c r="BF1372" s="1" t="str">
        <f>HYPERLINK("http://dx.doi.org/10.1002/masy.201800130","http://dx.doi.org/10.1002/masy.201800130")</f>
        <v>http://dx.doi.org/10.1002/masy.201800130</v>
      </c>
      <c r="BG1372" s="1"/>
      <c r="BH1372" s="1"/>
      <c r="BI1372" s="1"/>
      <c r="BJ1372" s="1"/>
      <c r="BK1372" s="1"/>
      <c r="BL1372" s="1"/>
      <c r="BM1372" s="1"/>
      <c r="BN1372" s="1"/>
      <c r="BO1372" s="1"/>
      <c r="BP1372" s="1"/>
      <c r="BQ1372" s="1"/>
      <c r="BR1372" s="1"/>
      <c r="BS1372" s="1" t="s">
        <v>9031</v>
      </c>
      <c r="BT1372" s="1" t="str">
        <f>HYPERLINK("https%3A%2F%2Fwww.webofscience.com%2Fwos%2Fwoscc%2Ffull-record%2FWOS:000447303600019","View Full Record in Web of Science")</f>
        <v>View Full Record in Web of Science</v>
      </c>
      <c r="BU1372" s="1"/>
      <c r="BV1372" s="1"/>
      <c r="BW1372" s="1"/>
    </row>
    <row r="1373" spans="1:75" ht="12.75" customHeight="1" x14ac:dyDescent="0.2">
      <c r="A1373" s="1" t="s">
        <v>72</v>
      </c>
      <c r="B1373" s="1" t="s">
        <v>9032</v>
      </c>
      <c r="C1373" s="1"/>
      <c r="D1373" s="1"/>
      <c r="E1373" s="1"/>
      <c r="F1373" s="1" t="s">
        <v>9033</v>
      </c>
      <c r="G1373" s="1"/>
      <c r="H1373" s="1"/>
      <c r="I1373" s="1" t="s">
        <v>9034</v>
      </c>
      <c r="J1373" s="1" t="s">
        <v>8674</v>
      </c>
      <c r="K1373" s="1"/>
      <c r="L1373" s="1"/>
      <c r="M1373" s="1"/>
      <c r="N1373" s="1"/>
      <c r="O1373" s="1"/>
      <c r="P1373" s="1"/>
      <c r="Q1373" s="1"/>
      <c r="R1373" s="1"/>
      <c r="S1373" s="1"/>
      <c r="T1373" s="1"/>
      <c r="U1373" s="1"/>
      <c r="V1373" s="1"/>
      <c r="W1373" s="1"/>
      <c r="X1373" s="1"/>
      <c r="Y1373" s="1"/>
      <c r="Z1373" s="1"/>
      <c r="AA1373" s="1"/>
      <c r="AB1373" s="1" t="s">
        <v>9035</v>
      </c>
      <c r="AC1373" s="1"/>
      <c r="AD1373" s="1"/>
      <c r="AE1373" s="1"/>
      <c r="AF1373" s="1"/>
      <c r="AG1373" s="1"/>
      <c r="AH1373" s="1"/>
      <c r="AI1373" s="1"/>
      <c r="AJ1373" s="1"/>
      <c r="AK1373" s="1"/>
      <c r="AL1373" s="1"/>
      <c r="AM1373" s="1"/>
      <c r="AN1373" s="1"/>
      <c r="AO1373" s="1" t="s">
        <v>8677</v>
      </c>
      <c r="AP1373" s="1" t="s">
        <v>8678</v>
      </c>
      <c r="AQ1373" s="1"/>
      <c r="AR1373" s="1"/>
      <c r="AS1373" s="1"/>
      <c r="AT1373" s="1" t="s">
        <v>1173</v>
      </c>
      <c r="AU1373" s="1">
        <v>2020</v>
      </c>
      <c r="AV1373" s="1">
        <v>8</v>
      </c>
      <c r="AW1373" s="1"/>
      <c r="AX1373" s="1"/>
      <c r="AY1373" s="1"/>
      <c r="AZ1373" s="1" t="s">
        <v>339</v>
      </c>
      <c r="BA1373" s="1"/>
      <c r="BB1373" s="1"/>
      <c r="BC1373" s="1"/>
      <c r="BD1373" s="1" t="s">
        <v>9036</v>
      </c>
      <c r="BE1373" s="1" t="s">
        <v>9037</v>
      </c>
      <c r="BF1373" s="1" t="str">
        <f>HYPERLINK("http://dx.doi.org/10.20511/pyr2020.v8nSPE2.643","http://dx.doi.org/10.20511/pyr2020.v8nSPE2.643")</f>
        <v>http://dx.doi.org/10.20511/pyr2020.v8nSPE2.643</v>
      </c>
      <c r="BG1373" s="1"/>
      <c r="BH1373" s="1"/>
      <c r="BI1373" s="1"/>
      <c r="BJ1373" s="1"/>
      <c r="BK1373" s="1"/>
      <c r="BL1373" s="1"/>
      <c r="BM1373" s="1"/>
      <c r="BN1373" s="1"/>
      <c r="BO1373" s="1"/>
      <c r="BP1373" s="1"/>
      <c r="BQ1373" s="1"/>
      <c r="BR1373" s="1"/>
      <c r="BS1373" s="1" t="s">
        <v>9038</v>
      </c>
      <c r="BT1373" s="1" t="str">
        <f>HYPERLINK("https%3A%2F%2Fwww.webofscience.com%2Fwos%2Fwoscc%2Ffull-record%2FWOS:000559769600002","View Full Record in Web of Science")</f>
        <v>View Full Record in Web of Science</v>
      </c>
      <c r="BU1373" s="1"/>
      <c r="BV1373" s="1"/>
      <c r="BW1373" s="1"/>
    </row>
    <row r="1374" spans="1:75" ht="12.75" customHeight="1" x14ac:dyDescent="0.2">
      <c r="A1374" s="1" t="s">
        <v>72</v>
      </c>
      <c r="B1374" s="1" t="s">
        <v>8993</v>
      </c>
      <c r="C1374" s="1"/>
      <c r="D1374" s="1"/>
      <c r="E1374" s="1"/>
      <c r="F1374" s="1" t="s">
        <v>8994</v>
      </c>
      <c r="G1374" s="1"/>
      <c r="H1374" s="1"/>
      <c r="I1374" s="1" t="s">
        <v>9039</v>
      </c>
      <c r="J1374" s="1" t="s">
        <v>9040</v>
      </c>
      <c r="K1374" s="1"/>
      <c r="L1374" s="1"/>
      <c r="M1374" s="1"/>
      <c r="N1374" s="1"/>
      <c r="O1374" s="1"/>
      <c r="P1374" s="1"/>
      <c r="Q1374" s="1"/>
      <c r="R1374" s="1"/>
      <c r="S1374" s="1"/>
      <c r="T1374" s="1"/>
      <c r="U1374" s="1"/>
      <c r="V1374" s="1"/>
      <c r="W1374" s="1"/>
      <c r="X1374" s="1"/>
      <c r="Y1374" s="1"/>
      <c r="Z1374" s="1"/>
      <c r="AA1374" s="1" t="s">
        <v>9041</v>
      </c>
      <c r="AB1374" s="1" t="s">
        <v>9042</v>
      </c>
      <c r="AC1374" s="1"/>
      <c r="AD1374" s="1"/>
      <c r="AE1374" s="1"/>
      <c r="AF1374" s="1"/>
      <c r="AG1374" s="1"/>
      <c r="AH1374" s="1"/>
      <c r="AI1374" s="1"/>
      <c r="AJ1374" s="1"/>
      <c r="AK1374" s="1"/>
      <c r="AL1374" s="1"/>
      <c r="AM1374" s="1"/>
      <c r="AN1374" s="1"/>
      <c r="AO1374" s="1" t="s">
        <v>9043</v>
      </c>
      <c r="AP1374" s="1" t="s">
        <v>9044</v>
      </c>
      <c r="AQ1374" s="1"/>
      <c r="AR1374" s="1"/>
      <c r="AS1374" s="1"/>
      <c r="AT1374" s="1" t="s">
        <v>9045</v>
      </c>
      <c r="AU1374" s="1">
        <v>2022</v>
      </c>
      <c r="AV1374" s="1">
        <v>53</v>
      </c>
      <c r="AW1374" s="1">
        <v>11</v>
      </c>
      <c r="AX1374" s="1"/>
      <c r="AY1374" s="1"/>
      <c r="AZ1374" s="1"/>
      <c r="BA1374" s="1"/>
      <c r="BB1374" s="1">
        <v>1770</v>
      </c>
      <c r="BC1374" s="1">
        <v>1781</v>
      </c>
      <c r="BD1374" s="1"/>
      <c r="BE1374" s="1" t="s">
        <v>9046</v>
      </c>
      <c r="BF1374" s="1" t="str">
        <f>HYPERLINK("http://dx.doi.org/10.1080/09291016.2022.2041289","http://dx.doi.org/10.1080/09291016.2022.2041289")</f>
        <v>http://dx.doi.org/10.1080/09291016.2022.2041289</v>
      </c>
      <c r="BG1374" s="1"/>
      <c r="BH1374" s="1" t="s">
        <v>3630</v>
      </c>
      <c r="BI1374" s="1"/>
      <c r="BJ1374" s="1"/>
      <c r="BK1374" s="1"/>
      <c r="BL1374" s="1"/>
      <c r="BM1374" s="1"/>
      <c r="BN1374" s="1"/>
      <c r="BO1374" s="1"/>
      <c r="BP1374" s="1"/>
      <c r="BQ1374" s="1"/>
      <c r="BR1374" s="1"/>
      <c r="BS1374" s="1" t="s">
        <v>9047</v>
      </c>
      <c r="BT1374" s="1" t="str">
        <f>HYPERLINK("https%3A%2F%2Fwww.webofscience.com%2Fwos%2Fwoscc%2Ffull-record%2FWOS:000755399600001","View Full Record in Web of Science")</f>
        <v>View Full Record in Web of Science</v>
      </c>
      <c r="BU1374" s="1"/>
      <c r="BV1374" s="1"/>
      <c r="BW1374" s="1"/>
    </row>
    <row r="1375" spans="1:75" ht="12.75" customHeight="1" x14ac:dyDescent="0.2">
      <c r="A1375" s="1" t="s">
        <v>72</v>
      </c>
      <c r="B1375" s="1" t="s">
        <v>9048</v>
      </c>
      <c r="C1375" s="1"/>
      <c r="D1375" s="1"/>
      <c r="E1375" s="1"/>
      <c r="F1375" s="1" t="s">
        <v>9049</v>
      </c>
      <c r="G1375" s="1"/>
      <c r="H1375" s="1"/>
      <c r="I1375" s="1" t="s">
        <v>9050</v>
      </c>
      <c r="J1375" s="1" t="s">
        <v>9051</v>
      </c>
      <c r="K1375" s="1"/>
      <c r="L1375" s="1"/>
      <c r="M1375" s="1"/>
      <c r="N1375" s="1"/>
      <c r="O1375" s="1"/>
      <c r="P1375" s="1"/>
      <c r="Q1375" s="1"/>
      <c r="R1375" s="1"/>
      <c r="S1375" s="1"/>
      <c r="T1375" s="1"/>
      <c r="U1375" s="1"/>
      <c r="V1375" s="1"/>
      <c r="W1375" s="1"/>
      <c r="X1375" s="1"/>
      <c r="Y1375" s="1"/>
      <c r="Z1375" s="1"/>
      <c r="AA1375" s="1" t="s">
        <v>9052</v>
      </c>
      <c r="AB1375" s="1" t="s">
        <v>9053</v>
      </c>
      <c r="AC1375" s="1"/>
      <c r="AD1375" s="1"/>
      <c r="AE1375" s="1"/>
      <c r="AF1375" s="1"/>
      <c r="AG1375" s="1"/>
      <c r="AH1375" s="1"/>
      <c r="AI1375" s="1"/>
      <c r="AJ1375" s="1"/>
      <c r="AK1375" s="1"/>
      <c r="AL1375" s="1"/>
      <c r="AM1375" s="1"/>
      <c r="AN1375" s="1"/>
      <c r="AO1375" s="1" t="s">
        <v>9054</v>
      </c>
      <c r="AP1375" s="1" t="s">
        <v>9055</v>
      </c>
      <c r="AQ1375" s="1"/>
      <c r="AR1375" s="1"/>
      <c r="AS1375" s="1"/>
      <c r="AT1375" s="1" t="s">
        <v>9056</v>
      </c>
      <c r="AU1375" s="1">
        <v>2022</v>
      </c>
      <c r="AV1375" s="1">
        <v>30</v>
      </c>
      <c r="AW1375" s="1">
        <v>1</v>
      </c>
      <c r="AX1375" s="1"/>
      <c r="AY1375" s="1"/>
      <c r="AZ1375" s="1" t="s">
        <v>339</v>
      </c>
      <c r="BA1375" s="1"/>
      <c r="BB1375" s="1">
        <v>177</v>
      </c>
      <c r="BC1375" s="1">
        <v>184</v>
      </c>
      <c r="BD1375" s="1"/>
      <c r="BE1375" s="1" t="s">
        <v>9057</v>
      </c>
      <c r="BF1375" s="1" t="str">
        <f>HYPERLINK("http://dx.doi.org/10.1080/1536383X.2021.1960315","http://dx.doi.org/10.1080/1536383X.2021.1960315")</f>
        <v>http://dx.doi.org/10.1080/1536383X.2021.1960315</v>
      </c>
      <c r="BG1375" s="1"/>
      <c r="BH1375" s="1" t="s">
        <v>2893</v>
      </c>
      <c r="BI1375" s="1"/>
      <c r="BJ1375" s="1"/>
      <c r="BK1375" s="1"/>
      <c r="BL1375" s="1"/>
      <c r="BM1375" s="1"/>
      <c r="BN1375" s="1"/>
      <c r="BO1375" s="1"/>
      <c r="BP1375" s="1"/>
      <c r="BQ1375" s="1"/>
      <c r="BR1375" s="1"/>
      <c r="BS1375" s="1" t="s">
        <v>9058</v>
      </c>
      <c r="BT1375" s="1" t="str">
        <f>HYPERLINK("https%3A%2F%2Fwww.webofscience.com%2Fwos%2Fwoscc%2Ffull-record%2FWOS:000684132500001","View Full Record in Web of Science")</f>
        <v>View Full Record in Web of Science</v>
      </c>
      <c r="BU1375" s="1"/>
      <c r="BV1375" s="1"/>
      <c r="BW1375" s="1"/>
    </row>
    <row r="1376" spans="1:75" ht="12.75" customHeight="1" x14ac:dyDescent="0.2">
      <c r="A1376" s="1" t="s">
        <v>72</v>
      </c>
      <c r="B1376" s="1" t="s">
        <v>9059</v>
      </c>
      <c r="C1376" s="1"/>
      <c r="D1376" s="1"/>
      <c r="E1376" s="1"/>
      <c r="F1376" s="1" t="s">
        <v>9060</v>
      </c>
      <c r="G1376" s="1"/>
      <c r="H1376" s="1"/>
      <c r="I1376" s="1" t="s">
        <v>9061</v>
      </c>
      <c r="J1376" s="1" t="s">
        <v>9062</v>
      </c>
      <c r="K1376" s="1"/>
      <c r="L1376" s="1"/>
      <c r="M1376" s="1"/>
      <c r="N1376" s="1"/>
      <c r="O1376" s="1"/>
      <c r="P1376" s="1"/>
      <c r="Q1376" s="1"/>
      <c r="R1376" s="1"/>
      <c r="S1376" s="1"/>
      <c r="T1376" s="1"/>
      <c r="U1376" s="1"/>
      <c r="V1376" s="1"/>
      <c r="W1376" s="1"/>
      <c r="X1376" s="1"/>
      <c r="Y1376" s="1"/>
      <c r="Z1376" s="1"/>
      <c r="AA1376" s="1" t="s">
        <v>9063</v>
      </c>
      <c r="AB1376" s="1" t="s">
        <v>9064</v>
      </c>
      <c r="AC1376" s="1"/>
      <c r="AD1376" s="1"/>
      <c r="AE1376" s="1"/>
      <c r="AF1376" s="1"/>
      <c r="AG1376" s="1"/>
      <c r="AH1376" s="1"/>
      <c r="AI1376" s="1"/>
      <c r="AJ1376" s="1"/>
      <c r="AK1376" s="1"/>
      <c r="AL1376" s="1"/>
      <c r="AM1376" s="1"/>
      <c r="AN1376" s="1"/>
      <c r="AO1376" s="1"/>
      <c r="AP1376" s="1" t="s">
        <v>9065</v>
      </c>
      <c r="AQ1376" s="1"/>
      <c r="AR1376" s="1"/>
      <c r="AS1376" s="1"/>
      <c r="AT1376" s="1" t="s">
        <v>403</v>
      </c>
      <c r="AU1376" s="1">
        <v>2022</v>
      </c>
      <c r="AV1376" s="1">
        <v>12</v>
      </c>
      <c r="AW1376" s="1">
        <v>24</v>
      </c>
      <c r="AX1376" s="1"/>
      <c r="AY1376" s="1"/>
      <c r="AZ1376" s="1"/>
      <c r="BA1376" s="1"/>
      <c r="BB1376" s="1"/>
      <c r="BC1376" s="1"/>
      <c r="BD1376" s="1">
        <v>12681</v>
      </c>
      <c r="BE1376" s="1" t="s">
        <v>9066</v>
      </c>
      <c r="BF1376" s="1" t="str">
        <f>HYPERLINK("http://dx.doi.org/10.3390/app122412681","http://dx.doi.org/10.3390/app122412681")</f>
        <v>http://dx.doi.org/10.3390/app122412681</v>
      </c>
      <c r="BG1376" s="1"/>
      <c r="BH1376" s="1"/>
      <c r="BI1376" s="1"/>
      <c r="BJ1376" s="1"/>
      <c r="BK1376" s="1"/>
      <c r="BL1376" s="1"/>
      <c r="BM1376" s="1"/>
      <c r="BN1376" s="1"/>
      <c r="BO1376" s="1"/>
      <c r="BP1376" s="1"/>
      <c r="BQ1376" s="1"/>
      <c r="BR1376" s="1"/>
      <c r="BS1376" s="1" t="s">
        <v>9067</v>
      </c>
      <c r="BT1376" s="1" t="str">
        <f>HYPERLINK("https%3A%2F%2Fwww.webofscience.com%2Fwos%2Fwoscc%2Ffull-record%2FWOS:000902084800001","View Full Record in Web of Science")</f>
        <v>View Full Record in Web of Science</v>
      </c>
      <c r="BU1376" s="1"/>
      <c r="BV1376" s="1"/>
      <c r="BW1376" s="1"/>
    </row>
    <row r="1377" spans="1:75" ht="12.75" customHeight="1" x14ac:dyDescent="0.2">
      <c r="A1377" s="1" t="s">
        <v>147</v>
      </c>
      <c r="B1377" s="1" t="s">
        <v>9068</v>
      </c>
      <c r="C1377" s="1"/>
      <c r="D1377" s="1" t="s">
        <v>8210</v>
      </c>
      <c r="E1377" s="1"/>
      <c r="F1377" s="1" t="s">
        <v>9069</v>
      </c>
      <c r="G1377" s="1"/>
      <c r="H1377" s="1"/>
      <c r="I1377" s="1" t="s">
        <v>9070</v>
      </c>
      <c r="J1377" s="1" t="s">
        <v>8213</v>
      </c>
      <c r="K1377" s="1" t="s">
        <v>445</v>
      </c>
      <c r="L1377" s="1"/>
      <c r="M1377" s="1"/>
      <c r="N1377" s="1"/>
      <c r="O1377" s="1" t="s">
        <v>8214</v>
      </c>
      <c r="P1377" s="1" t="s">
        <v>8215</v>
      </c>
      <c r="Q1377" s="1" t="s">
        <v>8216</v>
      </c>
      <c r="R1377" s="1" t="s">
        <v>8217</v>
      </c>
      <c r="S1377" s="1"/>
      <c r="T1377" s="1"/>
      <c r="U1377" s="1"/>
      <c r="V1377" s="1"/>
      <c r="W1377" s="1"/>
      <c r="X1377" s="1"/>
      <c r="Y1377" s="1"/>
      <c r="Z1377" s="1"/>
      <c r="AA1377" s="1" t="s">
        <v>9071</v>
      </c>
      <c r="AB1377" s="1" t="s">
        <v>9072</v>
      </c>
      <c r="AC1377" s="1"/>
      <c r="AD1377" s="1"/>
      <c r="AE1377" s="1"/>
      <c r="AF1377" s="1"/>
      <c r="AG1377" s="1"/>
      <c r="AH1377" s="1"/>
      <c r="AI1377" s="1"/>
      <c r="AJ1377" s="1"/>
      <c r="AK1377" s="1"/>
      <c r="AL1377" s="1"/>
      <c r="AM1377" s="1"/>
      <c r="AN1377" s="1"/>
      <c r="AO1377" s="1" t="s">
        <v>450</v>
      </c>
      <c r="AP1377" s="1"/>
      <c r="AQ1377" s="1" t="s">
        <v>8220</v>
      </c>
      <c r="AR1377" s="1"/>
      <c r="AS1377" s="1"/>
      <c r="AT1377" s="1"/>
      <c r="AU1377" s="1">
        <v>2017</v>
      </c>
      <c r="AV1377" s="1"/>
      <c r="AW1377" s="1"/>
      <c r="AX1377" s="1"/>
      <c r="AY1377" s="1"/>
      <c r="AZ1377" s="1"/>
      <c r="BA1377" s="1"/>
      <c r="BB1377" s="1">
        <v>55</v>
      </c>
      <c r="BC1377" s="1">
        <v>63</v>
      </c>
      <c r="BD1377" s="1"/>
      <c r="BE1377" s="1" t="s">
        <v>9073</v>
      </c>
      <c r="BF1377" s="1" t="str">
        <f>HYPERLINK("http://dx.doi.org/10.1007/978-3-319-45462-7_7","http://dx.doi.org/10.1007/978-3-319-45462-7_7")</f>
        <v>http://dx.doi.org/10.1007/978-3-319-45462-7_7</v>
      </c>
      <c r="BG1377" s="1"/>
      <c r="BH1377" s="1"/>
      <c r="BI1377" s="1"/>
      <c r="BJ1377" s="1"/>
      <c r="BK1377" s="1"/>
      <c r="BL1377" s="1"/>
      <c r="BM1377" s="1"/>
      <c r="BN1377" s="1"/>
      <c r="BO1377" s="1"/>
      <c r="BP1377" s="1"/>
      <c r="BQ1377" s="1"/>
      <c r="BR1377" s="1"/>
      <c r="BS1377" s="1" t="s">
        <v>9074</v>
      </c>
      <c r="BT1377" s="1" t="str">
        <f>HYPERLINK("https%3A%2F%2Fwww.webofscience.com%2Fwos%2Fwoscc%2Ffull-record%2FWOS:000406973000007","View Full Record in Web of Science")</f>
        <v>View Full Record in Web of Science</v>
      </c>
      <c r="BU1377" s="1"/>
      <c r="BV1377" s="1"/>
      <c r="BW1377" s="1"/>
    </row>
    <row r="1378" spans="1:75" ht="12.75" customHeight="1" x14ac:dyDescent="0.2">
      <c r="A1378" s="1" t="s">
        <v>72</v>
      </c>
      <c r="B1378" s="1" t="s">
        <v>9075</v>
      </c>
      <c r="C1378" s="1"/>
      <c r="D1378" s="1"/>
      <c r="E1378" s="1"/>
      <c r="F1378" s="1" t="s">
        <v>9076</v>
      </c>
      <c r="G1378" s="1"/>
      <c r="H1378" s="1"/>
      <c r="I1378" s="1" t="s">
        <v>9077</v>
      </c>
      <c r="J1378" s="1" t="s">
        <v>8928</v>
      </c>
      <c r="K1378" s="1"/>
      <c r="L1378" s="1"/>
      <c r="M1378" s="1"/>
      <c r="N1378" s="1"/>
      <c r="O1378" s="1"/>
      <c r="P1378" s="1"/>
      <c r="Q1378" s="1"/>
      <c r="R1378" s="1"/>
      <c r="S1378" s="1"/>
      <c r="T1378" s="1"/>
      <c r="U1378" s="1"/>
      <c r="V1378" s="1"/>
      <c r="W1378" s="1"/>
      <c r="X1378" s="1"/>
      <c r="Y1378" s="1"/>
      <c r="Z1378" s="1"/>
      <c r="AA1378" s="1" t="s">
        <v>9078</v>
      </c>
      <c r="AB1378" s="1" t="s">
        <v>9079</v>
      </c>
      <c r="AC1378" s="1"/>
      <c r="AD1378" s="1"/>
      <c r="AE1378" s="1"/>
      <c r="AF1378" s="1"/>
      <c r="AG1378" s="1"/>
      <c r="AH1378" s="1"/>
      <c r="AI1378" s="1"/>
      <c r="AJ1378" s="1"/>
      <c r="AK1378" s="1"/>
      <c r="AL1378" s="1"/>
      <c r="AM1378" s="1"/>
      <c r="AN1378" s="1"/>
      <c r="AO1378" s="1" t="s">
        <v>8931</v>
      </c>
      <c r="AP1378" s="1"/>
      <c r="AQ1378" s="1"/>
      <c r="AR1378" s="1"/>
      <c r="AS1378" s="1"/>
      <c r="AT1378" s="1" t="s">
        <v>198</v>
      </c>
      <c r="AU1378" s="1">
        <v>2023</v>
      </c>
      <c r="AV1378" s="1">
        <v>13</v>
      </c>
      <c r="AW1378" s="1">
        <v>2</v>
      </c>
      <c r="AX1378" s="1"/>
      <c r="AY1378" s="1"/>
      <c r="AZ1378" s="1"/>
      <c r="BA1378" s="1"/>
      <c r="BB1378" s="1"/>
      <c r="BC1378" s="1"/>
      <c r="BD1378" s="1" t="s">
        <v>9080</v>
      </c>
      <c r="BE1378" s="1" t="s">
        <v>9081</v>
      </c>
      <c r="BF1378" s="1" t="str">
        <f>HYPERLINK("http://dx.doi.org/10.30935/ojcmt/13018","http://dx.doi.org/10.30935/ojcmt/13018")</f>
        <v>http://dx.doi.org/10.30935/ojcmt/13018</v>
      </c>
      <c r="BG1378" s="1"/>
      <c r="BH1378" s="1"/>
      <c r="BI1378" s="1"/>
      <c r="BJ1378" s="1"/>
      <c r="BK1378" s="1"/>
      <c r="BL1378" s="1"/>
      <c r="BM1378" s="1"/>
      <c r="BN1378" s="1"/>
      <c r="BO1378" s="1"/>
      <c r="BP1378" s="1"/>
      <c r="BQ1378" s="1"/>
      <c r="BR1378" s="1"/>
      <c r="BS1378" s="1" t="s">
        <v>9082</v>
      </c>
      <c r="BT1378" s="1" t="str">
        <f>HYPERLINK("https%3A%2F%2Fwww.webofscience.com%2Fwos%2Fwoscc%2Ffull-record%2FWOS:000944253000003","View Full Record in Web of Science")</f>
        <v>View Full Record in Web of Science</v>
      </c>
      <c r="BU1378" s="1"/>
      <c r="BV1378" s="1"/>
      <c r="BW1378" s="1"/>
    </row>
    <row r="1379" spans="1:75" ht="12.75" customHeight="1" x14ac:dyDescent="0.2">
      <c r="A1379" s="1" t="s">
        <v>72</v>
      </c>
      <c r="B1379" s="1" t="s">
        <v>9083</v>
      </c>
      <c r="C1379" s="1"/>
      <c r="D1379" s="1"/>
      <c r="E1379" s="1"/>
      <c r="F1379" s="1" t="s">
        <v>9084</v>
      </c>
      <c r="G1379" s="1"/>
      <c r="H1379" s="1"/>
      <c r="I1379" s="1" t="s">
        <v>9085</v>
      </c>
      <c r="J1379" s="1" t="s">
        <v>9086</v>
      </c>
      <c r="K1379" s="1"/>
      <c r="L1379" s="1"/>
      <c r="M1379" s="1"/>
      <c r="N1379" s="1"/>
      <c r="O1379" s="1"/>
      <c r="P1379" s="1"/>
      <c r="Q1379" s="1"/>
      <c r="R1379" s="1"/>
      <c r="S1379" s="1"/>
      <c r="T1379" s="1"/>
      <c r="U1379" s="1"/>
      <c r="V1379" s="1"/>
      <c r="W1379" s="1"/>
      <c r="X1379" s="1"/>
      <c r="Y1379" s="1"/>
      <c r="Z1379" s="1"/>
      <c r="AA1379" s="1" t="s">
        <v>9087</v>
      </c>
      <c r="AB1379" s="1" t="s">
        <v>9088</v>
      </c>
      <c r="AC1379" s="1"/>
      <c r="AD1379" s="1"/>
      <c r="AE1379" s="1"/>
      <c r="AF1379" s="1"/>
      <c r="AG1379" s="1"/>
      <c r="AH1379" s="1"/>
      <c r="AI1379" s="1"/>
      <c r="AJ1379" s="1"/>
      <c r="AK1379" s="1"/>
      <c r="AL1379" s="1"/>
      <c r="AM1379" s="1"/>
      <c r="AN1379" s="1"/>
      <c r="AO1379" s="1" t="s">
        <v>9089</v>
      </c>
      <c r="AP1379" s="1" t="s">
        <v>9090</v>
      </c>
      <c r="AQ1379" s="1"/>
      <c r="AR1379" s="1"/>
      <c r="AS1379" s="1"/>
      <c r="AT1379" s="1" t="s">
        <v>541</v>
      </c>
      <c r="AU1379" s="1">
        <v>2021</v>
      </c>
      <c r="AV1379" s="1">
        <v>14</v>
      </c>
      <c r="AW1379" s="1">
        <v>1</v>
      </c>
      <c r="AX1379" s="1"/>
      <c r="AY1379" s="1"/>
      <c r="AZ1379" s="1"/>
      <c r="BA1379" s="1"/>
      <c r="BB1379" s="1"/>
      <c r="BC1379" s="1"/>
      <c r="BD1379" s="1">
        <v>38</v>
      </c>
      <c r="BE1379" s="1" t="s">
        <v>9091</v>
      </c>
      <c r="BF1379" s="1" t="str">
        <f>HYPERLINK("http://dx.doi.org/10.3390/jrfm14010038","http://dx.doi.org/10.3390/jrfm14010038")</f>
        <v>http://dx.doi.org/10.3390/jrfm14010038</v>
      </c>
      <c r="BG1379" s="1"/>
      <c r="BH1379" s="1"/>
      <c r="BI1379" s="1"/>
      <c r="BJ1379" s="1"/>
      <c r="BK1379" s="1"/>
      <c r="BL1379" s="1"/>
      <c r="BM1379" s="1"/>
      <c r="BN1379" s="1"/>
      <c r="BO1379" s="1"/>
      <c r="BP1379" s="1"/>
      <c r="BQ1379" s="1"/>
      <c r="BR1379" s="1"/>
      <c r="BS1379" s="1" t="s">
        <v>9092</v>
      </c>
      <c r="BT1379" s="1" t="str">
        <f>HYPERLINK("https%3A%2F%2Fwww.webofscience.com%2Fwos%2Fwoscc%2Ffull-record%2FWOS:000610339500001","View Full Record in Web of Science")</f>
        <v>View Full Record in Web of Science</v>
      </c>
      <c r="BU1379" s="1"/>
      <c r="BV1379" s="1"/>
      <c r="BW1379" s="1"/>
    </row>
    <row r="1380" spans="1:75" ht="12.75" customHeight="1" x14ac:dyDescent="0.2">
      <c r="A1380" s="1" t="s">
        <v>72</v>
      </c>
      <c r="B1380" s="1" t="s">
        <v>9093</v>
      </c>
      <c r="C1380" s="1"/>
      <c r="D1380" s="1"/>
      <c r="E1380" s="1"/>
      <c r="F1380" s="1" t="s">
        <v>9094</v>
      </c>
      <c r="G1380" s="1"/>
      <c r="H1380" s="1"/>
      <c r="I1380" s="1" t="s">
        <v>9095</v>
      </c>
      <c r="J1380" s="1" t="s">
        <v>9096</v>
      </c>
      <c r="K1380" s="1"/>
      <c r="L1380" s="1"/>
      <c r="M1380" s="1"/>
      <c r="N1380" s="1"/>
      <c r="O1380" s="1"/>
      <c r="P1380" s="1"/>
      <c r="Q1380" s="1"/>
      <c r="R1380" s="1"/>
      <c r="S1380" s="1"/>
      <c r="T1380" s="1"/>
      <c r="U1380" s="1"/>
      <c r="V1380" s="1"/>
      <c r="W1380" s="1"/>
      <c r="X1380" s="1"/>
      <c r="Y1380" s="1"/>
      <c r="Z1380" s="1"/>
      <c r="AA1380" s="1" t="s">
        <v>9097</v>
      </c>
      <c r="AB1380" s="1" t="s">
        <v>9098</v>
      </c>
      <c r="AC1380" s="1"/>
      <c r="AD1380" s="1"/>
      <c r="AE1380" s="1"/>
      <c r="AF1380" s="1"/>
      <c r="AG1380" s="1"/>
      <c r="AH1380" s="1"/>
      <c r="AI1380" s="1"/>
      <c r="AJ1380" s="1"/>
      <c r="AK1380" s="1"/>
      <c r="AL1380" s="1"/>
      <c r="AM1380" s="1"/>
      <c r="AN1380" s="1"/>
      <c r="AO1380" s="1"/>
      <c r="AP1380" s="1" t="s">
        <v>9099</v>
      </c>
      <c r="AQ1380" s="1"/>
      <c r="AR1380" s="1"/>
      <c r="AS1380" s="1"/>
      <c r="AT1380" s="1" t="s">
        <v>403</v>
      </c>
      <c r="AU1380" s="1">
        <v>2020</v>
      </c>
      <c r="AV1380" s="1">
        <v>10</v>
      </c>
      <c r="AW1380" s="1">
        <v>12</v>
      </c>
      <c r="AX1380" s="1"/>
      <c r="AY1380" s="1"/>
      <c r="AZ1380" s="1"/>
      <c r="BA1380" s="1"/>
      <c r="BB1380" s="1"/>
      <c r="BC1380" s="1"/>
      <c r="BD1380" s="1">
        <v>1694</v>
      </c>
      <c r="BE1380" s="1" t="s">
        <v>9100</v>
      </c>
      <c r="BF1380" s="1" t="str">
        <f>HYPERLINK("http://dx.doi.org/10.3390/biom10121694","http://dx.doi.org/10.3390/biom10121694")</f>
        <v>http://dx.doi.org/10.3390/biom10121694</v>
      </c>
      <c r="BG1380" s="1"/>
      <c r="BH1380" s="1"/>
      <c r="BI1380" s="1"/>
      <c r="BJ1380" s="1"/>
      <c r="BK1380" s="1"/>
      <c r="BL1380" s="1"/>
      <c r="BM1380" s="1"/>
      <c r="BN1380" s="1">
        <v>33353123</v>
      </c>
      <c r="BO1380" s="1"/>
      <c r="BP1380" s="1"/>
      <c r="BQ1380" s="1"/>
      <c r="BR1380" s="1"/>
      <c r="BS1380" s="1" t="s">
        <v>9101</v>
      </c>
      <c r="BT1380" s="1" t="str">
        <f>HYPERLINK("https%3A%2F%2Fwww.webofscience.com%2Fwos%2Fwoscc%2Ffull-record%2FWOS:000601745400001","View Full Record in Web of Science")</f>
        <v>View Full Record in Web of Science</v>
      </c>
      <c r="BU1380" s="1"/>
      <c r="BV1380" s="1"/>
      <c r="BW1380" s="1"/>
    </row>
    <row r="1381" spans="1:75" ht="12.75" customHeight="1" x14ac:dyDescent="0.2">
      <c r="A1381" s="1" t="s">
        <v>72</v>
      </c>
      <c r="B1381" s="1" t="s">
        <v>9102</v>
      </c>
      <c r="C1381" s="1"/>
      <c r="D1381" s="1"/>
      <c r="E1381" s="1"/>
      <c r="F1381" s="1" t="s">
        <v>9103</v>
      </c>
      <c r="G1381" s="1"/>
      <c r="H1381" s="1"/>
      <c r="I1381" s="1" t="s">
        <v>9104</v>
      </c>
      <c r="J1381" s="1" t="s">
        <v>9105</v>
      </c>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c r="AJ1381" s="1"/>
      <c r="AK1381" s="1"/>
      <c r="AL1381" s="1"/>
      <c r="AM1381" s="1"/>
      <c r="AN1381" s="1"/>
      <c r="AO1381" s="1" t="s">
        <v>9106</v>
      </c>
      <c r="AP1381" s="1"/>
      <c r="AQ1381" s="1"/>
      <c r="AR1381" s="1"/>
      <c r="AS1381" s="1"/>
      <c r="AT1381" s="1" t="s">
        <v>1173</v>
      </c>
      <c r="AU1381" s="1">
        <v>2023</v>
      </c>
      <c r="AV1381" s="1">
        <v>18</v>
      </c>
      <c r="AW1381" s="1">
        <v>3</v>
      </c>
      <c r="AX1381" s="1"/>
      <c r="AY1381" s="1"/>
      <c r="AZ1381" s="1"/>
      <c r="BA1381" s="1"/>
      <c r="BB1381" s="1">
        <v>4492</v>
      </c>
      <c r="BC1381" s="1">
        <v>4509</v>
      </c>
      <c r="BD1381" s="1"/>
      <c r="BE1381" s="1" t="s">
        <v>9107</v>
      </c>
      <c r="BF1381" s="1" t="str">
        <f>HYPERLINK("http://dx.doi.org/10.15376/biores.18.3.4492-4509","http://dx.doi.org/10.15376/biores.18.3.4492-4509")</f>
        <v>http://dx.doi.org/10.15376/biores.18.3.4492-4509</v>
      </c>
      <c r="BG1381" s="1"/>
      <c r="BH1381" s="1"/>
      <c r="BI1381" s="1"/>
      <c r="BJ1381" s="1"/>
      <c r="BK1381" s="1"/>
      <c r="BL1381" s="1"/>
      <c r="BM1381" s="1"/>
      <c r="BN1381" s="1"/>
      <c r="BO1381" s="1"/>
      <c r="BP1381" s="1"/>
      <c r="BQ1381" s="1"/>
      <c r="BR1381" s="1"/>
      <c r="BS1381" s="1" t="s">
        <v>9108</v>
      </c>
      <c r="BT1381" s="1" t="str">
        <f>HYPERLINK("https%3A%2F%2Fwww.webofscience.com%2Fwos%2Fwoscc%2Ffull-record%2FWOS:000992191400015","View Full Record in Web of Science")</f>
        <v>View Full Record in Web of Science</v>
      </c>
      <c r="BU1381" s="1"/>
      <c r="BV1381" s="1"/>
      <c r="BW1381" s="1"/>
    </row>
    <row r="1382" spans="1:75" ht="12.75" customHeight="1" x14ac:dyDescent="0.2">
      <c r="A1382" s="1" t="s">
        <v>72</v>
      </c>
      <c r="B1382" s="1" t="s">
        <v>9109</v>
      </c>
      <c r="C1382" s="1"/>
      <c r="D1382" s="1"/>
      <c r="E1382" s="1"/>
      <c r="F1382" s="1" t="s">
        <v>9110</v>
      </c>
      <c r="G1382" s="1"/>
      <c r="H1382" s="1"/>
      <c r="I1382" s="1" t="s">
        <v>9111</v>
      </c>
      <c r="J1382" s="1" t="s">
        <v>9112</v>
      </c>
      <c r="K1382" s="1"/>
      <c r="L1382" s="1"/>
      <c r="M1382" s="1"/>
      <c r="N1382" s="1"/>
      <c r="O1382" s="1"/>
      <c r="P1382" s="1"/>
      <c r="Q1382" s="1"/>
      <c r="R1382" s="1"/>
      <c r="S1382" s="1"/>
      <c r="T1382" s="1"/>
      <c r="U1382" s="1"/>
      <c r="V1382" s="1"/>
      <c r="W1382" s="1"/>
      <c r="X1382" s="1"/>
      <c r="Y1382" s="1"/>
      <c r="Z1382" s="1"/>
      <c r="AA1382" s="1" t="s">
        <v>9113</v>
      </c>
      <c r="AB1382" s="1" t="s">
        <v>9114</v>
      </c>
      <c r="AC1382" s="1"/>
      <c r="AD1382" s="1"/>
      <c r="AE1382" s="1"/>
      <c r="AF1382" s="1"/>
      <c r="AG1382" s="1"/>
      <c r="AH1382" s="1"/>
      <c r="AI1382" s="1"/>
      <c r="AJ1382" s="1"/>
      <c r="AK1382" s="1"/>
      <c r="AL1382" s="1"/>
      <c r="AM1382" s="1"/>
      <c r="AN1382" s="1"/>
      <c r="AO1382" s="1" t="s">
        <v>9115</v>
      </c>
      <c r="AP1382" s="1"/>
      <c r="AQ1382" s="1"/>
      <c r="AR1382" s="1"/>
      <c r="AS1382" s="1"/>
      <c r="AT1382" s="1"/>
      <c r="AU1382" s="1">
        <v>2019</v>
      </c>
      <c r="AV1382" s="1">
        <v>28</v>
      </c>
      <c r="AW1382" s="1">
        <v>107</v>
      </c>
      <c r="AX1382" s="1"/>
      <c r="AY1382" s="1"/>
      <c r="AZ1382" s="1"/>
      <c r="BA1382" s="1"/>
      <c r="BB1382" s="1">
        <v>219</v>
      </c>
      <c r="BC1382" s="1">
        <v>227</v>
      </c>
      <c r="BD1382" s="1" t="s">
        <v>9116</v>
      </c>
      <c r="BE1382" s="1"/>
      <c r="BF1382" s="1"/>
      <c r="BG1382" s="1"/>
      <c r="BH1382" s="1"/>
      <c r="BI1382" s="1"/>
      <c r="BJ1382" s="1"/>
      <c r="BK1382" s="1"/>
      <c r="BL1382" s="1"/>
      <c r="BM1382" s="1"/>
      <c r="BN1382" s="1"/>
      <c r="BO1382" s="1"/>
      <c r="BP1382" s="1"/>
      <c r="BQ1382" s="1"/>
      <c r="BR1382" s="1"/>
      <c r="BS1382" s="1" t="s">
        <v>9117</v>
      </c>
      <c r="BT1382" s="1" t="str">
        <f>HYPERLINK("https%3A%2F%2Fwww.webofscience.com%2Fwos%2Fwoscc%2Ffull-record%2FWOS:000461678300026","View Full Record in Web of Science")</f>
        <v>View Full Record in Web of Science</v>
      </c>
      <c r="BU1382" s="1"/>
      <c r="BV1382" s="1"/>
      <c r="BW1382" s="1"/>
    </row>
    <row r="1383" spans="1:75" ht="12.75" customHeight="1" x14ac:dyDescent="0.2">
      <c r="A1383" s="1" t="s">
        <v>72</v>
      </c>
      <c r="B1383" s="1" t="s">
        <v>9118</v>
      </c>
      <c r="C1383" s="1"/>
      <c r="D1383" s="1"/>
      <c r="E1383" s="1"/>
      <c r="F1383" s="1" t="s">
        <v>9119</v>
      </c>
      <c r="G1383" s="1"/>
      <c r="H1383" s="1"/>
      <c r="I1383" s="1" t="s">
        <v>9120</v>
      </c>
      <c r="J1383" s="1" t="s">
        <v>8674</v>
      </c>
      <c r="K1383" s="1"/>
      <c r="L1383" s="1"/>
      <c r="M1383" s="1"/>
      <c r="N1383" s="1"/>
      <c r="O1383" s="1"/>
      <c r="P1383" s="1"/>
      <c r="Q1383" s="1"/>
      <c r="R1383" s="1"/>
      <c r="S1383" s="1"/>
      <c r="T1383" s="1"/>
      <c r="U1383" s="1"/>
      <c r="V1383" s="1"/>
      <c r="W1383" s="1"/>
      <c r="X1383" s="1"/>
      <c r="Y1383" s="1"/>
      <c r="Z1383" s="1"/>
      <c r="AA1383" s="1" t="s">
        <v>9121</v>
      </c>
      <c r="AB1383" s="1" t="s">
        <v>9122</v>
      </c>
      <c r="AC1383" s="1"/>
      <c r="AD1383" s="1"/>
      <c r="AE1383" s="1"/>
      <c r="AF1383" s="1"/>
      <c r="AG1383" s="1"/>
      <c r="AH1383" s="1"/>
      <c r="AI1383" s="1"/>
      <c r="AJ1383" s="1"/>
      <c r="AK1383" s="1"/>
      <c r="AL1383" s="1"/>
      <c r="AM1383" s="1"/>
      <c r="AN1383" s="1"/>
      <c r="AO1383" s="1" t="s">
        <v>8677</v>
      </c>
      <c r="AP1383" s="1" t="s">
        <v>8678</v>
      </c>
      <c r="AQ1383" s="1"/>
      <c r="AR1383" s="1"/>
      <c r="AS1383" s="1"/>
      <c r="AT1383" s="1" t="s">
        <v>88</v>
      </c>
      <c r="AU1383" s="1">
        <v>2021</v>
      </c>
      <c r="AV1383" s="1">
        <v>9</v>
      </c>
      <c r="AW1383" s="1"/>
      <c r="AX1383" s="1"/>
      <c r="AY1383" s="1"/>
      <c r="AZ1383" s="1" t="s">
        <v>339</v>
      </c>
      <c r="BA1383" s="1"/>
      <c r="BB1383" s="1"/>
      <c r="BC1383" s="1"/>
      <c r="BD1383" s="1" t="s">
        <v>9123</v>
      </c>
      <c r="BE1383" s="1" t="s">
        <v>9124</v>
      </c>
      <c r="BF1383" s="1" t="str">
        <f>HYPERLINK("http://dx.doi.org/10.20511/pyr2021.v9nSPE3.1133","http://dx.doi.org/10.20511/pyr2021.v9nSPE3.1133")</f>
        <v>http://dx.doi.org/10.20511/pyr2021.v9nSPE3.1133</v>
      </c>
      <c r="BG1383" s="1"/>
      <c r="BH1383" s="1"/>
      <c r="BI1383" s="1"/>
      <c r="BJ1383" s="1"/>
      <c r="BK1383" s="1"/>
      <c r="BL1383" s="1"/>
      <c r="BM1383" s="1"/>
      <c r="BN1383" s="1"/>
      <c r="BO1383" s="1"/>
      <c r="BP1383" s="1"/>
      <c r="BQ1383" s="1"/>
      <c r="BR1383" s="1"/>
      <c r="BS1383" s="1" t="s">
        <v>9125</v>
      </c>
      <c r="BT1383" s="1" t="str">
        <f>HYPERLINK("https%3A%2F%2Fwww.webofscience.com%2Fwos%2Fwoscc%2Ffull-record%2FWOS:000631706900069","View Full Record in Web of Science")</f>
        <v>View Full Record in Web of Science</v>
      </c>
      <c r="BU1383" s="1"/>
      <c r="BV1383" s="1"/>
      <c r="BW1383" s="1"/>
    </row>
    <row r="1384" spans="1:75" ht="12.75" customHeight="1" x14ac:dyDescent="0.2">
      <c r="A1384" s="1" t="s">
        <v>72</v>
      </c>
      <c r="B1384" s="1" t="s">
        <v>9126</v>
      </c>
      <c r="C1384" s="1"/>
      <c r="D1384" s="1"/>
      <c r="E1384" s="1"/>
      <c r="F1384" s="1" t="s">
        <v>9127</v>
      </c>
      <c r="G1384" s="1"/>
      <c r="H1384" s="1"/>
      <c r="I1384" s="1" t="s">
        <v>9128</v>
      </c>
      <c r="J1384" s="1" t="s">
        <v>3310</v>
      </c>
      <c r="K1384" s="1"/>
      <c r="L1384" s="1"/>
      <c r="M1384" s="1"/>
      <c r="N1384" s="1"/>
      <c r="O1384" s="1"/>
      <c r="P1384" s="1"/>
      <c r="Q1384" s="1"/>
      <c r="R1384" s="1"/>
      <c r="S1384" s="1"/>
      <c r="T1384" s="1"/>
      <c r="U1384" s="1"/>
      <c r="V1384" s="1"/>
      <c r="W1384" s="1"/>
      <c r="X1384" s="1"/>
      <c r="Y1384" s="1"/>
      <c r="Z1384" s="1"/>
      <c r="AA1384" s="1" t="s">
        <v>9129</v>
      </c>
      <c r="AB1384" s="1" t="s">
        <v>9130</v>
      </c>
      <c r="AC1384" s="1"/>
      <c r="AD1384" s="1"/>
      <c r="AE1384" s="1"/>
      <c r="AF1384" s="1"/>
      <c r="AG1384" s="1"/>
      <c r="AH1384" s="1"/>
      <c r="AI1384" s="1"/>
      <c r="AJ1384" s="1"/>
      <c r="AK1384" s="1"/>
      <c r="AL1384" s="1"/>
      <c r="AM1384" s="1"/>
      <c r="AN1384" s="1"/>
      <c r="AO1384" s="1" t="s">
        <v>3313</v>
      </c>
      <c r="AP1384" s="1"/>
      <c r="AQ1384" s="1"/>
      <c r="AR1384" s="1"/>
      <c r="AS1384" s="1"/>
      <c r="AT1384" s="1" t="s">
        <v>1012</v>
      </c>
      <c r="AU1384" s="1">
        <v>2018</v>
      </c>
      <c r="AV1384" s="1">
        <v>39</v>
      </c>
      <c r="AW1384" s="1">
        <v>5</v>
      </c>
      <c r="AX1384" s="1"/>
      <c r="AY1384" s="1"/>
      <c r="AZ1384" s="1"/>
      <c r="BA1384" s="1"/>
      <c r="BB1384" s="1">
        <v>87</v>
      </c>
      <c r="BC1384" s="1">
        <v>98</v>
      </c>
      <c r="BD1384" s="1"/>
      <c r="BE1384" s="1" t="s">
        <v>9131</v>
      </c>
      <c r="BF1384" s="1" t="str">
        <f>HYPERLINK("http://dx.doi.org/10.31857/S020595920000838-7","http://dx.doi.org/10.31857/S020595920000838-7")</f>
        <v>http://dx.doi.org/10.31857/S020595920000838-7</v>
      </c>
      <c r="BG1384" s="1"/>
      <c r="BH1384" s="1"/>
      <c r="BI1384" s="1"/>
      <c r="BJ1384" s="1"/>
      <c r="BK1384" s="1"/>
      <c r="BL1384" s="1"/>
      <c r="BM1384" s="1"/>
      <c r="BN1384" s="1"/>
      <c r="BO1384" s="1"/>
      <c r="BP1384" s="1"/>
      <c r="BQ1384" s="1"/>
      <c r="BR1384" s="1"/>
      <c r="BS1384" s="1" t="s">
        <v>9132</v>
      </c>
      <c r="BT1384" s="1" t="str">
        <f>HYPERLINK("https%3A%2F%2Fwww.webofscience.com%2Fwos%2Fwoscc%2Ffull-record%2FWOS:000453484800009","View Full Record in Web of Science")</f>
        <v>View Full Record in Web of Science</v>
      </c>
      <c r="BU1384" s="1"/>
      <c r="BV1384" s="1"/>
      <c r="BW1384" s="1"/>
    </row>
    <row r="1385" spans="1:75" ht="12.75" customHeight="1" x14ac:dyDescent="0.2">
      <c r="A1385" s="1" t="s">
        <v>72</v>
      </c>
      <c r="B1385" s="1" t="s">
        <v>9133</v>
      </c>
      <c r="C1385" s="1"/>
      <c r="D1385" s="1"/>
      <c r="E1385" s="1"/>
      <c r="F1385" s="1" t="s">
        <v>9134</v>
      </c>
      <c r="G1385" s="1"/>
      <c r="H1385" s="1"/>
      <c r="I1385" s="1" t="s">
        <v>9135</v>
      </c>
      <c r="J1385" s="1" t="s">
        <v>9136</v>
      </c>
      <c r="K1385" s="1"/>
      <c r="L1385" s="1"/>
      <c r="M1385" s="1"/>
      <c r="N1385" s="1"/>
      <c r="O1385" s="1"/>
      <c r="P1385" s="1"/>
      <c r="Q1385" s="1"/>
      <c r="R1385" s="1"/>
      <c r="S1385" s="1"/>
      <c r="T1385" s="1"/>
      <c r="U1385" s="1"/>
      <c r="V1385" s="1"/>
      <c r="W1385" s="1"/>
      <c r="X1385" s="1"/>
      <c r="Y1385" s="1"/>
      <c r="Z1385" s="1"/>
      <c r="AA1385" s="1" t="s">
        <v>9137</v>
      </c>
      <c r="AB1385" s="1" t="s">
        <v>9138</v>
      </c>
      <c r="AC1385" s="1"/>
      <c r="AD1385" s="1"/>
      <c r="AE1385" s="1"/>
      <c r="AF1385" s="1"/>
      <c r="AG1385" s="1"/>
      <c r="AH1385" s="1"/>
      <c r="AI1385" s="1"/>
      <c r="AJ1385" s="1"/>
      <c r="AK1385" s="1"/>
      <c r="AL1385" s="1"/>
      <c r="AM1385" s="1"/>
      <c r="AN1385" s="1"/>
      <c r="AO1385" s="1" t="s">
        <v>9139</v>
      </c>
      <c r="AP1385" s="1" t="s">
        <v>9140</v>
      </c>
      <c r="AQ1385" s="1"/>
      <c r="AR1385" s="1"/>
      <c r="AS1385" s="1"/>
      <c r="AT1385" s="1" t="s">
        <v>125</v>
      </c>
      <c r="AU1385" s="1">
        <v>2020</v>
      </c>
      <c r="AV1385" s="1">
        <v>28</v>
      </c>
      <c r="AW1385" s="1">
        <v>4</v>
      </c>
      <c r="AX1385" s="1"/>
      <c r="AY1385" s="1"/>
      <c r="AZ1385" s="1"/>
      <c r="BA1385" s="1"/>
      <c r="BB1385" s="1">
        <v>465</v>
      </c>
      <c r="BC1385" s="1">
        <v>472</v>
      </c>
      <c r="BD1385" s="1"/>
      <c r="BE1385" s="1" t="s">
        <v>9141</v>
      </c>
      <c r="BF1385" s="1" t="str">
        <f>HYPERLINK("http://dx.doi.org/10.1002/erv.2731","http://dx.doi.org/10.1002/erv.2731")</f>
        <v>http://dx.doi.org/10.1002/erv.2731</v>
      </c>
      <c r="BG1385" s="1"/>
      <c r="BH1385" s="1"/>
      <c r="BI1385" s="1"/>
      <c r="BJ1385" s="1"/>
      <c r="BK1385" s="1"/>
      <c r="BL1385" s="1"/>
      <c r="BM1385" s="1"/>
      <c r="BN1385" s="1">
        <v>32144879</v>
      </c>
      <c r="BO1385" s="1"/>
      <c r="BP1385" s="1"/>
      <c r="BQ1385" s="1"/>
      <c r="BR1385" s="1"/>
      <c r="BS1385" s="1" t="s">
        <v>9142</v>
      </c>
      <c r="BT1385" s="1" t="str">
        <f>HYPERLINK("https%3A%2F%2Fwww.webofscience.com%2Fwos%2Fwoscc%2Ffull-record%2FWOS:000541677300010","View Full Record in Web of Science")</f>
        <v>View Full Record in Web of Science</v>
      </c>
      <c r="BU1385" s="1"/>
      <c r="BV1385" s="1"/>
      <c r="BW1385" s="1"/>
    </row>
    <row r="1386" spans="1:75" ht="12.75" customHeight="1" x14ac:dyDescent="0.2">
      <c r="A1386" s="1" t="s">
        <v>72</v>
      </c>
      <c r="B1386" s="1" t="s">
        <v>9143</v>
      </c>
      <c r="C1386" s="1"/>
      <c r="D1386" s="1"/>
      <c r="E1386" s="1"/>
      <c r="F1386" s="1" t="s">
        <v>9144</v>
      </c>
      <c r="G1386" s="1"/>
      <c r="H1386" s="1"/>
      <c r="I1386" s="1" t="s">
        <v>9145</v>
      </c>
      <c r="J1386" s="1" t="s">
        <v>9136</v>
      </c>
      <c r="K1386" s="1"/>
      <c r="L1386" s="1"/>
      <c r="M1386" s="1"/>
      <c r="N1386" s="1"/>
      <c r="O1386" s="1"/>
      <c r="P1386" s="1"/>
      <c r="Q1386" s="1"/>
      <c r="R1386" s="1"/>
      <c r="S1386" s="1"/>
      <c r="T1386" s="1"/>
      <c r="U1386" s="1"/>
      <c r="V1386" s="1"/>
      <c r="W1386" s="1"/>
      <c r="X1386" s="1"/>
      <c r="Y1386" s="1"/>
      <c r="Z1386" s="1"/>
      <c r="AA1386" s="1" t="s">
        <v>9146</v>
      </c>
      <c r="AB1386" s="1" t="s">
        <v>9147</v>
      </c>
      <c r="AC1386" s="1"/>
      <c r="AD1386" s="1"/>
      <c r="AE1386" s="1"/>
      <c r="AF1386" s="1"/>
      <c r="AG1386" s="1"/>
      <c r="AH1386" s="1"/>
      <c r="AI1386" s="1"/>
      <c r="AJ1386" s="1"/>
      <c r="AK1386" s="1"/>
      <c r="AL1386" s="1"/>
      <c r="AM1386" s="1"/>
      <c r="AN1386" s="1"/>
      <c r="AO1386" s="1" t="s">
        <v>9139</v>
      </c>
      <c r="AP1386" s="1" t="s">
        <v>9140</v>
      </c>
      <c r="AQ1386" s="1"/>
      <c r="AR1386" s="1"/>
      <c r="AS1386" s="1"/>
      <c r="AT1386" s="1" t="s">
        <v>88</v>
      </c>
      <c r="AU1386" s="1">
        <v>2020</v>
      </c>
      <c r="AV1386" s="1">
        <v>28</v>
      </c>
      <c r="AW1386" s="1">
        <v>3</v>
      </c>
      <c r="AX1386" s="1"/>
      <c r="AY1386" s="1"/>
      <c r="AZ1386" s="1"/>
      <c r="BA1386" s="1"/>
      <c r="BB1386" s="1">
        <v>332</v>
      </c>
      <c r="BC1386" s="1">
        <v>342</v>
      </c>
      <c r="BD1386" s="1"/>
      <c r="BE1386" s="1" t="s">
        <v>9148</v>
      </c>
      <c r="BF1386" s="1" t="str">
        <f>HYPERLINK("http://dx.doi.org/10.1002/erv.2728","http://dx.doi.org/10.1002/erv.2728")</f>
        <v>http://dx.doi.org/10.1002/erv.2728</v>
      </c>
      <c r="BG1386" s="1"/>
      <c r="BH1386" s="1"/>
      <c r="BI1386" s="1"/>
      <c r="BJ1386" s="1"/>
      <c r="BK1386" s="1"/>
      <c r="BL1386" s="1"/>
      <c r="BM1386" s="1"/>
      <c r="BN1386" s="1">
        <v>32153116</v>
      </c>
      <c r="BO1386" s="1"/>
      <c r="BP1386" s="1"/>
      <c r="BQ1386" s="1"/>
      <c r="BR1386" s="1"/>
      <c r="BS1386" s="1" t="s">
        <v>9149</v>
      </c>
      <c r="BT1386" s="1" t="str">
        <f>HYPERLINK("https%3A%2F%2Fwww.webofscience.com%2Fwos%2Fwoscc%2Ffull-record%2FWOS:000529065200009","View Full Record in Web of Science")</f>
        <v>View Full Record in Web of Science</v>
      </c>
      <c r="BU1386" s="1"/>
      <c r="BV1386" s="1"/>
      <c r="BW1386" s="1"/>
    </row>
    <row r="1387" spans="1:75" ht="12.75" customHeight="1" x14ac:dyDescent="0.2">
      <c r="A1387" s="1" t="s">
        <v>231</v>
      </c>
      <c r="B1387" s="1" t="s">
        <v>9150</v>
      </c>
      <c r="C1387" s="1" t="s">
        <v>9151</v>
      </c>
      <c r="D1387" s="1"/>
      <c r="E1387" s="1"/>
      <c r="F1387" s="1" t="s">
        <v>9152</v>
      </c>
      <c r="G1387" s="1" t="s">
        <v>9151</v>
      </c>
      <c r="H1387" s="1"/>
      <c r="I1387" s="1" t="s">
        <v>9153</v>
      </c>
      <c r="J1387" s="1" t="s">
        <v>9154</v>
      </c>
      <c r="K1387" s="1"/>
      <c r="L1387" s="1"/>
      <c r="M1387" s="1"/>
      <c r="N1387" s="1"/>
      <c r="O1387" s="1"/>
      <c r="P1387" s="1"/>
      <c r="Q1387" s="1"/>
      <c r="R1387" s="1"/>
      <c r="S1387" s="1"/>
      <c r="T1387" s="1"/>
      <c r="U1387" s="1"/>
      <c r="V1387" s="1"/>
      <c r="W1387" s="1"/>
      <c r="X1387" s="1"/>
      <c r="Y1387" s="1"/>
      <c r="Z1387" s="1"/>
      <c r="AA1387" s="1" t="s">
        <v>9155</v>
      </c>
      <c r="AB1387" s="1" t="s">
        <v>9156</v>
      </c>
      <c r="AC1387" s="1"/>
      <c r="AD1387" s="1"/>
      <c r="AE1387" s="1"/>
      <c r="AF1387" s="1"/>
      <c r="AG1387" s="1"/>
      <c r="AH1387" s="1"/>
      <c r="AI1387" s="1"/>
      <c r="AJ1387" s="1"/>
      <c r="AK1387" s="1"/>
      <c r="AL1387" s="1"/>
      <c r="AM1387" s="1"/>
      <c r="AN1387" s="1"/>
      <c r="AO1387" s="1"/>
      <c r="AP1387" s="1"/>
      <c r="AQ1387" s="1" t="s">
        <v>9157</v>
      </c>
      <c r="AR1387" s="1"/>
      <c r="AS1387" s="1"/>
      <c r="AT1387" s="1"/>
      <c r="AU1387" s="1">
        <v>2019</v>
      </c>
      <c r="AV1387" s="1"/>
      <c r="AW1387" s="1"/>
      <c r="AX1387" s="1"/>
      <c r="AY1387" s="1"/>
      <c r="AZ1387" s="1"/>
      <c r="BA1387" s="1"/>
      <c r="BB1387" s="1">
        <v>195</v>
      </c>
      <c r="BC1387" s="1">
        <v>223</v>
      </c>
      <c r="BD1387" s="1"/>
      <c r="BE1387" s="1" t="s">
        <v>9158</v>
      </c>
      <c r="BF1387" s="1" t="str">
        <f>HYPERLINK("http://dx.doi.org/10.1108/978-1-78973-881-020191012","http://dx.doi.org/10.1108/978-1-78973-881-020191012")</f>
        <v>http://dx.doi.org/10.1108/978-1-78973-881-020191012</v>
      </c>
      <c r="BG1387" s="1" t="s">
        <v>9159</v>
      </c>
      <c r="BH1387" s="1"/>
      <c r="BI1387" s="1"/>
      <c r="BJ1387" s="1"/>
      <c r="BK1387" s="1"/>
      <c r="BL1387" s="1"/>
      <c r="BM1387" s="1"/>
      <c r="BN1387" s="1"/>
      <c r="BO1387" s="1"/>
      <c r="BP1387" s="1"/>
      <c r="BQ1387" s="1"/>
      <c r="BR1387" s="1"/>
      <c r="BS1387" s="1" t="s">
        <v>9160</v>
      </c>
      <c r="BT1387" s="1" t="str">
        <f>HYPERLINK("https%3A%2F%2Fwww.webofscience.com%2Fwos%2Fwoscc%2Ffull-record%2FWOS:000487529300011","View Full Record in Web of Science")</f>
        <v>View Full Record in Web of Science</v>
      </c>
      <c r="BU1387" s="1"/>
      <c r="BV1387" s="1"/>
      <c r="BW1387" s="1"/>
    </row>
    <row r="1388" spans="1:75" ht="12.75" customHeight="1" x14ac:dyDescent="0.2">
      <c r="A1388" s="1" t="s">
        <v>72</v>
      </c>
      <c r="B1388" s="1" t="s">
        <v>9161</v>
      </c>
      <c r="C1388" s="1"/>
      <c r="D1388" s="1"/>
      <c r="E1388" s="1"/>
      <c r="F1388" s="1" t="s">
        <v>9162</v>
      </c>
      <c r="G1388" s="1"/>
      <c r="H1388" s="1"/>
      <c r="I1388" s="1" t="s">
        <v>9163</v>
      </c>
      <c r="J1388" s="1" t="s">
        <v>8996</v>
      </c>
      <c r="K1388" s="1"/>
      <c r="L1388" s="1"/>
      <c r="M1388" s="1"/>
      <c r="N1388" s="1"/>
      <c r="O1388" s="1"/>
      <c r="P1388" s="1"/>
      <c r="Q1388" s="1"/>
      <c r="R1388" s="1"/>
      <c r="S1388" s="1"/>
      <c r="T1388" s="1"/>
      <c r="U1388" s="1"/>
      <c r="V1388" s="1"/>
      <c r="W1388" s="1"/>
      <c r="X1388" s="1"/>
      <c r="Y1388" s="1"/>
      <c r="Z1388" s="1"/>
      <c r="AA1388" s="1" t="s">
        <v>9164</v>
      </c>
      <c r="AB1388" s="1" t="s">
        <v>9165</v>
      </c>
      <c r="AC1388" s="1"/>
      <c r="AD1388" s="1"/>
      <c r="AE1388" s="1"/>
      <c r="AF1388" s="1"/>
      <c r="AG1388" s="1"/>
      <c r="AH1388" s="1"/>
      <c r="AI1388" s="1"/>
      <c r="AJ1388" s="1"/>
      <c r="AK1388" s="1"/>
      <c r="AL1388" s="1"/>
      <c r="AM1388" s="1"/>
      <c r="AN1388" s="1"/>
      <c r="AO1388" s="1" t="s">
        <v>8999</v>
      </c>
      <c r="AP1388" s="1" t="s">
        <v>9000</v>
      </c>
      <c r="AQ1388" s="1"/>
      <c r="AR1388" s="1"/>
      <c r="AS1388" s="1"/>
      <c r="AT1388" s="1" t="s">
        <v>1167</v>
      </c>
      <c r="AU1388" s="1">
        <v>2021</v>
      </c>
      <c r="AV1388" s="1">
        <v>26</v>
      </c>
      <c r="AW1388" s="1">
        <v>7</v>
      </c>
      <c r="AX1388" s="1"/>
      <c r="AY1388" s="1"/>
      <c r="AZ1388" s="1"/>
      <c r="BA1388" s="1"/>
      <c r="BB1388" s="1">
        <v>2333</v>
      </c>
      <c r="BC1388" s="1">
        <v>2343</v>
      </c>
      <c r="BD1388" s="1"/>
      <c r="BE1388" s="1" t="s">
        <v>9166</v>
      </c>
      <c r="BF1388" s="1" t="str">
        <f>HYPERLINK("http://dx.doi.org/10.1007/s40519-020-01064-6","http://dx.doi.org/10.1007/s40519-020-01064-6")</f>
        <v>http://dx.doi.org/10.1007/s40519-020-01064-6</v>
      </c>
      <c r="BG1388" s="1"/>
      <c r="BH1388" s="1" t="s">
        <v>9167</v>
      </c>
      <c r="BI1388" s="1"/>
      <c r="BJ1388" s="1"/>
      <c r="BK1388" s="1"/>
      <c r="BL1388" s="1"/>
      <c r="BM1388" s="1"/>
      <c r="BN1388" s="1">
        <v>33389716</v>
      </c>
      <c r="BO1388" s="1"/>
      <c r="BP1388" s="1"/>
      <c r="BQ1388" s="1"/>
      <c r="BR1388" s="1"/>
      <c r="BS1388" s="1" t="s">
        <v>9168</v>
      </c>
      <c r="BT1388" s="1" t="str">
        <f>HYPERLINK("https%3A%2F%2Fwww.webofscience.com%2Fwos%2Fwoscc%2Ffull-record%2FWOS:000604484700009","View Full Record in Web of Science")</f>
        <v>View Full Record in Web of Science</v>
      </c>
      <c r="BU1388" s="1"/>
      <c r="BV1388" s="1"/>
      <c r="BW1388" s="1"/>
    </row>
    <row r="1389" spans="1:75" ht="12.75" customHeight="1" x14ac:dyDescent="0.2">
      <c r="A1389" s="1" t="s">
        <v>72</v>
      </c>
      <c r="B1389" s="1" t="s">
        <v>9169</v>
      </c>
      <c r="C1389" s="1"/>
      <c r="D1389" s="1"/>
      <c r="E1389" s="1"/>
      <c r="F1389" s="1" t="s">
        <v>9170</v>
      </c>
      <c r="G1389" s="1"/>
      <c r="H1389" s="1"/>
      <c r="I1389" s="1" t="s">
        <v>9171</v>
      </c>
      <c r="J1389" s="1" t="s">
        <v>9172</v>
      </c>
      <c r="K1389" s="1"/>
      <c r="L1389" s="1"/>
      <c r="M1389" s="1"/>
      <c r="N1389" s="1"/>
      <c r="O1389" s="1"/>
      <c r="P1389" s="1"/>
      <c r="Q1389" s="1"/>
      <c r="R1389" s="1"/>
      <c r="S1389" s="1"/>
      <c r="T1389" s="1"/>
      <c r="U1389" s="1"/>
      <c r="V1389" s="1"/>
      <c r="W1389" s="1"/>
      <c r="X1389" s="1"/>
      <c r="Y1389" s="1"/>
      <c r="Z1389" s="1"/>
      <c r="AA1389" s="1" t="s">
        <v>9173</v>
      </c>
      <c r="AB1389" s="1" t="s">
        <v>9174</v>
      </c>
      <c r="AC1389" s="1"/>
      <c r="AD1389" s="1"/>
      <c r="AE1389" s="1"/>
      <c r="AF1389" s="1"/>
      <c r="AG1389" s="1"/>
      <c r="AH1389" s="1"/>
      <c r="AI1389" s="1"/>
      <c r="AJ1389" s="1"/>
      <c r="AK1389" s="1"/>
      <c r="AL1389" s="1"/>
      <c r="AM1389" s="1"/>
      <c r="AN1389" s="1"/>
      <c r="AO1389" s="1" t="s">
        <v>9175</v>
      </c>
      <c r="AP1389" s="1" t="s">
        <v>9176</v>
      </c>
      <c r="AQ1389" s="1"/>
      <c r="AR1389" s="1"/>
      <c r="AS1389" s="1"/>
      <c r="AT1389" s="1" t="s">
        <v>88</v>
      </c>
      <c r="AU1389" s="1">
        <v>2021</v>
      </c>
      <c r="AV1389" s="1">
        <v>42</v>
      </c>
      <c r="AW1389" s="1">
        <v>3</v>
      </c>
      <c r="AX1389" s="1"/>
      <c r="AY1389" s="1"/>
      <c r="AZ1389" s="1"/>
      <c r="BA1389" s="1"/>
      <c r="BB1389" s="1">
        <v>217</v>
      </c>
      <c r="BC1389" s="1">
        <v>224</v>
      </c>
      <c r="BD1389" s="1"/>
      <c r="BE1389" s="1" t="s">
        <v>9177</v>
      </c>
      <c r="BF1389" s="1" t="str">
        <f>HYPERLINK("http://dx.doi.org/10.3103/S1068366621030132","http://dx.doi.org/10.3103/S1068366621030132")</f>
        <v>http://dx.doi.org/10.3103/S1068366621030132</v>
      </c>
      <c r="BG1389" s="1"/>
      <c r="BH1389" s="1"/>
      <c r="BI1389" s="1"/>
      <c r="BJ1389" s="1"/>
      <c r="BK1389" s="1"/>
      <c r="BL1389" s="1"/>
      <c r="BM1389" s="1"/>
      <c r="BN1389" s="1"/>
      <c r="BO1389" s="1"/>
      <c r="BP1389" s="1"/>
      <c r="BQ1389" s="1"/>
      <c r="BR1389" s="1"/>
      <c r="BS1389" s="1" t="s">
        <v>9178</v>
      </c>
      <c r="BT1389" s="1" t="str">
        <f>HYPERLINK("https%3A%2F%2Fwww.webofscience.com%2Fwos%2Fwoscc%2Ffull-record%2FWOS:000712575600013","View Full Record in Web of Science")</f>
        <v>View Full Record in Web of Science</v>
      </c>
      <c r="BU1389" s="1"/>
      <c r="BV1389" s="1"/>
      <c r="BW1389" s="1"/>
    </row>
    <row r="1390" spans="1:75" ht="12.75" customHeight="1" x14ac:dyDescent="0.2">
      <c r="A1390" s="1" t="s">
        <v>72</v>
      </c>
      <c r="B1390" s="1" t="s">
        <v>9179</v>
      </c>
      <c r="C1390" s="1"/>
      <c r="D1390" s="1"/>
      <c r="E1390" s="1"/>
      <c r="F1390" s="1" t="s">
        <v>9180</v>
      </c>
      <c r="G1390" s="1"/>
      <c r="H1390" s="1"/>
      <c r="I1390" s="1" t="s">
        <v>9181</v>
      </c>
      <c r="J1390" s="1" t="s">
        <v>594</v>
      </c>
      <c r="K1390" s="1"/>
      <c r="L1390" s="1"/>
      <c r="M1390" s="1"/>
      <c r="N1390" s="1"/>
      <c r="O1390" s="1"/>
      <c r="P1390" s="1"/>
      <c r="Q1390" s="1"/>
      <c r="R1390" s="1"/>
      <c r="S1390" s="1"/>
      <c r="T1390" s="1"/>
      <c r="U1390" s="1"/>
      <c r="V1390" s="1"/>
      <c r="W1390" s="1"/>
      <c r="X1390" s="1"/>
      <c r="Y1390" s="1"/>
      <c r="Z1390" s="1"/>
      <c r="AA1390" s="1" t="s">
        <v>9182</v>
      </c>
      <c r="AB1390" s="1" t="s">
        <v>8930</v>
      </c>
      <c r="AC1390" s="1"/>
      <c r="AD1390" s="1"/>
      <c r="AE1390" s="1"/>
      <c r="AF1390" s="1"/>
      <c r="AG1390" s="1"/>
      <c r="AH1390" s="1"/>
      <c r="AI1390" s="1"/>
      <c r="AJ1390" s="1"/>
      <c r="AK1390" s="1"/>
      <c r="AL1390" s="1"/>
      <c r="AM1390" s="1"/>
      <c r="AN1390" s="1"/>
      <c r="AO1390" s="1" t="s">
        <v>597</v>
      </c>
      <c r="AP1390" s="1"/>
      <c r="AQ1390" s="1"/>
      <c r="AR1390" s="1"/>
      <c r="AS1390" s="1"/>
      <c r="AT1390" s="1" t="s">
        <v>88</v>
      </c>
      <c r="AU1390" s="1">
        <v>2018</v>
      </c>
      <c r="AV1390" s="1">
        <v>8</v>
      </c>
      <c r="AW1390" s="1">
        <v>5</v>
      </c>
      <c r="AX1390" s="1"/>
      <c r="AY1390" s="1"/>
      <c r="AZ1390" s="1"/>
      <c r="BA1390" s="1"/>
      <c r="BB1390" s="1">
        <v>380</v>
      </c>
      <c r="BC1390" s="1">
        <v>393</v>
      </c>
      <c r="BD1390" s="1"/>
      <c r="BE1390" s="1"/>
      <c r="BF1390" s="1"/>
      <c r="BG1390" s="1"/>
      <c r="BH1390" s="1"/>
      <c r="BI1390" s="1"/>
      <c r="BJ1390" s="1"/>
      <c r="BK1390" s="1"/>
      <c r="BL1390" s="1"/>
      <c r="BM1390" s="1"/>
      <c r="BN1390" s="1"/>
      <c r="BO1390" s="1"/>
      <c r="BP1390" s="1"/>
      <c r="BQ1390" s="1"/>
      <c r="BR1390" s="1"/>
      <c r="BS1390" s="1" t="s">
        <v>9183</v>
      </c>
      <c r="BT1390" s="1" t="str">
        <f>HYPERLINK("https%3A%2F%2Fwww.webofscience.com%2Fwos%2Fwoscc%2Ffull-record%2FWOS:000432679600026","View Full Record in Web of Science")</f>
        <v>View Full Record in Web of Science</v>
      </c>
      <c r="BU1390" s="1"/>
      <c r="BV1390" s="1"/>
      <c r="BW1390" s="1"/>
    </row>
    <row r="1391" spans="1:75" ht="12.75" customHeight="1" x14ac:dyDescent="0.2">
      <c r="A1391" s="1" t="s">
        <v>72</v>
      </c>
      <c r="B1391" s="1" t="s">
        <v>9184</v>
      </c>
      <c r="C1391" s="1"/>
      <c r="D1391" s="1"/>
      <c r="E1391" s="1"/>
      <c r="F1391" s="1" t="s">
        <v>9185</v>
      </c>
      <c r="G1391" s="1"/>
      <c r="H1391" s="1"/>
      <c r="I1391" s="1" t="s">
        <v>9186</v>
      </c>
      <c r="J1391" s="1" t="s">
        <v>9187</v>
      </c>
      <c r="K1391" s="1"/>
      <c r="L1391" s="1"/>
      <c r="M1391" s="1"/>
      <c r="N1391" s="1"/>
      <c r="O1391" s="1"/>
      <c r="P1391" s="1"/>
      <c r="Q1391" s="1"/>
      <c r="R1391" s="1"/>
      <c r="S1391" s="1"/>
      <c r="T1391" s="1"/>
      <c r="U1391" s="1"/>
      <c r="V1391" s="1"/>
      <c r="W1391" s="1"/>
      <c r="X1391" s="1"/>
      <c r="Y1391" s="1"/>
      <c r="Z1391" s="1"/>
      <c r="AA1391" s="1" t="s">
        <v>9188</v>
      </c>
      <c r="AB1391" s="1" t="s">
        <v>9064</v>
      </c>
      <c r="AC1391" s="1"/>
      <c r="AD1391" s="1"/>
      <c r="AE1391" s="1"/>
      <c r="AF1391" s="1"/>
      <c r="AG1391" s="1"/>
      <c r="AH1391" s="1"/>
      <c r="AI1391" s="1"/>
      <c r="AJ1391" s="1"/>
      <c r="AK1391" s="1"/>
      <c r="AL1391" s="1"/>
      <c r="AM1391" s="1"/>
      <c r="AN1391" s="1"/>
      <c r="AO1391" s="1"/>
      <c r="AP1391" s="1" t="s">
        <v>9189</v>
      </c>
      <c r="AQ1391" s="1"/>
      <c r="AR1391" s="1"/>
      <c r="AS1391" s="1"/>
      <c r="AT1391" s="1" t="s">
        <v>1173</v>
      </c>
      <c r="AU1391" s="1">
        <v>2022</v>
      </c>
      <c r="AV1391" s="1">
        <v>27</v>
      </c>
      <c r="AW1391" s="1">
        <v>15</v>
      </c>
      <c r="AX1391" s="1"/>
      <c r="AY1391" s="1"/>
      <c r="AZ1391" s="1"/>
      <c r="BA1391" s="1"/>
      <c r="BB1391" s="1"/>
      <c r="BC1391" s="1"/>
      <c r="BD1391" s="1">
        <v>4812</v>
      </c>
      <c r="BE1391" s="1" t="s">
        <v>9190</v>
      </c>
      <c r="BF1391" s="1" t="str">
        <f>HYPERLINK("http://dx.doi.org/10.3390/molecules27154812","http://dx.doi.org/10.3390/molecules27154812")</f>
        <v>http://dx.doi.org/10.3390/molecules27154812</v>
      </c>
      <c r="BG1391" s="1"/>
      <c r="BH1391" s="1"/>
      <c r="BI1391" s="1"/>
      <c r="BJ1391" s="1"/>
      <c r="BK1391" s="1"/>
      <c r="BL1391" s="1"/>
      <c r="BM1391" s="1"/>
      <c r="BN1391" s="1">
        <v>35956763</v>
      </c>
      <c r="BO1391" s="1"/>
      <c r="BP1391" s="1"/>
      <c r="BQ1391" s="1"/>
      <c r="BR1391" s="1"/>
      <c r="BS1391" s="1" t="s">
        <v>9191</v>
      </c>
      <c r="BT1391" s="1" t="str">
        <f>HYPERLINK("https%3A%2F%2Fwww.webofscience.com%2Fwos%2Fwoscc%2Ffull-record%2FWOS:000839796000001","View Full Record in Web of Science")</f>
        <v>View Full Record in Web of Science</v>
      </c>
      <c r="BU1391" s="1"/>
      <c r="BV1391" s="1"/>
      <c r="BW1391" s="1"/>
    </row>
    <row r="1392" spans="1:75" ht="12.75" customHeight="1" x14ac:dyDescent="0.2">
      <c r="A1392" s="1" t="s">
        <v>72</v>
      </c>
      <c r="B1392" s="1" t="s">
        <v>9192</v>
      </c>
      <c r="C1392" s="1"/>
      <c r="D1392" s="1"/>
      <c r="E1392" s="1"/>
      <c r="F1392" s="1" t="s">
        <v>9193</v>
      </c>
      <c r="G1392" s="1"/>
      <c r="H1392" s="1"/>
      <c r="I1392" s="1" t="s">
        <v>9194</v>
      </c>
      <c r="J1392" s="1" t="s">
        <v>9195</v>
      </c>
      <c r="K1392" s="1"/>
      <c r="L1392" s="1"/>
      <c r="M1392" s="1"/>
      <c r="N1392" s="1"/>
      <c r="O1392" s="1"/>
      <c r="P1392" s="1"/>
      <c r="Q1392" s="1"/>
      <c r="R1392" s="1"/>
      <c r="S1392" s="1"/>
      <c r="T1392" s="1"/>
      <c r="U1392" s="1"/>
      <c r="V1392" s="1"/>
      <c r="W1392" s="1"/>
      <c r="X1392" s="1"/>
      <c r="Y1392" s="1"/>
      <c r="Z1392" s="1"/>
      <c r="AA1392" s="1" t="s">
        <v>9196</v>
      </c>
      <c r="AB1392" s="1" t="s">
        <v>9197</v>
      </c>
      <c r="AC1392" s="1"/>
      <c r="AD1392" s="1"/>
      <c r="AE1392" s="1"/>
      <c r="AF1392" s="1"/>
      <c r="AG1392" s="1"/>
      <c r="AH1392" s="1"/>
      <c r="AI1392" s="1"/>
      <c r="AJ1392" s="1"/>
      <c r="AK1392" s="1"/>
      <c r="AL1392" s="1"/>
      <c r="AM1392" s="1"/>
      <c r="AN1392" s="1"/>
      <c r="AO1392" s="1" t="s">
        <v>9198</v>
      </c>
      <c r="AP1392" s="1" t="s">
        <v>9199</v>
      </c>
      <c r="AQ1392" s="1"/>
      <c r="AR1392" s="1"/>
      <c r="AS1392" s="1"/>
      <c r="AT1392" s="1" t="s">
        <v>171</v>
      </c>
      <c r="AU1392" s="1">
        <v>2018</v>
      </c>
      <c r="AV1392" s="1">
        <v>13</v>
      </c>
      <c r="AW1392" s="1" t="s">
        <v>1639</v>
      </c>
      <c r="AX1392" s="1"/>
      <c r="AY1392" s="1"/>
      <c r="AZ1392" s="1"/>
      <c r="BA1392" s="1"/>
      <c r="BB1392" s="1">
        <v>195</v>
      </c>
      <c r="BC1392" s="1">
        <v>198</v>
      </c>
      <c r="BD1392" s="1"/>
      <c r="BE1392" s="1" t="s">
        <v>9200</v>
      </c>
      <c r="BF1392" s="1" t="str">
        <f>HYPERLINK("http://dx.doi.org/10.1134/S1995078018020040","http://dx.doi.org/10.1134/S1995078018020040")</f>
        <v>http://dx.doi.org/10.1134/S1995078018020040</v>
      </c>
      <c r="BG1392" s="1"/>
      <c r="BH1392" s="1"/>
      <c r="BI1392" s="1"/>
      <c r="BJ1392" s="1"/>
      <c r="BK1392" s="1"/>
      <c r="BL1392" s="1"/>
      <c r="BM1392" s="1"/>
      <c r="BN1392" s="1"/>
      <c r="BO1392" s="1"/>
      <c r="BP1392" s="1"/>
      <c r="BQ1392" s="1"/>
      <c r="BR1392" s="1"/>
      <c r="BS1392" s="1" t="s">
        <v>9201</v>
      </c>
      <c r="BT1392" s="1" t="str">
        <f>HYPERLINK("https%3A%2F%2Fwww.webofscience.com%2Fwos%2Fwoscc%2Ffull-record%2FWOS:000446030400015","View Full Record in Web of Science")</f>
        <v>View Full Record in Web of Science</v>
      </c>
      <c r="BU1392" s="1"/>
      <c r="BV1392" s="1"/>
      <c r="BW1392" s="1"/>
    </row>
    <row r="1393" spans="1:75" ht="12.75" customHeight="1" x14ac:dyDescent="0.2">
      <c r="A1393" s="1" t="s">
        <v>72</v>
      </c>
      <c r="B1393" s="1" t="s">
        <v>9202</v>
      </c>
      <c r="C1393" s="1"/>
      <c r="D1393" s="1"/>
      <c r="E1393" s="1"/>
      <c r="F1393" s="1" t="s">
        <v>9203</v>
      </c>
      <c r="G1393" s="1"/>
      <c r="H1393" s="1"/>
      <c r="I1393" s="1" t="s">
        <v>9204</v>
      </c>
      <c r="J1393" s="1" t="s">
        <v>8811</v>
      </c>
      <c r="K1393" s="1"/>
      <c r="L1393" s="1"/>
      <c r="M1393" s="1"/>
      <c r="N1393" s="1"/>
      <c r="O1393" s="1"/>
      <c r="P1393" s="1"/>
      <c r="Q1393" s="1"/>
      <c r="R1393" s="1"/>
      <c r="S1393" s="1"/>
      <c r="T1393" s="1"/>
      <c r="U1393" s="1"/>
      <c r="V1393" s="1"/>
      <c r="W1393" s="1"/>
      <c r="X1393" s="1"/>
      <c r="Y1393" s="1"/>
      <c r="Z1393" s="1"/>
      <c r="AA1393" s="1" t="s">
        <v>9205</v>
      </c>
      <c r="AB1393" s="1" t="s">
        <v>9206</v>
      </c>
      <c r="AC1393" s="1"/>
      <c r="AD1393" s="1"/>
      <c r="AE1393" s="1"/>
      <c r="AF1393" s="1"/>
      <c r="AG1393" s="1"/>
      <c r="AH1393" s="1"/>
      <c r="AI1393" s="1"/>
      <c r="AJ1393" s="1"/>
      <c r="AK1393" s="1"/>
      <c r="AL1393" s="1"/>
      <c r="AM1393" s="1"/>
      <c r="AN1393" s="1"/>
      <c r="AO1393" s="1" t="s">
        <v>8814</v>
      </c>
      <c r="AP1393" s="1" t="s">
        <v>8815</v>
      </c>
      <c r="AQ1393" s="1"/>
      <c r="AR1393" s="1"/>
      <c r="AS1393" s="1"/>
      <c r="AT1393" s="1" t="s">
        <v>7245</v>
      </c>
      <c r="AU1393" s="1">
        <v>2022</v>
      </c>
      <c r="AV1393" s="1">
        <v>48</v>
      </c>
      <c r="AW1393" s="1">
        <v>23</v>
      </c>
      <c r="AX1393" s="1" t="s">
        <v>9207</v>
      </c>
      <c r="AY1393" s="1"/>
      <c r="AZ1393" s="1"/>
      <c r="BA1393" s="1"/>
      <c r="BB1393" s="1">
        <v>35166</v>
      </c>
      <c r="BC1393" s="1">
        <v>35175</v>
      </c>
      <c r="BD1393" s="1"/>
      <c r="BE1393" s="1" t="s">
        <v>9208</v>
      </c>
      <c r="BF1393" s="1" t="str">
        <f>HYPERLINK("http://dx.doi.org/10.1016/j.ceramint.2022.08.115","http://dx.doi.org/10.1016/j.ceramint.2022.08.115")</f>
        <v>http://dx.doi.org/10.1016/j.ceramint.2022.08.115</v>
      </c>
      <c r="BG1393" s="1"/>
      <c r="BH1393" s="1" t="s">
        <v>7518</v>
      </c>
      <c r="BI1393" s="1"/>
      <c r="BJ1393" s="1"/>
      <c r="BK1393" s="1"/>
      <c r="BL1393" s="1"/>
      <c r="BM1393" s="1"/>
      <c r="BN1393" s="1"/>
      <c r="BO1393" s="1"/>
      <c r="BP1393" s="1"/>
      <c r="BQ1393" s="1"/>
      <c r="BR1393" s="1"/>
      <c r="BS1393" s="1" t="s">
        <v>9209</v>
      </c>
      <c r="BT1393" s="1" t="str">
        <f>HYPERLINK("https%3A%2F%2Fwww.webofscience.com%2Fwos%2Fwoscc%2Ffull-record%2FWOS:000894019500001","View Full Record in Web of Science")</f>
        <v>View Full Record in Web of Science</v>
      </c>
      <c r="BU1393" s="1"/>
      <c r="BV1393" s="1"/>
      <c r="BW1393" s="1"/>
    </row>
    <row r="1394" spans="1:75" ht="12.75" customHeight="1" x14ac:dyDescent="0.2">
      <c r="A1394" s="1" t="s">
        <v>72</v>
      </c>
      <c r="B1394" s="1" t="s">
        <v>9210</v>
      </c>
      <c r="C1394" s="1"/>
      <c r="D1394" s="1"/>
      <c r="E1394" s="1"/>
      <c r="F1394" s="1" t="s">
        <v>9211</v>
      </c>
      <c r="G1394" s="1"/>
      <c r="H1394" s="1"/>
      <c r="I1394" s="1" t="s">
        <v>9212</v>
      </c>
      <c r="J1394" s="1" t="s">
        <v>9105</v>
      </c>
      <c r="K1394" s="1"/>
      <c r="L1394" s="1"/>
      <c r="M1394" s="1"/>
      <c r="N1394" s="1"/>
      <c r="O1394" s="1"/>
      <c r="P1394" s="1"/>
      <c r="Q1394" s="1"/>
      <c r="R1394" s="1"/>
      <c r="S1394" s="1"/>
      <c r="T1394" s="1"/>
      <c r="U1394" s="1"/>
      <c r="V1394" s="1"/>
      <c r="W1394" s="1"/>
      <c r="X1394" s="1"/>
      <c r="Y1394" s="1"/>
      <c r="Z1394" s="1"/>
      <c r="AA1394" s="1" t="s">
        <v>9213</v>
      </c>
      <c r="AB1394" s="1" t="s">
        <v>9214</v>
      </c>
      <c r="AC1394" s="1"/>
      <c r="AD1394" s="1"/>
      <c r="AE1394" s="1"/>
      <c r="AF1394" s="1"/>
      <c r="AG1394" s="1"/>
      <c r="AH1394" s="1"/>
      <c r="AI1394" s="1"/>
      <c r="AJ1394" s="1"/>
      <c r="AK1394" s="1"/>
      <c r="AL1394" s="1"/>
      <c r="AM1394" s="1"/>
      <c r="AN1394" s="1"/>
      <c r="AO1394" s="1" t="s">
        <v>9106</v>
      </c>
      <c r="AP1394" s="1"/>
      <c r="AQ1394" s="1"/>
      <c r="AR1394" s="1"/>
      <c r="AS1394" s="1"/>
      <c r="AT1394" s="1" t="s">
        <v>88</v>
      </c>
      <c r="AU1394" s="1">
        <v>2022</v>
      </c>
      <c r="AV1394" s="1">
        <v>17</v>
      </c>
      <c r="AW1394" s="1">
        <v>2</v>
      </c>
      <c r="AX1394" s="1"/>
      <c r="AY1394" s="1"/>
      <c r="AZ1394" s="1"/>
      <c r="BA1394" s="1"/>
      <c r="BB1394" s="1">
        <v>3025</v>
      </c>
      <c r="BC1394" s="1">
        <v>3041</v>
      </c>
      <c r="BD1394" s="1"/>
      <c r="BE1394" s="1" t="s">
        <v>9215</v>
      </c>
      <c r="BF1394" s="1" t="str">
        <f>HYPERLINK("http://dx.doi.org/10.15376/biores.17.2.3025-3041","http://dx.doi.org/10.15376/biores.17.2.3025-3041")</f>
        <v>http://dx.doi.org/10.15376/biores.17.2.3025-3041</v>
      </c>
      <c r="BG1394" s="1"/>
      <c r="BH1394" s="1"/>
      <c r="BI1394" s="1"/>
      <c r="BJ1394" s="1"/>
      <c r="BK1394" s="1"/>
      <c r="BL1394" s="1"/>
      <c r="BM1394" s="1"/>
      <c r="BN1394" s="1"/>
      <c r="BO1394" s="1"/>
      <c r="BP1394" s="1"/>
      <c r="BQ1394" s="1"/>
      <c r="BR1394" s="1"/>
      <c r="BS1394" s="1" t="s">
        <v>9216</v>
      </c>
      <c r="BT1394" s="1" t="str">
        <f>HYPERLINK("https%3A%2F%2Fwww.webofscience.com%2Fwos%2Fwoscc%2Ffull-record%2FWOS:000795947000024","View Full Record in Web of Science")</f>
        <v>View Full Record in Web of Science</v>
      </c>
      <c r="BU1394" s="1"/>
      <c r="BV1394" s="1"/>
      <c r="BW1394" s="1"/>
    </row>
    <row r="1395" spans="1:75" ht="12.75" customHeight="1" x14ac:dyDescent="0.2">
      <c r="A1395" s="1" t="s">
        <v>72</v>
      </c>
      <c r="B1395" s="1" t="s">
        <v>9217</v>
      </c>
      <c r="C1395" s="1"/>
      <c r="D1395" s="1"/>
      <c r="E1395" s="1"/>
      <c r="F1395" s="1" t="s">
        <v>9218</v>
      </c>
      <c r="G1395" s="1"/>
      <c r="H1395" s="1"/>
      <c r="I1395" s="1" t="s">
        <v>9219</v>
      </c>
      <c r="J1395" s="1" t="s">
        <v>594</v>
      </c>
      <c r="K1395" s="1"/>
      <c r="L1395" s="1"/>
      <c r="M1395" s="1"/>
      <c r="N1395" s="1"/>
      <c r="O1395" s="1"/>
      <c r="P1395" s="1"/>
      <c r="Q1395" s="1"/>
      <c r="R1395" s="1"/>
      <c r="S1395" s="1"/>
      <c r="T1395" s="1"/>
      <c r="U1395" s="1"/>
      <c r="V1395" s="1"/>
      <c r="W1395" s="1"/>
      <c r="X1395" s="1"/>
      <c r="Y1395" s="1"/>
      <c r="Z1395" s="1"/>
      <c r="AA1395" s="1" t="s">
        <v>9220</v>
      </c>
      <c r="AB1395" s="1"/>
      <c r="AC1395" s="1"/>
      <c r="AD1395" s="1"/>
      <c r="AE1395" s="1"/>
      <c r="AF1395" s="1"/>
      <c r="AG1395" s="1"/>
      <c r="AH1395" s="1"/>
      <c r="AI1395" s="1"/>
      <c r="AJ1395" s="1"/>
      <c r="AK1395" s="1"/>
      <c r="AL1395" s="1"/>
      <c r="AM1395" s="1"/>
      <c r="AN1395" s="1"/>
      <c r="AO1395" s="1"/>
      <c r="AP1395" s="1" t="s">
        <v>597</v>
      </c>
      <c r="AQ1395" s="1"/>
      <c r="AR1395" s="1"/>
      <c r="AS1395" s="1"/>
      <c r="AT1395" s="1" t="s">
        <v>491</v>
      </c>
      <c r="AU1395" s="1">
        <v>2018</v>
      </c>
      <c r="AV1395" s="1">
        <v>8</v>
      </c>
      <c r="AW1395" s="1">
        <v>6</v>
      </c>
      <c r="AX1395" s="1"/>
      <c r="AY1395" s="1"/>
      <c r="AZ1395" s="1"/>
      <c r="BA1395" s="1"/>
      <c r="BB1395" s="1">
        <v>383</v>
      </c>
      <c r="BC1395" s="1">
        <v>394</v>
      </c>
      <c r="BD1395" s="1"/>
      <c r="BE1395" s="1"/>
      <c r="BF1395" s="1"/>
      <c r="BG1395" s="1"/>
      <c r="BH1395" s="1"/>
      <c r="BI1395" s="1"/>
      <c r="BJ1395" s="1"/>
      <c r="BK1395" s="1"/>
      <c r="BL1395" s="1"/>
      <c r="BM1395" s="1"/>
      <c r="BN1395" s="1"/>
      <c r="BO1395" s="1"/>
      <c r="BP1395" s="1"/>
      <c r="BQ1395" s="1"/>
      <c r="BR1395" s="1"/>
      <c r="BS1395" s="1" t="s">
        <v>9221</v>
      </c>
      <c r="BT1395" s="1" t="str">
        <f>HYPERLINK("https%3A%2F%2Fwww.webofscience.com%2Fwos%2Fwoscc%2Ffull-record%2FWOS:000443674500040","View Full Record in Web of Science")</f>
        <v>View Full Record in Web of Science</v>
      </c>
      <c r="BU1395" s="1"/>
      <c r="BV1395" s="1"/>
      <c r="BW1395" s="1"/>
    </row>
    <row r="1396" spans="1:75" ht="12.75" customHeight="1" x14ac:dyDescent="0.2">
      <c r="A1396" s="1" t="s">
        <v>72</v>
      </c>
      <c r="B1396" s="1" t="s">
        <v>9222</v>
      </c>
      <c r="C1396" s="1"/>
      <c r="D1396" s="1"/>
      <c r="E1396" s="1"/>
      <c r="F1396" s="1" t="s">
        <v>9223</v>
      </c>
      <c r="G1396" s="1"/>
      <c r="H1396" s="1"/>
      <c r="I1396" s="1" t="s">
        <v>9224</v>
      </c>
      <c r="J1396" s="1" t="s">
        <v>5139</v>
      </c>
      <c r="K1396" s="1"/>
      <c r="L1396" s="1"/>
      <c r="M1396" s="1"/>
      <c r="N1396" s="1"/>
      <c r="O1396" s="1"/>
      <c r="P1396" s="1"/>
      <c r="Q1396" s="1"/>
      <c r="R1396" s="1"/>
      <c r="S1396" s="1"/>
      <c r="T1396" s="1"/>
      <c r="U1396" s="1"/>
      <c r="V1396" s="1"/>
      <c r="W1396" s="1"/>
      <c r="X1396" s="1"/>
      <c r="Y1396" s="1"/>
      <c r="Z1396" s="1"/>
      <c r="AA1396" s="1" t="s">
        <v>9225</v>
      </c>
      <c r="AB1396" s="1" t="s">
        <v>9226</v>
      </c>
      <c r="AC1396" s="1"/>
      <c r="AD1396" s="1"/>
      <c r="AE1396" s="1"/>
      <c r="AF1396" s="1"/>
      <c r="AG1396" s="1"/>
      <c r="AH1396" s="1"/>
      <c r="AI1396" s="1"/>
      <c r="AJ1396" s="1"/>
      <c r="AK1396" s="1"/>
      <c r="AL1396" s="1"/>
      <c r="AM1396" s="1"/>
      <c r="AN1396" s="1"/>
      <c r="AO1396" s="1" t="s">
        <v>5142</v>
      </c>
      <c r="AP1396" s="1" t="s">
        <v>5143</v>
      </c>
      <c r="AQ1396" s="1"/>
      <c r="AR1396" s="1"/>
      <c r="AS1396" s="1"/>
      <c r="AT1396" s="1" t="s">
        <v>1173</v>
      </c>
      <c r="AU1396" s="1">
        <v>2017</v>
      </c>
      <c r="AV1396" s="1">
        <v>13</v>
      </c>
      <c r="AW1396" s="1">
        <v>8</v>
      </c>
      <c r="AX1396" s="1"/>
      <c r="AY1396" s="1"/>
      <c r="AZ1396" s="1"/>
      <c r="BA1396" s="1"/>
      <c r="BB1396" s="1">
        <v>5281</v>
      </c>
      <c r="BC1396" s="1">
        <v>5293</v>
      </c>
      <c r="BD1396" s="1"/>
      <c r="BE1396" s="1" t="s">
        <v>9227</v>
      </c>
      <c r="BF1396" s="1" t="str">
        <f>HYPERLINK("http://dx.doi.org/10.12973/eurasia.2017.01003a","http://dx.doi.org/10.12973/eurasia.2017.01003a")</f>
        <v>http://dx.doi.org/10.12973/eurasia.2017.01003a</v>
      </c>
      <c r="BG1396" s="1"/>
      <c r="BH1396" s="1"/>
      <c r="BI1396" s="1"/>
      <c r="BJ1396" s="1"/>
      <c r="BK1396" s="1"/>
      <c r="BL1396" s="1"/>
      <c r="BM1396" s="1"/>
      <c r="BN1396" s="1"/>
      <c r="BO1396" s="1"/>
      <c r="BP1396" s="1"/>
      <c r="BQ1396" s="1"/>
      <c r="BR1396" s="1"/>
      <c r="BS1396" s="1" t="s">
        <v>9228</v>
      </c>
      <c r="BT1396" s="1" t="str">
        <f>HYPERLINK("https%3A%2F%2Fwww.webofscience.com%2Fwos%2Fwoscc%2Ffull-record%2FWOS:000409067500069","View Full Record in Web of Science")</f>
        <v>View Full Record in Web of Science</v>
      </c>
      <c r="BU1396" s="1"/>
      <c r="BV1396" s="1"/>
      <c r="BW1396" s="1"/>
    </row>
    <row r="1397" spans="1:75" ht="12.75" customHeight="1" x14ac:dyDescent="0.2">
      <c r="A1397" s="1" t="s">
        <v>72</v>
      </c>
      <c r="B1397" s="1" t="s">
        <v>9229</v>
      </c>
      <c r="C1397" s="1"/>
      <c r="D1397" s="1"/>
      <c r="E1397" s="1"/>
      <c r="F1397" s="1" t="s">
        <v>9230</v>
      </c>
      <c r="G1397" s="1"/>
      <c r="H1397" s="1"/>
      <c r="I1397" s="1" t="s">
        <v>9231</v>
      </c>
      <c r="J1397" s="1" t="s">
        <v>9232</v>
      </c>
      <c r="K1397" s="1"/>
      <c r="L1397" s="1"/>
      <c r="M1397" s="1"/>
      <c r="N1397" s="1"/>
      <c r="O1397" s="1"/>
      <c r="P1397" s="1"/>
      <c r="Q1397" s="1"/>
      <c r="R1397" s="1"/>
      <c r="S1397" s="1"/>
      <c r="T1397" s="1"/>
      <c r="U1397" s="1"/>
      <c r="V1397" s="1"/>
      <c r="W1397" s="1"/>
      <c r="X1397" s="1"/>
      <c r="Y1397" s="1"/>
      <c r="Z1397" s="1"/>
      <c r="AA1397" s="1" t="s">
        <v>9233</v>
      </c>
      <c r="AB1397" s="1" t="s">
        <v>9234</v>
      </c>
      <c r="AC1397" s="1"/>
      <c r="AD1397" s="1"/>
      <c r="AE1397" s="1"/>
      <c r="AF1397" s="1"/>
      <c r="AG1397" s="1"/>
      <c r="AH1397" s="1"/>
      <c r="AI1397" s="1"/>
      <c r="AJ1397" s="1"/>
      <c r="AK1397" s="1"/>
      <c r="AL1397" s="1"/>
      <c r="AM1397" s="1"/>
      <c r="AN1397" s="1"/>
      <c r="AO1397" s="1" t="s">
        <v>9235</v>
      </c>
      <c r="AP1397" s="1" t="s">
        <v>9236</v>
      </c>
      <c r="AQ1397" s="1"/>
      <c r="AR1397" s="1"/>
      <c r="AS1397" s="1"/>
      <c r="AT1397" s="1" t="s">
        <v>403</v>
      </c>
      <c r="AU1397" s="1">
        <v>2021</v>
      </c>
      <c r="AV1397" s="1">
        <v>24</v>
      </c>
      <c r="AW1397" s="1">
        <v>18</v>
      </c>
      <c r="AX1397" s="1"/>
      <c r="AY1397" s="1"/>
      <c r="AZ1397" s="1"/>
      <c r="BA1397" s="1"/>
      <c r="BB1397" s="1">
        <v>6027</v>
      </c>
      <c r="BC1397" s="1">
        <v>6033</v>
      </c>
      <c r="BD1397" s="1"/>
      <c r="BE1397" s="1" t="s">
        <v>9237</v>
      </c>
      <c r="BF1397" s="1" t="str">
        <f>HYPERLINK("http://dx.doi.org/10.1017/S1368980021002160","http://dx.doi.org/10.1017/S1368980021002160")</f>
        <v>http://dx.doi.org/10.1017/S1368980021002160</v>
      </c>
      <c r="BG1397" s="1"/>
      <c r="BH1397" s="1"/>
      <c r="BI1397" s="1"/>
      <c r="BJ1397" s="1"/>
      <c r="BK1397" s="1"/>
      <c r="BL1397" s="1"/>
      <c r="BM1397" s="1"/>
      <c r="BN1397" s="1">
        <v>34034842</v>
      </c>
      <c r="BO1397" s="1"/>
      <c r="BP1397" s="1"/>
      <c r="BQ1397" s="1"/>
      <c r="BR1397" s="1"/>
      <c r="BS1397" s="1" t="s">
        <v>9238</v>
      </c>
      <c r="BT1397" s="1" t="str">
        <f>HYPERLINK("https%3A%2F%2Fwww.webofscience.com%2Fwos%2Fwoscc%2Ffull-record%2FWOS:000721004700008","View Full Record in Web of Science")</f>
        <v>View Full Record in Web of Science</v>
      </c>
      <c r="BU1397" s="1"/>
      <c r="BV1397" s="1"/>
      <c r="BW1397" s="1"/>
    </row>
    <row r="1398" spans="1:75" ht="12.75" customHeight="1" x14ac:dyDescent="0.2">
      <c r="A1398" s="1" t="s">
        <v>72</v>
      </c>
      <c r="B1398" s="1" t="s">
        <v>9239</v>
      </c>
      <c r="C1398" s="1"/>
      <c r="D1398" s="1"/>
      <c r="E1398" s="1"/>
      <c r="F1398" s="1" t="s">
        <v>9240</v>
      </c>
      <c r="G1398" s="1"/>
      <c r="H1398" s="1"/>
      <c r="I1398" s="1" t="s">
        <v>9241</v>
      </c>
      <c r="J1398" s="1" t="s">
        <v>594</v>
      </c>
      <c r="K1398" s="1"/>
      <c r="L1398" s="1"/>
      <c r="M1398" s="1"/>
      <c r="N1398" s="1"/>
      <c r="O1398" s="1"/>
      <c r="P1398" s="1"/>
      <c r="Q1398" s="1"/>
      <c r="R1398" s="1"/>
      <c r="S1398" s="1"/>
      <c r="T1398" s="1"/>
      <c r="U1398" s="1"/>
      <c r="V1398" s="1"/>
      <c r="W1398" s="1"/>
      <c r="X1398" s="1"/>
      <c r="Y1398" s="1"/>
      <c r="Z1398" s="1"/>
      <c r="AA1398" s="1" t="s">
        <v>9242</v>
      </c>
      <c r="AB1398" s="1" t="s">
        <v>9243</v>
      </c>
      <c r="AC1398" s="1"/>
      <c r="AD1398" s="1"/>
      <c r="AE1398" s="1"/>
      <c r="AF1398" s="1"/>
      <c r="AG1398" s="1"/>
      <c r="AH1398" s="1"/>
      <c r="AI1398" s="1"/>
      <c r="AJ1398" s="1"/>
      <c r="AK1398" s="1"/>
      <c r="AL1398" s="1"/>
      <c r="AM1398" s="1"/>
      <c r="AN1398" s="1"/>
      <c r="AO1398" s="1" t="s">
        <v>597</v>
      </c>
      <c r="AP1398" s="1"/>
      <c r="AQ1398" s="1"/>
      <c r="AR1398" s="1"/>
      <c r="AS1398" s="1"/>
      <c r="AT1398" s="1" t="s">
        <v>830</v>
      </c>
      <c r="AU1398" s="1">
        <v>2018</v>
      </c>
      <c r="AV1398" s="1">
        <v>8</v>
      </c>
      <c r="AW1398" s="1">
        <v>9</v>
      </c>
      <c r="AX1398" s="1"/>
      <c r="AY1398" s="1"/>
      <c r="AZ1398" s="1"/>
      <c r="BA1398" s="1"/>
      <c r="BB1398" s="1">
        <v>197</v>
      </c>
      <c r="BC1398" s="1">
        <v>208</v>
      </c>
      <c r="BD1398" s="1"/>
      <c r="BE1398" s="1"/>
      <c r="BF1398" s="1"/>
      <c r="BG1398" s="1"/>
      <c r="BH1398" s="1"/>
      <c r="BI1398" s="1"/>
      <c r="BJ1398" s="1"/>
      <c r="BK1398" s="1"/>
      <c r="BL1398" s="1"/>
      <c r="BM1398" s="1"/>
      <c r="BN1398" s="1"/>
      <c r="BO1398" s="1"/>
      <c r="BP1398" s="1"/>
      <c r="BQ1398" s="1"/>
      <c r="BR1398" s="1"/>
      <c r="BS1398" s="1" t="s">
        <v>9244</v>
      </c>
      <c r="BT1398" s="1" t="str">
        <f>HYPERLINK("https%3A%2F%2Fwww.webofscience.com%2Fwos%2Fwoscc%2Ffull-record%2FWOS:000449115800022","View Full Record in Web of Science")</f>
        <v>View Full Record in Web of Science</v>
      </c>
      <c r="BU1398" s="1"/>
      <c r="BV1398" s="1"/>
      <c r="BW1398" s="1"/>
    </row>
    <row r="1399" spans="1:75" ht="12.75" customHeight="1" x14ac:dyDescent="0.2">
      <c r="A1399" s="1" t="s">
        <v>72</v>
      </c>
      <c r="B1399" s="1" t="s">
        <v>9245</v>
      </c>
      <c r="C1399" s="1"/>
      <c r="D1399" s="1"/>
      <c r="E1399" s="1"/>
      <c r="F1399" s="1" t="s">
        <v>9246</v>
      </c>
      <c r="G1399" s="1"/>
      <c r="H1399" s="1"/>
      <c r="I1399" s="1" t="s">
        <v>9247</v>
      </c>
      <c r="J1399" s="1" t="s">
        <v>9172</v>
      </c>
      <c r="K1399" s="1"/>
      <c r="L1399" s="1"/>
      <c r="M1399" s="1"/>
      <c r="N1399" s="1"/>
      <c r="O1399" s="1"/>
      <c r="P1399" s="1"/>
      <c r="Q1399" s="1"/>
      <c r="R1399" s="1"/>
      <c r="S1399" s="1"/>
      <c r="T1399" s="1"/>
      <c r="U1399" s="1"/>
      <c r="V1399" s="1"/>
      <c r="W1399" s="1"/>
      <c r="X1399" s="1"/>
      <c r="Y1399" s="1"/>
      <c r="Z1399" s="1"/>
      <c r="AA1399" s="1" t="s">
        <v>9248</v>
      </c>
      <c r="AB1399" s="1" t="s">
        <v>9249</v>
      </c>
      <c r="AC1399" s="1"/>
      <c r="AD1399" s="1"/>
      <c r="AE1399" s="1"/>
      <c r="AF1399" s="1"/>
      <c r="AG1399" s="1"/>
      <c r="AH1399" s="1"/>
      <c r="AI1399" s="1"/>
      <c r="AJ1399" s="1"/>
      <c r="AK1399" s="1"/>
      <c r="AL1399" s="1"/>
      <c r="AM1399" s="1"/>
      <c r="AN1399" s="1"/>
      <c r="AO1399" s="1" t="s">
        <v>9175</v>
      </c>
      <c r="AP1399" s="1" t="s">
        <v>9176</v>
      </c>
      <c r="AQ1399" s="1"/>
      <c r="AR1399" s="1"/>
      <c r="AS1399" s="1"/>
      <c r="AT1399" s="1" t="s">
        <v>319</v>
      </c>
      <c r="AU1399" s="1">
        <v>2019</v>
      </c>
      <c r="AV1399" s="1">
        <v>40</v>
      </c>
      <c r="AW1399" s="1">
        <v>6</v>
      </c>
      <c r="AX1399" s="1"/>
      <c r="AY1399" s="1"/>
      <c r="AZ1399" s="1"/>
      <c r="BA1399" s="1"/>
      <c r="BB1399" s="1">
        <v>546</v>
      </c>
      <c r="BC1399" s="1">
        <v>554</v>
      </c>
      <c r="BD1399" s="1"/>
      <c r="BE1399" s="1" t="s">
        <v>9250</v>
      </c>
      <c r="BF1399" s="1" t="str">
        <f>HYPERLINK("http://dx.doi.org/10.3103/S1068366619060217","http://dx.doi.org/10.3103/S1068366619060217")</f>
        <v>http://dx.doi.org/10.3103/S1068366619060217</v>
      </c>
      <c r="BG1399" s="1"/>
      <c r="BH1399" s="1"/>
      <c r="BI1399" s="1"/>
      <c r="BJ1399" s="1"/>
      <c r="BK1399" s="1"/>
      <c r="BL1399" s="1"/>
      <c r="BM1399" s="1"/>
      <c r="BN1399" s="1"/>
      <c r="BO1399" s="1"/>
      <c r="BP1399" s="1"/>
      <c r="BQ1399" s="1"/>
      <c r="BR1399" s="1"/>
      <c r="BS1399" s="1" t="s">
        <v>9251</v>
      </c>
      <c r="BT1399" s="1" t="str">
        <f>HYPERLINK("https%3A%2F%2Fwww.webofscience.com%2Fwos%2Fwoscc%2Ffull-record%2FWOS:000511537300012","View Full Record in Web of Science")</f>
        <v>View Full Record in Web of Science</v>
      </c>
      <c r="BU1399" s="1"/>
      <c r="BV1399" s="1"/>
      <c r="BW1399" s="1"/>
    </row>
    <row r="1400" spans="1:75" ht="12.75" customHeight="1" x14ac:dyDescent="0.2">
      <c r="A1400" s="1" t="s">
        <v>72</v>
      </c>
      <c r="B1400" s="1" t="s">
        <v>9252</v>
      </c>
      <c r="C1400" s="1"/>
      <c r="D1400" s="1"/>
      <c r="E1400" s="1"/>
      <c r="F1400" s="1" t="s">
        <v>9253</v>
      </c>
      <c r="G1400" s="1"/>
      <c r="H1400" s="1"/>
      <c r="I1400" s="1" t="s">
        <v>9254</v>
      </c>
      <c r="J1400" s="1" t="s">
        <v>9112</v>
      </c>
      <c r="K1400" s="1"/>
      <c r="L1400" s="1"/>
      <c r="M1400" s="1"/>
      <c r="N1400" s="1"/>
      <c r="O1400" s="1"/>
      <c r="P1400" s="1"/>
      <c r="Q1400" s="1"/>
      <c r="R1400" s="1"/>
      <c r="S1400" s="1"/>
      <c r="T1400" s="1"/>
      <c r="U1400" s="1"/>
      <c r="V1400" s="1"/>
      <c r="W1400" s="1"/>
      <c r="X1400" s="1"/>
      <c r="Y1400" s="1"/>
      <c r="Z1400" s="1"/>
      <c r="AA1400" s="1" t="s">
        <v>9255</v>
      </c>
      <c r="AB1400" s="1" t="s">
        <v>9256</v>
      </c>
      <c r="AC1400" s="1"/>
      <c r="AD1400" s="1"/>
      <c r="AE1400" s="1"/>
      <c r="AF1400" s="1"/>
      <c r="AG1400" s="1"/>
      <c r="AH1400" s="1"/>
      <c r="AI1400" s="1"/>
      <c r="AJ1400" s="1"/>
      <c r="AK1400" s="1"/>
      <c r="AL1400" s="1"/>
      <c r="AM1400" s="1"/>
      <c r="AN1400" s="1"/>
      <c r="AO1400" s="1" t="s">
        <v>9115</v>
      </c>
      <c r="AP1400" s="1"/>
      <c r="AQ1400" s="1"/>
      <c r="AR1400" s="1"/>
      <c r="AS1400" s="1"/>
      <c r="AT1400" s="1"/>
      <c r="AU1400" s="1">
        <v>2019</v>
      </c>
      <c r="AV1400" s="1">
        <v>28</v>
      </c>
      <c r="AW1400" s="1">
        <v>107</v>
      </c>
      <c r="AX1400" s="1"/>
      <c r="AY1400" s="1"/>
      <c r="AZ1400" s="1"/>
      <c r="BA1400" s="1"/>
      <c r="BB1400" s="1">
        <v>133</v>
      </c>
      <c r="BC1400" s="1">
        <v>140</v>
      </c>
      <c r="BD1400" s="1" t="s">
        <v>9257</v>
      </c>
      <c r="BE1400" s="1"/>
      <c r="BF1400" s="1"/>
      <c r="BG1400" s="1"/>
      <c r="BH1400" s="1"/>
      <c r="BI1400" s="1"/>
      <c r="BJ1400" s="1"/>
      <c r="BK1400" s="1"/>
      <c r="BL1400" s="1"/>
      <c r="BM1400" s="1"/>
      <c r="BN1400" s="1"/>
      <c r="BO1400" s="1"/>
      <c r="BP1400" s="1"/>
      <c r="BQ1400" s="1"/>
      <c r="BR1400" s="1"/>
      <c r="BS1400" s="1" t="s">
        <v>9258</v>
      </c>
      <c r="BT1400" s="1" t="str">
        <f>HYPERLINK("https%3A%2F%2Fwww.webofscience.com%2Fwos%2Fwoscc%2Ffull-record%2FWOS:000461678300017","View Full Record in Web of Science")</f>
        <v>View Full Record in Web of Science</v>
      </c>
      <c r="BU1400" s="1"/>
      <c r="BV1400" s="1"/>
      <c r="BW1400" s="1"/>
    </row>
    <row r="1401" spans="1:75" ht="12.75" customHeight="1" x14ac:dyDescent="0.2">
      <c r="A1401" s="1" t="s">
        <v>72</v>
      </c>
      <c r="B1401" s="1" t="s">
        <v>9259</v>
      </c>
      <c r="C1401" s="1"/>
      <c r="D1401" s="1"/>
      <c r="E1401" s="1"/>
      <c r="F1401" s="1" t="s">
        <v>9260</v>
      </c>
      <c r="G1401" s="1"/>
      <c r="H1401" s="1"/>
      <c r="I1401" s="1" t="s">
        <v>9261</v>
      </c>
      <c r="J1401" s="1" t="s">
        <v>594</v>
      </c>
      <c r="K1401" s="1"/>
      <c r="L1401" s="1"/>
      <c r="M1401" s="1"/>
      <c r="N1401" s="1"/>
      <c r="O1401" s="1"/>
      <c r="P1401" s="1"/>
      <c r="Q1401" s="1"/>
      <c r="R1401" s="1"/>
      <c r="S1401" s="1"/>
      <c r="T1401" s="1"/>
      <c r="U1401" s="1"/>
      <c r="V1401" s="1"/>
      <c r="W1401" s="1"/>
      <c r="X1401" s="1"/>
      <c r="Y1401" s="1"/>
      <c r="Z1401" s="1"/>
      <c r="AA1401" s="1" t="s">
        <v>9262</v>
      </c>
      <c r="AB1401" s="1" t="s">
        <v>9263</v>
      </c>
      <c r="AC1401" s="1"/>
      <c r="AD1401" s="1"/>
      <c r="AE1401" s="1"/>
      <c r="AF1401" s="1"/>
      <c r="AG1401" s="1"/>
      <c r="AH1401" s="1"/>
      <c r="AI1401" s="1"/>
      <c r="AJ1401" s="1"/>
      <c r="AK1401" s="1"/>
      <c r="AL1401" s="1"/>
      <c r="AM1401" s="1"/>
      <c r="AN1401" s="1"/>
      <c r="AO1401" s="1" t="s">
        <v>597</v>
      </c>
      <c r="AP1401" s="1"/>
      <c r="AQ1401" s="1"/>
      <c r="AR1401" s="1"/>
      <c r="AS1401" s="1"/>
      <c r="AT1401" s="1" t="s">
        <v>1173</v>
      </c>
      <c r="AU1401" s="1">
        <v>2018</v>
      </c>
      <c r="AV1401" s="1">
        <v>8</v>
      </c>
      <c r="AW1401" s="1">
        <v>8</v>
      </c>
      <c r="AX1401" s="1"/>
      <c r="AY1401" s="1"/>
      <c r="AZ1401" s="1"/>
      <c r="BA1401" s="1"/>
      <c r="BB1401" s="1">
        <v>28</v>
      </c>
      <c r="BC1401" s="1">
        <v>38</v>
      </c>
      <c r="BD1401" s="1"/>
      <c r="BE1401" s="1"/>
      <c r="BF1401" s="1"/>
      <c r="BG1401" s="1"/>
      <c r="BH1401" s="1"/>
      <c r="BI1401" s="1"/>
      <c r="BJ1401" s="1"/>
      <c r="BK1401" s="1"/>
      <c r="BL1401" s="1"/>
      <c r="BM1401" s="1"/>
      <c r="BN1401" s="1"/>
      <c r="BO1401" s="1"/>
      <c r="BP1401" s="1"/>
      <c r="BQ1401" s="1"/>
      <c r="BR1401" s="1"/>
      <c r="BS1401" s="1" t="s">
        <v>9264</v>
      </c>
      <c r="BT1401" s="1" t="str">
        <f>HYPERLINK("https%3A%2F%2Fwww.webofscience.com%2Fwos%2Fwoscc%2Ffull-record%2FWOS:000451687800003","View Full Record in Web of Science")</f>
        <v>View Full Record in Web of Science</v>
      </c>
      <c r="BU1401" s="1"/>
      <c r="BV1401" s="1"/>
      <c r="BW1401" s="1"/>
    </row>
    <row r="1402" spans="1:75" ht="12.75" customHeight="1" x14ac:dyDescent="0.2">
      <c r="A1402" s="1" t="s">
        <v>72</v>
      </c>
      <c r="B1402" s="1" t="s">
        <v>9265</v>
      </c>
      <c r="C1402" s="1"/>
      <c r="D1402" s="1"/>
      <c r="E1402" s="1"/>
      <c r="F1402" s="1" t="s">
        <v>9266</v>
      </c>
      <c r="G1402" s="1"/>
      <c r="H1402" s="1"/>
      <c r="I1402" s="1" t="s">
        <v>9267</v>
      </c>
      <c r="J1402" s="1" t="s">
        <v>594</v>
      </c>
      <c r="K1402" s="1"/>
      <c r="L1402" s="1"/>
      <c r="M1402" s="1"/>
      <c r="N1402" s="1"/>
      <c r="O1402" s="1"/>
      <c r="P1402" s="1"/>
      <c r="Q1402" s="1"/>
      <c r="R1402" s="1"/>
      <c r="S1402" s="1"/>
      <c r="T1402" s="1"/>
      <c r="U1402" s="1"/>
      <c r="V1402" s="1"/>
      <c r="W1402" s="1"/>
      <c r="X1402" s="1"/>
      <c r="Y1402" s="1"/>
      <c r="Z1402" s="1"/>
      <c r="AA1402" s="1" t="s">
        <v>9268</v>
      </c>
      <c r="AB1402" s="1"/>
      <c r="AC1402" s="1"/>
      <c r="AD1402" s="1"/>
      <c r="AE1402" s="1"/>
      <c r="AF1402" s="1"/>
      <c r="AG1402" s="1"/>
      <c r="AH1402" s="1"/>
      <c r="AI1402" s="1"/>
      <c r="AJ1402" s="1"/>
      <c r="AK1402" s="1"/>
      <c r="AL1402" s="1"/>
      <c r="AM1402" s="1"/>
      <c r="AN1402" s="1"/>
      <c r="AO1402" s="1" t="s">
        <v>597</v>
      </c>
      <c r="AP1402" s="1"/>
      <c r="AQ1402" s="1"/>
      <c r="AR1402" s="1"/>
      <c r="AS1402" s="1"/>
      <c r="AT1402" s="1" t="s">
        <v>319</v>
      </c>
      <c r="AU1402" s="1">
        <v>2018</v>
      </c>
      <c r="AV1402" s="1">
        <v>8</v>
      </c>
      <c r="AW1402" s="1">
        <v>11</v>
      </c>
      <c r="AX1402" s="1"/>
      <c r="AY1402" s="1"/>
      <c r="AZ1402" s="1"/>
      <c r="BA1402" s="1"/>
      <c r="BB1402" s="1">
        <v>919</v>
      </c>
      <c r="BC1402" s="1">
        <v>925</v>
      </c>
      <c r="BD1402" s="1"/>
      <c r="BE1402" s="1"/>
      <c r="BF1402" s="1"/>
      <c r="BG1402" s="1"/>
      <c r="BH1402" s="1"/>
      <c r="BI1402" s="1"/>
      <c r="BJ1402" s="1"/>
      <c r="BK1402" s="1"/>
      <c r="BL1402" s="1"/>
      <c r="BM1402" s="1"/>
      <c r="BN1402" s="1"/>
      <c r="BO1402" s="1"/>
      <c r="BP1402" s="1"/>
      <c r="BQ1402" s="1"/>
      <c r="BR1402" s="1"/>
      <c r="BS1402" s="1" t="s">
        <v>9269</v>
      </c>
      <c r="BT1402" s="1" t="str">
        <f>HYPERLINK("https%3A%2F%2Fwww.webofscience.com%2Fwos%2Fwoscc%2Ffull-record%2FWOS:000451688200116","View Full Record in Web of Science")</f>
        <v>View Full Record in Web of Science</v>
      </c>
      <c r="BU1402" s="1"/>
      <c r="BV1402" s="1"/>
      <c r="BW1402" s="1"/>
    </row>
    <row r="1403" spans="1:75" ht="12.75" customHeight="1" x14ac:dyDescent="0.2">
      <c r="A1403" s="1" t="s">
        <v>72</v>
      </c>
      <c r="B1403" s="1" t="s">
        <v>9270</v>
      </c>
      <c r="C1403" s="1"/>
      <c r="D1403" s="1"/>
      <c r="E1403" s="1"/>
      <c r="F1403" s="1" t="s">
        <v>9271</v>
      </c>
      <c r="G1403" s="1"/>
      <c r="H1403" s="1"/>
      <c r="I1403" s="1" t="s">
        <v>9272</v>
      </c>
      <c r="J1403" s="1" t="s">
        <v>6728</v>
      </c>
      <c r="K1403" s="1"/>
      <c r="L1403" s="1"/>
      <c r="M1403" s="1"/>
      <c r="N1403" s="1"/>
      <c r="O1403" s="1"/>
      <c r="P1403" s="1"/>
      <c r="Q1403" s="1"/>
      <c r="R1403" s="1"/>
      <c r="S1403" s="1"/>
      <c r="T1403" s="1"/>
      <c r="U1403" s="1"/>
      <c r="V1403" s="1"/>
      <c r="W1403" s="1"/>
      <c r="X1403" s="1"/>
      <c r="Y1403" s="1"/>
      <c r="Z1403" s="1"/>
      <c r="AA1403" s="1" t="s">
        <v>9273</v>
      </c>
      <c r="AB1403" s="1" t="s">
        <v>9274</v>
      </c>
      <c r="AC1403" s="1"/>
      <c r="AD1403" s="1"/>
      <c r="AE1403" s="1"/>
      <c r="AF1403" s="1"/>
      <c r="AG1403" s="1"/>
      <c r="AH1403" s="1"/>
      <c r="AI1403" s="1"/>
      <c r="AJ1403" s="1"/>
      <c r="AK1403" s="1"/>
      <c r="AL1403" s="1"/>
      <c r="AM1403" s="1"/>
      <c r="AN1403" s="1"/>
      <c r="AO1403" s="1" t="s">
        <v>6731</v>
      </c>
      <c r="AP1403" s="1" t="s">
        <v>6732</v>
      </c>
      <c r="AQ1403" s="1"/>
      <c r="AR1403" s="1"/>
      <c r="AS1403" s="1"/>
      <c r="AT1403" s="1" t="s">
        <v>9275</v>
      </c>
      <c r="AU1403" s="1">
        <v>2020</v>
      </c>
      <c r="AV1403" s="1">
        <v>167</v>
      </c>
      <c r="AW1403" s="1">
        <v>10</v>
      </c>
      <c r="AX1403" s="1"/>
      <c r="AY1403" s="1"/>
      <c r="AZ1403" s="1"/>
      <c r="BA1403" s="1"/>
      <c r="BB1403" s="1"/>
      <c r="BC1403" s="1"/>
      <c r="BD1403" s="1">
        <v>100530</v>
      </c>
      <c r="BE1403" s="1" t="s">
        <v>9276</v>
      </c>
      <c r="BF1403" s="1" t="str">
        <f>HYPERLINK("http://dx.doi.org/10.1149/1945-7111/ab9a2a","http://dx.doi.org/10.1149/1945-7111/ab9a2a")</f>
        <v>http://dx.doi.org/10.1149/1945-7111/ab9a2a</v>
      </c>
      <c r="BG1403" s="1"/>
      <c r="BH1403" s="1"/>
      <c r="BI1403" s="1"/>
      <c r="BJ1403" s="1"/>
      <c r="BK1403" s="1"/>
      <c r="BL1403" s="1"/>
      <c r="BM1403" s="1"/>
      <c r="BN1403" s="1"/>
      <c r="BO1403" s="1"/>
      <c r="BP1403" s="1"/>
      <c r="BQ1403" s="1"/>
      <c r="BR1403" s="1"/>
      <c r="BS1403" s="1" t="s">
        <v>9277</v>
      </c>
      <c r="BT1403" s="1" t="str">
        <f>HYPERLINK("https%3A%2F%2Fwww.webofscience.com%2Fwos%2Fwoscc%2Ffull-record%2FWOS:000613254900001","View Full Record in Web of Science")</f>
        <v>View Full Record in Web of Science</v>
      </c>
      <c r="BU1403" s="1"/>
      <c r="BV1403" s="1"/>
      <c r="BW1403" s="1"/>
    </row>
    <row r="1404" spans="1:75" ht="12.75" customHeight="1" x14ac:dyDescent="0.2">
      <c r="A1404" s="1" t="s">
        <v>72</v>
      </c>
      <c r="B1404" s="1" t="s">
        <v>9278</v>
      </c>
      <c r="C1404" s="1"/>
      <c r="D1404" s="1"/>
      <c r="E1404" s="1"/>
      <c r="F1404" s="1" t="s">
        <v>9279</v>
      </c>
      <c r="G1404" s="1"/>
      <c r="H1404" s="1"/>
      <c r="I1404" s="1" t="s">
        <v>9280</v>
      </c>
      <c r="J1404" s="1" t="s">
        <v>9281</v>
      </c>
      <c r="K1404" s="1"/>
      <c r="L1404" s="1"/>
      <c r="M1404" s="1"/>
      <c r="N1404" s="1"/>
      <c r="O1404" s="1"/>
      <c r="P1404" s="1"/>
      <c r="Q1404" s="1"/>
      <c r="R1404" s="1"/>
      <c r="S1404" s="1"/>
      <c r="T1404" s="1"/>
      <c r="U1404" s="1"/>
      <c r="V1404" s="1"/>
      <c r="W1404" s="1"/>
      <c r="X1404" s="1"/>
      <c r="Y1404" s="1"/>
      <c r="Z1404" s="1"/>
      <c r="AA1404" s="1" t="s">
        <v>9282</v>
      </c>
      <c r="AB1404" s="1" t="s">
        <v>9283</v>
      </c>
      <c r="AC1404" s="1"/>
      <c r="AD1404" s="1"/>
      <c r="AE1404" s="1"/>
      <c r="AF1404" s="1"/>
      <c r="AG1404" s="1"/>
      <c r="AH1404" s="1"/>
      <c r="AI1404" s="1"/>
      <c r="AJ1404" s="1"/>
      <c r="AK1404" s="1"/>
      <c r="AL1404" s="1"/>
      <c r="AM1404" s="1"/>
      <c r="AN1404" s="1"/>
      <c r="AO1404" s="1" t="s">
        <v>9284</v>
      </c>
      <c r="AP1404" s="1" t="s">
        <v>9285</v>
      </c>
      <c r="AQ1404" s="1"/>
      <c r="AR1404" s="1"/>
      <c r="AS1404" s="1"/>
      <c r="AT1404" s="1" t="s">
        <v>8668</v>
      </c>
      <c r="AU1404" s="1">
        <v>2021</v>
      </c>
      <c r="AV1404" s="1">
        <v>9</v>
      </c>
      <c r="AW1404" s="1"/>
      <c r="AX1404" s="1"/>
      <c r="AY1404" s="1"/>
      <c r="AZ1404" s="1"/>
      <c r="BA1404" s="1"/>
      <c r="BB1404" s="1"/>
      <c r="BC1404" s="1"/>
      <c r="BD1404" s="1" t="s">
        <v>9286</v>
      </c>
      <c r="BE1404" s="1" t="s">
        <v>9287</v>
      </c>
      <c r="BF1404" s="1" t="str">
        <f>HYPERLINK("http://dx.doi.org/10.3897/BDJ.9.e77615","http://dx.doi.org/10.3897/BDJ.9.e77615")</f>
        <v>http://dx.doi.org/10.3897/BDJ.9.e77615</v>
      </c>
      <c r="BG1404" s="1"/>
      <c r="BH1404" s="1"/>
      <c r="BI1404" s="1"/>
      <c r="BJ1404" s="1"/>
      <c r="BK1404" s="1"/>
      <c r="BL1404" s="1"/>
      <c r="BM1404" s="1"/>
      <c r="BN1404" s="1">
        <v>34866965</v>
      </c>
      <c r="BO1404" s="1"/>
      <c r="BP1404" s="1"/>
      <c r="BQ1404" s="1"/>
      <c r="BR1404" s="1"/>
      <c r="BS1404" s="1" t="s">
        <v>9288</v>
      </c>
      <c r="BT1404" s="1" t="str">
        <f>HYPERLINK("https%3A%2F%2Fwww.webofscience.com%2Fwos%2Fwoscc%2Ffull-record%2FWOS:000723025300003","View Full Record in Web of Science")</f>
        <v>View Full Record in Web of Science</v>
      </c>
      <c r="BU1404" s="1"/>
      <c r="BV1404" s="1"/>
      <c r="BW1404" s="1"/>
    </row>
    <row r="1405" spans="1:75" ht="12.75" customHeight="1" x14ac:dyDescent="0.2">
      <c r="A1405" s="1" t="s">
        <v>72</v>
      </c>
      <c r="B1405" s="1" t="s">
        <v>9289</v>
      </c>
      <c r="C1405" s="1"/>
      <c r="D1405" s="1"/>
      <c r="E1405" s="1"/>
      <c r="F1405" s="1" t="s">
        <v>9290</v>
      </c>
      <c r="G1405" s="1"/>
      <c r="H1405" s="1"/>
      <c r="I1405" s="1" t="s">
        <v>9291</v>
      </c>
      <c r="J1405" s="1" t="s">
        <v>8879</v>
      </c>
      <c r="K1405" s="1"/>
      <c r="L1405" s="1"/>
      <c r="M1405" s="1"/>
      <c r="N1405" s="1"/>
      <c r="O1405" s="1"/>
      <c r="P1405" s="1"/>
      <c r="Q1405" s="1"/>
      <c r="R1405" s="1"/>
      <c r="S1405" s="1"/>
      <c r="T1405" s="1"/>
      <c r="U1405" s="1"/>
      <c r="V1405" s="1"/>
      <c r="W1405" s="1"/>
      <c r="X1405" s="1"/>
      <c r="Y1405" s="1"/>
      <c r="Z1405" s="1"/>
      <c r="AA1405" s="1" t="s">
        <v>9292</v>
      </c>
      <c r="AB1405" s="1" t="s">
        <v>9293</v>
      </c>
      <c r="AC1405" s="1"/>
      <c r="AD1405" s="1"/>
      <c r="AE1405" s="1"/>
      <c r="AF1405" s="1"/>
      <c r="AG1405" s="1"/>
      <c r="AH1405" s="1"/>
      <c r="AI1405" s="1"/>
      <c r="AJ1405" s="1"/>
      <c r="AK1405" s="1"/>
      <c r="AL1405" s="1"/>
      <c r="AM1405" s="1"/>
      <c r="AN1405" s="1"/>
      <c r="AO1405" s="1" t="s">
        <v>8882</v>
      </c>
      <c r="AP1405" s="1"/>
      <c r="AQ1405" s="1"/>
      <c r="AR1405" s="1"/>
      <c r="AS1405" s="1"/>
      <c r="AT1405" s="1" t="s">
        <v>9294</v>
      </c>
      <c r="AU1405" s="1">
        <v>2023</v>
      </c>
      <c r="AV1405" s="1">
        <v>18</v>
      </c>
      <c r="AW1405" s="1">
        <v>3</v>
      </c>
      <c r="AX1405" s="1"/>
      <c r="AY1405" s="1"/>
      <c r="AZ1405" s="1"/>
      <c r="BA1405" s="1"/>
      <c r="BB1405" s="1"/>
      <c r="BC1405" s="1"/>
      <c r="BD1405" s="1" t="s">
        <v>9295</v>
      </c>
      <c r="BE1405" s="1" t="s">
        <v>9296</v>
      </c>
      <c r="BF1405" s="1" t="str">
        <f>HYPERLINK("http://dx.doi.org/10.1371/journal.pone.0282345","http://dx.doi.org/10.1371/journal.pone.0282345")</f>
        <v>http://dx.doi.org/10.1371/journal.pone.0282345</v>
      </c>
      <c r="BG1405" s="1"/>
      <c r="BH1405" s="1"/>
      <c r="BI1405" s="1"/>
      <c r="BJ1405" s="1"/>
      <c r="BK1405" s="1"/>
      <c r="BL1405" s="1"/>
      <c r="BM1405" s="1"/>
      <c r="BN1405" s="1">
        <v>36897839</v>
      </c>
      <c r="BO1405" s="1"/>
      <c r="BP1405" s="1"/>
      <c r="BQ1405" s="1"/>
      <c r="BR1405" s="1"/>
      <c r="BS1405" s="1" t="s">
        <v>9297</v>
      </c>
      <c r="BT1405" s="1" t="str">
        <f>HYPERLINK("https%3A%2F%2Fwww.webofscience.com%2Fwos%2Fwoscc%2Ffull-record%2FWOS:000995666700001","View Full Record in Web of Science")</f>
        <v>View Full Record in Web of Science</v>
      </c>
      <c r="BU1405" s="1"/>
      <c r="BV1405" s="1"/>
      <c r="BW1405" s="1"/>
    </row>
    <row r="1406" spans="1:75" ht="12.75" customHeight="1" x14ac:dyDescent="0.2">
      <c r="A1406" s="1" t="s">
        <v>72</v>
      </c>
      <c r="B1406" s="1" t="s">
        <v>9298</v>
      </c>
      <c r="C1406" s="1"/>
      <c r="D1406" s="1"/>
      <c r="E1406" s="1"/>
      <c r="F1406" s="1" t="s">
        <v>9299</v>
      </c>
      <c r="G1406" s="1"/>
      <c r="H1406" s="1"/>
      <c r="I1406" s="1" t="s">
        <v>9300</v>
      </c>
      <c r="J1406" s="1" t="s">
        <v>9301</v>
      </c>
      <c r="K1406" s="1"/>
      <c r="L1406" s="1"/>
      <c r="M1406" s="1"/>
      <c r="N1406" s="1"/>
      <c r="O1406" s="1"/>
      <c r="P1406" s="1"/>
      <c r="Q1406" s="1"/>
      <c r="R1406" s="1"/>
      <c r="S1406" s="1"/>
      <c r="T1406" s="1"/>
      <c r="U1406" s="1"/>
      <c r="V1406" s="1"/>
      <c r="W1406" s="1"/>
      <c r="X1406" s="1"/>
      <c r="Y1406" s="1"/>
      <c r="Z1406" s="1"/>
      <c r="AA1406" s="1" t="s">
        <v>9302</v>
      </c>
      <c r="AB1406" s="1" t="s">
        <v>9303</v>
      </c>
      <c r="AC1406" s="1"/>
      <c r="AD1406" s="1"/>
      <c r="AE1406" s="1"/>
      <c r="AF1406" s="1"/>
      <c r="AG1406" s="1"/>
      <c r="AH1406" s="1"/>
      <c r="AI1406" s="1"/>
      <c r="AJ1406" s="1"/>
      <c r="AK1406" s="1"/>
      <c r="AL1406" s="1"/>
      <c r="AM1406" s="1"/>
      <c r="AN1406" s="1"/>
      <c r="AO1406" s="1"/>
      <c r="AP1406" s="1" t="s">
        <v>9304</v>
      </c>
      <c r="AQ1406" s="1"/>
      <c r="AR1406" s="1"/>
      <c r="AS1406" s="1"/>
      <c r="AT1406" s="1" t="s">
        <v>9305</v>
      </c>
      <c r="AU1406" s="1">
        <v>2023</v>
      </c>
      <c r="AV1406" s="1">
        <v>6</v>
      </c>
      <c r="AW1406" s="1">
        <v>1</v>
      </c>
      <c r="AX1406" s="1"/>
      <c r="AY1406" s="1"/>
      <c r="AZ1406" s="1"/>
      <c r="BA1406" s="1"/>
      <c r="BB1406" s="1"/>
      <c r="BC1406" s="1"/>
      <c r="BD1406" s="1">
        <v>362</v>
      </c>
      <c r="BE1406" s="1" t="s">
        <v>9306</v>
      </c>
      <c r="BF1406" s="1" t="str">
        <f>HYPERLINK("http://dx.doi.org/10.1038/s42003-023-04727-z","http://dx.doi.org/10.1038/s42003-023-04727-z")</f>
        <v>http://dx.doi.org/10.1038/s42003-023-04727-z</v>
      </c>
      <c r="BG1406" s="1"/>
      <c r="BH1406" s="1"/>
      <c r="BI1406" s="1"/>
      <c r="BJ1406" s="1"/>
      <c r="BK1406" s="1"/>
      <c r="BL1406" s="1"/>
      <c r="BM1406" s="1"/>
      <c r="BN1406" s="1">
        <v>37012383</v>
      </c>
      <c r="BO1406" s="1"/>
      <c r="BP1406" s="1"/>
      <c r="BQ1406" s="1"/>
      <c r="BR1406" s="1"/>
      <c r="BS1406" s="1" t="s">
        <v>9307</v>
      </c>
      <c r="BT1406" s="1" t="str">
        <f>HYPERLINK("https%3A%2F%2Fwww.webofscience.com%2Fwos%2Fwoscc%2Ffull-record%2FWOS:000962868600002","View Full Record in Web of Science")</f>
        <v>View Full Record in Web of Science</v>
      </c>
      <c r="BU1406" s="1"/>
      <c r="BV1406" s="1"/>
      <c r="BW1406" s="1"/>
    </row>
    <row r="1407" spans="1:75" s="2" customFormat="1" ht="12.75" customHeight="1" x14ac:dyDescent="0.2">
      <c r="A1407" s="1" t="s">
        <v>72</v>
      </c>
      <c r="B1407" s="1" t="s">
        <v>9308</v>
      </c>
      <c r="C1407" s="1"/>
      <c r="D1407" s="1"/>
      <c r="E1407" s="1"/>
      <c r="F1407" s="1" t="s">
        <v>9309</v>
      </c>
      <c r="G1407" s="1"/>
      <c r="H1407" s="1"/>
      <c r="I1407" s="1" t="s">
        <v>9310</v>
      </c>
      <c r="J1407" s="1" t="s">
        <v>9311</v>
      </c>
      <c r="K1407" s="1"/>
      <c r="L1407" s="1"/>
      <c r="M1407" s="1"/>
      <c r="N1407" s="1"/>
      <c r="O1407" s="1"/>
      <c r="P1407" s="1"/>
      <c r="Q1407" s="1"/>
      <c r="R1407" s="1"/>
      <c r="S1407" s="1"/>
      <c r="T1407" s="1"/>
      <c r="U1407" s="1"/>
      <c r="V1407" s="1"/>
      <c r="W1407" s="1"/>
      <c r="X1407" s="1"/>
      <c r="Y1407" s="1"/>
      <c r="Z1407" s="1"/>
      <c r="AA1407" s="1" t="s">
        <v>9312</v>
      </c>
      <c r="AB1407" s="1" t="s">
        <v>9313</v>
      </c>
      <c r="AC1407" s="1"/>
      <c r="AD1407" s="1"/>
      <c r="AE1407" s="1"/>
      <c r="AF1407" s="1"/>
      <c r="AG1407" s="1"/>
      <c r="AH1407" s="1"/>
      <c r="AI1407" s="1"/>
      <c r="AJ1407" s="1"/>
      <c r="AK1407" s="1"/>
      <c r="AL1407" s="1"/>
      <c r="AM1407" s="1"/>
      <c r="AN1407" s="1"/>
      <c r="AO1407" s="1"/>
      <c r="AP1407" s="1" t="s">
        <v>9314</v>
      </c>
      <c r="AQ1407" s="1"/>
      <c r="AR1407" s="1"/>
      <c r="AS1407" s="1"/>
      <c r="AT1407" s="1" t="s">
        <v>9315</v>
      </c>
      <c r="AU1407" s="1">
        <v>2022</v>
      </c>
      <c r="AV1407" s="1">
        <v>13</v>
      </c>
      <c r="AW1407" s="1">
        <v>1</v>
      </c>
      <c r="AX1407" s="1"/>
      <c r="AY1407" s="1"/>
      <c r="AZ1407" s="1"/>
      <c r="BA1407" s="1"/>
      <c r="BB1407" s="1"/>
      <c r="BC1407" s="1"/>
      <c r="BD1407" s="1">
        <v>4736</v>
      </c>
      <c r="BE1407" s="1" t="s">
        <v>9316</v>
      </c>
      <c r="BF1407" s="1" t="str">
        <f>HYPERLINK("http://dx.doi.org/10.1038/s41467-022-32447-1","http://dx.doi.org/10.1038/s41467-022-32447-1")</f>
        <v>http://dx.doi.org/10.1038/s41467-022-32447-1</v>
      </c>
      <c r="BG1407" s="1"/>
      <c r="BH1407" s="1"/>
      <c r="BI1407" s="1"/>
      <c r="BJ1407" s="1"/>
      <c r="BK1407" s="1"/>
      <c r="BL1407" s="1"/>
      <c r="BM1407" s="1"/>
      <c r="BN1407" s="1">
        <v>35961984</v>
      </c>
      <c r="BO1407" s="1"/>
      <c r="BP1407" s="1"/>
      <c r="BQ1407" s="1"/>
      <c r="BR1407" s="1"/>
      <c r="BS1407" s="1" t="s">
        <v>9317</v>
      </c>
      <c r="BT1407" s="1" t="str">
        <f>HYPERLINK("https%3A%2F%2Fwww.webofscience.com%2Fwos%2Fwoscc%2Ffull-record%2FWOS:000840114800006","View Full Record in Web of Science")</f>
        <v>View Full Record in Web of Science</v>
      </c>
      <c r="BU1407" s="1"/>
      <c r="BV1407" s="1"/>
      <c r="BW1407" s="1"/>
    </row>
  </sheetData>
  <hyperlinks>
    <hyperlink ref="BT2" r:id="rId1" tooltip="View Full Record in Web of Science" display="View Full Record in Web of Science"/>
    <hyperlink ref="BF3" r:id="rId2" tooltip="http://dx.doi.org/10.1016/j.jocs.2022.101609" display="http://dx.doi.org/10.1016/j.jocs.2022.101609"/>
    <hyperlink ref="BT3" r:id="rId3" tooltip="View Full Record in Web of Science" display="View Full Record in Web of Science"/>
    <hyperlink ref="BF4" r:id="rId4" tooltip="http://dx.doi.org/10.25750/1995-4301-2022-1-235-242" display="http://dx.doi.org/10.25750/1995-4301-2022-1-235-242"/>
    <hyperlink ref="BT4" r:id="rId5" tooltip="View Full Record in Web of Science" display="View Full Record in Web of Science"/>
    <hyperlink ref="BF5" r:id="rId6" tooltip="http://dx.doi.org/10.28995/2073-0101-2022-2-384-395" display="http://dx.doi.org/10.28995/2073-0101-2022-2-384-395"/>
    <hyperlink ref="BT5" r:id="rId7" tooltip="View Full Record in Web of Science" display="View Full Record in Web of Science"/>
    <hyperlink ref="BF6" r:id="rId8" tooltip="http://dx.doi.org/10.15688/jvolsu4.2022.2.6" display="http://dx.doi.org/10.15688/jvolsu4.2022.2.6"/>
    <hyperlink ref="BT6" r:id="rId9" tooltip="View Full Record in Web of Science" display="View Full Record in Web of Science"/>
    <hyperlink ref="BF7" r:id="rId10" tooltip="http://dx.doi.org/10.12911/22998993/139066" display="http://dx.doi.org/10.12911/22998993/139066"/>
    <hyperlink ref="BT7" r:id="rId11" tooltip="View Full Record in Web of Science" display="View Full Record in Web of Science"/>
    <hyperlink ref="BF8" r:id="rId12" tooltip="http://dx.doi.org/10.14529/hsm20s208" display="http://dx.doi.org/10.14529/hsm20s208"/>
    <hyperlink ref="BT8" r:id="rId13" tooltip="View Full Record in Web of Science" display="View Full Record in Web of Science"/>
    <hyperlink ref="BF9" r:id="rId14" tooltip="http://dx.doi.org/10.5281/zenodo.4316637" display="http://dx.doi.org/10.5281/zenodo.4316637"/>
    <hyperlink ref="BT9" r:id="rId15" tooltip="View Full Record in Web of Science" display="View Full Record in Web of Science"/>
    <hyperlink ref="BF10" r:id="rId16" tooltip="http://dx.doi.org/10.1007/978-3-030-39225-3_47" display="http://dx.doi.org/10.1007/978-3-030-39225-3_47"/>
    <hyperlink ref="BT10" r:id="rId17" tooltip="View Full Record in Web of Science" display="View Full Record in Web of Science"/>
    <hyperlink ref="BF11" r:id="rId18" tooltip="http://dx.doi.org/10.13187/ejced.2019.1.167" display="http://dx.doi.org/10.13187/ejced.2019.1.167"/>
    <hyperlink ref="BT11" r:id="rId19" tooltip="View Full Record in Web of Science" display="View Full Record in Web of Science"/>
    <hyperlink ref="BF12" r:id="rId20" tooltip="http://dx.doi.org/10.1088/1742-6596/1399/3/033094" display="http://dx.doi.org/10.1088/1742-6596/1399/3/033094"/>
    <hyperlink ref="BT12" r:id="rId21" tooltip="View Full Record in Web of Science" display="View Full Record in Web of Science"/>
    <hyperlink ref="BF13" r:id="rId22" tooltip="http://dx.doi.org/10.17223/23062061/16/9" display="http://dx.doi.org/10.17223/23062061/16/9"/>
    <hyperlink ref="BT13" r:id="rId23" tooltip="View Full Record in Web of Science" display="View Full Record in Web of Science"/>
    <hyperlink ref="BF14" r:id="rId24" tooltip="http://dx.doi.org/10.17853/1994-5639-2018-4-180-199" display="http://dx.doi.org/10.17853/1994-5639-2018-4-180-199"/>
    <hyperlink ref="BT14" r:id="rId25" tooltip="View Full Record in Web of Science" display="View Full Record in Web of Science"/>
    <hyperlink ref="BT15" r:id="rId26" tooltip="View Full Record in Web of Science" display="View Full Record in Web of Science"/>
    <hyperlink ref="BF16" r:id="rId27" tooltip="http://dx.doi.org/10.1088/1742-6596/1015/3/032059" display="http://dx.doi.org/10.1088/1742-6596/1015/3/032059"/>
    <hyperlink ref="BT16" r:id="rId28" tooltip="View Full Record in Web of Science" display="View Full Record in Web of Science"/>
    <hyperlink ref="BT17" r:id="rId29" tooltip="View Full Record in Web of Science" display="View Full Record in Web of Science"/>
    <hyperlink ref="BT18" r:id="rId30" tooltip="View Full Record in Web of Science" display="View Full Record in Web of Science"/>
    <hyperlink ref="BF19" r:id="rId31" tooltip="http://dx.doi.org/10.15405/epsbs.2017.08.02.55" display="http://dx.doi.org/10.15405/epsbs.2017.08.02.55"/>
    <hyperlink ref="BT19" r:id="rId32" tooltip="View Full Record in Web of Science" display="View Full Record in Web of Science"/>
    <hyperlink ref="BF20" r:id="rId33" tooltip="http://dx.doi.org/10.15405/epsbs.2016.07.8" display="http://dx.doi.org/10.15405/epsbs.2016.07.8"/>
    <hyperlink ref="BT20" r:id="rId34" tooltip="View Full Record in Web of Science" display="View Full Record in Web of Science"/>
    <hyperlink ref="BT21" r:id="rId35" tooltip="View Full Record in Web of Science" display="View Full Record in Web of Science"/>
    <hyperlink ref="BT22" r:id="rId36" tooltip="View Full Record in Web of Science" display="View Full Record in Web of Science"/>
    <hyperlink ref="BT23" r:id="rId37" tooltip="View Full Record in Web of Science" display="View Full Record in Web of Science"/>
    <hyperlink ref="BT24" r:id="rId38" tooltip="View Full Record in Web of Science" display="View Full Record in Web of Science"/>
    <hyperlink ref="BT25" r:id="rId39" tooltip="View Full Record in Web of Science" display="View Full Record in Web of Science"/>
    <hyperlink ref="BF26" r:id="rId40" tooltip="http://dx.doi.org/10.1023/B:TFCE.0000036967.86553.56" display="http://dx.doi.org/10.1023/B:TFCE.0000036967.86553.56"/>
    <hyperlink ref="BT26" r:id="rId41" tooltip="View Full Record in Web of Science" display="View Full Record in Web of Science"/>
    <hyperlink ref="BF27" r:id="rId42" tooltip="http://dx.doi.org/10.17853/1994-5639-2022-9-11-42" display="http://dx.doi.org/10.17853/1994-5639-2022-9-11-42"/>
    <hyperlink ref="BT27" r:id="rId43" tooltip="View Full Record in Web of Science" display="View Full Record in Web of Science"/>
    <hyperlink ref="BF28" r:id="rId44" tooltip="http://dx.doi.org/10.24874/IJQR16.03-20" display="http://dx.doi.org/10.24874/IJQR16.03-20"/>
    <hyperlink ref="BT28" r:id="rId45" tooltip="View Full Record in Web of Science" display="View Full Record in Web of Science"/>
    <hyperlink ref="BT29" r:id="rId46" tooltip="View Full Record in Web of Science" display="View Full Record in Web of Science"/>
    <hyperlink ref="BF30" r:id="rId47" tooltip="http://dx.doi.org/10.31166/VoprosyIstorii202010Staty165" display="http://dx.doi.org/10.31166/VoprosyIstorii202010Staty165"/>
    <hyperlink ref="BT30" r:id="rId48" tooltip="View Full Record in Web of Science" display="View Full Record in Web of Science"/>
    <hyperlink ref="BF31" r:id="rId49" tooltip="http://dx.doi.org/10.24874/IJQR14.02-12" display="http://dx.doi.org/10.24874/IJQR14.02-12"/>
    <hyperlink ref="BT31" r:id="rId50" tooltip="View Full Record in Web of Science" display="View Full Record in Web of Science"/>
    <hyperlink ref="BF32" r:id="rId51" tooltip="http://dx.doi.org/10.25750/1995-4301-2020-2-057-063" display="http://dx.doi.org/10.25750/1995-4301-2020-2-057-063"/>
    <hyperlink ref="BT32" r:id="rId52" tooltip="View Full Record in Web of Science" display="View Full Record in Web of Science"/>
    <hyperlink ref="BT33" r:id="rId53" tooltip="View Full Record in Web of Science" display="View Full Record in Web of Science"/>
    <hyperlink ref="BF34" r:id="rId54" tooltip="http://dx.doi.org/10.1007/978-3-030-39225-3_70" display="http://dx.doi.org/10.1007/978-3-030-39225-3_70"/>
    <hyperlink ref="BT34" r:id="rId55" tooltip="View Full Record in Web of Science" display="View Full Record in Web of Science"/>
    <hyperlink ref="BT35" r:id="rId56" tooltip="View Full Record in Web of Science" display="View Full Record in Web of Science"/>
    <hyperlink ref="BT36" r:id="rId57" tooltip="View Full Record in Web of Science" display="View Full Record in Web of Science"/>
    <hyperlink ref="BF37" r:id="rId58" tooltip="http://dx.doi.org/10.17223/23062061/18/8" display="http://dx.doi.org/10.17223/23062061/18/8"/>
    <hyperlink ref="BT37" r:id="rId59" tooltip="View Full Record in Web of Science" display="View Full Record in Web of Science"/>
    <hyperlink ref="BF38" r:id="rId60" tooltip="http://dx.doi.org/10.1134/S1070427218070182" display="http://dx.doi.org/10.1134/S1070427218070182"/>
    <hyperlink ref="BT38" r:id="rId61" tooltip="View Full Record in Web of Science" display="View Full Record in Web of Science"/>
    <hyperlink ref="BT39" r:id="rId62" tooltip="View Full Record in Web of Science" display="View Full Record in Web of Science"/>
    <hyperlink ref="BF40" r:id="rId63" tooltip="http://dx.doi.org/10.24833/2071-8160-2018-4-61-241-261" display="http://dx.doi.org/10.24833/2071-8160-2018-4-61-241-261"/>
    <hyperlink ref="BT40" r:id="rId64" tooltip="View Full Record in Web of Science" display="View Full Record in Web of Science"/>
    <hyperlink ref="BF41" r:id="rId65" tooltip="http://dx.doi.org/10.1007/978-3-319-60696-5_3" display="http://dx.doi.org/10.1007/978-3-319-60696-5_3"/>
    <hyperlink ref="BT41" r:id="rId66" tooltip="View Full Record in Web of Science" display="View Full Record in Web of Science"/>
    <hyperlink ref="BF42" r:id="rId67" tooltip="http://dx.doi.org/10.1007/978-3-319-60696-5_71" display="http://dx.doi.org/10.1007/978-3-319-60696-5_71"/>
    <hyperlink ref="BT42" r:id="rId68" tooltip="View Full Record in Web of Science" display="View Full Record in Web of Science"/>
    <hyperlink ref="BT43" r:id="rId69" tooltip="View Full Record in Web of Science" display="View Full Record in Web of Science"/>
    <hyperlink ref="BT44" r:id="rId70" tooltip="View Full Record in Web of Science" display="View Full Record in Web of Science"/>
    <hyperlink ref="BF45" r:id="rId71" tooltip="http://dx.doi.org/10.1023/A:1025776212553" display="http://dx.doi.org/10.1023/A:1025776212553"/>
    <hyperlink ref="BT45" r:id="rId72" tooltip="View Full Record in Web of Science" display="View Full Record in Web of Science"/>
    <hyperlink ref="BT46" r:id="rId73" tooltip="View Full Record in Web of Science" display="View Full Record in Web of Science"/>
    <hyperlink ref="BF47" r:id="rId74" tooltip="http://dx.doi.org/10.1139/er-2022-0081" display="http://dx.doi.org/10.1139/er-2022-0081"/>
    <hyperlink ref="BT47" r:id="rId75" tooltip="View Full Record in Web of Science" display="View Full Record in Web of Science"/>
    <hyperlink ref="BF48" r:id="rId76" tooltip="http://dx.doi.org/10.21638/spbu14.2022.102" display="http://dx.doi.org/10.21638/spbu14.2022.102"/>
    <hyperlink ref="BT48" r:id="rId77" tooltip="View Full Record in Web of Science" display="View Full Record in Web of Science"/>
    <hyperlink ref="BF49" r:id="rId78" tooltip="http://dx.doi.org/10.17223/22274200/22/2" display="http://dx.doi.org/10.17223/22274200/22/2"/>
    <hyperlink ref="BT49" r:id="rId79" tooltip="View Full Record in Web of Science" display="View Full Record in Web of Science"/>
    <hyperlink ref="BF50" r:id="rId80" tooltip="http://dx.doi.org/10.52254/1857-0070.2021.4-52.01" display="http://dx.doi.org/10.52254/1857-0070.2021.4-52.01"/>
    <hyperlink ref="BT50" r:id="rId81" tooltip="View Full Record in Web of Science" display="View Full Record in Web of Science"/>
    <hyperlink ref="BF51" r:id="rId82" tooltip="http://dx.doi.org/10.33407/itlt.v86i6.4320" display="http://dx.doi.org/10.33407/itlt.v86i6.4320"/>
    <hyperlink ref="BT51" r:id="rId83" tooltip="View Full Record in Web of Science" display="View Full Record in Web of Science"/>
    <hyperlink ref="BF52" r:id="rId84" tooltip="http://dx.doi.org/10.3390/w13010047" display="http://dx.doi.org/10.3390/w13010047"/>
    <hyperlink ref="BT52" r:id="rId85" tooltip="View Full Record in Web of Science" display="View Full Record in Web of Science"/>
    <hyperlink ref="BF53" r:id="rId86" tooltip="http://dx.doi.org/10.13187/ejced.2020.1.160" display="http://dx.doi.org/10.13187/ejced.2020.1.160"/>
    <hyperlink ref="BT53" r:id="rId87" tooltip="View Full Record in Web of Science" display="View Full Record in Web of Science"/>
    <hyperlink ref="BF54" r:id="rId88" tooltip="http://dx.doi.org/10.15561/26649837.2020.0606" display="http://dx.doi.org/10.15561/26649837.2020.0606"/>
    <hyperlink ref="BT54" r:id="rId89" tooltip="View Full Record in Web of Science" display="View Full Record in Web of Science"/>
    <hyperlink ref="BF55" r:id="rId90" tooltip="http://dx.doi.org/10.1134/S0869864319020112" display="http://dx.doi.org/10.1134/S0869864319020112"/>
    <hyperlink ref="BT55" r:id="rId91" tooltip="View Full Record in Web of Science" display="View Full Record in Web of Science"/>
    <hyperlink ref="BT56" r:id="rId92" tooltip="View Full Record in Web of Science" display="View Full Record in Web of Science"/>
    <hyperlink ref="BF57" r:id="rId93" tooltip="http://dx.doi.org/10.18720/MCE.89.6" display="http://dx.doi.org/10.18720/MCE.89.6"/>
    <hyperlink ref="BT57" r:id="rId94" tooltip="View Full Record in Web of Science" display="View Full Record in Web of Science"/>
    <hyperlink ref="BT58" r:id="rId95" tooltip="View Full Record in Web of Science" display="View Full Record in Web of Science"/>
    <hyperlink ref="BT59" r:id="rId96" tooltip="View Full Record in Web of Science" display="View Full Record in Web of Science"/>
    <hyperlink ref="BT60" r:id="rId97" tooltip="View Full Record in Web of Science" display="View Full Record in Web of Science"/>
    <hyperlink ref="BF61" r:id="rId98" tooltip="http://dx.doi.org/10.1134/S1023193512120051" display="http://dx.doi.org/10.1134/S1023193512120051"/>
    <hyperlink ref="BT61" r:id="rId99" tooltip="View Full Record in Web of Science" display="View Full Record in Web of Science"/>
    <hyperlink ref="BF62" r:id="rId100" tooltip="http://dx.doi.org/10.1134/S0036024411010286" display="http://dx.doi.org/10.1134/S0036024411010286"/>
    <hyperlink ref="BT62" r:id="rId101" tooltip="View Full Record in Web of Science" display="View Full Record in Web of Science"/>
    <hyperlink ref="BF63" r:id="rId102" tooltip="http://dx.doi.org/10.25750/1995-4301-2022-4-119-123" display="http://dx.doi.org/10.25750/1995-4301-2022-4-119-123"/>
    <hyperlink ref="BT63" r:id="rId103" tooltip="View Full Record in Web of Science" display="View Full Record in Web of Science"/>
    <hyperlink ref="BF64" r:id="rId104" tooltip="http://dx.doi.org/10.15688/jvolsu4.2022.2.8" display="http://dx.doi.org/10.15688/jvolsu4.2022.2.8"/>
    <hyperlink ref="BT64" r:id="rId105" tooltip="View Full Record in Web of Science" display="View Full Record in Web of Science"/>
    <hyperlink ref="BF65" r:id="rId106" tooltip="http://dx.doi.org/10.15826/qr.2022.5.755" display="http://dx.doi.org/10.15826/qr.2022.5.755"/>
    <hyperlink ref="BT65" r:id="rId107" tooltip="View Full Record in Web of Science" display="View Full Record in Web of Science"/>
    <hyperlink ref="BF66" r:id="rId108" tooltip="http://dx.doi.org/10.1134/S0036029520020032" display="http://dx.doi.org/10.1134/S0036029520020032"/>
    <hyperlink ref="BT66" r:id="rId109" tooltip="View Full Record in Web of Science" display="View Full Record in Web of Science"/>
    <hyperlink ref="BF67" r:id="rId110" tooltip="http://dx.doi.org/10.17759/psylaw.2020100115" display="http://dx.doi.org/10.17759/psylaw.2020100115"/>
    <hyperlink ref="BT67" r:id="rId111" tooltip="View Full Record in Web of Science" display="View Full Record in Web of Science"/>
    <hyperlink ref="BF68" r:id="rId112" tooltip="http://dx.doi.org/10.24224/2227-1295-2020-1-400-421" display="http://dx.doi.org/10.24224/2227-1295-2020-1-400-421"/>
    <hyperlink ref="BT68" r:id="rId113" tooltip="View Full Record in Web of Science" display="View Full Record in Web of Science"/>
    <hyperlink ref="BF69" r:id="rId114" tooltip="http://dx.doi.org/10.18254/S207987840013183-0" display="http://dx.doi.org/10.18254/S207987840013183-0"/>
    <hyperlink ref="BT69" r:id="rId115" tooltip="View Full Record in Web of Science" display="View Full Record in Web of Science"/>
    <hyperlink ref="BF70" r:id="rId116" tooltip="http://dx.doi.org/10.1134/S1062359019060116" display="http://dx.doi.org/10.1134/S1062359019060116"/>
    <hyperlink ref="BT70" r:id="rId117" tooltip="View Full Record in Web of Science" display="View Full Record in Web of Science"/>
    <hyperlink ref="BF71" r:id="rId118" tooltip="http://dx.doi.org/10.25750/1995-4301-2019-3-087-094" display="http://dx.doi.org/10.25750/1995-4301-2019-3-087-094"/>
    <hyperlink ref="BT71" r:id="rId119" tooltip="View Full Record in Web of Science" display="View Full Record in Web of Science"/>
    <hyperlink ref="BT72" r:id="rId120" tooltip="View Full Record in Web of Science" display="View Full Record in Web of Science"/>
    <hyperlink ref="BF73" r:id="rId121" tooltip="http://dx.doi.org/10.1134/S0031918X18070098" display="http://dx.doi.org/10.1134/S0031918X18070098"/>
    <hyperlink ref="BT73" r:id="rId122" tooltip="View Full Record in Web of Science" display="View Full Record in Web of Science"/>
    <hyperlink ref="BF74" r:id="rId123" tooltip="http://dx.doi.org/10.17223/15617793/429/20" display="http://dx.doi.org/10.17223/15617793/429/20"/>
    <hyperlink ref="BT74" r:id="rId124" tooltip="View Full Record in Web of Science" display="View Full Record in Web of Science"/>
    <hyperlink ref="BT75" r:id="rId125" tooltip="View Full Record in Web of Science" display="View Full Record in Web of Science"/>
    <hyperlink ref="BT76" r:id="rId126" tooltip="View Full Record in Web of Science" display="View Full Record in Web of Science"/>
    <hyperlink ref="BT77" r:id="rId127" tooltip="View Full Record in Web of Science" display="View Full Record in Web of Science"/>
    <hyperlink ref="BT78" r:id="rId128" tooltip="View Full Record in Web of Science" display="View Full Record in Web of Science"/>
    <hyperlink ref="BT79" r:id="rId129" tooltip="View Full Record in Web of Science" display="View Full Record in Web of Science"/>
    <hyperlink ref="BF80" r:id="rId130" tooltip="http://dx.doi.org/10.17223/15617793/464/24" display="http://dx.doi.org/10.17223/15617793/464/24"/>
    <hyperlink ref="BT80" r:id="rId131" tooltip="View Full Record in Web of Science" display="View Full Record in Web of Science"/>
    <hyperlink ref="BF81" r:id="rId132" tooltip="http://dx.doi.org/10.1016/j.matpr.2020.08.165" display="http://dx.doi.org/10.1016/j.matpr.2020.08.165"/>
    <hyperlink ref="BT81" r:id="rId133" tooltip="View Full Record in Web of Science" display="View Full Record in Web of Science"/>
    <hyperlink ref="BF82" r:id="rId134" tooltip="http://dx.doi.org/10.31166/VoprosyIstorii202201Statyi02" display="http://dx.doi.org/10.31166/VoprosyIstorii202201Statyi02"/>
    <hyperlink ref="BT82" r:id="rId135" tooltip="View Full Record in Web of Science" display="View Full Record in Web of Science"/>
    <hyperlink ref="BF83" r:id="rId136" tooltip="http://dx.doi.org/10.15826/qr.2021.3.628" display="http://dx.doi.org/10.15826/qr.2021.3.628"/>
    <hyperlink ref="BT83" r:id="rId137" tooltip="View Full Record in Web of Science" display="View Full Record in Web of Science"/>
    <hyperlink ref="BF84" r:id="rId138" tooltip="http://dx.doi.org/10.1134/S1995425520030105" display="http://dx.doi.org/10.1134/S1995425520030105"/>
    <hyperlink ref="BT84" r:id="rId139" tooltip="View Full Record in Web of Science" display="View Full Record in Web of Science"/>
    <hyperlink ref="BF85" r:id="rId140" tooltip="http://dx.doi.org/10.1109/ITNT49337.2020.9253206" display="http://dx.doi.org/10.1109/ITNT49337.2020.9253206"/>
    <hyperlink ref="BT85" r:id="rId141" tooltip="View Full Record in Web of Science" display="View Full Record in Web of Science"/>
    <hyperlink ref="BF86" r:id="rId142" tooltip="http://dx.doi.org/10.1007/978-3-030-22041-9_80" display="http://dx.doi.org/10.1007/978-3-030-22041-9_80"/>
    <hyperlink ref="BT86" r:id="rId143" tooltip="View Full Record in Web of Science" display="View Full Record in Web of Science"/>
    <hyperlink ref="BF87" r:id="rId144" tooltip="http://dx.doi.org/10.13187/ejced.2019.3.613" display="http://dx.doi.org/10.13187/ejced.2019.3.613"/>
    <hyperlink ref="BT87" r:id="rId145" tooltip="View Full Record in Web of Science" display="View Full Record in Web of Science"/>
    <hyperlink ref="BF88" r:id="rId146" tooltip="http://dx.doi.org/10.17853/1994-5639-2019-7-164-202" display="http://dx.doi.org/10.17853/1994-5639-2019-7-164-202"/>
    <hyperlink ref="BT88" r:id="rId147" tooltip="View Full Record in Web of Science" display="View Full Record in Web of Science"/>
    <hyperlink ref="BF89" r:id="rId148" tooltip="http://dx.doi.org/10.17223/15617793/441/6" display="http://dx.doi.org/10.17223/15617793/441/6"/>
    <hyperlink ref="BT89" r:id="rId149" tooltip="View Full Record in Web of Science" display="View Full Record in Web of Science"/>
    <hyperlink ref="BT90" r:id="rId150" tooltip="View Full Record in Web of Science" display="View Full Record in Web of Science"/>
    <hyperlink ref="BF91" r:id="rId151" tooltip="http://dx.doi.org/10.6060/ivkkt.20196209.5920" display="http://dx.doi.org/10.6060/ivkkt.20196209.5920"/>
    <hyperlink ref="BT91" r:id="rId152" tooltip="View Full Record in Web of Science" display="View Full Record in Web of Science"/>
    <hyperlink ref="BT92" r:id="rId153" tooltip="View Full Record in Web of Science" display="View Full Record in Web of Science"/>
    <hyperlink ref="BF93" r:id="rId154" tooltip="http://dx.doi.org/10.15561/20755279.2018.0101" display="http://dx.doi.org/10.15561/20755279.2018.0101"/>
    <hyperlink ref="BT93" r:id="rId155" tooltip="View Full Record in Web of Science" display="View Full Record in Web of Science"/>
    <hyperlink ref="BF94" r:id="rId156" tooltip="http://dx.doi.org/10.1088/1742-6596/944/1/012089" display="http://dx.doi.org/10.1088/1742-6596/944/1/012089"/>
    <hyperlink ref="BT94" r:id="rId157" tooltip="View Full Record in Web of Science" display="View Full Record in Web of Science"/>
    <hyperlink ref="BF95" r:id="rId158" tooltip="http://dx.doi.org/10.13187/bg.2018.4.1725" display="http://dx.doi.org/10.13187/bg.2018.4.1725"/>
    <hyperlink ref="BT95" r:id="rId159" tooltip="View Full Record in Web of Science" display="View Full Record in Web of Science"/>
    <hyperlink ref="BF96" r:id="rId160" tooltip="http://dx.doi.org/10.1016/j.proeng.2017.10.716" display="http://dx.doi.org/10.1016/j.proeng.2017.10.716"/>
    <hyperlink ref="BT96" r:id="rId161" tooltip="View Full Record in Web of Science" display="View Full Record in Web of Science"/>
    <hyperlink ref="BT97" r:id="rId162" tooltip="View Full Record in Web of Science" display="View Full Record in Web of Science"/>
    <hyperlink ref="BF98" r:id="rId163" tooltip="http://dx.doi.org/10.1109/EnT.2016.23" display="http://dx.doi.org/10.1109/EnT.2016.23"/>
    <hyperlink ref="BT98" r:id="rId164" tooltip="View Full Record in Web of Science" display="View Full Record in Web of Science"/>
    <hyperlink ref="BF99" r:id="rId165" tooltip="http://dx.doi.org/10.1007/s11041-015-9821-6" display="http://dx.doi.org/10.1007/s11041-015-9821-6"/>
    <hyperlink ref="BT99" r:id="rId166" tooltip="View Full Record in Web of Science" display="View Full Record in Web of Science"/>
    <hyperlink ref="BF100" r:id="rId167" tooltip="http://dx.doi.org/10.1109/EMS.2014.71" display="http://dx.doi.org/10.1109/EMS.2014.71"/>
    <hyperlink ref="BT100" r:id="rId168" tooltip="View Full Record in Web of Science" display="View Full Record in Web of Science"/>
    <hyperlink ref="BT101" r:id="rId169" tooltip="View Full Record in Web of Science" display="View Full Record in Web of Science"/>
    <hyperlink ref="BF102" r:id="rId170" tooltip="http://dx.doi.org/10.1134/S0003683813030150" display="http://dx.doi.org/10.1134/S0003683813030150"/>
    <hyperlink ref="BT102" r:id="rId171" tooltip="View Full Record in Web of Science" display="View Full Record in Web of Science"/>
    <hyperlink ref="BT103" r:id="rId172" tooltip="View Full Record in Web of Science" display="View Full Record in Web of Science"/>
    <hyperlink ref="BF104" r:id="rId173" tooltip="http://dx.doi.org/10.1134/S1070427212050195" display="http://dx.doi.org/10.1134/S1070427212050195"/>
    <hyperlink ref="BT104" r:id="rId174" tooltip="View Full Record in Web of Science" display="View Full Record in Web of Science"/>
    <hyperlink ref="BF105" r:id="rId175" tooltip="http://dx.doi.org/10.1134/S0001434609050198" display="http://dx.doi.org/10.1134/S0001434609050198"/>
    <hyperlink ref="BT105" r:id="rId176" tooltip="View Full Record in Web of Science" display="View Full Record in Web of Science"/>
    <hyperlink ref="BF106" r:id="rId177" tooltip="http://dx.doi.org/10.1134/S0003683807040072" display="http://dx.doi.org/10.1134/S0003683807040072"/>
    <hyperlink ref="BT106" r:id="rId178" tooltip="View Full Record in Web of Science" display="View Full Record in Web of Science"/>
    <hyperlink ref="BF107" r:id="rId179" tooltip="http://dx.doi.org/10.1134/S002626170603012X" display="http://dx.doi.org/10.1134/S002626170603012X"/>
    <hyperlink ref="BT107" r:id="rId180" tooltip="View Full Record in Web of Science" display="View Full Record in Web of Science"/>
    <hyperlink ref="BF108" r:id="rId181" tooltip="http://dx.doi.org/10.1023/A:1012394524649" display="http://dx.doi.org/10.1023/A:1012394524649"/>
    <hyperlink ref="BT108" r:id="rId182" tooltip="View Full Record in Web of Science" display="View Full Record in Web of Science"/>
    <hyperlink ref="BF109" r:id="rId183" tooltip="http://dx.doi.org/10.1007/BF02467476" display="http://dx.doi.org/10.1007/BF02467476"/>
    <hyperlink ref="BT109" r:id="rId184" tooltip="View Full Record in Web of Science" display="View Full Record in Web of Science"/>
    <hyperlink ref="BT110" r:id="rId185" tooltip="View Full Record in Web of Science" display="View Full Record in Web of Science"/>
    <hyperlink ref="BF111" r:id="rId186" tooltip="http://dx.doi.org/10.3103/S0005105522030037" display="http://dx.doi.org/10.3103/S0005105522030037"/>
    <hyperlink ref="BT111" r:id="rId187" tooltip="View Full Record in Web of Science" display="View Full Record in Web of Science"/>
    <hyperlink ref="BF112" r:id="rId188" tooltip="http://dx.doi.org/10.17223/15617793/468/24" display="http://dx.doi.org/10.17223/15617793/468/24"/>
    <hyperlink ref="BT112" r:id="rId189" tooltip="View Full Record in Web of Science" display="View Full Record in Web of Science"/>
    <hyperlink ref="BF113" r:id="rId190" tooltip="http://dx.doi.org/10.3103/S0147688221020064" display="http://dx.doi.org/10.3103/S0147688221020064"/>
    <hyperlink ref="BT113" r:id="rId191" tooltip="View Full Record in Web of Science" display="View Full Record in Web of Science"/>
    <hyperlink ref="BF114" r:id="rId192" tooltip="http://dx.doi.org/10.1109/SIBCON50419.2021.9438922" display="http://dx.doi.org/10.1109/SIBCON50419.2021.9438922"/>
    <hyperlink ref="BT114" r:id="rId193" tooltip="View Full Record in Web of Science" display="View Full Record in Web of Science"/>
    <hyperlink ref="BF115" r:id="rId194" tooltip="http://dx.doi.org/10.15405/epsbs.2021.07.02.40" display="http://dx.doi.org/10.15405/epsbs.2021.07.02.40"/>
    <hyperlink ref="BT115" r:id="rId195" tooltip="View Full Record in Web of Science" display="View Full Record in Web of Science"/>
    <hyperlink ref="BF116" r:id="rId196" tooltip="http://dx.doi.org/10.1134/S1995080220090255" display="http://dx.doi.org/10.1134/S1995080220090255"/>
    <hyperlink ref="BT116" r:id="rId197" tooltip="View Full Record in Web of Science" display="View Full Record in Web of Science"/>
    <hyperlink ref="BF117" r:id="rId198" tooltip="http://dx.doi.org/10.37358/mp.20.1.5313" display="http://dx.doi.org/10.37358/mp.20.1.5313"/>
    <hyperlink ref="BT117" r:id="rId199" tooltip="View Full Record in Web of Science" display="View Full Record in Web of Science"/>
    <hyperlink ref="BF118" r:id="rId200" tooltip="http://dx.doi.org/10.6060/ivkkt.20206301.6051" display="http://dx.doi.org/10.6060/ivkkt.20206301.6051"/>
    <hyperlink ref="BT118" r:id="rId201" tooltip="View Full Record in Web of Science" display="View Full Record in Web of Science"/>
    <hyperlink ref="BF119" r:id="rId202" tooltip="http://dx.doi.org/10.1007/978-3-030-22041-9_113" display="http://dx.doi.org/10.1007/978-3-030-22041-9_113"/>
    <hyperlink ref="BT119" r:id="rId203" tooltip="View Full Record in Web of Science" display="View Full Record in Web of Science"/>
    <hyperlink ref="BT120" r:id="rId204" tooltip="View Full Record in Web of Science" display="View Full Record in Web of Science"/>
    <hyperlink ref="BF121" r:id="rId205" tooltip="http://dx.doi.org/10.17223/19988613/62/9" display="http://dx.doi.org/10.17223/19988613/62/9"/>
    <hyperlink ref="BT121" r:id="rId206" tooltip="View Full Record in Web of Science" display="View Full Record in Web of Science"/>
    <hyperlink ref="BF122" r:id="rId207" tooltip="http://dx.doi.org/10.25789/YMJ.2018.64.17" display="http://dx.doi.org/10.25789/YMJ.2018.64.17"/>
    <hyperlink ref="BT122" r:id="rId208" tooltip="View Full Record in Web of Science" display="View Full Record in Web of Science"/>
    <hyperlink ref="BT123" r:id="rId209" tooltip="View Full Record in Web of Science" display="View Full Record in Web of Science"/>
    <hyperlink ref="BT124" r:id="rId210" tooltip="View Full Record in Web of Science" display="View Full Record in Web of Science"/>
    <hyperlink ref="BT125" r:id="rId211" tooltip="View Full Record in Web of Science" display="View Full Record in Web of Science"/>
    <hyperlink ref="BT126" r:id="rId212" tooltip="View Full Record in Web of Science" display="View Full Record in Web of Science"/>
    <hyperlink ref="BF127" r:id="rId213" tooltip="http://dx.doi.org/10.1134/S1070427211120263" display="http://dx.doi.org/10.1134/S1070427211120263"/>
    <hyperlink ref="BT127" r:id="rId214" tooltip="View Full Record in Web of Science" display="View Full Record in Web of Science"/>
    <hyperlink ref="BF128" r:id="rId215" tooltip="http://dx.doi.org/10.1134/S1070427208100133" display="http://dx.doi.org/10.1134/S1070427208100133"/>
    <hyperlink ref="BT128" r:id="rId216" tooltip="View Full Record in Web of Science" display="View Full Record in Web of Science"/>
    <hyperlink ref="BF129" r:id="rId217" tooltip="http://dx.doi.org/10.1134/S0040579508040040" display="http://dx.doi.org/10.1134/S0040579508040040"/>
    <hyperlink ref="BT129" r:id="rId218" tooltip="View Full Record in Web of Science" display="View Full Record in Web of Science"/>
    <hyperlink ref="BT130" r:id="rId219" tooltip="View Full Record in Web of Science" display="View Full Record in Web of Science"/>
    <hyperlink ref="BF131" r:id="rId220" tooltip="http://dx.doi.org/10.1117/12.783049" display="http://dx.doi.org/10.1117/12.783049"/>
    <hyperlink ref="BT131" r:id="rId221" tooltip="View Full Record in Web of Science" display="View Full Record in Web of Science"/>
    <hyperlink ref="BF132" r:id="rId222" tooltip="http://dx.doi.org/10.1016/j.quaint.2006.02.018" display="http://dx.doi.org/10.1016/j.quaint.2006.02.018"/>
    <hyperlink ref="BT132" r:id="rId223" tooltip="View Full Record in Web of Science" display="View Full Record in Web of Science"/>
    <hyperlink ref="BF133" r:id="rId224" tooltip="http://dx.doi.org/10.1134/S0036024406030241" display="http://dx.doi.org/10.1134/S0036024406030241"/>
    <hyperlink ref="BT133" r:id="rId225" tooltip="View Full Record in Web of Science" display="View Full Record in Web of Science"/>
    <hyperlink ref="BF134" r:id="rId226" tooltip="http://dx.doi.org/10.52254/1857-0070.2021.4-52.10" display="http://dx.doi.org/10.52254/1857-0070.2021.4-52.10"/>
    <hyperlink ref="BT134" r:id="rId227" tooltip="View Full Record in Web of Science" display="View Full Record in Web of Science"/>
    <hyperlink ref="BF135" r:id="rId228" tooltip="http://dx.doi.org/10.1051/bioconf/20202400073" display="http://dx.doi.org/10.1051/bioconf/20202400073"/>
    <hyperlink ref="BT135" r:id="rId229" tooltip="View Full Record in Web of Science" display="View Full Record in Web of Science"/>
    <hyperlink ref="BT136" r:id="rId230" tooltip="View Full Record in Web of Science" display="View Full Record in Web of Science"/>
    <hyperlink ref="BF137" r:id="rId231" tooltip="http://dx.doi.org/10.1051/e3sconf/201911002026" display="http://dx.doi.org/10.1051/e3sconf/201911002026"/>
    <hyperlink ref="BT137" r:id="rId232" tooltip="View Full Record in Web of Science" display="View Full Record in Web of Science"/>
    <hyperlink ref="BF138" r:id="rId233" tooltip="http://dx.doi.org/10.13187/ejced.2018.2.275" display="http://dx.doi.org/10.13187/ejced.2018.2.275"/>
    <hyperlink ref="BT138" r:id="rId234" tooltip="View Full Record in Web of Science" display="View Full Record in Web of Science"/>
    <hyperlink ref="BT139" r:id="rId235" tooltip="View Full Record in Web of Science" display="View Full Record in Web of Science"/>
    <hyperlink ref="BF140" r:id="rId236" tooltip="http://dx.doi.org/10.25750/1995-4301-2018-3-019-026" display="http://dx.doi.org/10.25750/1995-4301-2018-3-019-026"/>
    <hyperlink ref="BT140" r:id="rId237" tooltip="View Full Record in Web of Science" display="View Full Record in Web of Science"/>
    <hyperlink ref="BT141" r:id="rId238" tooltip="View Full Record in Web of Science" display="View Full Record in Web of Science"/>
    <hyperlink ref="BT142" r:id="rId239" tooltip="View Full Record in Web of Science" display="View Full Record in Web of Science"/>
    <hyperlink ref="BF143" r:id="rId240" tooltip="http://dx.doi.org/10.1051/matecconf/201712901013" display="http://dx.doi.org/10.1051/matecconf/201712901013"/>
    <hyperlink ref="BT143" r:id="rId241" tooltip="View Full Record in Web of Science" display="View Full Record in Web of Science"/>
    <hyperlink ref="BT144" r:id="rId242" tooltip="View Full Record in Web of Science" display="View Full Record in Web of Science"/>
    <hyperlink ref="BT145" r:id="rId243" tooltip="View Full Record in Web of Science" display="View Full Record in Web of Science"/>
    <hyperlink ref="BF146" r:id="rId244" tooltip="http://dx.doi.org/10.1007/978-3-319-41920-6_12" display="http://dx.doi.org/10.1007/978-3-319-41920-6_12"/>
    <hyperlink ref="BT146" r:id="rId245" tooltip="View Full Record in Web of Science" display="View Full Record in Web of Science"/>
    <hyperlink ref="BF147" r:id="rId246" tooltip="http://dx.doi.org/10.1007/978-3-319-33625-1_19" display="http://dx.doi.org/10.1007/978-3-319-33625-1_19"/>
    <hyperlink ref="BT147" r:id="rId247" tooltip="View Full Record in Web of Science" display="View Full Record in Web of Science"/>
    <hyperlink ref="BT148" r:id="rId248" tooltip="View Full Record in Web of Science" display="View Full Record in Web of Science"/>
    <hyperlink ref="BF149" r:id="rId249" tooltip="http://dx.doi.org/10.1134/S0036024411030204" display="http://dx.doi.org/10.1134/S0036024411030204"/>
    <hyperlink ref="BT149" r:id="rId250" tooltip="View Full Record in Web of Science" display="View Full Record in Web of Science"/>
    <hyperlink ref="BF150" r:id="rId251" tooltip="http://dx.doi.org/10.12911/22998993/148148" display="http://dx.doi.org/10.12911/22998993/148148"/>
    <hyperlink ref="BT150" r:id="rId252" tooltip="View Full Record in Web of Science" display="View Full Record in Web of Science"/>
    <hyperlink ref="BF151" r:id="rId253" tooltip="http://dx.doi.org/10.1007/978-3-030-70194-9_33" display="http://dx.doi.org/10.1007/978-3-030-70194-9_33"/>
    <hyperlink ref="BT151" r:id="rId254" tooltip="View Full Record in Web of Science" display="View Full Record in Web of Science"/>
    <hyperlink ref="BF152" r:id="rId255" tooltip="http://dx.doi.org/10.17223/1998863X/50/6" display="http://dx.doi.org/10.17223/1998863X/50/6"/>
    <hyperlink ref="BT152" r:id="rId256" tooltip="View Full Record in Web of Science" display="View Full Record in Web of Science"/>
    <hyperlink ref="BF153" r:id="rId257" tooltip="http://dx.doi.org/10.3103/S0147688219020096" display="http://dx.doi.org/10.3103/S0147688219020096"/>
    <hyperlink ref="BT153" r:id="rId258" tooltip="View Full Record in Web of Science" display="View Full Record in Web of Science"/>
    <hyperlink ref="BF154" r:id="rId259" tooltip="http://dx.doi.org/10.3897/ap.1.e0698" display="http://dx.doi.org/10.3897/ap.1.e0698"/>
    <hyperlink ref="BT154" r:id="rId260" tooltip="View Full Record in Web of Science" display="View Full Record in Web of Science"/>
    <hyperlink ref="BT155" r:id="rId261" tooltip="View Full Record in Web of Science" display="View Full Record in Web of Science"/>
    <hyperlink ref="BT156" r:id="rId262" tooltip="View Full Record in Web of Science" display="View Full Record in Web of Science"/>
    <hyperlink ref="BT157" r:id="rId263" tooltip="View Full Record in Web of Science" display="View Full Record in Web of Science"/>
    <hyperlink ref="BF158" r:id="rId264" tooltip="http://dx.doi.org/10.25750/1995-4301-2018-4-108-113" display="http://dx.doi.org/10.25750/1995-4301-2018-4-108-113"/>
    <hyperlink ref="BT158" r:id="rId265" tooltip="View Full Record in Web of Science" display="View Full Record in Web of Science"/>
    <hyperlink ref="BF159" r:id="rId266" tooltip="http://dx.doi.org/10.1134/S1064230715060106" display="http://dx.doi.org/10.1134/S1064230715060106"/>
    <hyperlink ref="BT159" r:id="rId267" tooltip="View Full Record in Web of Science" display="View Full Record in Web of Science"/>
    <hyperlink ref="BT160" r:id="rId268" tooltip="View Full Record in Web of Science" display="View Full Record in Web of Science"/>
    <hyperlink ref="BT161" r:id="rId269" tooltip="View Full Record in Web of Science" display="View Full Record in Web of Science"/>
    <hyperlink ref="BF162" r:id="rId270" tooltip="http://dx.doi.org/10.1134/S1070427212080101" display="http://dx.doi.org/10.1134/S1070427212080101"/>
    <hyperlink ref="BT162" r:id="rId271" tooltip="View Full Record in Web of Science" display="View Full Record in Web of Science"/>
    <hyperlink ref="BT163" r:id="rId272" tooltip="View Full Record in Web of Science" display="View Full Record in Web of Science"/>
    <hyperlink ref="BT164" r:id="rId273" tooltip="View Full Record in Web of Science" display="View Full Record in Web of Science"/>
    <hyperlink ref="BT165" r:id="rId274" tooltip="View Full Record in Web of Science" display="View Full Record in Web of Science"/>
    <hyperlink ref="BT166" r:id="rId275" tooltip="View Full Record in Web of Science" display="View Full Record in Web of Science"/>
    <hyperlink ref="BF167" r:id="rId276" tooltip="http://dx.doi.org/10.31166/VoprosyIstorii202106Statyi39" display="http://dx.doi.org/10.31166/VoprosyIstorii202106Statyi39"/>
    <hyperlink ref="BT167" r:id="rId277" tooltip="View Full Record in Web of Science" display="View Full Record in Web of Science"/>
    <hyperlink ref="BF168" r:id="rId278" tooltip="http://dx.doi.org/10.34910/MCE.107.7" display="http://dx.doi.org/10.34910/MCE.107.7"/>
    <hyperlink ref="BT168" r:id="rId279" tooltip="View Full Record in Web of Science" display="View Full Record in Web of Science"/>
    <hyperlink ref="BF169" r:id="rId280" tooltip="http://dx.doi.org/10.1007/978-3-030-39225-3_65" display="http://dx.doi.org/10.1007/978-3-030-39225-3_65"/>
    <hyperlink ref="BT169" r:id="rId281" tooltip="View Full Record in Web of Science" display="View Full Record in Web of Science"/>
    <hyperlink ref="BF170" r:id="rId282" tooltip="http://dx.doi.org/10.31166/VoprosyIstorii202006Statyi08" display="http://dx.doi.org/10.31166/VoprosyIstorii202006Statyi08"/>
    <hyperlink ref="BT170" r:id="rId283" tooltip="View Full Record in Web of Science" display="View Full Record in Web of Science"/>
    <hyperlink ref="BF171" r:id="rId284" tooltip="http://dx.doi.org/10.1088/1757-899X/971/3/032024" display="http://dx.doi.org/10.1088/1757-899X/971/3/032024"/>
    <hyperlink ref="BT171" r:id="rId285" tooltip="View Full Record in Web of Science" display="View Full Record in Web of Science"/>
    <hyperlink ref="BF172" r:id="rId286" tooltip="http://dx.doi.org/10.24411/2500-2872-2020-10030" display="http://dx.doi.org/10.24411/2500-2872-2020-10030"/>
    <hyperlink ref="BT172" r:id="rId287" tooltip="View Full Record in Web of Science" display="View Full Record in Web of Science"/>
    <hyperlink ref="BF173" r:id="rId288" tooltip="http://dx.doi.org/10.13187/ejced.2019.2.357" display="http://dx.doi.org/10.13187/ejced.2019.2.357"/>
    <hyperlink ref="BT173" r:id="rId289" tooltip="View Full Record in Web of Science" display="View Full Record in Web of Science"/>
    <hyperlink ref="BF174" r:id="rId290" tooltip="http://dx.doi.org/10.1007/978-3-030-37334-4_12" display="http://dx.doi.org/10.1007/978-3-030-37334-4_12"/>
    <hyperlink ref="BT174" r:id="rId291" tooltip="View Full Record in Web of Science" display="View Full Record in Web of Science"/>
    <hyperlink ref="BF175" r:id="rId292" tooltip="http://dx.doi.org/10.1134/S0869864319010074" display="http://dx.doi.org/10.1134/S0869864319010074"/>
    <hyperlink ref="BT175" r:id="rId293" tooltip="View Full Record in Web of Science" display="View Full Record in Web of Science"/>
    <hyperlink ref="BT176" r:id="rId294" tooltip="View Full Record in Web of Science" display="View Full Record in Web of Science"/>
    <hyperlink ref="BF177" r:id="rId295" tooltip="http://dx.doi.org/10.1134/S0036029518080049" display="http://dx.doi.org/10.1134/S0036029518080049"/>
    <hyperlink ref="BT177" r:id="rId296" tooltip="View Full Record in Web of Science" display="View Full Record in Web of Science"/>
    <hyperlink ref="BF178" r:id="rId297" tooltip="http://dx.doi.org/10.22631/ijaep.v7i2.268" display="http://dx.doi.org/10.22631/ijaep.v7i2.268"/>
    <hyperlink ref="BT178" r:id="rId298" tooltip="View Full Record in Web of Science" display="View Full Record in Web of Science"/>
    <hyperlink ref="BF179" r:id="rId299" tooltip="http://dx.doi.org/10.17223/2312461X/19/9" display="http://dx.doi.org/10.17223/2312461X/19/9"/>
    <hyperlink ref="BT179" r:id="rId300" tooltip="View Full Record in Web of Science" display="View Full Record in Web of Science"/>
    <hyperlink ref="BT180" r:id="rId301" tooltip="View Full Record in Web of Science" display="View Full Record in Web of Science"/>
    <hyperlink ref="BT181" r:id="rId302" tooltip="View Full Record in Web of Science" display="View Full Record in Web of Science"/>
    <hyperlink ref="BT182" r:id="rId303" tooltip="View Full Record in Web of Science" display="View Full Record in Web of Science"/>
    <hyperlink ref="BF183" r:id="rId304" tooltip="http://dx.doi.org/10.1088/1755-1315/41/1/012024" display="http://dx.doi.org/10.1088/1755-1315/41/1/012024"/>
    <hyperlink ref="BT183" r:id="rId305" tooltip="View Full Record in Web of Science" display="View Full Record in Web of Science"/>
    <hyperlink ref="BT184" r:id="rId306" tooltip="View Full Record in Web of Science" display="View Full Record in Web of Science"/>
    <hyperlink ref="BF185" r:id="rId307" tooltip="http://dx.doi.org/10.1134/S0036024409030169" display="http://dx.doi.org/10.1134/S0036024409030169"/>
    <hyperlink ref="BT185" r:id="rId308" tooltip="View Full Record in Web of Science" display="View Full Record in Web of Science"/>
    <hyperlink ref="BF186" r:id="rId309" tooltip="http://dx.doi.org/10.1007/s11041-006-0113-z" display="http://dx.doi.org/10.1007/s11041-006-0113-z"/>
    <hyperlink ref="BT186" r:id="rId310" tooltip="View Full Record in Web of Science" display="View Full Record in Web of Science"/>
    <hyperlink ref="BT187" r:id="rId311" tooltip="View Full Record in Web of Science" display="View Full Record in Web of Science"/>
    <hyperlink ref="BT188" r:id="rId312" tooltip="View Full Record in Web of Science" display="View Full Record in Web of Science"/>
    <hyperlink ref="BF189" r:id="rId313" tooltip="http://dx.doi.org/10.15507/2658-4123.031.202103.349-363" display="http://dx.doi.org/10.15507/2658-4123.031.202103.349-363"/>
    <hyperlink ref="BT189" r:id="rId314" tooltip="View Full Record in Web of Science" display="View Full Record in Web of Science"/>
    <hyperlink ref="BF190" r:id="rId315" tooltip="http://dx.doi.org/10.1088/1757-899X/962/2/022047" display="http://dx.doi.org/10.1088/1757-899X/962/2/022047"/>
    <hyperlink ref="BT190" r:id="rId316" tooltip="View Full Record in Web of Science" display="View Full Record in Web of Science"/>
    <hyperlink ref="BT191" r:id="rId317" tooltip="View Full Record in Web of Science" display="View Full Record in Web of Science"/>
    <hyperlink ref="BF192" r:id="rId318" tooltip="http://dx.doi.org/10.1108/OTH-07-2019-0041" display="http://dx.doi.org/10.1108/OTH-07-2019-0041"/>
    <hyperlink ref="BT192" r:id="rId319" tooltip="View Full Record in Web of Science" display="View Full Record in Web of Science"/>
    <hyperlink ref="BF193" r:id="rId320" tooltip="http://dx.doi.org/10.33186/1027-3689-2019-12-100-119" display="http://dx.doi.org/10.33186/1027-3689-2019-12-100-119"/>
    <hyperlink ref="BT193" r:id="rId321" tooltip="View Full Record in Web of Science" display="View Full Record in Web of Science"/>
    <hyperlink ref="BT194" r:id="rId322" tooltip="View Full Record in Web of Science" display="View Full Record in Web of Science"/>
    <hyperlink ref="BF195" r:id="rId323" tooltip="http://dx.doi.org/10.17223/15617793/434/26" display="http://dx.doi.org/10.17223/15617793/434/26"/>
    <hyperlink ref="BT195" r:id="rId324" tooltip="View Full Record in Web of Science" display="View Full Record in Web of Science"/>
    <hyperlink ref="BT196" r:id="rId325" tooltip="View Full Record in Web of Science" display="View Full Record in Web of Science"/>
    <hyperlink ref="BF197" r:id="rId326" tooltip="http://dx.doi.org/10.1007/978-3-030-01204-5_14" display="http://dx.doi.org/10.1007/978-3-030-01204-5_14"/>
    <hyperlink ref="BT197" r:id="rId327" tooltip="View Full Record in Web of Science" display="View Full Record in Web of Science"/>
    <hyperlink ref="BF198" r:id="rId328" tooltip="http://dx.doi.org/10.6060/tcct.20186104-05.5596" display="http://dx.doi.org/10.6060/tcct.20186104-05.5596"/>
    <hyperlink ref="BT198" r:id="rId329" tooltip="View Full Record in Web of Science" display="View Full Record in Web of Science"/>
    <hyperlink ref="BF199" r:id="rId330" tooltip="http://dx.doi.org/10.1007/978-3-319-67516-9_4" display="http://dx.doi.org/10.1007/978-3-319-67516-9_4"/>
    <hyperlink ref="BT199" r:id="rId331" tooltip="View Full Record in Web of Science" display="View Full Record in Web of Science"/>
    <hyperlink ref="BF200" r:id="rId332" tooltip="http://dx.doi.org/10.1088/1757-899X/451/1/012046" display="http://dx.doi.org/10.1088/1757-899X/451/1/012046"/>
    <hyperlink ref="BT200" r:id="rId333" tooltip="View Full Record in Web of Science" display="View Full Record in Web of Science"/>
    <hyperlink ref="BT201" r:id="rId334" tooltip="View Full Record in Web of Science" display="View Full Record in Web of Science"/>
    <hyperlink ref="BT202" r:id="rId335" tooltip="View Full Record in Web of Science" display="View Full Record in Web of Science"/>
    <hyperlink ref="BF203" r:id="rId336" tooltip="http://dx.doi.org/10.1134/S102319351505002X" display="http://dx.doi.org/10.1134/S102319351505002X"/>
    <hyperlink ref="BT203" r:id="rId337" tooltip="View Full Record in Web of Science" display="View Full Record in Web of Science"/>
    <hyperlink ref="BT204" r:id="rId338" tooltip="View Full Record in Web of Science" display="View Full Record in Web of Science"/>
    <hyperlink ref="BF205" r:id="rId339" tooltip="http://dx.doi.org/10.1134/S1070427214080126" display="http://dx.doi.org/10.1134/S1070427214080126"/>
    <hyperlink ref="BT205" r:id="rId340" tooltip="View Full Record in Web of Science" display="View Full Record in Web of Science"/>
    <hyperlink ref="BF206" r:id="rId341" tooltip="http://dx.doi.org/10.1134/S107042720808020X" display="http://dx.doi.org/10.1134/S107042720808020X"/>
    <hyperlink ref="BT206" r:id="rId342" tooltip="View Full Record in Web of Science" display="View Full Record in Web of Science"/>
    <hyperlink ref="BF207" r:id="rId343" tooltip="http://dx.doi.org/10.1134/S004057950803007X" display="http://dx.doi.org/10.1134/S004057950803007X"/>
    <hyperlink ref="BT207" r:id="rId344" tooltip="View Full Record in Web of Science" display="View Full Record in Web of Science"/>
    <hyperlink ref="BF208" r:id="rId345" tooltip="http://dx.doi.org/10.1023/A:1023833111833" display="http://dx.doi.org/10.1023/A:1023833111833"/>
    <hyperlink ref="BT208" r:id="rId346" tooltip="View Full Record in Web of Science" display="View Full Record in Web of Science"/>
    <hyperlink ref="BT209" r:id="rId347" tooltip="View Full Record in Web of Science" display="View Full Record in Web of Science"/>
    <hyperlink ref="BF210" r:id="rId348" tooltip="http://dx.doi.org/10.1134/S0001434622090061" display="http://dx.doi.org/10.1134/S0001434622090061"/>
    <hyperlink ref="BT210" r:id="rId349" tooltip="View Full Record in Web of Science" display="View Full Record in Web of Science"/>
    <hyperlink ref="BF211" r:id="rId350" tooltip="http://dx.doi.org/10.1007/978-3-030-93244-2_78" display="http://dx.doi.org/10.1007/978-3-030-93244-2_78"/>
    <hyperlink ref="BT211" r:id="rId351" tooltip="View Full Record in Web of Science" display="View Full Record in Web of Science"/>
    <hyperlink ref="BF212" r:id="rId352" tooltip="http://dx.doi.org/10.15211/soveurope320212737" display="http://dx.doi.org/10.15211/soveurope320212737"/>
    <hyperlink ref="BT212" r:id="rId353" tooltip="View Full Record in Web of Science" display="View Full Record in Web of Science"/>
    <hyperlink ref="BF213" r:id="rId354" tooltip="http://dx.doi.org/10.22363/2312-8674-2021-20-1-108-124" display="http://dx.doi.org/10.22363/2312-8674-2021-20-1-108-124"/>
    <hyperlink ref="BT213" r:id="rId355" tooltip="View Full Record in Web of Science" display="View Full Record in Web of Science"/>
    <hyperlink ref="BF214" r:id="rId356" tooltip="http://dx.doi.org/10.25750/1995-4301-2021-1-181-187" display="http://dx.doi.org/10.25750/1995-4301-2021-1-181-187"/>
    <hyperlink ref="BT214" r:id="rId357" tooltip="View Full Record in Web of Science" display="View Full Record in Web of Science"/>
    <hyperlink ref="BF215" r:id="rId358" tooltip="http://dx.doi.org/10.3897/ap.2.e1227" display="http://dx.doi.org/10.3897/ap.2.e1227"/>
    <hyperlink ref="BT215" r:id="rId359" tooltip="View Full Record in Web of Science" display="View Full Record in Web of Science"/>
    <hyperlink ref="BF216" r:id="rId360" tooltip="http://dx.doi.org/10.24874/IJQR14.01-07" display="http://dx.doi.org/10.24874/IJQR14.01-07"/>
    <hyperlink ref="BT216" r:id="rId361" tooltip="View Full Record in Web of Science" display="View Full Record in Web of Science"/>
    <hyperlink ref="BF217" r:id="rId362" tooltip="http://dx.doi.org/10.1108/OTH-07-2019-0042" display="http://dx.doi.org/10.1108/OTH-07-2019-0042"/>
    <hyperlink ref="BT217" r:id="rId363" tooltip="View Full Record in Web of Science" display="View Full Record in Web of Science"/>
    <hyperlink ref="BT218" r:id="rId364" tooltip="View Full Record in Web of Science" display="View Full Record in Web of Science"/>
    <hyperlink ref="BT219" r:id="rId365" tooltip="View Full Record in Web of Science" display="View Full Record in Web of Science"/>
    <hyperlink ref="BF220" r:id="rId366" tooltip="http://dx.doi.org/10.18720/MCE.91.8" display="http://dx.doi.org/10.18720/MCE.91.8"/>
    <hyperlink ref="BT220" r:id="rId367" tooltip="View Full Record in Web of Science" display="View Full Record in Web of Science"/>
    <hyperlink ref="BT221" r:id="rId368" tooltip="View Full Record in Web of Science" display="View Full Record in Web of Science"/>
    <hyperlink ref="BT222" r:id="rId369" tooltip="View Full Record in Web of Science" display="View Full Record in Web of Science"/>
    <hyperlink ref="BT223" r:id="rId370" tooltip="View Full Record in Web of Science" display="View Full Record in Web of Science"/>
    <hyperlink ref="BF224" r:id="rId371" tooltip="http://dx.doi.org/10.17072/2219-3111-2018-4-107-116" display="http://dx.doi.org/10.17072/2219-3111-2018-4-107-116"/>
    <hyperlink ref="BT224" r:id="rId372" tooltip="View Full Record in Web of Science" display="View Full Record in Web of Science"/>
    <hyperlink ref="BT225" r:id="rId373" tooltip="View Full Record in Web of Science" display="View Full Record in Web of Science"/>
    <hyperlink ref="BT226" r:id="rId374" tooltip="View Full Record in Web of Science" display="View Full Record in Web of Science"/>
    <hyperlink ref="BF227" r:id="rId375" tooltip="http://dx.doi.org/10.1051/matecconf/201710608012" display="http://dx.doi.org/10.1051/matecconf/201710608012"/>
    <hyperlink ref="BT227" r:id="rId376" tooltip="View Full Record in Web of Science" display="View Full Record in Web of Science"/>
    <hyperlink ref="BF228" r:id="rId377" tooltip="http://dx.doi.org/10.15405/epsbs.2017.08.02.64" display="http://dx.doi.org/10.15405/epsbs.2017.08.02.64"/>
    <hyperlink ref="BT228" r:id="rId378" tooltip="View Full Record in Web of Science" display="View Full Record in Web of Science"/>
    <hyperlink ref="BT229" r:id="rId379" tooltip="View Full Record in Web of Science" display="View Full Record in Web of Science"/>
    <hyperlink ref="BF230" r:id="rId380" tooltip="http://dx.doi.org/10.1134/S1087659612040025" display="http://dx.doi.org/10.1134/S1087659612040025"/>
    <hyperlink ref="BT230" r:id="rId381" tooltip="View Full Record in Web of Science" display="View Full Record in Web of Science"/>
    <hyperlink ref="BF231" r:id="rId382" tooltip="http://dx.doi.org/10.1134/S1087659611060095" display="http://dx.doi.org/10.1134/S1087659611060095"/>
    <hyperlink ref="BT231" r:id="rId383" tooltip="View Full Record in Web of Science" display="View Full Record in Web of Science"/>
    <hyperlink ref="BF232" r:id="rId384" tooltip="http://dx.doi.org/10.1134/S0036024409030170" display="http://dx.doi.org/10.1134/S0036024409030170"/>
    <hyperlink ref="BT232" r:id="rId385" tooltip="View Full Record in Web of Science" display="View Full Record in Web of Science"/>
    <hyperlink ref="BF233" r:id="rId386" tooltip="http://dx.doi.org/10.1134/S1070427208020080" display="http://dx.doi.org/10.1134/S1070427208020080"/>
    <hyperlink ref="BT233" r:id="rId387" tooltip="View Full Record in Web of Science" display="View Full Record in Web of Science"/>
    <hyperlink ref="BT234" r:id="rId388" tooltip="View Full Record in Web of Science" display="View Full Record in Web of Science"/>
    <hyperlink ref="BT235" r:id="rId389" tooltip="View Full Record in Web of Science" display="View Full Record in Web of Science"/>
    <hyperlink ref="BF236" r:id="rId390" tooltip="http://dx.doi.org/10.31166/VoprosyIstorii202212Statyi52" display="http://dx.doi.org/10.31166/VoprosyIstorii202212Statyi52"/>
    <hyperlink ref="BT236" r:id="rId391" tooltip="View Full Record in Web of Science" display="View Full Record in Web of Science"/>
    <hyperlink ref="BF237" r:id="rId392" tooltip="http://dx.doi.org/10.25750/1995-4301-2022-2-165-172" display="http://dx.doi.org/10.25750/1995-4301-2022-2-165-172"/>
    <hyperlink ref="BT237" r:id="rId393" tooltip="View Full Record in Web of Science" display="View Full Record in Web of Science"/>
    <hyperlink ref="BF238" r:id="rId394" tooltip="http://dx.doi.org/10.24224/2227-1295-2021-12-396-412" display="http://dx.doi.org/10.24224/2227-1295-2021-12-396-412"/>
    <hyperlink ref="BT238" r:id="rId395" tooltip="View Full Record in Web of Science" display="View Full Record in Web of Science"/>
    <hyperlink ref="BF239" r:id="rId396" tooltip="http://dx.doi.org/10.21638/11701/spbu02.2021.114" display="http://dx.doi.org/10.21638/11701/spbu02.2021.114"/>
    <hyperlink ref="BT239" r:id="rId397" tooltip="View Full Record in Web of Science" display="View Full Record in Web of Science"/>
    <hyperlink ref="BF240" r:id="rId398" tooltip="http://dx.doi.org/10.15826/qr.2021.4.651" display="http://dx.doi.org/10.15826/qr.2021.4.651"/>
    <hyperlink ref="BT240" r:id="rId399" tooltip="View Full Record in Web of Science" display="View Full Record in Web of Science"/>
    <hyperlink ref="BF241" r:id="rId400" tooltip="http://dx.doi.org/10.18254/S207987840017862-7" display="http://dx.doi.org/10.18254/S207987840017862-7"/>
    <hyperlink ref="BT241" r:id="rId401" tooltip="View Full Record in Web of Science" display="View Full Record in Web of Science"/>
    <hyperlink ref="BF242" r:id="rId402" tooltip="http://dx.doi.org/10.24224/2227-1295-2020-5-171-191" display="http://dx.doi.org/10.24224/2227-1295-2020-5-171-191"/>
    <hyperlink ref="BT242" r:id="rId403" tooltip="View Full Record in Web of Science" display="View Full Record in Web of Science"/>
    <hyperlink ref="BF243" r:id="rId404" tooltip="http://dx.doi.org/10.17072/2219-3111-2020-3-118-127" display="http://dx.doi.org/10.17072/2219-3111-2020-3-118-127"/>
    <hyperlink ref="BT243" r:id="rId405" tooltip="View Full Record in Web of Science" display="View Full Record in Web of Science"/>
    <hyperlink ref="BF244" r:id="rId406" tooltip="http://dx.doi.org/10.1108/OTH-07-2019-0039" display="http://dx.doi.org/10.1108/OTH-07-2019-0039"/>
    <hyperlink ref="BT244" r:id="rId407" tooltip="View Full Record in Web of Science" display="View Full Record in Web of Science"/>
    <hyperlink ref="BF245" r:id="rId408" tooltip="http://dx.doi.org/10.30472/ijaep.v8i1.303" display="http://dx.doi.org/10.30472/ijaep.v8i1.303"/>
    <hyperlink ref="BT245" r:id="rId409" tooltip="View Full Record in Web of Science" display="View Full Record in Web of Science"/>
    <hyperlink ref="BF246" r:id="rId410" tooltip="http://dx.doi.org/10.28995/2073-0101-2019-2-458-466" display="http://dx.doi.org/10.28995/2073-0101-2019-2-458-466"/>
    <hyperlink ref="BT246" r:id="rId411" tooltip="View Full Record in Web of Science" display="View Full Record in Web of Science"/>
    <hyperlink ref="BF247" r:id="rId412" tooltip="http://dx.doi.org/10.17223/19986645/51/13" display="http://dx.doi.org/10.17223/19986645/51/13"/>
    <hyperlink ref="BT247" r:id="rId413" tooltip="View Full Record in Web of Science" display="View Full Record in Web of Science"/>
    <hyperlink ref="BF248" r:id="rId414" tooltip="http://dx.doi.org/10.17323/2072-8166.2018.4.196.215" display="http://dx.doi.org/10.17323/2072-8166.2018.4.196.215"/>
    <hyperlink ref="BT248" r:id="rId415" tooltip="View Full Record in Web of Science" display="View Full Record in Web of Science"/>
    <hyperlink ref="BF249" r:id="rId416" tooltip="http://dx.doi.org/10.1134/S0965544117110068" display="http://dx.doi.org/10.1134/S0965544117110068"/>
    <hyperlink ref="BT249" r:id="rId417" tooltip="View Full Record in Web of Science" display="View Full Record in Web of Science"/>
    <hyperlink ref="BT250" r:id="rId418" tooltip="View Full Record in Web of Science" display="View Full Record in Web of Science"/>
    <hyperlink ref="BT251" r:id="rId419" tooltip="View Full Record in Web of Science" display="View Full Record in Web of Science"/>
    <hyperlink ref="BT252" r:id="rId420" tooltip="View Full Record in Web of Science" display="View Full Record in Web of Science"/>
    <hyperlink ref="BT253" r:id="rId421" tooltip="View Full Record in Web of Science" display="View Full Record in Web of Science"/>
    <hyperlink ref="BF254" r:id="rId422" tooltip="http://dx.doi.org/10.1007/s11236-005-0083-7" display="http://dx.doi.org/10.1007/s11236-005-0083-7"/>
    <hyperlink ref="BT254" r:id="rId423" tooltip="View Full Record in Web of Science" display="View Full Record in Web of Science"/>
    <hyperlink ref="BT255" r:id="rId424" tooltip="View Full Record in Web of Science" display="View Full Record in Web of Science"/>
    <hyperlink ref="BF256" r:id="rId425" tooltip="http://dx.doi.org/10.34910/MCE.117.13" display="http://dx.doi.org/10.34910/MCE.117.13"/>
    <hyperlink ref="BT256" r:id="rId426" tooltip="View Full Record in Web of Science" display="View Full Record in Web of Science"/>
    <hyperlink ref="BF257" r:id="rId427" tooltip="http://dx.doi.org/10.1016/j.micpro.2022.104529" display="http://dx.doi.org/10.1016/j.micpro.2022.104529"/>
    <hyperlink ref="BT257" r:id="rId428" tooltip="View Full Record in Web of Science" display="View Full Record in Web of Science"/>
    <hyperlink ref="BF258" r:id="rId429" tooltip="http://dx.doi.org/10.1134/S0001434622030191" display="http://dx.doi.org/10.1134/S0001434622030191"/>
    <hyperlink ref="BT258" r:id="rId430" tooltip="View Full Record in Web of Science" display="View Full Record in Web of Science"/>
    <hyperlink ref="BF259" r:id="rId431" tooltip="http://dx.doi.org/10.17072/2219-3111-2022-1-163-171" display="http://dx.doi.org/10.17072/2219-3111-2022-1-163-171"/>
    <hyperlink ref="BT259" r:id="rId432" tooltip="View Full Record in Web of Science" display="View Full Record in Web of Science"/>
    <hyperlink ref="BF260" r:id="rId433" tooltip="http://dx.doi.org/10.25750/1995-4301-2021-2-229-234" display="http://dx.doi.org/10.25750/1995-4301-2021-2-229-234"/>
    <hyperlink ref="BT260" r:id="rId434" tooltip="View Full Record in Web of Science" display="View Full Record in Web of Science"/>
    <hyperlink ref="BF261" r:id="rId435" tooltip="http://dx.doi.org/10.1007/978-3-030-70194-9_34" display="http://dx.doi.org/10.1007/978-3-030-70194-9_34"/>
    <hyperlink ref="BT261" r:id="rId436" tooltip="View Full Record in Web of Science" display="View Full Record in Web of Science"/>
    <hyperlink ref="BF262" r:id="rId437" tooltip="http://dx.doi.org/10.13187/ejced.2020.3.529" display="http://dx.doi.org/10.13187/ejced.2020.3.529"/>
    <hyperlink ref="BT262" r:id="rId438" tooltip="View Full Record in Web of Science" display="View Full Record in Web of Science"/>
    <hyperlink ref="BT263" r:id="rId439" tooltip="View Full Record in Web of Science" display="View Full Record in Web of Science"/>
    <hyperlink ref="BF264" r:id="rId440" tooltip="http://dx.doi.org/10.20952/revtee.v12i31.11888" display="http://dx.doi.org/10.20952/revtee.v12i31.11888"/>
    <hyperlink ref="BT264" r:id="rId441" tooltip="View Full Record in Web of Science" display="View Full Record in Web of Science"/>
    <hyperlink ref="BF265" r:id="rId442" tooltip="http://dx.doi.org/10.31901/24566322.2019/26.1-3.1083" display="http://dx.doi.org/10.31901/24566322.2019/26.1-3.1083"/>
    <hyperlink ref="BT265" r:id="rId443" tooltip="View Full Record in Web of Science" display="View Full Record in Web of Science"/>
    <hyperlink ref="BF266" r:id="rId444" tooltip="http://dx.doi.org/10.1051/e3sconf/201911002021" display="http://dx.doi.org/10.1051/e3sconf/201911002021"/>
    <hyperlink ref="BT266" r:id="rId445" tooltip="View Full Record in Web of Science" display="View Full Record in Web of Science"/>
    <hyperlink ref="BT267" r:id="rId446" tooltip="View Full Record in Web of Science" display="View Full Record in Web of Science"/>
    <hyperlink ref="BF268" r:id="rId447" tooltip="http://dx.doi.org/10.18720/MCE.85.9" display="http://dx.doi.org/10.18720/MCE.85.9"/>
    <hyperlink ref="BT268" r:id="rId448" tooltip="View Full Record in Web of Science" display="View Full Record in Web of Science"/>
    <hyperlink ref="BF269" r:id="rId449" tooltip="http://dx.doi.org/10.15826/qr.2019.4.441" display="http://dx.doi.org/10.15826/qr.2019.4.441"/>
    <hyperlink ref="BT269" r:id="rId450" tooltip="View Full Record in Web of Science" display="View Full Record in Web of Science"/>
    <hyperlink ref="BF270" r:id="rId451" tooltip="http://dx.doi.org/10.17223/23062061/16/7" display="http://dx.doi.org/10.17223/23062061/16/7"/>
    <hyperlink ref="BT270" r:id="rId452" tooltip="View Full Record in Web of Science" display="View Full Record in Web of Science"/>
    <hyperlink ref="BT271" r:id="rId453" tooltip="View Full Record in Web of Science" display="View Full Record in Web of Science"/>
    <hyperlink ref="BT272" r:id="rId454" tooltip="View Full Record in Web of Science" display="View Full Record in Web of Science"/>
    <hyperlink ref="BF273" r:id="rId455" tooltip="http://dx.doi.org/10.1088/1742-6596/891/1/012226" display="http://dx.doi.org/10.1088/1742-6596/891/1/012226"/>
    <hyperlink ref="BT273" r:id="rId456" tooltip="View Full Record in Web of Science" display="View Full Record in Web of Science"/>
    <hyperlink ref="BF274" r:id="rId457" tooltip="http://dx.doi.org/10.1007/978-3-319-60696-5_1" display="http://dx.doi.org/10.1007/978-3-319-60696-5_1"/>
    <hyperlink ref="BT274" r:id="rId458" tooltip="View Full Record in Web of Science" display="View Full Record in Web of Science"/>
    <hyperlink ref="BT275" r:id="rId459" tooltip="View Full Record in Web of Science" display="View Full Record in Web of Science"/>
    <hyperlink ref="BF276" r:id="rId460" tooltip="http://dx.doi.org/10.1134/S199542551505011X" display="http://dx.doi.org/10.1134/S199542551505011X"/>
    <hyperlink ref="BT276" r:id="rId461" tooltip="View Full Record in Web of Science" display="View Full Record in Web of Science"/>
    <hyperlink ref="BT277" r:id="rId462" tooltip="View Full Record in Web of Science" display="View Full Record in Web of Science"/>
    <hyperlink ref="BT278" r:id="rId463" tooltip="View Full Record in Web of Science" display="View Full Record in Web of Science"/>
    <hyperlink ref="BT279" r:id="rId464" tooltip="View Full Record in Web of Science" display="View Full Record in Web of Science"/>
    <hyperlink ref="BF280" r:id="rId465" tooltip="http://dx.doi.org/10.1007/s11236-005-0112-6" display="http://dx.doi.org/10.1007/s11236-005-0112-6"/>
    <hyperlink ref="BT280" r:id="rId466" tooltip="View Full Record in Web of Science" display="View Full Record in Web of Science"/>
    <hyperlink ref="BT281" r:id="rId467" tooltip="View Full Record in Web of Science" display="View Full Record in Web of Science"/>
    <hyperlink ref="BT282" r:id="rId468" tooltip="View Full Record in Web of Science" display="View Full Record in Web of Science"/>
    <hyperlink ref="BT283" r:id="rId469" tooltip="View Full Record in Web of Science" display="View Full Record in Web of Science"/>
    <hyperlink ref="BF284" r:id="rId470" tooltip="http://dx.doi.org/10.1134/S0040601523010044" display="http://dx.doi.org/10.1134/S0040601523010044"/>
    <hyperlink ref="BT284" r:id="rId471" tooltip="View Full Record in Web of Science" display="View Full Record in Web of Science"/>
    <hyperlink ref="BF285" r:id="rId472" tooltip="http://dx.doi.org/10.54770/20729286_2023_1_50" display="http://dx.doi.org/10.54770/20729286_2023_1_50"/>
    <hyperlink ref="BT285" r:id="rId473" tooltip="View Full Record in Web of Science" display="View Full Record in Web of Science"/>
    <hyperlink ref="BF286" r:id="rId474" tooltip="http://dx.doi.org/10.25750/1995-4301-2022-3-034-040" display="http://dx.doi.org/10.25750/1995-4301-2022-3-034-040"/>
    <hyperlink ref="BT286" r:id="rId475" tooltip="View Full Record in Web of Science" display="View Full Record in Web of Science"/>
    <hyperlink ref="BF287" r:id="rId476" tooltip="http://dx.doi.org/10.17150/2500-4255.2022.16(2).257-267" display="http://dx.doi.org/10.17150/2500-4255.2022.16(2).257-267"/>
    <hyperlink ref="BT287" r:id="rId477" tooltip="View Full Record in Web of Science" display="View Full Record in Web of Science"/>
    <hyperlink ref="BF288" r:id="rId478" tooltip="http://dx.doi.org/10.21638/11701/spbu24.2022.106" display="http://dx.doi.org/10.21638/11701/spbu24.2022.106"/>
    <hyperlink ref="BT288" r:id="rId479" tooltip="View Full Record in Web of Science" display="View Full Record in Web of Science"/>
    <hyperlink ref="BF289" r:id="rId480" tooltip="http://dx.doi.org/10.31166/VoprosyIstorii202005Statyi06" display="http://dx.doi.org/10.31166/VoprosyIstorii202005Statyi06"/>
    <hyperlink ref="BT289" r:id="rId481" tooltip="View Full Record in Web of Science" display="View Full Record in Web of Science"/>
    <hyperlink ref="BF290" r:id="rId482" tooltip="http://dx.doi.org/10.24874/IJQR14.02-13" display="http://dx.doi.org/10.24874/IJQR14.02-13"/>
    <hyperlink ref="BT290" r:id="rId483" tooltip="View Full Record in Web of Science" display="View Full Record in Web of Science"/>
    <hyperlink ref="BF291" r:id="rId484" tooltip="http://dx.doi.org/10.17223/15617793/450/2" display="http://dx.doi.org/10.17223/15617793/450/2"/>
    <hyperlink ref="BT291" r:id="rId485" tooltip="View Full Record in Web of Science" display="View Full Record in Web of Science"/>
    <hyperlink ref="BF292" r:id="rId486" tooltip="http://dx.doi.org/10.24833/2071-8160-2020-1-70-56-81" display="http://dx.doi.org/10.24833/2071-8160-2020-1-70-56-81"/>
    <hyperlink ref="BT292" r:id="rId487" tooltip="View Full Record in Web of Science" display="View Full Record in Web of Science"/>
    <hyperlink ref="BF293" r:id="rId488" tooltip="http://dx.doi.org/10.15507/2658-4123.029.201903.383-395" display="http://dx.doi.org/10.15507/2658-4123.029.201903.383-395"/>
    <hyperlink ref="BT293" r:id="rId489" tooltip="View Full Record in Web of Science" display="View Full Record in Web of Science"/>
    <hyperlink ref="BF294" r:id="rId490" tooltip="http://dx.doi.org/10.5281/zenodo.1343404" display="http://dx.doi.org/10.5281/zenodo.1343404"/>
    <hyperlink ref="BT294" r:id="rId491" tooltip="View Full Record in Web of Science" display="View Full Record in Web of Science"/>
    <hyperlink ref="BF295" r:id="rId492" tooltip="http://dx.doi.org/10.1088/1742-6596/1058/1/012017" display="http://dx.doi.org/10.1088/1742-6596/1058/1/012017"/>
    <hyperlink ref="BT295" r:id="rId493" tooltip="View Full Record in Web of Science" display="View Full Record in Web of Science"/>
    <hyperlink ref="BF296" r:id="rId494" tooltip="http://dx.doi.org/10.1080/09668136.2017.1371496" display="http://dx.doi.org/10.1080/09668136.2017.1371496"/>
    <hyperlink ref="BT296" r:id="rId495" tooltip="View Full Record in Web of Science" display="View Full Record in Web of Science"/>
    <hyperlink ref="BT297" r:id="rId496" tooltip="View Full Record in Web of Science" display="View Full Record in Web of Science"/>
    <hyperlink ref="BF298" r:id="rId497" tooltip="http://dx.doi.org/10.1134/S1023193515060129" display="http://dx.doi.org/10.1134/S1023193515060129"/>
    <hyperlink ref="BT298" r:id="rId498" tooltip="View Full Record in Web of Science" display="View Full Record in Web of Science"/>
    <hyperlink ref="BF299" r:id="rId499" tooltip="http://dx.doi.org/10.1134/S1023193511050053" display="http://dx.doi.org/10.1134/S1023193511050053"/>
    <hyperlink ref="BT299" r:id="rId500" tooltip="View Full Record in Web of Science" display="View Full Record in Web of Science"/>
    <hyperlink ref="BF300" r:id="rId501" tooltip="http://dx.doi.org/10.1134/S1087659609030158" display="http://dx.doi.org/10.1134/S1087659609030158"/>
    <hyperlink ref="BT300" r:id="rId502" tooltip="View Full Record in Web of Science" display="View Full Record in Web of Science"/>
    <hyperlink ref="BT301" r:id="rId503" tooltip="View Full Record in Web of Science" display="View Full Record in Web of Science"/>
    <hyperlink ref="BT302" r:id="rId504" tooltip="View Full Record in Web of Science" display="View Full Record in Web of Science"/>
    <hyperlink ref="BF303" r:id="rId505" tooltip="http://dx.doi.org/10.17853/1994-5639-2023-5-49-76" display="http://dx.doi.org/10.17853/1994-5639-2023-5-49-76"/>
    <hyperlink ref="BT303" r:id="rId506" tooltip="View Full Record in Web of Science" display="View Full Record in Web of Science"/>
    <hyperlink ref="BF304" r:id="rId507" tooltip="http://dx.doi.org/10.17150/2500-1442.2023.17(1).22-34" display="http://dx.doi.org/10.17150/2500-1442.2023.17(1).22-34"/>
    <hyperlink ref="BT304" r:id="rId508" tooltip="View Full Record in Web of Science" display="View Full Record in Web of Science"/>
    <hyperlink ref="BF305" r:id="rId509" tooltip="http://dx.doi.org/10.15405/epsbs.2021.04.91" display="http://dx.doi.org/10.15405/epsbs.2021.04.91"/>
    <hyperlink ref="BT305" r:id="rId510" tooltip="View Full Record in Web of Science" display="View Full Record in Web of Science"/>
    <hyperlink ref="BF306" r:id="rId511" tooltip="http://dx.doi.org/10.18254/S207987840016048-1" display="http://dx.doi.org/10.18254/S207987840016048-1"/>
    <hyperlink ref="BT306" r:id="rId512" tooltip="View Full Record in Web of Science" display="View Full Record in Web of Science"/>
    <hyperlink ref="BF307" r:id="rId513" tooltip="http://dx.doi.org/10.16926/par.2020.08.06" display="http://dx.doi.org/10.16926/par.2020.08.06"/>
    <hyperlink ref="BT307" r:id="rId514" tooltip="View Full Record in Web of Science" display="View Full Record in Web of Science"/>
    <hyperlink ref="BF308" r:id="rId515" tooltip="http://dx.doi.org/10.13187/me.2020.3.549" display="http://dx.doi.org/10.13187/me.2020.3.549"/>
    <hyperlink ref="BT308" r:id="rId516" tooltip="View Full Record in Web of Science" display="View Full Record in Web of Science"/>
    <hyperlink ref="BT309" r:id="rId517" tooltip="View Full Record in Web of Science" display="View Full Record in Web of Science"/>
    <hyperlink ref="BF310" r:id="rId518" tooltip="http://dx.doi.org/10.1590/1806-9282.65.2.211" display="http://dx.doi.org/10.1590/1806-9282.65.2.211"/>
    <hyperlink ref="BT310" r:id="rId519" tooltip="View Full Record in Web of Science" display="View Full Record in Web of Science"/>
    <hyperlink ref="BT311" r:id="rId520" tooltip="View Full Record in Web of Science" display="View Full Record in Web of Science"/>
    <hyperlink ref="BT312" r:id="rId521" tooltip="View Full Record in Web of Science" display="View Full Record in Web of Science"/>
    <hyperlink ref="BT313" r:id="rId522" tooltip="View Full Record in Web of Science" display="View Full Record in Web of Science"/>
    <hyperlink ref="BF314" r:id="rId523" tooltip="http://dx.doi.org/10.1134/S0036029518020076" display="http://dx.doi.org/10.1134/S0036029518020076"/>
    <hyperlink ref="BT314" r:id="rId524" tooltip="View Full Record in Web of Science" display="View Full Record in Web of Science"/>
    <hyperlink ref="BF315" r:id="rId525" tooltip="http://dx.doi.org/10.1134/S1023193517070059" display="http://dx.doi.org/10.1134/S1023193517070059"/>
    <hyperlink ref="BT315" r:id="rId526" tooltip="View Full Record in Web of Science" display="View Full Record in Web of Science"/>
    <hyperlink ref="BF316" r:id="rId527" tooltip="http://dx.doi.org/10.1088/1757-899X/262/1/012010" display="http://dx.doi.org/10.1088/1757-899X/262/1/012010"/>
    <hyperlink ref="BT316" r:id="rId528" tooltip="View Full Record in Web of Science" display="View Full Record in Web of Science"/>
    <hyperlink ref="BT317" r:id="rId529" tooltip="View Full Record in Web of Science" display="View Full Record in Web of Science"/>
    <hyperlink ref="BF318" r:id="rId530" tooltip="http://dx.doi.org/10.1504/IJDMB.2014.060049" display="http://dx.doi.org/10.1504/IJDMB.2014.060049"/>
    <hyperlink ref="BT318" r:id="rId531" tooltip="View Full Record in Web of Science" display="View Full Record in Web of Science"/>
    <hyperlink ref="BF319" r:id="rId532" tooltip="http://dx.doi.org/10.1134/S102319351308003X" display="http://dx.doi.org/10.1134/S102319351308003X"/>
    <hyperlink ref="BT319" r:id="rId533" tooltip="View Full Record in Web of Science" display="View Full Record in Web of Science"/>
    <hyperlink ref="BF320" r:id="rId534" tooltip="http://dx.doi.org/10.1134/S1070427211090278" display="http://dx.doi.org/10.1134/S1070427211090278"/>
    <hyperlink ref="BT320" r:id="rId535" tooltip="View Full Record in Web of Science" display="View Full Record in Web of Science"/>
    <hyperlink ref="BF321" r:id="rId536" tooltip="http://dx.doi.org/10.1023/A:1015564806467" display="http://dx.doi.org/10.1023/A:1015564806467"/>
    <hyperlink ref="BT321" r:id="rId537" tooltip="View Full Record in Web of Science" display="View Full Record in Web of Science"/>
    <hyperlink ref="BF322" r:id="rId538" tooltip="http://dx.doi.org/10.1007/BF01395646" display="http://dx.doi.org/10.1007/BF01395646"/>
    <hyperlink ref="BT322" r:id="rId539" tooltip="View Full Record in Web of Science" display="View Full Record in Web of Science"/>
    <hyperlink ref="BF323" r:id="rId540" tooltip="http://dx.doi.org/10.28995/2073-0101-2022-4-1271-1279" display="http://dx.doi.org/10.28995/2073-0101-2022-4-1271-1279"/>
    <hyperlink ref="BT323" r:id="rId541" tooltip="View Full Record in Web of Science" display="View Full Record in Web of Science"/>
    <hyperlink ref="BF324" r:id="rId542" tooltip="http://dx.doi.org/10.1007/s11041-021-00646-0" display="http://dx.doi.org/10.1007/s11041-021-00646-0"/>
    <hyperlink ref="BT324" r:id="rId543" tooltip="View Full Record in Web of Science" display="View Full Record in Web of Science"/>
    <hyperlink ref="BF325" r:id="rId544" tooltip="http://dx.doi.org/10.24874/IJQR14.02-03" display="http://dx.doi.org/10.24874/IJQR14.02-03"/>
    <hyperlink ref="BT325" r:id="rId545" tooltip="View Full Record in Web of Science" display="View Full Record in Web of Science"/>
    <hyperlink ref="BF326" r:id="rId546" tooltip="http://dx.doi.org/10.1088/1757-899X/971/3/032028" display="http://dx.doi.org/10.1088/1757-899X/971/3/032028"/>
    <hyperlink ref="BT326" r:id="rId547" tooltip="View Full Record in Web of Science" display="View Full Record in Web of Science"/>
    <hyperlink ref="BF327" r:id="rId548" tooltip="http://dx.doi.org/10.24833/2071-8160-2020-6-75-53-76" display="http://dx.doi.org/10.24833/2071-8160-2020-6-75-53-76"/>
    <hyperlink ref="BT327" r:id="rId549" tooltip="View Full Record in Web of Science" display="View Full Record in Web of Science"/>
    <hyperlink ref="BF328" r:id="rId550" tooltip="http://dx.doi.org/10.24224/2227-1295-2020-4-401-419" display="http://dx.doi.org/10.24224/2227-1295-2020-4-401-419"/>
    <hyperlink ref="BT328" r:id="rId551" tooltip="View Full Record in Web of Science" display="View Full Record in Web of Science"/>
    <hyperlink ref="BF329" r:id="rId552" tooltip="http://dx.doi.org/10.17223/19988613/63/13" display="http://dx.doi.org/10.17223/19988613/63/13"/>
    <hyperlink ref="BT329" r:id="rId553" tooltip="View Full Record in Web of Science" display="View Full Record in Web of Science"/>
    <hyperlink ref="BF330" r:id="rId554" tooltip="http://dx.doi.org/10.33048/semi.2020.17.021" display="http://dx.doi.org/10.33048/semi.2020.17.021"/>
    <hyperlink ref="BT330" r:id="rId555" tooltip="View Full Record in Web of Science" display="View Full Record in Web of Science"/>
    <hyperlink ref="BF331" r:id="rId556" tooltip="http://dx.doi.org/10.4018/IJCINI.2019040104" display="http://dx.doi.org/10.4018/IJCINI.2019040104"/>
    <hyperlink ref="BT331" r:id="rId557" tooltip="View Full Record in Web of Science" display="View Full Record in Web of Science"/>
    <hyperlink ref="BF332" r:id="rId558" tooltip="http://dx.doi.org/10.13187/ejced.2018.3.541" display="http://dx.doi.org/10.13187/ejced.2018.3.541"/>
    <hyperlink ref="BT332" r:id="rId559" tooltip="View Full Record in Web of Science" display="View Full Record in Web of Science"/>
    <hyperlink ref="BT333" r:id="rId560" tooltip="View Full Record in Web of Science" display="View Full Record in Web of Science"/>
    <hyperlink ref="BT334" r:id="rId561" tooltip="View Full Record in Web of Science" display="View Full Record in Web of Science"/>
    <hyperlink ref="BF335" r:id="rId562" tooltip="http://dx.doi.org/10.22616/ERDev2018.17.N241" display="http://dx.doi.org/10.22616/ERDev2018.17.N241"/>
    <hyperlink ref="BT335" r:id="rId563" tooltip="View Full Record in Web of Science" display="View Full Record in Web of Science"/>
    <hyperlink ref="BT336" r:id="rId564" tooltip="View Full Record in Web of Science" display="View Full Record in Web of Science"/>
    <hyperlink ref="BF337" r:id="rId565" tooltip="http://dx.doi.org/10.1088/1755-1315/177/1/012007" display="http://dx.doi.org/10.1088/1755-1315/177/1/012007"/>
    <hyperlink ref="BT337" r:id="rId566" tooltip="View Full Record in Web of Science" display="View Full Record in Web of Science"/>
    <hyperlink ref="BF338" r:id="rId567" tooltip="http://dx.doi.org/10.18720/MCE.77.3" display="http://dx.doi.org/10.18720/MCE.77.3"/>
    <hyperlink ref="BT338" r:id="rId568" tooltip="View Full Record in Web of Science" display="View Full Record in Web of Science"/>
    <hyperlink ref="BF339" r:id="rId569" tooltip="http://dx.doi.org/10.15826/qr.2018.1.294" display="http://dx.doi.org/10.15826/qr.2018.1.294"/>
    <hyperlink ref="BT339" r:id="rId570" tooltip="View Full Record in Web of Science" display="View Full Record in Web of Science"/>
    <hyperlink ref="BF340" r:id="rId571" tooltip="http://dx.doi.org/10.1088/1742-6596/1058/1/012028" display="http://dx.doi.org/10.1088/1742-6596/1058/1/012028"/>
    <hyperlink ref="BT340" r:id="rId572" tooltip="View Full Record in Web of Science" display="View Full Record in Web of Science"/>
    <hyperlink ref="BT341" r:id="rId573" tooltip="View Full Record in Web of Science" display="View Full Record in Web of Science"/>
    <hyperlink ref="BT342" r:id="rId574" tooltip="View Full Record in Web of Science" display="View Full Record in Web of Science"/>
    <hyperlink ref="BT343" r:id="rId575" tooltip="View Full Record in Web of Science" display="View Full Record in Web of Science"/>
    <hyperlink ref="BT344" r:id="rId576" tooltip="View Full Record in Web of Science" display="View Full Record in Web of Science"/>
    <hyperlink ref="BT345" r:id="rId577" tooltip="View Full Record in Web of Science" display="View Full Record in Web of Science"/>
    <hyperlink ref="BT346" r:id="rId578" tooltip="View Full Record in Web of Science" display="View Full Record in Web of Science"/>
    <hyperlink ref="BF347" r:id="rId579" tooltip="http://dx.doi.org/10.1134/S0040579510040056" display="http://dx.doi.org/10.1134/S0040579510040056"/>
    <hyperlink ref="BT347" r:id="rId580" tooltip="View Full Record in Web of Science" display="View Full Record in Web of Science"/>
    <hyperlink ref="BT348" r:id="rId581" tooltip="View Full Record in Web of Science" display="View Full Record in Web of Science"/>
    <hyperlink ref="BT349" r:id="rId582" tooltip="View Full Record in Web of Science" display="View Full Record in Web of Science"/>
    <hyperlink ref="BT350" r:id="rId583" tooltip="View Full Record in Web of Science" display="View Full Record in Web of Science"/>
    <hyperlink ref="BF351" r:id="rId584" tooltip="http://dx.doi.org/10.17223/19988613/63/12" display="http://dx.doi.org/10.17223/19988613/63/12"/>
    <hyperlink ref="BT351" r:id="rId585" tooltip="View Full Record in Web of Science" display="View Full Record in Web of Science"/>
    <hyperlink ref="BT352" r:id="rId586" tooltip="View Full Record in Web of Science" display="View Full Record in Web of Science"/>
    <hyperlink ref="BF353" r:id="rId587" tooltip="http://dx.doi.org/10.15561/18189172.2019.0107" display="http://dx.doi.org/10.15561/18189172.2019.0107"/>
    <hyperlink ref="BT353" r:id="rId588" tooltip="View Full Record in Web of Science" display="View Full Record in Web of Science"/>
    <hyperlink ref="BF354" r:id="rId589" tooltip="http://dx.doi.org/10.26170/FK19-02-25" display="http://dx.doi.org/10.26170/FK19-02-25"/>
    <hyperlink ref="BT354" r:id="rId590" tooltip="View Full Record in Web of Science" display="View Full Record in Web of Science"/>
    <hyperlink ref="BT355" r:id="rId591" tooltip="View Full Record in Web of Science" display="View Full Record in Web of Science"/>
    <hyperlink ref="BT356" r:id="rId592" tooltip="View Full Record in Web of Science" display="View Full Record in Web of Science"/>
    <hyperlink ref="BF357" r:id="rId593" tooltip="http://dx.doi.org/10.15826/izv2.2018.20.2.022" display="http://dx.doi.org/10.15826/izv2.2018.20.2.022"/>
    <hyperlink ref="BT357" r:id="rId594" tooltip="View Full Record in Web of Science" display="View Full Record in Web of Science"/>
    <hyperlink ref="BF358" r:id="rId595" tooltip="http://dx.doi.org/10.15561/18189172.2018.0108" display="http://dx.doi.org/10.15561/18189172.2018.0108"/>
    <hyperlink ref="BT358" r:id="rId596" tooltip="View Full Record in Web of Science" display="View Full Record in Web of Science"/>
    <hyperlink ref="BF359" r:id="rId597" tooltip="http://dx.doi.org/10.1088/1755-1315/90/1/012087" display="http://dx.doi.org/10.1088/1755-1315/90/1/012087"/>
    <hyperlink ref="BT359" r:id="rId598" tooltip="View Full Record in Web of Science" display="View Full Record in Web of Science"/>
    <hyperlink ref="BT360" r:id="rId599" tooltip="View Full Record in Web of Science" display="View Full Record in Web of Science"/>
    <hyperlink ref="BT361" r:id="rId600" tooltip="View Full Record in Web of Science" display="View Full Record in Web of Science"/>
    <hyperlink ref="BT362" r:id="rId601" tooltip="View Full Record in Web of Science" display="View Full Record in Web of Science"/>
    <hyperlink ref="BF363" r:id="rId602" tooltip="http://dx.doi.org/10.1134/S0036024411010134" display="http://dx.doi.org/10.1134/S0036024411010134"/>
    <hyperlink ref="BT363" r:id="rId603" tooltip="View Full Record in Web of Science" display="View Full Record in Web of Science"/>
    <hyperlink ref="BT364" r:id="rId604" tooltip="View Full Record in Web of Science" display="View Full Record in Web of Science"/>
    <hyperlink ref="BF365" r:id="rId605" tooltip="http://dx.doi.org/10.1134/S1087659607040104" display="http://dx.doi.org/10.1134/S1087659607040104"/>
    <hyperlink ref="BT365" r:id="rId606" tooltip="View Full Record in Web of Science" display="View Full Record in Web of Science"/>
    <hyperlink ref="BF366" r:id="rId607" tooltip="http://dx.doi.org/10.1134/S1023193507060043" display="http://dx.doi.org/10.1134/S1023193507060043"/>
    <hyperlink ref="BT366" r:id="rId608" tooltip="View Full Record in Web of Science" display="View Full Record in Web of Science"/>
    <hyperlink ref="BT367" r:id="rId609" tooltip="View Full Record in Web of Science" display="View Full Record in Web of Science"/>
    <hyperlink ref="BF368" r:id="rId610" tooltip="http://dx.doi.org/10.1007/978-3-030-70194-9_36" display="http://dx.doi.org/10.1007/978-3-030-70194-9_36"/>
    <hyperlink ref="BT368" r:id="rId611" tooltip="View Full Record in Web of Science" display="View Full Record in Web of Science"/>
    <hyperlink ref="BF369" r:id="rId612" tooltip="http://dx.doi.org/10.1109/SIBCON50419.2021.9438931" display="http://dx.doi.org/10.1109/SIBCON50419.2021.9438931"/>
    <hyperlink ref="BT369" r:id="rId613" tooltip="View Full Record in Web of Science" display="View Full Record in Web of Science"/>
    <hyperlink ref="BF370" r:id="rId614" tooltip="http://dx.doi.org/10.14529/hsm200110" display="http://dx.doi.org/10.14529/hsm200110"/>
    <hyperlink ref="BT370" r:id="rId615" tooltip="View Full Record in Web of Science" display="View Full Record in Web of Science"/>
    <hyperlink ref="BF371" r:id="rId616" tooltip="http://dx.doi.org/10.31166/VoprosyIstorii202012Statyi19" display="http://dx.doi.org/10.31166/VoprosyIstorii202012Statyi19"/>
    <hyperlink ref="BT371" r:id="rId617" tooltip="View Full Record in Web of Science" display="View Full Record in Web of Science"/>
    <hyperlink ref="BF372" r:id="rId618" tooltip="http://dx.doi.org/10.1088/1757-899X/962/2/022041" display="http://dx.doi.org/10.1088/1757-899X/962/2/022041"/>
    <hyperlink ref="BT372" r:id="rId619" tooltip="View Full Record in Web of Science" display="View Full Record in Web of Science"/>
    <hyperlink ref="BF373" r:id="rId620" tooltip="http://dx.doi.org/10.25750/1995-4301-2020-4-149-154" display="http://dx.doi.org/10.25750/1995-4301-2020-4-149-154"/>
    <hyperlink ref="BT373" r:id="rId621" tooltip="View Full Record in Web of Science" display="View Full Record in Web of Science"/>
    <hyperlink ref="BF374" r:id="rId622" tooltip="http://dx.doi.org/10.1108/OTH-07-2019-0034" display="http://dx.doi.org/10.1108/OTH-07-2019-0034"/>
    <hyperlink ref="BT374" r:id="rId623" tooltip="View Full Record in Web of Science" display="View Full Record in Web of Science"/>
    <hyperlink ref="BF375" r:id="rId624" tooltip="http://dx.doi.org/10.1134/S0361768819050074" display="http://dx.doi.org/10.1134/S0361768819050074"/>
    <hyperlink ref="BT375" r:id="rId625" tooltip="View Full Record in Web of Science" display="View Full Record in Web of Science"/>
    <hyperlink ref="BF376" r:id="rId626" tooltip="http://dx.doi.org/10.1051/e3sconf/201911002005" display="http://dx.doi.org/10.1051/e3sconf/201911002005"/>
    <hyperlink ref="BT376" r:id="rId627" tooltip="View Full Record in Web of Science" display="View Full Record in Web of Science"/>
    <hyperlink ref="BT377" r:id="rId628" tooltip="View Full Record in Web of Science" display="View Full Record in Web of Science"/>
    <hyperlink ref="BF378" r:id="rId629" tooltip="http://dx.doi.org/10.1134/S0036029518080177" display="http://dx.doi.org/10.1134/S0036029518080177"/>
    <hyperlink ref="BT378" r:id="rId630" tooltip="View Full Record in Web of Science" display="View Full Record in Web of Science"/>
    <hyperlink ref="BF379" r:id="rId631" tooltip="http://dx.doi.org/10.3103/S0005105518010089" display="http://dx.doi.org/10.3103/S0005105518010089"/>
    <hyperlink ref="BT379" r:id="rId632" tooltip="View Full Record in Web of Science" display="View Full Record in Web of Science"/>
    <hyperlink ref="BF380" r:id="rId633" tooltip="http://dx.doi.org/10.1088/1742-6596/944/1/012088" display="http://dx.doi.org/10.1088/1742-6596/944/1/012088"/>
    <hyperlink ref="BT380" r:id="rId634" tooltip="View Full Record in Web of Science" display="View Full Record in Web of Science"/>
    <hyperlink ref="BF381" r:id="rId635" tooltip="http://dx.doi.org/10.5281/zenodo.2222335" display="http://dx.doi.org/10.5281/zenodo.2222335"/>
    <hyperlink ref="BT381" r:id="rId636" tooltip="View Full Record in Web of Science" display="View Full Record in Web of Science"/>
    <hyperlink ref="BT382" r:id="rId637" tooltip="View Full Record in Web of Science" display="View Full Record in Web of Science"/>
    <hyperlink ref="BT383" r:id="rId638" tooltip="View Full Record in Web of Science" display="View Full Record in Web of Science"/>
    <hyperlink ref="BT384" r:id="rId639" tooltip="View Full Record in Web of Science" display="View Full Record in Web of Science"/>
    <hyperlink ref="BT385" r:id="rId640" tooltip="View Full Record in Web of Science" display="View Full Record in Web of Science"/>
    <hyperlink ref="BF386" r:id="rId641" tooltip="http://dx.doi.org/10.1016/j.proeng.2016.11.808" display="http://dx.doi.org/10.1016/j.proeng.2016.11.808"/>
    <hyperlink ref="BT386" r:id="rId642" tooltip="View Full Record in Web of Science" display="View Full Record in Web of Science"/>
    <hyperlink ref="BF387" r:id="rId643" tooltip="http://dx.doi.org/10.1134/S0031030115140166" display="http://dx.doi.org/10.1134/S0031030115140166"/>
    <hyperlink ref="BT387" r:id="rId644" tooltip="View Full Record in Web of Science" display="View Full Record in Web of Science"/>
    <hyperlink ref="BT388" r:id="rId645" tooltip="View Full Record in Web of Science" display="View Full Record in Web of Science"/>
    <hyperlink ref="BT389" r:id="rId646" tooltip="View Full Record in Web of Science" display="View Full Record in Web of Science"/>
    <hyperlink ref="BT390" r:id="rId647" tooltip="View Full Record in Web of Science" display="View Full Record in Web of Science"/>
    <hyperlink ref="BF391" r:id="rId648" tooltip="http://dx.doi.org/10.1134/S0001434609070165" display="http://dx.doi.org/10.1134/S0001434609070165"/>
    <hyperlink ref="BT391" r:id="rId649" tooltip="View Full Record in Web of Science" display="View Full Record in Web of Science"/>
    <hyperlink ref="BF392" r:id="rId650" tooltip="http://dx.doi.org/10.1134/S1023193507050072" display="http://dx.doi.org/10.1134/S1023193507050072"/>
    <hyperlink ref="BT392" r:id="rId651" tooltip="View Full Record in Web of Science" display="View Full Record in Web of Science"/>
    <hyperlink ref="BT393" r:id="rId652" tooltip="View Full Record in Web of Science" display="View Full Record in Web of Science"/>
    <hyperlink ref="BF394" r:id="rId653" tooltip="http://dx.doi.org/10.1007/s11167-005-0056-y" display="http://dx.doi.org/10.1007/s11167-005-0056-y"/>
    <hyperlink ref="BT394" r:id="rId654" tooltip="View Full Record in Web of Science" display="View Full Record in Web of Science"/>
    <hyperlink ref="BF395" r:id="rId655" tooltip="http://dx.doi.org/10.1080/09668136.2023.2181591" display="http://dx.doi.org/10.1080/09668136.2023.2181591"/>
    <hyperlink ref="BT395" r:id="rId656" tooltip="View Full Record in Web of Science" display="View Full Record in Web of Science"/>
    <hyperlink ref="BF396" r:id="rId657" tooltip="http://dx.doi.org/10.1007/s10527-022-10173-8" display="http://dx.doi.org/10.1007/s10527-022-10173-8"/>
    <hyperlink ref="BT396" r:id="rId658" tooltip="View Full Record in Web of Science" display="View Full Record in Web of Science"/>
    <hyperlink ref="BF397" r:id="rId659" tooltip="http://dx.doi.org/10.25750/1995-4301-2022-4-224-231" display="http://dx.doi.org/10.25750/1995-4301-2022-4-224-231"/>
    <hyperlink ref="BT397" r:id="rId660" tooltip="View Full Record in Web of Science" display="View Full Record in Web of Science"/>
    <hyperlink ref="BF398" r:id="rId661" tooltip="http://dx.doi.org/10.1080/09668136.2021.1948972" display="http://dx.doi.org/10.1080/09668136.2021.1948972"/>
    <hyperlink ref="BT398" r:id="rId662" tooltip="View Full Record in Web of Science" display="View Full Record in Web of Science"/>
    <hyperlink ref="BF399" r:id="rId663" tooltip="http://dx.doi.org/10.17072/2219-3111-2020-1-167-178" display="http://dx.doi.org/10.17072/2219-3111-2020-1-167-178"/>
    <hyperlink ref="BT399" r:id="rId664" tooltip="View Full Record in Web of Science" display="View Full Record in Web of Science"/>
    <hyperlink ref="BF400" r:id="rId665" tooltip="http://dx.doi.org/10.31166/VoprosyIstorii202010Statyi82" display="http://dx.doi.org/10.31166/VoprosyIstorii202010Statyi82"/>
    <hyperlink ref="BT400" r:id="rId666" tooltip="View Full Record in Web of Science" display="View Full Record in Web of Science"/>
    <hyperlink ref="BF401" r:id="rId667" tooltip="http://dx.doi.org/10.3897/ap.2.e2633" display="http://dx.doi.org/10.3897/ap.2.e2633"/>
    <hyperlink ref="BT401" r:id="rId668" tooltip="View Full Record in Web of Science" display="View Full Record in Web of Science"/>
    <hyperlink ref="BT402" r:id="rId669" tooltip="View Full Record in Web of Science" display="View Full Record in Web of Science"/>
    <hyperlink ref="BT403" r:id="rId670" tooltip="View Full Record in Web of Science" display="View Full Record in Web of Science"/>
    <hyperlink ref="BF404" r:id="rId671" tooltip="http://dx.doi.org/10.3897/ap.1.e0545" display="http://dx.doi.org/10.3897/ap.1.e0545"/>
    <hyperlink ref="BT404" r:id="rId672" tooltip="View Full Record in Web of Science" display="View Full Record in Web of Science"/>
    <hyperlink ref="BF405" r:id="rId673" tooltip="http://dx.doi.org/10.15405/epsbs.2019.08.03.67" display="http://dx.doi.org/10.15405/epsbs.2019.08.03.67"/>
    <hyperlink ref="BT405" r:id="rId674" tooltip="View Full Record in Web of Science" display="View Full Record in Web of Science"/>
    <hyperlink ref="BF406" r:id="rId675" tooltip="http://dx.doi.org/10.5281/zenodo.3562205" display="http://dx.doi.org/10.5281/zenodo.3562205"/>
    <hyperlink ref="BT406" r:id="rId676" tooltip="View Full Record in Web of Science" display="View Full Record in Web of Science"/>
    <hyperlink ref="BF407" r:id="rId677" tooltip="http://dx.doi.org/10.1007/978-3-319-70987-1_34" display="http://dx.doi.org/10.1007/978-3-319-70987-1_34"/>
    <hyperlink ref="BT407" r:id="rId678" tooltip="View Full Record in Web of Science" display="View Full Record in Web of Science"/>
    <hyperlink ref="BT408" r:id="rId679" tooltip="View Full Record in Web of Science" display="View Full Record in Web of Science"/>
    <hyperlink ref="BF409" r:id="rId680" tooltip="http://dx.doi.org/10.17072/2219-3111-2018-4-40-49" display="http://dx.doi.org/10.17072/2219-3111-2018-4-40-49"/>
    <hyperlink ref="BT409" r:id="rId681" tooltip="View Full Record in Web of Science" display="View Full Record in Web of Science"/>
    <hyperlink ref="BT410" r:id="rId682" tooltip="View Full Record in Web of Science" display="View Full Record in Web of Science"/>
    <hyperlink ref="BT411" r:id="rId683" tooltip="View Full Record in Web of Science" display="View Full Record in Web of Science"/>
    <hyperlink ref="BT412" r:id="rId684" tooltip="View Full Record in Web of Science" display="View Full Record in Web of Science"/>
    <hyperlink ref="BT413" r:id="rId685" tooltip="View Full Record in Web of Science" display="View Full Record in Web of Science"/>
    <hyperlink ref="BT414" r:id="rId686" tooltip="View Full Record in Web of Science" display="View Full Record in Web of Science"/>
    <hyperlink ref="BT415" r:id="rId687" tooltip="View Full Record in Web of Science" display="View Full Record in Web of Science"/>
    <hyperlink ref="BT416" r:id="rId688" tooltip="View Full Record in Web of Science" display="View Full Record in Web of Science"/>
    <hyperlink ref="BF417" r:id="rId689" tooltip="http://dx.doi.org/10.1134/S1023193511070068" display="http://dx.doi.org/10.1134/S1023193511070068"/>
    <hyperlink ref="BT417" r:id="rId690" tooltip="View Full Record in Web of Science" display="View Full Record in Web of Science"/>
    <hyperlink ref="BF418" r:id="rId691" tooltip="http://dx.doi.org/10.1023/A:1023816608198" display="http://dx.doi.org/10.1023/A:1023816608198"/>
    <hyperlink ref="BT418" r:id="rId692" tooltip="View Full Record in Web of Science" display="View Full Record in Web of Science"/>
    <hyperlink ref="BT419" r:id="rId693" tooltip="View Full Record in Web of Science" display="View Full Record in Web of Science"/>
    <hyperlink ref="BF420" r:id="rId694" tooltip="http://dx.doi.org/10.31857/S0201708322040088" display="http://dx.doi.org/10.31857/S0201708322040088"/>
    <hyperlink ref="BT420" r:id="rId695" tooltip="View Full Record in Web of Science" display="View Full Record in Web of Science"/>
    <hyperlink ref="BF421" r:id="rId696" tooltip="http://dx.doi.org/10.1134/S0036029522020033" display="http://dx.doi.org/10.1134/S0036029522020033"/>
    <hyperlink ref="BT421" r:id="rId697" tooltip="View Full Record in Web of Science" display="View Full Record in Web of Science"/>
    <hyperlink ref="BF422" r:id="rId698" tooltip="http://dx.doi.org/10.25750/1995-4301-2022-3-041-048" display="http://dx.doi.org/10.25750/1995-4301-2022-3-041-048"/>
    <hyperlink ref="BT422" r:id="rId699" tooltip="View Full Record in Web of Science" display="View Full Record in Web of Science"/>
    <hyperlink ref="BF423" r:id="rId700" tooltip="http://dx.doi.org/10.25750/1995-4301-2022-3-103-109" display="http://dx.doi.org/10.25750/1995-4301-2022-3-103-109"/>
    <hyperlink ref="BT423" r:id="rId701" tooltip="View Full Record in Web of Science" display="View Full Record in Web of Science"/>
    <hyperlink ref="BF424" r:id="rId702" tooltip="http://dx.doi.org/10.24224/2227-1295-2021-11-216-234" display="http://dx.doi.org/10.24224/2227-1295-2021-11-216-234"/>
    <hyperlink ref="BT424" r:id="rId703" tooltip="View Full Record in Web of Science" display="View Full Record in Web of Science"/>
    <hyperlink ref="BF425" r:id="rId704" tooltip="http://dx.doi.org/10.17759/psylaw.2021110405" display="http://dx.doi.org/10.17759/psylaw.2021110405"/>
    <hyperlink ref="BT425" r:id="rId705" tooltip="View Full Record in Web of Science" display="View Full Record in Web of Science"/>
    <hyperlink ref="BF426" r:id="rId706" tooltip="http://dx.doi.org/10.1007/978-3-030-70194-9_35" display="http://dx.doi.org/10.1007/978-3-030-70194-9_35"/>
    <hyperlink ref="BT426" r:id="rId707" tooltip="View Full Record in Web of Science" display="View Full Record in Web of Science"/>
    <hyperlink ref="BF427" r:id="rId708" tooltip="http://dx.doi.org/10.25750/995-4301-2021-4-058-063" display="http://dx.doi.org/10.25750/995-4301-2021-4-058-063"/>
    <hyperlink ref="BT427" r:id="rId709" tooltip="View Full Record in Web of Science" display="View Full Record in Web of Science"/>
    <hyperlink ref="BF428" r:id="rId710" tooltip="http://dx.doi.org/10.17223/15617793/451/8" display="http://dx.doi.org/10.17223/15617793/451/8"/>
    <hyperlink ref="BT428" r:id="rId711" tooltip="View Full Record in Web of Science" display="View Full Record in Web of Science"/>
    <hyperlink ref="BF429" r:id="rId712" tooltip="http://dx.doi.org/10.17323/1813-8918-2020-4-696-718" display="http://dx.doi.org/10.17323/1813-8918-2020-4-696-718"/>
    <hyperlink ref="BT429" r:id="rId713" tooltip="View Full Record in Web of Science" display="View Full Record in Web of Science"/>
    <hyperlink ref="BF430" r:id="rId714" tooltip="http://dx.doi.org/10.5281/zenodo.4317048" display="http://dx.doi.org/10.5281/zenodo.4317048"/>
    <hyperlink ref="BT430" r:id="rId715" tooltip="View Full Record in Web of Science" display="View Full Record in Web of Science"/>
    <hyperlink ref="BF431" r:id="rId716" tooltip="http://dx.doi.org/10.6060/ivkkt.20206302.6055" display="http://dx.doi.org/10.6060/ivkkt.20206302.6055"/>
    <hyperlink ref="BT431" r:id="rId717" tooltip="View Full Record in Web of Science" display="View Full Record in Web of Science"/>
    <hyperlink ref="BF432" r:id="rId718" tooltip="http://dx.doi.org/10.25750/1995-4301-2019-2-143-148" display="http://dx.doi.org/10.25750/1995-4301-2019-2-143-148"/>
    <hyperlink ref="BT432" r:id="rId719" tooltip="View Full Record in Web of Science" display="View Full Record in Web of Science"/>
    <hyperlink ref="BT433" r:id="rId720" tooltip="View Full Record in Web of Science" display="View Full Record in Web of Science"/>
    <hyperlink ref="BT434" r:id="rId721" tooltip="View Full Record in Web of Science" display="View Full Record in Web of Science"/>
    <hyperlink ref="BF435" r:id="rId722" tooltip="http://dx.doi.org/10.3103/S0147688218030036" display="http://dx.doi.org/10.3103/S0147688218030036"/>
    <hyperlink ref="BT435" r:id="rId723" tooltip="View Full Record in Web of Science" display="View Full Record in Web of Science"/>
    <hyperlink ref="BF436" r:id="rId724" tooltip="http://dx.doi.org/10.17377/semi.2018.15.053" display="http://dx.doi.org/10.17377/semi.2018.15.053"/>
    <hyperlink ref="BT436" r:id="rId725" tooltip="View Full Record in Web of Science" display="View Full Record in Web of Science"/>
    <hyperlink ref="BT437" r:id="rId726" tooltip="View Full Record in Web of Science" display="View Full Record in Web of Science"/>
    <hyperlink ref="BF438" r:id="rId727" tooltip="http://dx.doi.org/10.1007/978-3-319-71746-3_12" display="http://dx.doi.org/10.1007/978-3-319-71746-3_12"/>
    <hyperlink ref="BT438" r:id="rId728" tooltip="View Full Record in Web of Science" display="View Full Record in Web of Science"/>
    <hyperlink ref="BF439" r:id="rId729" tooltip="http://dx.doi.org/10.1080/09668136.2018.1503891" display="http://dx.doi.org/10.1080/09668136.2018.1503891"/>
    <hyperlink ref="BT439" r:id="rId730" tooltip="View Full Record in Web of Science" display="View Full Record in Web of Science"/>
    <hyperlink ref="BF440" r:id="rId731" tooltip="http://dx.doi.org/10.15688/jvolsu4.2018.4.10" display="http://dx.doi.org/10.15688/jvolsu4.2018.4.10"/>
    <hyperlink ref="BT440" r:id="rId732" tooltip="View Full Record in Web of Science" display="View Full Record in Web of Science"/>
    <hyperlink ref="BT441" r:id="rId733" tooltip="View Full Record in Web of Science" display="View Full Record in Web of Science"/>
    <hyperlink ref="BF442" r:id="rId734" tooltip="http://dx.doi.org/10.1109/ICEnT.2017.36" display="http://dx.doi.org/10.1109/ICEnT.2017.36"/>
    <hyperlink ref="BT442" r:id="rId735" tooltip="View Full Record in Web of Science" display="View Full Record in Web of Science"/>
    <hyperlink ref="BT443" r:id="rId736" tooltip="View Full Record in Web of Science" display="View Full Record in Web of Science"/>
    <hyperlink ref="BF444" r:id="rId737" tooltip="http://dx.doi.org/10.1007/978-3-319-60696-5_4" display="http://dx.doi.org/10.1007/978-3-319-60696-5_4"/>
    <hyperlink ref="BT444" r:id="rId738" tooltip="View Full Record in Web of Science" display="View Full Record in Web of Science"/>
    <hyperlink ref="BF445" r:id="rId739" tooltip="http://dx.doi.org/10.1007/978-3-319-60696-5_51" display="http://dx.doi.org/10.1007/978-3-319-60696-5_51"/>
    <hyperlink ref="BT445" r:id="rId740" tooltip="View Full Record in Web of Science" display="View Full Record in Web of Science"/>
    <hyperlink ref="BF446" r:id="rId741" tooltip="http://dx.doi.org/10.3103/S1067821214020096" display="http://dx.doi.org/10.3103/S1067821214020096"/>
    <hyperlink ref="BT446" r:id="rId742" tooltip="View Full Record in Web of Science" display="View Full Record in Web of Science"/>
    <hyperlink ref="BF447" r:id="rId743" tooltip="http://dx.doi.org/10.1134/S1023193511050089" display="http://dx.doi.org/10.1134/S1023193511050089"/>
    <hyperlink ref="BT447" r:id="rId744" tooltip="View Full Record in Web of Science" display="View Full Record in Web of Science"/>
    <hyperlink ref="BF448" r:id="rId745" tooltip="http://dx.doi.org/10.1134/S0036024406110069" display="http://dx.doi.org/10.1134/S0036024406110069"/>
    <hyperlink ref="BT448" r:id="rId746" tooltip="View Full Record in Web of Science" display="View Full Record in Web of Science"/>
    <hyperlink ref="BF449" r:id="rId747" tooltip="http://dx.doi.org/10.1007/978-3-030-93244-2_83" display="http://dx.doi.org/10.1007/978-3-030-93244-2_83"/>
    <hyperlink ref="BT449" r:id="rId748" tooltip="View Full Record in Web of Science" display="View Full Record in Web of Science"/>
    <hyperlink ref="BF450" r:id="rId749" tooltip="http://dx.doi.org/10.15507/2658-4123.032.202202.279-294" display="http://dx.doi.org/10.15507/2658-4123.032.202202.279-294"/>
    <hyperlink ref="BT450" r:id="rId750" tooltip="View Full Record in Web of Science" display="View Full Record in Web of Science"/>
    <hyperlink ref="BF451" r:id="rId751" tooltip="http://dx.doi.org/10.17223/15617793/465/15" display="http://dx.doi.org/10.17223/15617793/465/15"/>
    <hyperlink ref="BT451" r:id="rId752" tooltip="View Full Record in Web of Science" display="View Full Record in Web of Science"/>
    <hyperlink ref="BF452" r:id="rId753" tooltip="http://dx.doi.org/10.24833/2071-8160-2021-4-79-26-50" display="http://dx.doi.org/10.24833/2071-8160-2021-4-79-26-50"/>
    <hyperlink ref="BT452" r:id="rId754" tooltip="View Full Record in Web of Science" display="View Full Record in Web of Science"/>
    <hyperlink ref="BF453" r:id="rId755" tooltip="http://dx.doi.org/10.17223/15617793/460/23" display="http://dx.doi.org/10.17223/15617793/460/23"/>
    <hyperlink ref="BT453" r:id="rId756" tooltip="View Full Record in Web of Science" display="View Full Record in Web of Science"/>
    <hyperlink ref="BF454" r:id="rId757" tooltip="http://dx.doi.org/10.12911/22998993/125459" display="http://dx.doi.org/10.12911/22998993/125459"/>
    <hyperlink ref="BT454" r:id="rId758" tooltip="View Full Record in Web of Science" display="View Full Record in Web of Science"/>
    <hyperlink ref="BT455" r:id="rId759" tooltip="View Full Record in Web of Science" display="View Full Record in Web of Science"/>
    <hyperlink ref="BF456" r:id="rId760" tooltip="http://dx.doi.org/10.1007/978-3-030-19810-7_1" display="http://dx.doi.org/10.1007/978-3-030-19810-7_1"/>
    <hyperlink ref="BT456" r:id="rId761" tooltip="View Full Record in Web of Science" display="View Full Record in Web of Science"/>
    <hyperlink ref="BT457" r:id="rId762" tooltip="View Full Record in Web of Science" display="View Full Record in Web of Science"/>
    <hyperlink ref="BF458" r:id="rId763" tooltip="http://dx.doi.org/10.33048/semi.2019.16.103" display="http://dx.doi.org/10.33048/semi.2019.16.103"/>
    <hyperlink ref="BT458" r:id="rId764" tooltip="View Full Record in Web of Science" display="View Full Record in Web of Science"/>
    <hyperlink ref="BF459" r:id="rId765" tooltip="http://dx.doi.org/10.17223/19996195/41/16" display="http://dx.doi.org/10.17223/19996195/41/16"/>
    <hyperlink ref="BT459" r:id="rId766" tooltip="View Full Record in Web of Science" display="View Full Record in Web of Science"/>
    <hyperlink ref="BF460" r:id="rId767" tooltip="http://dx.doi.org/10.1109/EnT-MIPT.2018.00042" display="http://dx.doi.org/10.1109/EnT-MIPT.2018.00042"/>
    <hyperlink ref="BT460" r:id="rId768" tooltip="View Full Record in Web of Science" display="View Full Record in Web of Science"/>
    <hyperlink ref="BF461" r:id="rId769" tooltip="http://dx.doi.org/10.1088/1742-6596/944/1/012045" display="http://dx.doi.org/10.1088/1742-6596/944/1/012045"/>
    <hyperlink ref="BT461" r:id="rId770" tooltip="View Full Record in Web of Science" display="View Full Record in Web of Science"/>
    <hyperlink ref="BT462" r:id="rId771" tooltip="View Full Record in Web of Science" display="View Full Record in Web of Science"/>
    <hyperlink ref="BF463" r:id="rId772" tooltip="http://dx.doi.org/10.21638/11701/spbu02.2018.417" display="http://dx.doi.org/10.21638/11701/spbu02.2018.417"/>
    <hyperlink ref="BT463" r:id="rId773" tooltip="View Full Record in Web of Science" display="View Full Record in Web of Science"/>
    <hyperlink ref="BT464" r:id="rId774" tooltip="View Full Record in Web of Science" display="View Full Record in Web of Science"/>
    <hyperlink ref="BT465" r:id="rId775" tooltip="View Full Record in Web of Science" display="View Full Record in Web of Science"/>
    <hyperlink ref="BF466" r:id="rId776" tooltip="http://dx.doi.org/10.1007/978-3-319-62932-2_18" display="http://dx.doi.org/10.1007/978-3-319-62932-2_18"/>
    <hyperlink ref="BT466" r:id="rId777" tooltip="View Full Record in Web of Science" display="View Full Record in Web of Science"/>
    <hyperlink ref="BT467" r:id="rId778" tooltip="View Full Record in Web of Science" display="View Full Record in Web of Science"/>
    <hyperlink ref="BT468" r:id="rId779" tooltip="View Full Record in Web of Science" display="View Full Record in Web of Science"/>
    <hyperlink ref="BT469" r:id="rId780" tooltip="View Full Record in Web of Science" display="View Full Record in Web of Science"/>
    <hyperlink ref="BT470" r:id="rId781" tooltip="View Full Record in Web of Science" display="View Full Record in Web of Science"/>
    <hyperlink ref="BF471" r:id="rId782" tooltip="http://dx.doi.org/10.1070/RM2007v062n01ABEH004387" display="http://dx.doi.org/10.1070/RM2007v062n01ABEH004387"/>
    <hyperlink ref="BT471" r:id="rId783" tooltip="View Full Record in Web of Science" display="View Full Record in Web of Science"/>
    <hyperlink ref="BF472" r:id="rId784" tooltip="http://dx.doi.org/10.1134/S102319350612007X" display="http://dx.doi.org/10.1134/S102319350612007X"/>
    <hyperlink ref="BT472" r:id="rId785" tooltip="View Full Record in Web of Science" display="View Full Record in Web of Science"/>
    <hyperlink ref="BT473" r:id="rId786" tooltip="View Full Record in Web of Science" display="View Full Record in Web of Science"/>
    <hyperlink ref="BF474" r:id="rId787" tooltip="http://dx.doi.org/10.1023/A:1016616732627" display="http://dx.doi.org/10.1023/A:1016616732627"/>
    <hyperlink ref="BT474" r:id="rId788" tooltip="View Full Record in Web of Science" display="View Full Record in Web of Science"/>
    <hyperlink ref="BF475" r:id="rId789" tooltip="http://dx.doi.org/10.1109/ACCESS.2023.3269720" display="http://dx.doi.org/10.1109/ACCESS.2023.3269720"/>
    <hyperlink ref="BT475" r:id="rId790" tooltip="View Full Record in Web of Science" display="View Full Record in Web of Science"/>
    <hyperlink ref="BF476" r:id="rId791" tooltip="http://dx.doi.org/10.1080/09668136.2022.2083309" display="http://dx.doi.org/10.1080/09668136.2022.2083309"/>
    <hyperlink ref="BT476" r:id="rId792" tooltip="View Full Record in Web of Science" display="View Full Record in Web of Science"/>
    <hyperlink ref="BF477" r:id="rId793" tooltip="http://dx.doi.org/10.4025/actascihealthsci.v44i1.56397" display="http://dx.doi.org/10.4025/actascihealthsci.v44i1.56397"/>
    <hyperlink ref="BT477" r:id="rId794" tooltip="View Full Record in Web of Science" display="View Full Record in Web of Science"/>
    <hyperlink ref="BF478" r:id="rId795" tooltip="http://dx.doi.org/10.24224/2227-1295-2022-11-7-59-73" display="http://dx.doi.org/10.24224/2227-1295-2022-11-7-59-73"/>
    <hyperlink ref="BT478" r:id="rId796" tooltip="View Full Record in Web of Science" display="View Full Record in Web of Science"/>
    <hyperlink ref="BF479" r:id="rId797" tooltip="http://dx.doi.org/10.1080/09668136.2021.1977037" display="http://dx.doi.org/10.1080/09668136.2021.1977037"/>
    <hyperlink ref="BT479" r:id="rId798" tooltip="View Full Record in Web of Science" display="View Full Record in Web of Science"/>
    <hyperlink ref="BF480" r:id="rId799" tooltip="http://dx.doi.org/10.15405/epsbs.2021.07.02.46" display="http://dx.doi.org/10.15405/epsbs.2021.07.02.46"/>
    <hyperlink ref="BT480" r:id="rId800" tooltip="View Full Record in Web of Science" display="View Full Record in Web of Science"/>
    <hyperlink ref="BF481" r:id="rId801" tooltip="http://dx.doi.org/10.26170/FK20-03-11" display="http://dx.doi.org/10.26170/FK20-03-11"/>
    <hyperlink ref="BT481" r:id="rId802" tooltip="View Full Record in Web of Science" display="View Full Record in Web of Science"/>
    <hyperlink ref="BF482" r:id="rId803" tooltip="http://dx.doi.org/10.24874/IJQR14.01-16" display="http://dx.doi.org/10.24874/IJQR14.01-16"/>
    <hyperlink ref="BT482" r:id="rId804" tooltip="View Full Record in Web of Science" display="View Full Record in Web of Science"/>
    <hyperlink ref="BF483" r:id="rId805" tooltip="http://dx.doi.org/10.24833/2071-8160-2020-2-71-7-39" display="http://dx.doi.org/10.24833/2071-8160-2020-2-71-7-39"/>
    <hyperlink ref="BT483" r:id="rId806" tooltip="View Full Record in Web of Science" display="View Full Record in Web of Science"/>
    <hyperlink ref="BT484" r:id="rId807" tooltip="View Full Record in Web of Science" display="View Full Record in Web of Science"/>
    <hyperlink ref="BF485" r:id="rId808" tooltip="http://dx.doi.org/10.24224/2227-1295-2019-9-159-172" display="http://dx.doi.org/10.24224/2227-1295-2019-9-159-172"/>
    <hyperlink ref="BT485" r:id="rId809" tooltip="View Full Record in Web of Science" display="View Full Record in Web of Science"/>
    <hyperlink ref="BF486" r:id="rId810" tooltip="http://dx.doi.org/10.1145/3357419.3357430" display="http://dx.doi.org/10.1145/3357419.3357430"/>
    <hyperlink ref="BT486" r:id="rId811" tooltip="View Full Record in Web of Science" display="View Full Record in Web of Science"/>
    <hyperlink ref="BT487" r:id="rId812" tooltip="View Full Record in Web of Science" display="View Full Record in Web of Science"/>
    <hyperlink ref="BF488" r:id="rId813" tooltip="http://dx.doi.org/10.17853/1994-5639-2018-3-53-82" display="http://dx.doi.org/10.17853/1994-5639-2018-3-53-82"/>
    <hyperlink ref="BT488" r:id="rId814" tooltip="View Full Record in Web of Science" display="View Full Record in Web of Science"/>
    <hyperlink ref="BF489" r:id="rId815" tooltip="http://dx.doi.org/10.1142/S0218126618500044" display="http://dx.doi.org/10.1142/S0218126618500044"/>
    <hyperlink ref="BT489" r:id="rId816" tooltip="View Full Record in Web of Science" display="View Full Record in Web of Science"/>
    <hyperlink ref="BF490" r:id="rId817" tooltip="http://dx.doi.org/10.15507/0236-2910.028.201803.416-428" display="http://dx.doi.org/10.15507/0236-2910.028.201803.416-428"/>
    <hyperlink ref="BT490" r:id="rId818" tooltip="View Full Record in Web of Science" display="View Full Record in Web of Science"/>
    <hyperlink ref="BT491" r:id="rId819" tooltip="View Full Record in Web of Science" display="View Full Record in Web of Science"/>
    <hyperlink ref="BT492" r:id="rId820" tooltip="View Full Record in Web of Science" display="View Full Record in Web of Science"/>
    <hyperlink ref="BT493" r:id="rId821" tooltip="View Full Record in Web of Science" display="View Full Record in Web of Science"/>
    <hyperlink ref="BF494" r:id="rId822" tooltip="http://dx.doi.org/10.1007/s11185-016-9174-9" display="http://dx.doi.org/10.1007/s11185-016-9174-9"/>
    <hyperlink ref="BT494" r:id="rId823" tooltip="View Full Record in Web of Science" display="View Full Record in Web of Science"/>
    <hyperlink ref="BT495" r:id="rId824" tooltip="View Full Record in Web of Science" display="View Full Record in Web of Science"/>
    <hyperlink ref="BF496" r:id="rId825" tooltip="http://dx.doi.org/10.1016/j.proeng.2017.10.692" display="http://dx.doi.org/10.1016/j.proeng.2017.10.692"/>
    <hyperlink ref="BT496" r:id="rId826" tooltip="View Full Record in Web of Science" display="View Full Record in Web of Science"/>
    <hyperlink ref="BT497" r:id="rId827" tooltip="View Full Record in Web of Science" display="View Full Record in Web of Science"/>
    <hyperlink ref="BF498" r:id="rId828" tooltip="http://dx.doi.org/10.1007/978-3-319-21909-7_5" display="http://dx.doi.org/10.1007/978-3-319-21909-7_5"/>
    <hyperlink ref="BT498" r:id="rId829" tooltip="View Full Record in Web of Science" display="View Full Record in Web of Science"/>
    <hyperlink ref="BF499" r:id="rId830" tooltip="http://dx.doi.org/10.1007/s11141-007-0030-z" display="http://dx.doi.org/10.1007/s11141-007-0030-z"/>
    <hyperlink ref="BT499" r:id="rId831" tooltip="View Full Record in Web of Science" display="View Full Record in Web of Science"/>
    <hyperlink ref="BF500" r:id="rId832" tooltip="http://dx.doi.org/10.1023/A:1021274019713" display="http://dx.doi.org/10.1023/A:1021274019713"/>
    <hyperlink ref="BT500" r:id="rId833" tooltip="View Full Record in Web of Science" display="View Full Record in Web of Science"/>
    <hyperlink ref="BF501" r:id="rId834" tooltip="http://dx.doi.org/10.12911/22998993/131029" display="http://dx.doi.org/10.12911/22998993/131029"/>
    <hyperlink ref="BT501" r:id="rId835" tooltip="View Full Record in Web of Science" display="View Full Record in Web of Science"/>
    <hyperlink ref="BF502" r:id="rId836" tooltip="http://dx.doi.org/10.17212/1994-6309-2020-22.4-18-30" display="http://dx.doi.org/10.17212/1994-6309-2020-22.4-18-30"/>
    <hyperlink ref="BT502" r:id="rId837" tooltip="View Full Record in Web of Science" display="View Full Record in Web of Science"/>
    <hyperlink ref="BF503" r:id="rId838" tooltip="http://dx.doi.org/10.1016/j.dib.2020.105506" display="http://dx.doi.org/10.1016/j.dib.2020.105506"/>
    <hyperlink ref="BT503" r:id="rId839" tooltip="View Full Record in Web of Science" display="View Full Record in Web of Science"/>
    <hyperlink ref="BF504" r:id="rId840" tooltip="http://dx.doi.org/10.17223/22220836/38/16" display="http://dx.doi.org/10.17223/22220836/38/16"/>
    <hyperlink ref="BT504" r:id="rId841" tooltip="View Full Record in Web of Science" display="View Full Record in Web of Science"/>
    <hyperlink ref="BF505" r:id="rId842" tooltip="http://dx.doi.org/10.17223/15617793/451/23" display="http://dx.doi.org/10.17223/15617793/451/23"/>
    <hyperlink ref="BT505" r:id="rId843" tooltip="View Full Record in Web of Science" display="View Full Record in Web of Science"/>
    <hyperlink ref="BF506" r:id="rId844" tooltip="http://dx.doi.org/10.15393/j9.art.2020.6882" display="http://dx.doi.org/10.15393/j9.art.2020.6882"/>
    <hyperlink ref="BT506" r:id="rId845" tooltip="View Full Record in Web of Science" display="View Full Record in Web of Science"/>
    <hyperlink ref="BF507" r:id="rId846" tooltip="http://dx.doi.org/10.24224/2227-1295-2020-9-420-433" display="http://dx.doi.org/10.24224/2227-1295-2020-9-420-433"/>
    <hyperlink ref="BT507" r:id="rId847" tooltip="View Full Record in Web of Science" display="View Full Record in Web of Science"/>
    <hyperlink ref="BF508" r:id="rId848" tooltip="http://dx.doi.org/10.21538/0134-4889-2020-26-3-171-186" display="http://dx.doi.org/10.21538/0134-4889-2020-26-3-171-186"/>
    <hyperlink ref="BT508" r:id="rId849" tooltip="View Full Record in Web of Science" display="View Full Record in Web of Science"/>
    <hyperlink ref="BF509" r:id="rId850" tooltip="http://dx.doi.org/10.18720/MCE.95.9" display="http://dx.doi.org/10.18720/MCE.95.9"/>
    <hyperlink ref="BT509" r:id="rId851" tooltip="View Full Record in Web of Science" display="View Full Record in Web of Science"/>
    <hyperlink ref="BF510" r:id="rId852" tooltip="http://dx.doi.org/10.15405/epsbs.2019.03.73" display="http://dx.doi.org/10.15405/epsbs.2019.03.73"/>
    <hyperlink ref="BT510" r:id="rId853" tooltip="View Full Record in Web of Science" display="View Full Record in Web of Science"/>
    <hyperlink ref="BF511" r:id="rId854" tooltip="http://dx.doi.org/10.3116/VoprosyIstorii201912Statyi45" display="http://dx.doi.org/10.3116/VoprosyIstorii201912Statyi45"/>
    <hyperlink ref="BT511" r:id="rId855" tooltip="View Full Record in Web of Science" display="View Full Record in Web of Science"/>
    <hyperlink ref="BF512" r:id="rId856" tooltip="http://dx.doi.org/10.17223/20710410/44/2" display="http://dx.doi.org/10.17223/20710410/44/2"/>
    <hyperlink ref="BT512" r:id="rId857" tooltip="View Full Record in Web of Science" display="View Full Record in Web of Science"/>
    <hyperlink ref="BF513" r:id="rId858" tooltip="http://dx.doi.org/10.1007/978-3-030-00102-5_114" display="http://dx.doi.org/10.1007/978-3-030-00102-5_114"/>
    <hyperlink ref="BT513" r:id="rId859" tooltip="View Full Record in Web of Science" display="View Full Record in Web of Science"/>
    <hyperlink ref="BF514" r:id="rId860" tooltip="http://dx.doi.org/10.18254/S207987840005469-4" display="http://dx.doi.org/10.18254/S207987840005469-4"/>
    <hyperlink ref="BT514" r:id="rId861" tooltip="View Full Record in Web of Science" display="View Full Record in Web of Science"/>
    <hyperlink ref="BF515" r:id="rId862" tooltip="http://dx.doi.org/10.18720/MCE.79.6" display="http://dx.doi.org/10.18720/MCE.79.6"/>
    <hyperlink ref="BT515" r:id="rId863" tooltip="View Full Record in Web of Science" display="View Full Record in Web of Science"/>
    <hyperlink ref="BF516" r:id="rId864" tooltip="http://dx.doi.org/10.15405/epsbs.2018.09.60" display="http://dx.doi.org/10.15405/epsbs.2018.09.60"/>
    <hyperlink ref="BT516" r:id="rId865" tooltip="View Full Record in Web of Science" display="View Full Record in Web of Science"/>
    <hyperlink ref="BT517" r:id="rId866" tooltip="View Full Record in Web of Science" display="View Full Record in Web of Science"/>
    <hyperlink ref="BT518" r:id="rId867" tooltip="View Full Record in Web of Science" display="View Full Record in Web of Science"/>
    <hyperlink ref="BT519" r:id="rId868" tooltip="View Full Record in Web of Science" display="View Full Record in Web of Science"/>
    <hyperlink ref="BF520" r:id="rId869" tooltip="http://dx.doi.org/10.1134/S102319350906010X" display="http://dx.doi.org/10.1134/S102319350906010X"/>
    <hyperlink ref="BT520" r:id="rId870" tooltip="View Full Record in Web of Science" display="View Full Record in Web of Science"/>
    <hyperlink ref="BT521" r:id="rId871" tooltip="View Full Record in Web of Science" display="View Full Record in Web of Science"/>
    <hyperlink ref="BF522" r:id="rId872" tooltip="http://dx.doi.org/10.20542/0131-2227-2023-67-3-116-129" display="http://dx.doi.org/10.20542/0131-2227-2023-67-3-116-129"/>
    <hyperlink ref="BT522" r:id="rId873" tooltip="View Full Record in Web of Science" display="View Full Record in Web of Science"/>
    <hyperlink ref="BF523" r:id="rId874" tooltip="http://dx.doi.org/10.17223/19988613/76/11" display="http://dx.doi.org/10.17223/19988613/76/11"/>
    <hyperlink ref="BT523" r:id="rId875" tooltip="View Full Record in Web of Science" display="View Full Record in Web of Science"/>
    <hyperlink ref="BF524" r:id="rId876" tooltip="http://dx.doi.org/10.1007/s11041-022-00720-1" display="http://dx.doi.org/10.1007/s11041-022-00720-1"/>
    <hyperlink ref="BT524" r:id="rId877" tooltip="View Full Record in Web of Science" display="View Full Record in Web of Science"/>
    <hyperlink ref="BF525" r:id="rId878" tooltip="http://dx.doi.org/10.52254/1857-0070.2022.4-56.01" display="http://dx.doi.org/10.52254/1857-0070.2022.4-56.01"/>
    <hyperlink ref="BT525" r:id="rId879" tooltip="View Full Record in Web of Science" display="View Full Record in Web of Science"/>
    <hyperlink ref="BF526" r:id="rId880" tooltip="http://dx.doi.org/10.14529/hsm220415" display="http://dx.doi.org/10.14529/hsm220415"/>
    <hyperlink ref="BT526" r:id="rId881" tooltip="View Full Record in Web of Science" display="View Full Record in Web of Science"/>
    <hyperlink ref="BF527" r:id="rId882" tooltip="http://dx.doi.org/10.1007/978-3-030-93244-2_47" display="http://dx.doi.org/10.1007/978-3-030-93244-2_47"/>
    <hyperlink ref="BT527" r:id="rId883" tooltip="View Full Record in Web of Science" display="View Full Record in Web of Science"/>
    <hyperlink ref="BF528" r:id="rId884" tooltip="http://dx.doi.org/10.1080/08974454.2021.1980483" display="http://dx.doi.org/10.1080/08974454.2021.1980483"/>
    <hyperlink ref="BT528" r:id="rId885" tooltip="View Full Record in Web of Science" display="View Full Record in Web of Science"/>
    <hyperlink ref="BF529" r:id="rId886" tooltip="http://dx.doi.org/10.15405/epsbs.2021.07.02.45" display="http://dx.doi.org/10.15405/epsbs.2021.07.02.45"/>
    <hyperlink ref="BT529" r:id="rId887" tooltip="View Full Record in Web of Science" display="View Full Record in Web of Science"/>
    <hyperlink ref="BF530" r:id="rId888" tooltip="http://dx.doi.org/10.1109/SIBCON50419.2021.9438904" display="http://dx.doi.org/10.1109/SIBCON50419.2021.9438904"/>
    <hyperlink ref="BT530" r:id="rId889" tooltip="View Full Record in Web of Science" display="View Full Record in Web of Science"/>
    <hyperlink ref="BF531" r:id="rId890" tooltip="http://dx.doi.org/10.24224/2227-1295-2020-7-158-176" display="http://dx.doi.org/10.24224/2227-1295-2020-7-158-176"/>
    <hyperlink ref="BT531" r:id="rId891" tooltip="View Full Record in Web of Science" display="View Full Record in Web of Science"/>
    <hyperlink ref="BF532" r:id="rId892" tooltip="http://dx.doi.org/10.24224/2227-1295-2020-7-226-240" display="http://dx.doi.org/10.24224/2227-1295-2020-7-226-240"/>
    <hyperlink ref="BT532" r:id="rId893" tooltip="View Full Record in Web of Science" display="View Full Record in Web of Science"/>
    <hyperlink ref="BT533" r:id="rId894" tooltip="View Full Record in Web of Science" display="View Full Record in Web of Science"/>
    <hyperlink ref="BF534" r:id="rId895" tooltip="http://dx.doi.org/10.18421/TEM82-31" display="http://dx.doi.org/10.18421/TEM82-31"/>
    <hyperlink ref="BT534" r:id="rId896" tooltip="View Full Record in Web of Science" display="View Full Record in Web of Science"/>
    <hyperlink ref="BF535" r:id="rId897" tooltip="http://dx.doi.org/10.3897/ap.1.e0254" display="http://dx.doi.org/10.3897/ap.1.e0254"/>
    <hyperlink ref="BT535" r:id="rId898" tooltip="View Full Record in Web of Science" display="View Full Record in Web of Science"/>
    <hyperlink ref="BT536" r:id="rId899" tooltip="View Full Record in Web of Science" display="View Full Record in Web of Science"/>
    <hyperlink ref="BF537" r:id="rId900" tooltip="http://dx.doi.org/10.1088/1742-6596/1399/3/033050" display="http://dx.doi.org/10.1088/1742-6596/1399/3/033050"/>
    <hyperlink ref="BT537" r:id="rId901" tooltip="View Full Record in Web of Science" display="View Full Record in Web of Science"/>
    <hyperlink ref="BT538" r:id="rId902" tooltip="View Full Record in Web of Science" display="View Full Record in Web of Science"/>
    <hyperlink ref="BF539" r:id="rId903" tooltip="http://dx.doi.org/10.26710/fk18-01-23" display="http://dx.doi.org/10.26710/fk18-01-23"/>
    <hyperlink ref="BT539" r:id="rId904" tooltip="View Full Record in Web of Science" display="View Full Record in Web of Science"/>
    <hyperlink ref="BT540" r:id="rId905" tooltip="View Full Record in Web of Science" display="View Full Record in Web of Science"/>
    <hyperlink ref="BF541" r:id="rId906" tooltip="http://dx.doi.org/10.15405/epsbs.2017.08.02.17" display="http://dx.doi.org/10.15405/epsbs.2017.08.02.17"/>
    <hyperlink ref="BT541" r:id="rId907" tooltip="View Full Record in Web of Science" display="View Full Record in Web of Science"/>
    <hyperlink ref="BT542" r:id="rId908" tooltip="View Full Record in Web of Science" display="View Full Record in Web of Science"/>
    <hyperlink ref="BT543" r:id="rId909" tooltip="View Full Record in Web of Science" display="View Full Record in Web of Science"/>
    <hyperlink ref="BF544" r:id="rId910" tooltip="http://dx.doi.org/10.1134/S0040579512020121" display="http://dx.doi.org/10.1134/S0040579512020121"/>
    <hyperlink ref="BT544" r:id="rId911" tooltip="View Full Record in Web of Science" display="View Full Record in Web of Science"/>
    <hyperlink ref="BT545" r:id="rId912" tooltip="View Full Record in Web of Science" display="View Full Record in Web of Science"/>
    <hyperlink ref="BT546" r:id="rId913" tooltip="View Full Record in Web of Science" display="View Full Record in Web of Science"/>
    <hyperlink ref="BT547" r:id="rId914" tooltip="View Full Record in Web of Science" display="View Full Record in Web of Science"/>
    <hyperlink ref="BF548" r:id="rId915" tooltip="http://dx.doi.org/10.1016/j.tate.2023.104064" display="http://dx.doi.org/10.1016/j.tate.2023.104064"/>
    <hyperlink ref="BT548" r:id="rId916" tooltip="View Full Record in Web of Science" display="View Full Record in Web of Science"/>
    <hyperlink ref="BF549" r:id="rId917" tooltip="http://dx.doi.org/10.1134/S0031918X22601251" display="http://dx.doi.org/10.1134/S0031918X22601251"/>
    <hyperlink ref="BT549" r:id="rId918" tooltip="View Full Record in Web of Science" display="View Full Record in Web of Science"/>
    <hyperlink ref="BF550" r:id="rId919" tooltip="http://dx.doi.org/10.51762/1FK-2021-26-04-24" display="http://dx.doi.org/10.51762/1FK-2021-26-04-24"/>
    <hyperlink ref="BT550" r:id="rId920" tooltip="View Full Record in Web of Science" display="View Full Record in Web of Science"/>
    <hyperlink ref="BF551" r:id="rId921" tooltip="http://dx.doi.org/10.13187/ejced.2020.2.417" display="http://dx.doi.org/10.13187/ejced.2020.2.417"/>
    <hyperlink ref="BT551" r:id="rId922" tooltip="View Full Record in Web of Science" display="View Full Record in Web of Science"/>
    <hyperlink ref="BF552" r:id="rId923" tooltip="http://dx.doi.org/10.1093/ehr/cez365" display="http://dx.doi.org/10.1093/ehr/cez365"/>
    <hyperlink ref="BT552" r:id="rId924" tooltip="View Full Record in Web of Science" display="View Full Record in Web of Science"/>
    <hyperlink ref="BF553" r:id="rId925" tooltip="http://dx.doi.org/10.24224/2227-1295-2020-10-268-279" display="http://dx.doi.org/10.24224/2227-1295-2020-10-268-279"/>
    <hyperlink ref="BT553" r:id="rId926" tooltip="View Full Record in Web of Science" display="View Full Record in Web of Science"/>
    <hyperlink ref="BT554" r:id="rId927" tooltip="View Full Record in Web of Science" display="View Full Record in Web of Science"/>
    <hyperlink ref="BF555" r:id="rId928" tooltip="http://dx.doi.org/10.1108/OTH-07-2019-0040" display="http://dx.doi.org/10.1108/OTH-07-2019-0040"/>
    <hyperlink ref="BT555" r:id="rId929" tooltip="View Full Record in Web of Science" display="View Full Record in Web of Science"/>
    <hyperlink ref="BF556" r:id="rId930" tooltip="http://dx.doi.org/10.17853/1994-5639-2019-6-146-170" display="http://dx.doi.org/10.17853/1994-5639-2019-6-146-170"/>
    <hyperlink ref="BT556" r:id="rId931" tooltip="View Full Record in Web of Science" display="View Full Record in Web of Science"/>
    <hyperlink ref="BT557" r:id="rId932" tooltip="View Full Record in Web of Science" display="View Full Record in Web of Science"/>
    <hyperlink ref="BT558" r:id="rId933" tooltip="View Full Record in Web of Science" display="View Full Record in Web of Science"/>
    <hyperlink ref="BF559" r:id="rId934" tooltip="http://dx.doi.org/10.21638/spbu14.2019.304" display="http://dx.doi.org/10.21638/spbu14.2019.304"/>
    <hyperlink ref="BT559" r:id="rId935" tooltip="View Full Record in Web of Science" display="View Full Record in Web of Science"/>
    <hyperlink ref="BF560" r:id="rId936" tooltip="http://dx.doi.org/10.1051/e3sconf/201911002010" display="http://dx.doi.org/10.1051/e3sconf/201911002010"/>
    <hyperlink ref="BT560" r:id="rId937" tooltip="View Full Record in Web of Science" display="View Full Record in Web of Science"/>
    <hyperlink ref="BT561" r:id="rId938" tooltip="View Full Record in Web of Science" display="View Full Record in Web of Science"/>
    <hyperlink ref="BT562" r:id="rId939" tooltip="View Full Record in Web of Science" display="View Full Record in Web of Science"/>
    <hyperlink ref="BT563" r:id="rId940" tooltip="View Full Record in Web of Science" display="View Full Record in Web of Science"/>
    <hyperlink ref="BF564" r:id="rId941" tooltip="http://dx.doi.org/10.1007/978-3-319-60696-5_10" display="http://dx.doi.org/10.1007/978-3-319-60696-5_10"/>
    <hyperlink ref="BT564" r:id="rId942" tooltip="View Full Record in Web of Science" display="View Full Record in Web of Science"/>
    <hyperlink ref="BT565" r:id="rId943" tooltip="View Full Record in Web of Science" display="View Full Record in Web of Science"/>
    <hyperlink ref="BT566" r:id="rId944" tooltip="View Full Record in Web of Science" display="View Full Record in Web of Science"/>
    <hyperlink ref="BT567" r:id="rId945" tooltip="View Full Record in Web of Science" display="View Full Record in Web of Science"/>
    <hyperlink ref="BF568" r:id="rId946" tooltip="http://dx.doi.org/10.1134/S1087659609010118" display="http://dx.doi.org/10.1134/S1087659609010118"/>
    <hyperlink ref="BT568" r:id="rId947" tooltip="View Full Record in Web of Science" display="View Full Record in Web of Science"/>
    <hyperlink ref="BT569" r:id="rId948" tooltip="View Full Record in Web of Science" display="View Full Record in Web of Science"/>
    <hyperlink ref="BF570" r:id="rId949" tooltip="http://dx.doi.org/10.1023/B:MSAT.0000043100.72622.0e" display="http://dx.doi.org/10.1023/B:MSAT.0000043100.72622.0e"/>
    <hyperlink ref="BT570" r:id="rId950" tooltip="View Full Record in Web of Science" display="View Full Record in Web of Science"/>
    <hyperlink ref="BT571" r:id="rId951" tooltip="View Full Record in Web of Science" display="View Full Record in Web of Science"/>
    <hyperlink ref="BT572" r:id="rId952" tooltip="View Full Record in Web of Science" display="View Full Record in Web of Science"/>
    <hyperlink ref="BT573" r:id="rId953" tooltip="View Full Record in Web of Science" display="View Full Record in Web of Science"/>
    <hyperlink ref="BF574" r:id="rId954" tooltip="http://dx.doi.org/10.47836/pjst.31.3.17" display="http://dx.doi.org/10.47836/pjst.31.3.17"/>
    <hyperlink ref="BT574" r:id="rId955" tooltip="View Full Record in Web of Science" display="View Full Record in Web of Science"/>
    <hyperlink ref="BF575" r:id="rId956" tooltip="http://dx.doi.org/10.17223/19996195/60/15" display="http://dx.doi.org/10.17223/19996195/60/15"/>
    <hyperlink ref="BT575" r:id="rId957" tooltip="View Full Record in Web of Science" display="View Full Record in Web of Science"/>
    <hyperlink ref="BF576" r:id="rId958" tooltip="http://dx.doi.org/10.1134/S0869864322040096" display="http://dx.doi.org/10.1134/S0869864322040096"/>
    <hyperlink ref="BT576" r:id="rId959" tooltip="View Full Record in Web of Science" display="View Full Record in Web of Science"/>
    <hyperlink ref="BF577" r:id="rId960" tooltip="http://dx.doi.org/10.17223/22274200/23/2" display="http://dx.doi.org/10.17223/22274200/23/2"/>
    <hyperlink ref="BT577" r:id="rId961" tooltip="View Full Record in Web of Science" display="View Full Record in Web of Science"/>
    <hyperlink ref="BF578" r:id="rId962" tooltip="http://dx.doi.org/10.1007/s13762-022-03971-w" display="http://dx.doi.org/10.1007/s13762-022-03971-w"/>
    <hyperlink ref="BT578" r:id="rId963" tooltip="View Full Record in Web of Science" display="View Full Record in Web of Science"/>
    <hyperlink ref="BF579" r:id="rId964" tooltip="http://dx.doi.org/10.25750/1995-4301-2022-1-056-063" display="http://dx.doi.org/10.25750/1995-4301-2022-1-056-063"/>
    <hyperlink ref="BT579" r:id="rId965" tooltip="View Full Record in Web of Science" display="View Full Record in Web of Science"/>
    <hyperlink ref="BF580" r:id="rId966" tooltip="http://dx.doi.org/10.25750/1995-4301-2020-2-187-192" display="http://dx.doi.org/10.25750/1995-4301-2020-2-187-192"/>
    <hyperlink ref="BT580" r:id="rId967" tooltip="View Full Record in Web of Science" display="View Full Record in Web of Science"/>
    <hyperlink ref="BT581" r:id="rId968" tooltip="View Full Record in Web of Science" display="View Full Record in Web of Science"/>
    <hyperlink ref="BF582" r:id="rId969" tooltip="http://dx.doi.org/10.28995/2073-0101-2020-1-169-179" display="http://dx.doi.org/10.28995/2073-0101-2020-1-169-179"/>
    <hyperlink ref="BT582" r:id="rId970" tooltip="View Full Record in Web of Science" display="View Full Record in Web of Science"/>
    <hyperlink ref="BF583" r:id="rId971" tooltip="http://dx.doi.org/10.24833/2071-8160-2020-4-73-52-79" display="http://dx.doi.org/10.24833/2071-8160-2020-4-73-52-79"/>
    <hyperlink ref="BT583" r:id="rId972" tooltip="View Full Record in Web of Science" display="View Full Record in Web of Science"/>
    <hyperlink ref="BF584" r:id="rId973" tooltip="http://dx.doi.org/10.25750/1995-4301-2019-1-041-046" display="http://dx.doi.org/10.25750/1995-4301-2019-1-041-046"/>
    <hyperlink ref="BT584" r:id="rId974" tooltip="View Full Record in Web of Science" display="View Full Record in Web of Science"/>
    <hyperlink ref="BT585" r:id="rId975" tooltip="View Full Record in Web of Science" display="View Full Record in Web of Science"/>
    <hyperlink ref="BT586" r:id="rId976" tooltip="View Full Record in Web of Science" display="View Full Record in Web of Science"/>
    <hyperlink ref="BF587" r:id="rId977" tooltip="http://dx.doi.org/10.15405/epsbs.2018.09.103" display="http://dx.doi.org/10.15405/epsbs.2018.09.103"/>
    <hyperlink ref="BT587" r:id="rId978" tooltip="View Full Record in Web of Science" display="View Full Record in Web of Science"/>
    <hyperlink ref="BT588" r:id="rId979" tooltip="View Full Record in Web of Science" display="View Full Record in Web of Science"/>
    <hyperlink ref="BT589" r:id="rId980" tooltip="View Full Record in Web of Science" display="View Full Record in Web of Science"/>
    <hyperlink ref="BF590" r:id="rId981" tooltip="http://dx.doi.org/10.14529/hsm180312" display="http://dx.doi.org/10.14529/hsm180312"/>
    <hyperlink ref="BT590" r:id="rId982" tooltip="View Full Record in Web of Science" display="View Full Record in Web of Science"/>
    <hyperlink ref="BF591" r:id="rId983" tooltip="http://dx.doi.org/10.22616/ERDev2018.17.N217" display="http://dx.doi.org/10.22616/ERDev2018.17.N217"/>
    <hyperlink ref="BT591" r:id="rId984" tooltip="View Full Record in Web of Science" display="View Full Record in Web of Science"/>
    <hyperlink ref="BT592" r:id="rId985" tooltip="View Full Record in Web of Science" display="View Full Record in Web of Science"/>
    <hyperlink ref="BF593" r:id="rId986" tooltip="http://dx.doi.org/10.1007/978-3-319-55669-7_14" display="http://dx.doi.org/10.1007/978-3-319-55669-7_14"/>
    <hyperlink ref="BT593" r:id="rId987" tooltip="View Full Record in Web of Science" display="View Full Record in Web of Science"/>
    <hyperlink ref="BF594" r:id="rId988" tooltip="http://dx.doi.org/10.1016/j.proeng.2016.07.237" display="http://dx.doi.org/10.1016/j.proeng.2016.07.237"/>
    <hyperlink ref="BT594" r:id="rId989" tooltip="View Full Record in Web of Science" display="View Full Record in Web of Science"/>
    <hyperlink ref="BT595" r:id="rId990" tooltip="View Full Record in Web of Science" display="View Full Record in Web of Science"/>
    <hyperlink ref="BT596" r:id="rId991" tooltip="View Full Record in Web of Science" display="View Full Record in Web of Science"/>
    <hyperlink ref="BF597" r:id="rId992" tooltip="http://dx.doi.org/10.1007/s10517-014-2623-9" display="http://dx.doi.org/10.1007/s10517-014-2623-9"/>
    <hyperlink ref="BT597" r:id="rId993" tooltip="View Full Record in Web of Science" display="View Full Record in Web of Science"/>
    <hyperlink ref="BF598" r:id="rId994" tooltip="http://dx.doi.org/10.1134/S0965544113070165" display="http://dx.doi.org/10.1134/S0965544113070165"/>
    <hyperlink ref="BT598" r:id="rId995" tooltip="View Full Record in Web of Science" display="View Full Record in Web of Science"/>
    <hyperlink ref="BF599" r:id="rId996" tooltip="http://dx.doi.org/10.1134/S1064229312110075" display="http://dx.doi.org/10.1134/S1064229312110075"/>
    <hyperlink ref="BT599" r:id="rId997" tooltip="View Full Record in Web of Science" display="View Full Record in Web of Science"/>
    <hyperlink ref="BF600" r:id="rId998" tooltip="http://dx.doi.org/10.1007/s11041-012-9491-6" display="http://dx.doi.org/10.1007/s11041-012-9491-6"/>
    <hyperlink ref="BT600" r:id="rId999" tooltip="View Full Record in Web of Science" display="View Full Record in Web of Science"/>
    <hyperlink ref="BF601" r:id="rId1000" tooltip="http://dx.doi.org/10.1134/S1064230708020111" display="http://dx.doi.org/10.1134/S1064230708020111"/>
    <hyperlink ref="BT601" r:id="rId1001" tooltip="View Full Record in Web of Science" display="View Full Record in Web of Science"/>
    <hyperlink ref="BF602" r:id="rId1002" tooltip="http://dx.doi.org/10.1134/S1023193507060171" display="http://dx.doi.org/10.1134/S1023193507060171"/>
    <hyperlink ref="BT602" r:id="rId1003" tooltip="View Full Record in Web of Science" display="View Full Record in Web of Science"/>
    <hyperlink ref="BF603" r:id="rId1004" tooltip="http://dx.doi.org/10.1134/S1023193507060031" display="http://dx.doi.org/10.1134/S1023193507060031"/>
    <hyperlink ref="BT603" r:id="rId1005" tooltip="View Full Record in Web of Science" display="View Full Record in Web of Science"/>
    <hyperlink ref="BT604" r:id="rId1006" tooltip="View Full Record in Web of Science" display="View Full Record in Web of Science"/>
    <hyperlink ref="BF605" r:id="rId1007" tooltip="http://dx.doi.org/10.1023/A:1016822030399" display="http://dx.doi.org/10.1023/A:1016822030399"/>
    <hyperlink ref="BT605" r:id="rId1008" tooltip="View Full Record in Web of Science" display="View Full Record in Web of Science"/>
    <hyperlink ref="BT606" r:id="rId1009" tooltip="View Full Record in Web of Science" display="View Full Record in Web of Science"/>
    <hyperlink ref="BF607" r:id="rId1010" tooltip="http://dx.doi.org/10.1007/978-3-030-93244-2_46" display="http://dx.doi.org/10.1007/978-3-030-93244-2_46"/>
    <hyperlink ref="BT607" r:id="rId1011" tooltip="View Full Record in Web of Science" display="View Full Record in Web of Science"/>
    <hyperlink ref="BF608" r:id="rId1012" tooltip="http://dx.doi.org/10.17223/23062061/27/12" display="http://dx.doi.org/10.17223/23062061/27/12"/>
    <hyperlink ref="BT608" r:id="rId1013" tooltip="View Full Record in Web of Science" display="View Full Record in Web of Science"/>
    <hyperlink ref="BF609" r:id="rId1014" tooltip="http://dx.doi.org/10.3390/computation9020009" display="http://dx.doi.org/10.3390/computation9020009"/>
    <hyperlink ref="BT609" r:id="rId1015" tooltip="View Full Record in Web of Science" display="View Full Record in Web of Science"/>
    <hyperlink ref="BF610" r:id="rId1016" tooltip="http://dx.doi.org/10.24874/IJQR15.01-18" display="http://dx.doi.org/10.24874/IJQR15.01-18"/>
    <hyperlink ref="BT610" r:id="rId1017" tooltip="View Full Record in Web of Science" display="View Full Record in Web of Science"/>
    <hyperlink ref="BF611" r:id="rId1018" tooltip="http://dx.doi.org/10.52254/1857-0070.2021.4-52.08" display="http://dx.doi.org/10.52254/1857-0070.2021.4-52.08"/>
    <hyperlink ref="BT611" r:id="rId1019" tooltip="View Full Record in Web of Science" display="View Full Record in Web of Science"/>
    <hyperlink ref="BF612" r:id="rId1020" tooltip="http://dx.doi.org/10.17223/23062061/22/8" display="http://dx.doi.org/10.17223/23062061/22/8"/>
    <hyperlink ref="BT612" r:id="rId1021" tooltip="View Full Record in Web of Science" display="View Full Record in Web of Science"/>
    <hyperlink ref="BF613" r:id="rId1022" tooltip="http://dx.doi.org/10.15382/sturI202089.113-128" display="http://dx.doi.org/10.15382/sturI202089.113-128"/>
    <hyperlink ref="BT613" r:id="rId1023" tooltip="View Full Record in Web of Science" display="View Full Record in Web of Science"/>
    <hyperlink ref="BF614" r:id="rId1024" tooltip="http://dx.doi.org/10.1109/ACCESS.2020.2982365" display="http://dx.doi.org/10.1109/ACCESS.2020.2982365"/>
    <hyperlink ref="BT614" r:id="rId1025" tooltip="View Full Record in Web of Science" display="View Full Record in Web of Science"/>
    <hyperlink ref="BT615" r:id="rId1026" tooltip="View Full Record in Web of Science" display="View Full Record in Web of Science"/>
    <hyperlink ref="BF616" r:id="rId1027" tooltip="http://dx.doi.org/10.28995/2073-0101-2020-4-1007-1019" display="http://dx.doi.org/10.28995/2073-0101-2020-4-1007-1019"/>
    <hyperlink ref="BT616" r:id="rId1028" tooltip="View Full Record in Web of Science" display="View Full Record in Web of Science"/>
    <hyperlink ref="BF617" r:id="rId1029" tooltip="http://dx.doi.org/10.1007/978-3-030-50097-9_16" display="http://dx.doi.org/10.1007/978-3-030-50097-9_16"/>
    <hyperlink ref="BT617" r:id="rId1030" tooltip="View Full Record in Web of Science" display="View Full Record in Web of Science"/>
    <hyperlink ref="BF618" r:id="rId1031" tooltip="http://dx.doi.org/10.5281/zenodo.3562179" display="http://dx.doi.org/10.5281/zenodo.3562179"/>
    <hyperlink ref="BT618" r:id="rId1032" tooltip="View Full Record in Web of Science" display="View Full Record in Web of Science"/>
    <hyperlink ref="BF619" r:id="rId1033" tooltip="http://dx.doi.org/10.24224/2227-1295-2019-11-418-432" display="http://dx.doi.org/10.24224/2227-1295-2019-11-418-432"/>
    <hyperlink ref="BT619" r:id="rId1034" tooltip="View Full Record in Web of Science" display="View Full Record in Web of Science"/>
    <hyperlink ref="BF620" r:id="rId1035" tooltip="http://dx.doi.org/10.15561/20755279.2019.0206" display="http://dx.doi.org/10.15561/20755279.2019.0206"/>
    <hyperlink ref="BT620" r:id="rId1036" tooltip="View Full Record in Web of Science" display="View Full Record in Web of Science"/>
    <hyperlink ref="BF621" r:id="rId1037" tooltip="http://dx.doi.org/10.17223/23062061/16/6" display="http://dx.doi.org/10.17223/23062061/16/6"/>
    <hyperlink ref="BT621" r:id="rId1038" tooltip="View Full Record in Web of Science" display="View Full Record in Web of Science"/>
    <hyperlink ref="BF622" r:id="rId1039" tooltip="http://dx.doi.org/10.18720/MCE.82.16" display="http://dx.doi.org/10.18720/MCE.82.16"/>
    <hyperlink ref="BT622" r:id="rId1040" tooltip="View Full Record in Web of Science" display="View Full Record in Web of Science"/>
    <hyperlink ref="BF623" r:id="rId1041" tooltip="http://dx.doi.org/10.1134/S1070427217040152" display="http://dx.doi.org/10.1134/S1070427217040152"/>
    <hyperlink ref="BT623" r:id="rId1042" tooltip="View Full Record in Web of Science" display="View Full Record in Web of Science"/>
    <hyperlink ref="BT624" r:id="rId1043" tooltip="View Full Record in Web of Science" display="View Full Record in Web of Science"/>
    <hyperlink ref="BF625" r:id="rId1044" tooltip="http://dx.doi.org/10.1134/S0869864315030129" display="http://dx.doi.org/10.1134/S0869864315030129"/>
    <hyperlink ref="BT625" r:id="rId1045" tooltip="View Full Record in Web of Science" display="View Full Record in Web of Science"/>
    <hyperlink ref="BT626" r:id="rId1046" tooltip="View Full Record in Web of Science" display="View Full Record in Web of Science"/>
    <hyperlink ref="BF627" r:id="rId1047" tooltip="http://dx.doi.org/10.1134/S0869593814070053" display="http://dx.doi.org/10.1134/S0869593814070053"/>
    <hyperlink ref="BT627" r:id="rId1048" tooltip="View Full Record in Web of Science" display="View Full Record in Web of Science"/>
    <hyperlink ref="BT628" r:id="rId1049" tooltip="View Full Record in Web of Science" display="View Full Record in Web of Science"/>
    <hyperlink ref="BT629" r:id="rId1050" tooltip="View Full Record in Web of Science" display="View Full Record in Web of Science"/>
    <hyperlink ref="BF630" r:id="rId1051" tooltip="http://dx.doi.org/10.1023/A:1010410711855" display="http://dx.doi.org/10.1023/A:1010410711855"/>
    <hyperlink ref="BT630" r:id="rId1052" tooltip="View Full Record in Web of Science" display="View Full Record in Web of Science"/>
    <hyperlink ref="BT631" r:id="rId1053" tooltip="View Full Record in Web of Science" display="View Full Record in Web of Science"/>
    <hyperlink ref="BF632" r:id="rId1054" tooltip="http://dx.doi.org/10.3390/en16031237" display="http://dx.doi.org/10.3390/en16031237"/>
    <hyperlink ref="BT632" r:id="rId1055" tooltip="View Full Record in Web of Science" display="View Full Record in Web of Science"/>
    <hyperlink ref="BF633" r:id="rId1056" tooltip="http://dx.doi.org/10.1134/S0869864322030118" display="http://dx.doi.org/10.1134/S0869864322030118"/>
    <hyperlink ref="BT633" r:id="rId1057" tooltip="View Full Record in Web of Science" display="View Full Record in Web of Science"/>
    <hyperlink ref="BF634" r:id="rId1058" tooltip="http://dx.doi.org/10.52254/1857-0070.2022.3-55.06" display="http://dx.doi.org/10.52254/1857-0070.2022.3-55.06"/>
    <hyperlink ref="BT634" r:id="rId1059" tooltip="View Full Record in Web of Science" display="View Full Record in Web of Science"/>
    <hyperlink ref="BF635" r:id="rId1060" tooltip="http://dx.doi.org/10.13187/bg.2021.3.1203" display="http://dx.doi.org/10.13187/bg.2021.3.1203"/>
    <hyperlink ref="BT635" r:id="rId1061" tooltip="View Full Record in Web of Science" display="View Full Record in Web of Science"/>
    <hyperlink ref="BF636" r:id="rId1062" tooltip="http://dx.doi.org/10.24874/IJQR15.04-05" display="http://dx.doi.org/10.24874/IJQR15.04-05"/>
    <hyperlink ref="BT636" r:id="rId1063" tooltip="View Full Record in Web of Science" display="View Full Record in Web of Science"/>
    <hyperlink ref="BF637" r:id="rId1064" tooltip="http://dx.doi.org/10.17853/1994-5639-2020-1-113-145" display="http://dx.doi.org/10.17853/1994-5639-2020-1-113-145"/>
    <hyperlink ref="BT637" r:id="rId1065" tooltip="View Full Record in Web of Science" display="View Full Record in Web of Science"/>
    <hyperlink ref="BF638" r:id="rId1066" tooltip="http://dx.doi.org/10.24874/IJQR14.01-03" display="http://dx.doi.org/10.24874/IJQR14.01-03"/>
    <hyperlink ref="BT638" r:id="rId1067" tooltip="View Full Record in Web of Science" display="View Full Record in Web of Science"/>
    <hyperlink ref="BF639" r:id="rId1068" tooltip="http://dx.doi.org/10.17223/19996195/47/11" display="http://dx.doi.org/10.17223/19996195/47/11"/>
    <hyperlink ref="BT639" r:id="rId1069" tooltip="View Full Record in Web of Science" display="View Full Record in Web of Science"/>
    <hyperlink ref="BF640" r:id="rId1070" tooltip="http://dx.doi.org/10.1134/S0037446619030157" display="http://dx.doi.org/10.1134/S0037446619030157"/>
    <hyperlink ref="BT640" r:id="rId1071" tooltip="View Full Record in Web of Science" display="View Full Record in Web of Science"/>
    <hyperlink ref="BF641" r:id="rId1072" tooltip="http://dx.doi.org/10.5281/zenodo.2650407" display="http://dx.doi.org/10.5281/zenodo.2650407"/>
    <hyperlink ref="BT641" r:id="rId1073" tooltip="View Full Record in Web of Science" display="View Full Record in Web of Science"/>
    <hyperlink ref="BF642" r:id="rId1074" tooltip="http://dx.doi.org/10.24224/2227-1295-2019-11-144-154" display="http://dx.doi.org/10.24224/2227-1295-2019-11-144-154"/>
    <hyperlink ref="BT642" r:id="rId1075" tooltip="View Full Record in Web of Science" display="View Full Record in Web of Science"/>
    <hyperlink ref="BF643" r:id="rId1076" tooltip="http://dx.doi.org/10.1051/e3sconf/201911002090" display="http://dx.doi.org/10.1051/e3sconf/201911002090"/>
    <hyperlink ref="BT643" r:id="rId1077" tooltip="View Full Record in Web of Science" display="View Full Record in Web of Science"/>
    <hyperlink ref="BT644" r:id="rId1078" tooltip="View Full Record in Web of Science" display="View Full Record in Web of Science"/>
    <hyperlink ref="BF645" r:id="rId1079" tooltip="http://dx.doi.org/10.18254/S207987840008095-3" display="http://dx.doi.org/10.18254/S207987840008095-3"/>
    <hyperlink ref="BT645" r:id="rId1080" tooltip="View Full Record in Web of Science" display="View Full Record in Web of Science"/>
    <hyperlink ref="BF646" r:id="rId1081" tooltip="http://dx.doi.org/10.1134/S1062359019010114" display="http://dx.doi.org/10.1134/S1062359019010114"/>
    <hyperlink ref="BT646" r:id="rId1082" tooltip="View Full Record in Web of Science" display="View Full Record in Web of Science"/>
    <hyperlink ref="BF647" r:id="rId1083" tooltip="http://dx.doi.org/10.17223/19986645/54/1" display="http://dx.doi.org/10.17223/19986645/54/1"/>
    <hyperlink ref="BT647" r:id="rId1084" tooltip="View Full Record in Web of Science" display="View Full Record in Web of Science"/>
    <hyperlink ref="BF648" r:id="rId1085" tooltip="http://dx.doi.org/10.1051/matecconf/201817001003" display="http://dx.doi.org/10.1051/matecconf/201817001003"/>
    <hyperlink ref="BT648" r:id="rId1086" tooltip="View Full Record in Web of Science" display="View Full Record in Web of Science"/>
    <hyperlink ref="BF649" r:id="rId1087" tooltip="http://dx.doi.org/10.1088/1757-899X/450/3/032034" display="http://dx.doi.org/10.1088/1757-899X/450/3/032034"/>
    <hyperlink ref="BT649" r:id="rId1088" tooltip="View Full Record in Web of Science" display="View Full Record in Web of Science"/>
    <hyperlink ref="BT650" r:id="rId1089" tooltip="View Full Record in Web of Science" display="View Full Record in Web of Science"/>
    <hyperlink ref="BT651" r:id="rId1090" tooltip="View Full Record in Web of Science" display="View Full Record in Web of Science"/>
    <hyperlink ref="BF652" r:id="rId1091" tooltip="http://dx.doi.org/10.1007/978-3-319-60696-5_40" display="http://dx.doi.org/10.1007/978-3-319-60696-5_40"/>
    <hyperlink ref="BT652" r:id="rId1092" tooltip="View Full Record in Web of Science" display="View Full Record in Web of Science"/>
    <hyperlink ref="BF653" r:id="rId1093" tooltip="http://dx.doi.org/10.1134/S1070427213060116" display="http://dx.doi.org/10.1134/S1070427213060116"/>
    <hyperlink ref="BT653" r:id="rId1094" tooltip="View Full Record in Web of Science" display="View Full Record in Web of Science"/>
    <hyperlink ref="BF654" r:id="rId1095" tooltip="http://dx.doi.org/10.1109/EURCON.2009.5167811" display="http://dx.doi.org/10.1109/EURCON.2009.5167811"/>
    <hyperlink ref="BT654" r:id="rId1096" tooltip="View Full Record in Web of Science" display="View Full Record in Web of Science"/>
    <hyperlink ref="BT655" r:id="rId1097" tooltip="View Full Record in Web of Science" display="View Full Record in Web of Science"/>
    <hyperlink ref="BF656" r:id="rId1098" tooltip="http://dx.doi.org/10.1117/12.724894" display="http://dx.doi.org/10.1117/12.724894"/>
    <hyperlink ref="BT656" r:id="rId1099" tooltip="View Full Record in Web of Science" display="View Full Record in Web of Science"/>
    <hyperlink ref="BT657" r:id="rId1100" tooltip="View Full Record in Web of Science" display="View Full Record in Web of Science"/>
    <hyperlink ref="BT658" r:id="rId1101" tooltip="View Full Record in Web of Science" display="View Full Record in Web of Science"/>
    <hyperlink ref="BF659" r:id="rId1102" tooltip="http://dx.doi.org/10.1007/s00233-022-10327-w" display="http://dx.doi.org/10.1007/s00233-022-10327-w"/>
    <hyperlink ref="BT659" r:id="rId1103" tooltip="View Full Record in Web of Science" display="View Full Record in Web of Science"/>
    <hyperlink ref="BF660" r:id="rId1104" tooltip="http://dx.doi.org/10.25750/1995-4301-2022-4-214-223" display="http://dx.doi.org/10.25750/1995-4301-2022-4-214-223"/>
    <hyperlink ref="BT660" r:id="rId1105" tooltip="View Full Record in Web of Science" display="View Full Record in Web of Science"/>
    <hyperlink ref="BT661" r:id="rId1106" tooltip="View Full Record in Web of Science" display="View Full Record in Web of Science"/>
    <hyperlink ref="BF662" r:id="rId1107" tooltip="http://dx.doi.org/10.24833/2071-8160-2022-4-85-7-42" display="http://dx.doi.org/10.24833/2071-8160-2022-4-85-7-42"/>
    <hyperlink ref="BT662" r:id="rId1108" tooltip="View Full Record in Web of Science" display="View Full Record in Web of Science"/>
    <hyperlink ref="BF663" r:id="rId1109" tooltip="http://dx.doi.org/10.14529/hsm210413" display="http://dx.doi.org/10.14529/hsm210413"/>
    <hyperlink ref="BT663" r:id="rId1110" tooltip="View Full Record in Web of Science" display="View Full Record in Web of Science"/>
    <hyperlink ref="BF664" r:id="rId1111" tooltip="http://dx.doi.org/10.37220/MIT.2021.52.2.023" display="http://dx.doi.org/10.37220/MIT.2021.52.2.023"/>
    <hyperlink ref="BT664" r:id="rId1112" tooltip="View Full Record in Web of Science" display="View Full Record in Web of Science"/>
    <hyperlink ref="BF665" r:id="rId1113" tooltip="http://dx.doi.org/10.28995/2073-0101-2021-2-482-495" display="http://dx.doi.org/10.28995/2073-0101-2021-2-482-495"/>
    <hyperlink ref="BT665" r:id="rId1114" tooltip="View Full Record in Web of Science" display="View Full Record in Web of Science"/>
    <hyperlink ref="BF666" r:id="rId1115" tooltip="http://dx.doi.org/10.1134/S1995082920020297" display="http://dx.doi.org/10.1134/S1995082920020297"/>
    <hyperlink ref="BT666" r:id="rId1116" tooltip="View Full Record in Web of Science" display="View Full Record in Web of Science"/>
    <hyperlink ref="BF667" r:id="rId1117" tooltip="http://dx.doi.org/10.1051/bioconf/20202400039" display="http://dx.doi.org/10.1051/bioconf/20202400039"/>
    <hyperlink ref="BT667" r:id="rId1118" tooltip="View Full Record in Web of Science" display="View Full Record in Web of Science"/>
    <hyperlink ref="BT668" r:id="rId1119" tooltip="View Full Record in Web of Science" display="View Full Record in Web of Science"/>
    <hyperlink ref="BT669" r:id="rId1120" tooltip="View Full Record in Web of Science" display="View Full Record in Web of Science"/>
    <hyperlink ref="BF670" r:id="rId1121" tooltip="http://dx.doi.org/10.15826/qr.2020.1.453" display="http://dx.doi.org/10.15826/qr.2020.1.453"/>
    <hyperlink ref="BT670" r:id="rId1122" tooltip="View Full Record in Web of Science" display="View Full Record in Web of Science"/>
    <hyperlink ref="BF671" r:id="rId1123" tooltip="http://dx.doi.org/10.5281/zenodo.3722888" display="http://dx.doi.org/10.5281/zenodo.3722888"/>
    <hyperlink ref="BT671" r:id="rId1124" tooltip="View Full Record in Web of Science" display="View Full Record in Web of Science"/>
    <hyperlink ref="BF672" r:id="rId1125" tooltip="http://dx.doi.org/10.1134/S1995082919050134" display="http://dx.doi.org/10.1134/S1995082919050134"/>
    <hyperlink ref="BT672" r:id="rId1126" tooltip="View Full Record in Web of Science" display="View Full Record in Web of Science"/>
    <hyperlink ref="BF673" r:id="rId1127" tooltip="http://dx.doi.org/10.14529/hsm190308" display="http://dx.doi.org/10.14529/hsm190308"/>
    <hyperlink ref="BT673" r:id="rId1128" tooltip="View Full Record in Web of Science" display="View Full Record in Web of Science"/>
    <hyperlink ref="BF674" r:id="rId1129" tooltip="http://dx.doi.org/10.13187/bg.2019.4.1811" display="http://dx.doi.org/10.13187/bg.2019.4.1811"/>
    <hyperlink ref="BT674" r:id="rId1130" tooltip="View Full Record in Web of Science" display="View Full Record in Web of Science"/>
    <hyperlink ref="BF675" r:id="rId1131" tooltip="http://dx.doi.org/10.31166/VoprosyIstorii201908Statyil6" display="http://dx.doi.org/10.31166/VoprosyIstorii201908Statyil6"/>
    <hyperlink ref="BT675" r:id="rId1132" tooltip="View Full Record in Web of Science" display="View Full Record in Web of Science"/>
    <hyperlink ref="BT676" r:id="rId1133" tooltip="View Full Record in Web of Science" display="View Full Record in Web of Science"/>
    <hyperlink ref="BF677" r:id="rId1134" tooltip="http://dx.doi.org/10.14529/hsm19s215" display="http://dx.doi.org/10.14529/hsm19s215"/>
    <hyperlink ref="BT677" r:id="rId1135" tooltip="View Full Record in Web of Science" display="View Full Record in Web of Science"/>
    <hyperlink ref="BF678" r:id="rId1136" tooltip="http://dx.doi.org/10.1134/S1995080219010128" display="http://dx.doi.org/10.1134/S1995080219010128"/>
    <hyperlink ref="BT678" r:id="rId1137" tooltip="View Full Record in Web of Science" display="View Full Record in Web of Science"/>
    <hyperlink ref="BF679" r:id="rId1138" tooltip="http://dx.doi.org/10.24833/2071-8160-2019-1-64-59-82" display="http://dx.doi.org/10.24833/2071-8160-2019-1-64-59-82"/>
    <hyperlink ref="BT679" r:id="rId1139" tooltip="View Full Record in Web of Science" display="View Full Record in Web of Science"/>
    <hyperlink ref="BT680" r:id="rId1140" tooltip="View Full Record in Web of Science" display="View Full Record in Web of Science"/>
    <hyperlink ref="BF681" r:id="rId1141" tooltip="http://dx.doi.org/10.15561/18189172.2018.0106" display="http://dx.doi.org/10.15561/18189172.2018.0106"/>
    <hyperlink ref="BT681" r:id="rId1142" tooltip="View Full Record in Web of Science" display="View Full Record in Web of Science"/>
    <hyperlink ref="BT682" r:id="rId1143" tooltip="View Full Record in Web of Science" display="View Full Record in Web of Science"/>
    <hyperlink ref="BF683" r:id="rId1144" tooltip="http://dx.doi.org/10.1088/1742-6596/669/1/012040" display="http://dx.doi.org/10.1088/1742-6596/669/1/012040"/>
    <hyperlink ref="BT683" r:id="rId1145" tooltip="View Full Record in Web of Science" display="View Full Record in Web of Science"/>
    <hyperlink ref="BT684" r:id="rId1146" tooltip="View Full Record in Web of Science" display="View Full Record in Web of Science"/>
    <hyperlink ref="BF685" r:id="rId1147" tooltip="http://dx.doi.org/10.1070/SM8609" display="http://dx.doi.org/10.1070/SM8609"/>
    <hyperlink ref="BT685" r:id="rId1148" tooltip="View Full Record in Web of Science" display="View Full Record in Web of Science"/>
    <hyperlink ref="BF686" r:id="rId1149" tooltip="http://dx.doi.org/10.1134/S10704272150110105" display="http://dx.doi.org/10.1134/S10704272150110105"/>
    <hyperlink ref="BT686" r:id="rId1150" tooltip="View Full Record in Web of Science" display="View Full Record in Web of Science"/>
    <hyperlink ref="BF687" r:id="rId1151" tooltip="http://dx.doi.org/10.1134/S1064230713050122" display="http://dx.doi.org/10.1134/S1064230713050122"/>
    <hyperlink ref="BT687" r:id="rId1152" tooltip="View Full Record in Web of Science" display="View Full Record in Web of Science"/>
    <hyperlink ref="BF688" r:id="rId1153" tooltip="http://dx.doi.org/10.1134/S0040579513020103" display="http://dx.doi.org/10.1134/S0040579513020103"/>
    <hyperlink ref="BT688" r:id="rId1154" tooltip="View Full Record in Web of Science" display="View Full Record in Web of Science"/>
    <hyperlink ref="BF689" r:id="rId1155" tooltip="http://dx.doi.org/10.1134/S1070427207010120" display="http://dx.doi.org/10.1134/S1070427207010120"/>
    <hyperlink ref="BT689" r:id="rId1156" tooltip="View Full Record in Web of Science" display="View Full Record in Web of Science"/>
    <hyperlink ref="BT690" r:id="rId1157" tooltip="View Full Record in Web of Science" display="View Full Record in Web of Science"/>
    <hyperlink ref="BF691" r:id="rId1158" tooltip="http://dx.doi.org/10.1007/BF02537553" display="http://dx.doi.org/10.1007/BF02537553"/>
    <hyperlink ref="BT691" r:id="rId1159" tooltip="View Full Record in Web of Science" display="View Full Record in Web of Science"/>
    <hyperlink ref="BF692" r:id="rId1160" tooltip="http://dx.doi.org/10.37358/MP.22.1.5555" display="http://dx.doi.org/10.37358/MP.22.1.5555"/>
    <hyperlink ref="BT692" r:id="rId1161" tooltip="View Full Record in Web of Science" display="View Full Record in Web of Science"/>
    <hyperlink ref="BF693" r:id="rId1162" tooltip="http://dx.doi.org/10.25750/1995-4301-2022-1-191-197" display="http://dx.doi.org/10.25750/1995-4301-2022-1-191-197"/>
    <hyperlink ref="BT693" r:id="rId1163" tooltip="View Full Record in Web of Science" display="View Full Record in Web of Science"/>
    <hyperlink ref="BF694" r:id="rId1164" tooltip="http://dx.doi.org/10.25750/1995-4301-2021-4-064-070" display="http://dx.doi.org/10.25750/1995-4301-2021-4-064-070"/>
    <hyperlink ref="BT694" r:id="rId1165" tooltip="View Full Record in Web of Science" display="View Full Record in Web of Science"/>
    <hyperlink ref="BT695" r:id="rId1166" tooltip="View Full Record in Web of Science" display="View Full Record in Web of Science"/>
    <hyperlink ref="BT696" r:id="rId1167" tooltip="View Full Record in Web of Science" display="View Full Record in Web of Science"/>
    <hyperlink ref="BT697" r:id="rId1168" tooltip="View Full Record in Web of Science" display="View Full Record in Web of Science"/>
    <hyperlink ref="BF698" r:id="rId1169" tooltip="http://dx.doi.org/10.15826/izv2.2020.22.4.072" display="http://dx.doi.org/10.15826/izv2.2020.22.4.072"/>
    <hyperlink ref="BT698" r:id="rId1170" tooltip="View Full Record in Web of Science" display="View Full Record in Web of Science"/>
    <hyperlink ref="BF699" r:id="rId1171" tooltip="http://dx.doi.org/10.20339/PhS.4-19.003" display="http://dx.doi.org/10.20339/PhS.4-19.003"/>
    <hyperlink ref="BT699" r:id="rId1172" tooltip="View Full Record in Web of Science" display="View Full Record in Web of Science"/>
    <hyperlink ref="BT700" r:id="rId1173" tooltip="View Full Record in Web of Science" display="View Full Record in Web of Science"/>
    <hyperlink ref="BT701" r:id="rId1174" tooltip="View Full Record in Web of Science" display="View Full Record in Web of Science"/>
    <hyperlink ref="BF702" r:id="rId1175" tooltip="http://dx.doi.org/10.3897/ap.1.e0422" display="http://dx.doi.org/10.3897/ap.1.e0422"/>
    <hyperlink ref="BT702" r:id="rId1176" tooltip="View Full Record in Web of Science" display="View Full Record in Web of Science"/>
    <hyperlink ref="BF703" r:id="rId1177" tooltip="http://dx.doi.org/10.24224/2227-1295-2019-10-434-451" display="http://dx.doi.org/10.24224/2227-1295-2019-10-434-451"/>
    <hyperlink ref="BT703" r:id="rId1178" tooltip="View Full Record in Web of Science" display="View Full Record in Web of Science"/>
    <hyperlink ref="BF704" r:id="rId1179" tooltip="http://dx.doi.org/10.12841/wood.1644-3985.268.06" display="http://dx.doi.org/10.12841/wood.1644-3985.268.06"/>
    <hyperlink ref="BT704" r:id="rId1180" tooltip="View Full Record in Web of Science" display="View Full Record in Web of Science"/>
    <hyperlink ref="BF705" r:id="rId1181" tooltip="http://dx.doi.org/10.1007/978-3-319-94310-7_13" display="http://dx.doi.org/10.1007/978-3-319-94310-7_13"/>
    <hyperlink ref="BT705" r:id="rId1182" tooltip="View Full Record in Web of Science" display="View Full Record in Web of Science"/>
    <hyperlink ref="BF706" r:id="rId1183" tooltip="http://dx.doi.org/10.25750/1995-4301-2019-1-088-093" display="http://dx.doi.org/10.25750/1995-4301-2019-1-088-093"/>
    <hyperlink ref="BT706" r:id="rId1184" tooltip="View Full Record in Web of Science" display="View Full Record in Web of Science"/>
    <hyperlink ref="BF707" r:id="rId1185" tooltip="http://dx.doi.org/10.13187/ejced.2018.4.845" display="http://dx.doi.org/10.13187/ejced.2018.4.845"/>
    <hyperlink ref="BT707" r:id="rId1186" tooltip="View Full Record in Web of Science" display="View Full Record in Web of Science"/>
    <hyperlink ref="BF708" r:id="rId1187" tooltip="http://dx.doi.org/10.1134/S1064229318070074" display="http://dx.doi.org/10.1134/S1064229318070074"/>
    <hyperlink ref="BT708" r:id="rId1188" tooltip="View Full Record in Web of Science" display="View Full Record in Web of Science"/>
    <hyperlink ref="BF709" r:id="rId1189" tooltip="http://dx.doi.org/10.14529/hsm180415" display="http://dx.doi.org/10.14529/hsm180415"/>
    <hyperlink ref="BT709" r:id="rId1190" tooltip="View Full Record in Web of Science" display="View Full Record in Web of Science"/>
    <hyperlink ref="BF710" r:id="rId1191" tooltip="http://dx.doi.org/10.28995/2073-0101-2018-2-455-462" display="http://dx.doi.org/10.28995/2073-0101-2018-2-455-462"/>
    <hyperlink ref="BT710" r:id="rId1192" tooltip="View Full Record in Web of Science" display="View Full Record in Web of Science"/>
    <hyperlink ref="BT711" r:id="rId1193" tooltip="View Full Record in Web of Science" display="View Full Record in Web of Science"/>
    <hyperlink ref="BF712" r:id="rId1194" tooltip="http://dx.doi.org/10.1088/1757-899X/262/1/012052" display="http://dx.doi.org/10.1088/1757-899X/262/1/012052"/>
    <hyperlink ref="BT712" r:id="rId1195" tooltip="View Full Record in Web of Science" display="View Full Record in Web of Science"/>
    <hyperlink ref="BT713" r:id="rId1196" tooltip="View Full Record in Web of Science" display="View Full Record in Web of Science"/>
    <hyperlink ref="BT714" r:id="rId1197" tooltip="View Full Record in Web of Science" display="View Full Record in Web of Science"/>
    <hyperlink ref="BF715" r:id="rId1198" tooltip="http://dx.doi.org/10.1134/S1070427212040143" display="http://dx.doi.org/10.1134/S1070427212040143"/>
    <hyperlink ref="BT715" r:id="rId1199" tooltip="View Full Record in Web of Science" display="View Full Record in Web of Science"/>
    <hyperlink ref="BF716" r:id="rId1200" tooltip="http://dx.doi.org/10.1134/S108765960903016X" display="http://dx.doi.org/10.1134/S108765960903016X"/>
    <hyperlink ref="BT716" r:id="rId1201" tooltip="View Full Record in Web of Science" display="View Full Record in Web of Science"/>
    <hyperlink ref="BF717" r:id="rId1202" tooltip="http://dx.doi.org/10.1134/S1995082908030139" display="http://dx.doi.org/10.1134/S1995082908030139"/>
    <hyperlink ref="BT717" r:id="rId1203" tooltip="View Full Record in Web of Science" display="View Full Record in Web of Science"/>
    <hyperlink ref="BT718" r:id="rId1204" tooltip="View Full Record in Web of Science" display="View Full Record in Web of Science"/>
    <hyperlink ref="BF719" r:id="rId1205" tooltip="http://dx.doi.org/10.1134/S0965544114080040" display="http://dx.doi.org/10.1134/S0965544114080040"/>
    <hyperlink ref="BT719" r:id="rId1206" tooltip="View Full Record in Web of Science" display="View Full Record in Web of Science"/>
    <hyperlink ref="BF720" r:id="rId1207" tooltip="http://dx.doi.org/10.17223/15617793/484/18" display="http://dx.doi.org/10.17223/15617793/484/18"/>
    <hyperlink ref="BT720" r:id="rId1208" tooltip="View Full Record in Web of Science" display="View Full Record in Web of Science"/>
    <hyperlink ref="BF721" r:id="rId1209" tooltip="http://dx.doi.org/10.1007/s10527-020-09947-9" display="http://dx.doi.org/10.1007/s10527-020-09947-9"/>
    <hyperlink ref="BT721" r:id="rId1210" tooltip="View Full Record in Web of Science" display="View Full Record in Web of Science"/>
    <hyperlink ref="BF722" r:id="rId1211" tooltip="http://dx.doi.org/10.14529/hsm180314" display="http://dx.doi.org/10.14529/hsm180314"/>
    <hyperlink ref="BT722" r:id="rId1212" tooltip="View Full Record in Web of Science" display="View Full Record in Web of Science"/>
    <hyperlink ref="BF723" r:id="rId1213" tooltip="http://dx.doi.org/10.31166/VoprosyIstorii202108Statyi20" display="http://dx.doi.org/10.31166/VoprosyIstorii202108Statyi20"/>
    <hyperlink ref="BT723" r:id="rId1214" tooltip="View Full Record in Web of Science" display="View Full Record in Web of Science"/>
    <hyperlink ref="BF724" r:id="rId1215" tooltip="http://dx.doi.org/10.1023/B:ABIM.0000025950.07659.92" display="http://dx.doi.org/10.1023/B:ABIM.0000025950.07659.92"/>
    <hyperlink ref="BT724" r:id="rId1216" tooltip="View Full Record in Web of Science" display="View Full Record in Web of Science"/>
    <hyperlink ref="BF725" r:id="rId1217" tooltip="http://dx.doi.org/10.1134/S106422932105015X" display="http://dx.doi.org/10.1134/S106422932105015X"/>
    <hyperlink ref="BT725" r:id="rId1218" tooltip="View Full Record in Web of Science" display="View Full Record in Web of Science"/>
    <hyperlink ref="BF726" r:id="rId1219" tooltip="http://dx.doi.org/10.17150/2500-4255.2021.15(2).229-237" display="http://dx.doi.org/10.17150/2500-4255.2021.15(2).229-237"/>
    <hyperlink ref="BT726" r:id="rId1220" tooltip="View Full Record in Web of Science" display="View Full Record in Web of Science"/>
    <hyperlink ref="BF727" r:id="rId1221" tooltip="http://dx.doi.org/10.1007/s11041-019-00410-5" display="http://dx.doi.org/10.1007/s11041-019-00410-5"/>
    <hyperlink ref="BT727" r:id="rId1222" tooltip="View Full Record in Web of Science" display="View Full Record in Web of Science"/>
    <hyperlink ref="BF728" r:id="rId1223" tooltip="http://dx.doi.org/10.3897/ap.2.e0323" display="http://dx.doi.org/10.3897/ap.2.e0323"/>
    <hyperlink ref="BT728" r:id="rId1224" tooltip="View Full Record in Web of Science" display="View Full Record in Web of Science"/>
    <hyperlink ref="BF729" r:id="rId1225" tooltip="http://dx.doi.org/10.5281/zenodo.4018949" display="http://dx.doi.org/10.5281/zenodo.4018949"/>
    <hyperlink ref="BT729" r:id="rId1226" tooltip="View Full Record in Web of Science" display="View Full Record in Web of Science"/>
    <hyperlink ref="BF730" r:id="rId1227" tooltip="http://dx.doi.org/10.3897/ap.1.e0526" display="http://dx.doi.org/10.3897/ap.1.e0526"/>
    <hyperlink ref="BT730" r:id="rId1228" tooltip="View Full Record in Web of Science" display="View Full Record in Web of Science"/>
    <hyperlink ref="BF731" r:id="rId1229" tooltip="http://dx.doi.org/10.1134/S1087659608060096" display="http://dx.doi.org/10.1134/S1087659608060096"/>
    <hyperlink ref="BT731" r:id="rId1230" tooltip="View Full Record in Web of Science" display="View Full Record in Web of Science"/>
    <hyperlink ref="BF732" r:id="rId1231" tooltip="http://dx.doi.org/10.1134/S0869864321020116" display="http://dx.doi.org/10.1134/S0869864321020116"/>
    <hyperlink ref="BT732" r:id="rId1232" tooltip="View Full Record in Web of Science" display="View Full Record in Web of Science"/>
    <hyperlink ref="BF733" r:id="rId1233" tooltip="http://dx.doi.org/10.25750/1995-4301-2021-1-172-180" display="http://dx.doi.org/10.25750/1995-4301-2021-1-172-180"/>
    <hyperlink ref="BT733" r:id="rId1234" tooltip="View Full Record in Web of Science" display="View Full Record in Web of Science"/>
    <hyperlink ref="BF734" r:id="rId1235" tooltip="http://dx.doi.org/10.1007/s11041-017-0179-9" display="http://dx.doi.org/10.1007/s11041-017-0179-9"/>
    <hyperlink ref="BT734" r:id="rId1236" tooltip="View Full Record in Web of Science" display="View Full Record in Web of Science"/>
    <hyperlink ref="BT735" r:id="rId1237" tooltip="View Full Record in Web of Science" display="View Full Record in Web of Science"/>
    <hyperlink ref="BF736" r:id="rId1238" tooltip="http://dx.doi.org/10.17223/23062061/30/6" display="http://dx.doi.org/10.17223/23062061/30/6"/>
    <hyperlink ref="BT736" r:id="rId1239" tooltip="View Full Record in Web of Science" display="View Full Record in Web of Science"/>
    <hyperlink ref="BF737" r:id="rId1240" tooltip="http://dx.doi.org/10.5281/zenodo.3898322" display="http://dx.doi.org/10.5281/zenodo.3898322"/>
    <hyperlink ref="BT737" r:id="rId1241" tooltip="View Full Record in Web of Science" display="View Full Record in Web of Science"/>
    <hyperlink ref="BF738" r:id="rId1242" tooltip="http://dx.doi.org/10.22616/ERDev2019.18.N053" display="http://dx.doi.org/10.22616/ERDev2019.18.N053"/>
    <hyperlink ref="BT738" r:id="rId1243" tooltip="View Full Record in Web of Science" display="View Full Record in Web of Science"/>
    <hyperlink ref="BF739" r:id="rId1244" tooltip="http://dx.doi.org/10.1134/S199508291304010X" display="http://dx.doi.org/10.1134/S199508291304010X"/>
    <hyperlink ref="BT739" r:id="rId1245" tooltip="View Full Record in Web of Science" display="View Full Record in Web of Science"/>
    <hyperlink ref="BF740" r:id="rId1246" tooltip="http://dx.doi.org/10.3390/risks11020037" display="http://dx.doi.org/10.3390/risks11020037"/>
    <hyperlink ref="BT740" r:id="rId1247" tooltip="View Full Record in Web of Science" display="View Full Record in Web of Science"/>
    <hyperlink ref="BF741" r:id="rId1248" tooltip="http://dx.doi.org/10.1134/S1070427221120053" display="http://dx.doi.org/10.1134/S1070427221120053"/>
    <hyperlink ref="BT741" r:id="rId1249" tooltip="View Full Record in Web of Science" display="View Full Record in Web of Science"/>
    <hyperlink ref="BF742" r:id="rId1250" tooltip="http://dx.doi.org/10.14529/hsm200102" display="http://dx.doi.org/10.14529/hsm200102"/>
    <hyperlink ref="BT742" r:id="rId1251" tooltip="View Full Record in Web of Science" display="View Full Record in Web of Science"/>
    <hyperlink ref="BT743" r:id="rId1252" tooltip="View Full Record in Web of Science" display="View Full Record in Web of Science"/>
    <hyperlink ref="BF744" r:id="rId1253" tooltip="http://dx.doi.org/10.24224/2227-1295-2021-11-28-49" display="http://dx.doi.org/10.24224/2227-1295-2021-11-28-49"/>
    <hyperlink ref="BT744" r:id="rId1254" tooltip="View Full Record in Web of Science" display="View Full Record in Web of Science"/>
    <hyperlink ref="BF745" r:id="rId1255" tooltip="http://dx.doi.org/10.37043/JURA.2021.13.1.7" display="http://dx.doi.org/10.37043/JURA.2021.13.1.7"/>
    <hyperlink ref="BT745" r:id="rId1256" tooltip="View Full Record in Web of Science" display="View Full Record in Web of Science"/>
    <hyperlink ref="BF746" r:id="rId1257" tooltip="http://dx.doi.org/10.15507/0236-2910.028.201803.445-459" display="http://dx.doi.org/10.15507/0236-2910.028.201803.445-459"/>
    <hyperlink ref="BT746" r:id="rId1258" tooltip="View Full Record in Web of Science" display="View Full Record in Web of Science"/>
    <hyperlink ref="BF747" r:id="rId1259" tooltip="http://dx.doi.org/10.18083/LCAppl.2018.1.73" display="http://dx.doi.org/10.18083/LCAppl.2018.1.73"/>
    <hyperlink ref="BT747" r:id="rId1260" tooltip="View Full Record in Web of Science" display="View Full Record in Web of Science"/>
    <hyperlink ref="BF748" r:id="rId1261" tooltip="http://dx.doi.org/10.1134/S1070363212050313" display="http://dx.doi.org/10.1134/S1070363212050313"/>
    <hyperlink ref="BT748" r:id="rId1262" tooltip="View Full Record in Web of Science" display="View Full Record in Web of Science"/>
    <hyperlink ref="BF749" r:id="rId1263" tooltip="http://dx.doi.org/10.15688/jvolsu2.2023.1.13" display="http://dx.doi.org/10.15688/jvolsu2.2023.1.13"/>
    <hyperlink ref="BT749" r:id="rId1264" tooltip="View Full Record in Web of Science" display="View Full Record in Web of Science"/>
    <hyperlink ref="BF750" r:id="rId1265" tooltip="http://dx.doi.org/10.1111/tan.14644" display="http://dx.doi.org/10.1111/tan.14644"/>
    <hyperlink ref="BT750" r:id="rId1266" tooltip="View Full Record in Web of Science" display="View Full Record in Web of Science"/>
    <hyperlink ref="BF751" r:id="rId1267" tooltip="http://dx.doi.org/10.30547/vestnik.journ.3.2021.102120" display="http://dx.doi.org/10.30547/vestnik.journ.3.2021.102120"/>
    <hyperlink ref="BT751" r:id="rId1268" tooltip="View Full Record in Web of Science" display="View Full Record in Web of Science"/>
    <hyperlink ref="BF752" r:id="rId1269" tooltip="http://dx.doi.org/10.1134/S0040601521040066" display="http://dx.doi.org/10.1134/S0040601521040066"/>
    <hyperlink ref="BT752" r:id="rId1270" tooltip="View Full Record in Web of Science" display="View Full Record in Web of Science"/>
    <hyperlink ref="BT753" r:id="rId1271" tooltip="View Full Record in Web of Science" display="View Full Record in Web of Science"/>
    <hyperlink ref="BF754" r:id="rId1272" tooltip="http://dx.doi.org/10.1111/tan.14799" display="http://dx.doi.org/10.1111/tan.14799"/>
    <hyperlink ref="BT754" r:id="rId1273" tooltip="View Full Record in Web of Science" display="View Full Record in Web of Science"/>
    <hyperlink ref="BF755" r:id="rId1274" tooltip="http://dx.doi.org/10.20542/0131-2227-2021-65-2-37-44" display="http://dx.doi.org/10.20542/0131-2227-2021-65-2-37-44"/>
    <hyperlink ref="BT755" r:id="rId1275" tooltip="View Full Record in Web of Science" display="View Full Record in Web of Science"/>
    <hyperlink ref="BF756" r:id="rId1276" tooltip="http://dx.doi.org/10.1007/s10527-021-10028-8" display="http://dx.doi.org/10.1007/s10527-021-10028-8"/>
    <hyperlink ref="BT756" r:id="rId1277" tooltip="View Full Record in Web of Science" display="View Full Record in Web of Science"/>
    <hyperlink ref="BF757" r:id="rId1278" tooltip="http://dx.doi.org/10.25750/1995-4301-2020-4-055-060" display="http://dx.doi.org/10.25750/1995-4301-2020-4-055-060"/>
    <hyperlink ref="BT757" r:id="rId1279" tooltip="View Full Record in Web of Science" display="View Full Record in Web of Science"/>
    <hyperlink ref="BF758" r:id="rId1280" tooltip="http://dx.doi.org/10.14529/hsm20s106" display="http://dx.doi.org/10.14529/hsm20s106"/>
    <hyperlink ref="BT758" r:id="rId1281" tooltip="View Full Record in Web of Science" display="View Full Record in Web of Science"/>
    <hyperlink ref="BF759" r:id="rId1282" tooltip="http://dx.doi.org/10.25750/1995-4301-2018-4-024-030" display="http://dx.doi.org/10.25750/1995-4301-2018-4-024-030"/>
    <hyperlink ref="BT759" r:id="rId1283" tooltip="View Full Record in Web of Science" display="View Full Record in Web of Science"/>
    <hyperlink ref="BF760" r:id="rId1284" tooltip="http://dx.doi.org/10.25750/1995-4301-2022-1-167-174" display="http://dx.doi.org/10.25750/1995-4301-2022-1-167-174"/>
    <hyperlink ref="BT760" r:id="rId1285" tooltip="View Full Record in Web of Science" display="View Full Record in Web of Science"/>
    <hyperlink ref="BT761" r:id="rId1286" tooltip="View Full Record in Web of Science" display="View Full Record in Web of Science"/>
    <hyperlink ref="BT762" r:id="rId1287" tooltip="View Full Record in Web of Science" display="View Full Record in Web of Science"/>
    <hyperlink ref="BF763" r:id="rId1288" tooltip="http://dx.doi.org/10.24874/IJQR16.03-15" display="http://dx.doi.org/10.24874/IJQR16.03-15"/>
    <hyperlink ref="BT763" r:id="rId1289" tooltip="View Full Record in Web of Science" display="View Full Record in Web of Science"/>
    <hyperlink ref="BF764" r:id="rId1290" tooltip="http://dx.doi.org/10.25750/1995-4301-2021-4-050-057" display="http://dx.doi.org/10.25750/1995-4301-2021-4-050-057"/>
    <hyperlink ref="BT764" r:id="rId1291" tooltip="View Full Record in Web of Science" display="View Full Record in Web of Science"/>
    <hyperlink ref="BT765" r:id="rId1292" tooltip="View Full Record in Web of Science" display="View Full Record in Web of Science"/>
    <hyperlink ref="BF766" r:id="rId1293" tooltip="http://dx.doi.org/10.25750/1995-4301-2022-2-173-182" display="http://dx.doi.org/10.25750/1995-4301-2022-2-173-182"/>
    <hyperlink ref="BT766" r:id="rId1294" tooltip="View Full Record in Web of Science" display="View Full Record in Web of Science"/>
    <hyperlink ref="BF767" r:id="rId1295" tooltip="http://dx.doi.org/10.51762/1FK-2022-27-03-12" display="http://dx.doi.org/10.51762/1FK-2022-27-03-12"/>
    <hyperlink ref="BT767" r:id="rId1296" tooltip="View Full Record in Web of Science" display="View Full Record in Web of Science"/>
    <hyperlink ref="BF768" r:id="rId1297" tooltip="http://dx.doi.org/10.25750/1995-4301-2021-1-040-052" display="http://dx.doi.org/10.25750/1995-4301-2021-1-040-052"/>
    <hyperlink ref="BT768" r:id="rId1298" tooltip="View Full Record in Web of Science" display="View Full Record in Web of Science"/>
    <hyperlink ref="BF769" r:id="rId1299" tooltip="http://dx.doi.org/10.3897/ap.2.e0661" display="http://dx.doi.org/10.3897/ap.2.e0661"/>
    <hyperlink ref="BT769" r:id="rId1300" tooltip="View Full Record in Web of Science" display="View Full Record in Web of Science"/>
    <hyperlink ref="BF770" r:id="rId1301" tooltip="http://dx.doi.org/10.5281/zenodo.3713430" display="http://dx.doi.org/10.5281/zenodo.3713430"/>
    <hyperlink ref="BT770" r:id="rId1302" tooltip="View Full Record in Web of Science" display="View Full Record in Web of Science"/>
    <hyperlink ref="BF771" r:id="rId1303" tooltip="http://dx.doi.org/10.3897/ap.1.e0040" display="http://dx.doi.org/10.3897/ap.1.e0040"/>
    <hyperlink ref="BT771" r:id="rId1304" tooltip="View Full Record in Web of Science" display="View Full Record in Web of Science"/>
    <hyperlink ref="BF772" r:id="rId1305" tooltip="http://dx.doi.org/10.1007/s11041-011-9384-0" display="http://dx.doi.org/10.1007/s11041-011-9384-0"/>
    <hyperlink ref="BT772" r:id="rId1306" tooltip="View Full Record in Web of Science" display="View Full Record in Web of Science"/>
    <hyperlink ref="BT773" r:id="rId1307" tooltip="View Full Record in Web of Science" display="View Full Record in Web of Science"/>
    <hyperlink ref="BF774" r:id="rId1308" tooltip="http://dx.doi.org/10.34069/AI/2020.27.03.29" display="http://dx.doi.org/10.34069/AI/2020.27.03.29"/>
    <hyperlink ref="BT774" r:id="rId1309" tooltip="View Full Record in Web of Science" display="View Full Record in Web of Science"/>
    <hyperlink ref="BF775" r:id="rId1310" tooltip="http://dx.doi.org/10.1023/A:1019513029761" display="http://dx.doi.org/10.1023/A:1019513029761"/>
    <hyperlink ref="BT775" r:id="rId1311" tooltip="View Full Record in Web of Science" display="View Full Record in Web of Science"/>
    <hyperlink ref="BF776" r:id="rId1312" tooltip="http://dx.doi.org/10.18149/MPM.5022022_14" display="http://dx.doi.org/10.18149/MPM.5022022_14"/>
    <hyperlink ref="BT776" r:id="rId1313" tooltip="View Full Record in Web of Science" display="View Full Record in Web of Science"/>
    <hyperlink ref="BF777" r:id="rId1314" tooltip="http://dx.doi.org/10.15244/pjoes/139375" display="http://dx.doi.org/10.15244/pjoes/139375"/>
    <hyperlink ref="BT777" r:id="rId1315" tooltip="View Full Record in Web of Science" display="View Full Record in Web of Science"/>
    <hyperlink ref="BF778" r:id="rId1316" tooltip="http://dx.doi.org/10.25750/1995-4301-2020-2-111-116" display="http://dx.doi.org/10.25750/1995-4301-2020-2-111-116"/>
    <hyperlink ref="BT778" r:id="rId1317" tooltip="View Full Record in Web of Science" display="View Full Record in Web of Science"/>
    <hyperlink ref="BF779" r:id="rId1318" tooltip="http://dx.doi.org/10.1134/S1070427211010265" display="http://dx.doi.org/10.1134/S1070427211010265"/>
    <hyperlink ref="BT779" r:id="rId1319" tooltip="View Full Record in Web of Science" display="View Full Record in Web of Science"/>
    <hyperlink ref="BF780" r:id="rId1320" tooltip="http://dx.doi.org/10.22616/ERDev.2020.19.TF157" display="http://dx.doi.org/10.22616/ERDev.2020.19.TF157"/>
    <hyperlink ref="BT780" r:id="rId1321" tooltip="View Full Record in Web of Science" display="View Full Record in Web of Science"/>
    <hyperlink ref="BF781" r:id="rId1322" tooltip="http://dx.doi.org/10.1134/S0040601519020071" display="http://dx.doi.org/10.1134/S0040601519020071"/>
    <hyperlink ref="BT781" r:id="rId1323" tooltip="View Full Record in Web of Science" display="View Full Record in Web of Science"/>
    <hyperlink ref="BF782" r:id="rId1324" tooltip="http://dx.doi.org/10.25750/1995-4301-2021-4-133-139" display="http://dx.doi.org/10.25750/1995-4301-2021-4-133-139"/>
    <hyperlink ref="BT782" r:id="rId1325" tooltip="View Full Record in Web of Science" display="View Full Record in Web of Science"/>
    <hyperlink ref="BF783" r:id="rId1326" tooltip="http://dx.doi.org/10.1007/s11041-012-9478-3" display="http://dx.doi.org/10.1007/s11041-012-9478-3"/>
    <hyperlink ref="BT783" r:id="rId1327" tooltip="View Full Record in Web of Science" display="View Full Record in Web of Science"/>
    <hyperlink ref="BF784" r:id="rId1328" tooltip="http://dx.doi.org/10.24874/IJQR15.03-16" display="http://dx.doi.org/10.24874/IJQR15.03-16"/>
    <hyperlink ref="BT784" r:id="rId1329" tooltip="View Full Record in Web of Science" display="View Full Record in Web of Science"/>
    <hyperlink ref="BF785" r:id="rId1330" tooltip="http://dx.doi.org/10.25750/1995-4301-2020-3-046-051" display="http://dx.doi.org/10.25750/1995-4301-2020-3-046-051"/>
    <hyperlink ref="BT785" r:id="rId1331" tooltip="View Full Record in Web of Science" display="View Full Record in Web of Science"/>
    <hyperlink ref="BF786" r:id="rId1332" tooltip="http://dx.doi.org/10.1111/tan.14848" display="http://dx.doi.org/10.1111/tan.14848"/>
    <hyperlink ref="BT786" r:id="rId1333" tooltip="View Full Record in Web of Science" display="View Full Record in Web of Science"/>
    <hyperlink ref="BF787" r:id="rId1334" tooltip="http://dx.doi.org/10.1023/A:1026068208764" display="http://dx.doi.org/10.1023/A:1026068208764"/>
    <hyperlink ref="BT787" r:id="rId1335" tooltip="View Full Record in Web of Science" display="View Full Record in Web of Science"/>
    <hyperlink ref="BF788" r:id="rId1336" tooltip="http://dx.doi.org/10.1007/s10517-012-1905-3" display="http://dx.doi.org/10.1007/s10517-012-1905-3"/>
    <hyperlink ref="BT788" r:id="rId1337" tooltip="View Full Record in Web of Science" display="View Full Record in Web of Science"/>
    <hyperlink ref="BF789" r:id="rId1338" tooltip="http://dx.doi.org/10.1007/s11041-007-0041-6" display="http://dx.doi.org/10.1007/s11041-007-0041-6"/>
    <hyperlink ref="BT789" r:id="rId1339" tooltip="View Full Record in Web of Science" display="View Full Record in Web of Science"/>
    <hyperlink ref="BF790" r:id="rId1340" tooltip="http://dx.doi.org/10.1007/s10527-019-09848-6" display="http://dx.doi.org/10.1007/s10527-019-09848-6"/>
    <hyperlink ref="BT790" r:id="rId1341" tooltip="View Full Record in Web of Science" display="View Full Record in Web of Science"/>
    <hyperlink ref="BF791" r:id="rId1342" tooltip="http://dx.doi.org/10.22038/ijp.2021.57107.4477" display="http://dx.doi.org/10.22038/ijp.2021.57107.4477"/>
    <hyperlink ref="BT791" r:id="rId1343" tooltip="View Full Record in Web of Science" display="View Full Record in Web of Science"/>
    <hyperlink ref="BF792" r:id="rId1344" tooltip="http://dx.doi.org/10.25750/1995-4301-2021-3-126-132" display="http://dx.doi.org/10.25750/1995-4301-2021-3-126-132"/>
    <hyperlink ref="BT792" r:id="rId1345" tooltip="View Full Record in Web of Science" display="View Full Record in Web of Science"/>
    <hyperlink ref="BF793" r:id="rId1346" tooltip="http://dx.doi.org/10.1007/s11041-020-00598-x" display="http://dx.doi.org/10.1007/s11041-020-00598-x"/>
    <hyperlink ref="BT793" r:id="rId1347" tooltip="View Full Record in Web of Science" display="View Full Record in Web of Science"/>
    <hyperlink ref="BF794" r:id="rId1348" tooltip="http://dx.doi.org/10.15507/2658-4123.033.202301.100-113" display="http://dx.doi.org/10.15507/2658-4123.033.202301.100-113"/>
    <hyperlink ref="BT794" r:id="rId1349" tooltip="View Full Record in Web of Science" display="View Full Record in Web of Science"/>
    <hyperlink ref="BF795" r:id="rId1350" tooltip="http://dx.doi.org/10.1002/eqe.3785" display="http://dx.doi.org/10.1002/eqe.3785"/>
    <hyperlink ref="BT795" r:id="rId1351" tooltip="View Full Record in Web of Science" display="View Full Record in Web of Science"/>
    <hyperlink ref="BT796" r:id="rId1352" tooltip="View Full Record in Web of Science" display="View Full Record in Web of Science"/>
    <hyperlink ref="BF797" r:id="rId1353" tooltip="http://dx.doi.org/10.14529/hsm190207" display="http://dx.doi.org/10.14529/hsm190207"/>
    <hyperlink ref="BT797" r:id="rId1354" tooltip="View Full Record in Web of Science" display="View Full Record in Web of Science"/>
    <hyperlink ref="BT798" r:id="rId1355" tooltip="View Full Record in Web of Science" display="View Full Record in Web of Science"/>
    <hyperlink ref="BF799" r:id="rId1356" tooltip="http://dx.doi.org/10.12973/eurasia.2017.00960a" display="http://dx.doi.org/10.12973/eurasia.2017.00960a"/>
    <hyperlink ref="BT799" r:id="rId1357" tooltip="View Full Record in Web of Science" display="View Full Record in Web of Science"/>
    <hyperlink ref="BF800" r:id="rId1358" tooltip="http://dx.doi.org/10.54905/disssi/v27i134/e200ms3017" display="http://dx.doi.org/10.54905/disssi/v27i134/e200ms3017"/>
    <hyperlink ref="BT800" r:id="rId1359" tooltip="View Full Record in Web of Science" display="View Full Record in Web of Science"/>
    <hyperlink ref="BF801" r:id="rId1360" tooltip="http://dx.doi.org/10.1051/matecconf/201817001044" display="http://dx.doi.org/10.1051/matecconf/201817001044"/>
    <hyperlink ref="BT801" r:id="rId1361" tooltip="View Full Record in Web of Science" display="View Full Record in Web of Science"/>
    <hyperlink ref="BF802" r:id="rId1362" tooltip="http://dx.doi.org/10.1051/matecconf/201710608084" display="http://dx.doi.org/10.1051/matecconf/201710608084"/>
    <hyperlink ref="BT802" r:id="rId1363" tooltip="View Full Record in Web of Science" display="View Full Record in Web of Science"/>
    <hyperlink ref="BF803" r:id="rId1364" tooltip="http://dx.doi.org/10.31166/VoprosyIstorii202012Statyi70" display="http://dx.doi.org/10.31166/VoprosyIstorii202012Statyi70"/>
    <hyperlink ref="BT803" r:id="rId1365" tooltip="View Full Record in Web of Science" display="View Full Record in Web of Science"/>
    <hyperlink ref="BF804" r:id="rId1366" tooltip="http://dx.doi.org/10.18083/LCAppl.2019.2.85" display="http://dx.doi.org/10.18083/LCAppl.2019.2.85"/>
    <hyperlink ref="BT804" r:id="rId1367" tooltip="View Full Record in Web of Science" display="View Full Record in Web of Science"/>
    <hyperlink ref="BF805" r:id="rId1368" tooltip="http://dx.doi.org/10.25750/1995-4301-2019-1-122-128" display="http://dx.doi.org/10.25750/1995-4301-2019-1-122-128"/>
    <hyperlink ref="BT805" r:id="rId1369" tooltip="View Full Record in Web of Science" display="View Full Record in Web of Science"/>
    <hyperlink ref="BF806" r:id="rId1370" tooltip="http://dx.doi.org/10.15507/2658-4123.029.201902.187-204" display="http://dx.doi.org/10.15507/2658-4123.029.201902.187-204"/>
    <hyperlink ref="BT806" r:id="rId1371" tooltip="View Full Record in Web of Science" display="View Full Record in Web of Science"/>
    <hyperlink ref="BF807" r:id="rId1372" tooltip="http://dx.doi.org/10.1051/e3sconf/201911002151" display="http://dx.doi.org/10.1051/e3sconf/201911002151"/>
    <hyperlink ref="BT807" r:id="rId1373" tooltip="View Full Record in Web of Science" display="View Full Record in Web of Science"/>
    <hyperlink ref="BF808" r:id="rId1374" tooltip="http://dx.doi.org/10.1016/j.matpr.2019.07.068" display="http://dx.doi.org/10.1016/j.matpr.2019.07.068"/>
    <hyperlink ref="BT808" r:id="rId1375" tooltip="View Full Record in Web of Science" display="View Full Record in Web of Science"/>
    <hyperlink ref="BF809" r:id="rId1376" tooltip="http://dx.doi.org/10.1007/s11175-005-0118-8" display="http://dx.doi.org/10.1007/s11175-005-0118-8"/>
    <hyperlink ref="BT809" r:id="rId1377" tooltip="View Full Record in Web of Science" display="View Full Record in Web of Science"/>
    <hyperlink ref="BF810" r:id="rId1378" tooltip="http://dx.doi.org/10.1111/tan.14615" display="http://dx.doi.org/10.1111/tan.14615"/>
    <hyperlink ref="BT810" r:id="rId1379" tooltip="View Full Record in Web of Science" display="View Full Record in Web of Science"/>
    <hyperlink ref="BF811" r:id="rId1380" tooltip="http://dx.doi.org/10.1111/tan.14610" display="http://dx.doi.org/10.1111/tan.14610"/>
    <hyperlink ref="BT811" r:id="rId1381" tooltip="View Full Record in Web of Science" display="View Full Record in Web of Science"/>
    <hyperlink ref="BF812" r:id="rId1382" tooltip="http://dx.doi.org/10.1016/j.jallcom.2021.159692" display="http://dx.doi.org/10.1016/j.jallcom.2021.159692"/>
    <hyperlink ref="BT812" r:id="rId1383" tooltip="View Full Record in Web of Science" display="View Full Record in Web of Science"/>
    <hyperlink ref="BF813" r:id="rId1384" tooltip="http://dx.doi.org/10.1051/e3sconf/201911002155" display="http://dx.doi.org/10.1051/e3sconf/201911002155"/>
    <hyperlink ref="BT813" r:id="rId1385" tooltip="View Full Record in Web of Science" display="View Full Record in Web of Science"/>
    <hyperlink ref="BF814" r:id="rId1386" tooltip="http://dx.doi.org/10.26170/FK19-02-15" display="http://dx.doi.org/10.26170/FK19-02-15"/>
    <hyperlink ref="BT814" r:id="rId1387" tooltip="View Full Record in Web of Science" display="View Full Record in Web of Science"/>
    <hyperlink ref="BF815" r:id="rId1388" tooltip="http://dx.doi.org/10.1134/S0036024406110288" display="http://dx.doi.org/10.1134/S0036024406110288"/>
    <hyperlink ref="BT815" r:id="rId1389" tooltip="View Full Record in Web of Science" display="View Full Record in Web of Science"/>
    <hyperlink ref="BF816" r:id="rId1390" tooltip="http://dx.doi.org/10.1016/j.matpr.2018.12.154" display="http://dx.doi.org/10.1016/j.matpr.2018.12.154"/>
    <hyperlink ref="BT816" r:id="rId1391" tooltip="View Full Record in Web of Science" display="View Full Record in Web of Science"/>
    <hyperlink ref="BF817" r:id="rId1392" tooltip="http://dx.doi.org/10.1051/e3sconf/201911002150" display="http://dx.doi.org/10.1051/e3sconf/201911002150"/>
    <hyperlink ref="BT817" r:id="rId1393" tooltip="View Full Record in Web of Science" display="View Full Record in Web of Science"/>
    <hyperlink ref="BF818" r:id="rId1394" tooltip="http://dx.doi.org/10.1007/s11175-005-0105-0" display="http://dx.doi.org/10.1007/s11175-005-0105-0"/>
    <hyperlink ref="BT818" r:id="rId1395" tooltip="View Full Record in Web of Science" display="View Full Record in Web of Science"/>
    <hyperlink ref="BF819" r:id="rId1396" tooltip="http://dx.doi.org/10.1111/tan.14952" display="http://dx.doi.org/10.1111/tan.14952"/>
    <hyperlink ref="BT819" r:id="rId1397" tooltip="View Full Record in Web of Science" display="View Full Record in Web of Science"/>
    <hyperlink ref="BT820" r:id="rId1398" tooltip="View Full Record in Web of Science" display="View Full Record in Web of Science"/>
    <hyperlink ref="BF821" r:id="rId1399" tooltip="http://dx.doi.org/10.1051/shsconf/20196900017" display="http://dx.doi.org/10.1051/shsconf/20196900017"/>
    <hyperlink ref="BT821" r:id="rId1400" tooltip="View Full Record in Web of Science" display="View Full Record in Web of Science"/>
    <hyperlink ref="BF822" r:id="rId1401" tooltip="http://dx.doi.org/10.1007/978-3-030-37334-4_22" display="http://dx.doi.org/10.1007/978-3-030-37334-4_22"/>
    <hyperlink ref="BT822" r:id="rId1402" tooltip="View Full Record in Web of Science" display="View Full Record in Web of Science"/>
    <hyperlink ref="BF823" r:id="rId1403" tooltip="http://dx.doi.org/10.1051/matecconf/201822401040" display="http://dx.doi.org/10.1051/matecconf/201822401040"/>
    <hyperlink ref="BT823" r:id="rId1404" tooltip="View Full Record in Web of Science" display="View Full Record in Web of Science"/>
    <hyperlink ref="BT824" r:id="rId1405" tooltip="View Full Record in Web of Science" display="View Full Record in Web of Science"/>
    <hyperlink ref="BF825" r:id="rId1406" tooltip="http://dx.doi.org/10.1023/B:MSAT.0000019201.56753.34" display="http://dx.doi.org/10.1023/B:MSAT.0000019201.56753.34"/>
    <hyperlink ref="BT825" r:id="rId1407" tooltip="View Full Record in Web of Science" display="View Full Record in Web of Science"/>
    <hyperlink ref="BF826" r:id="rId1408" tooltip="http://dx.doi.org/10.51847/2GXBEcgNwL" display="http://dx.doi.org/10.51847/2GXBEcgNwL"/>
    <hyperlink ref="BT826" r:id="rId1409" tooltip="View Full Record in Web of Science" display="View Full Record in Web of Science"/>
    <hyperlink ref="BF827" r:id="rId1410" tooltip="http://dx.doi.org/10.1111/tan.14748" display="http://dx.doi.org/10.1111/tan.14748"/>
    <hyperlink ref="BT827" r:id="rId1411" tooltip="View Full Record in Web of Science" display="View Full Record in Web of Science"/>
    <hyperlink ref="BT828" r:id="rId1412" tooltip="View Full Record in Web of Science" display="View Full Record in Web of Science"/>
    <hyperlink ref="BT829" r:id="rId1413" tooltip="View Full Record in Web of Science" display="View Full Record in Web of Science"/>
    <hyperlink ref="BF830" r:id="rId1414" tooltip="http://dx.doi.org/10.1134/S1087659607040116" display="http://dx.doi.org/10.1134/S1087659607040116"/>
    <hyperlink ref="BT830" r:id="rId1415" tooltip="View Full Record in Web of Science" display="View Full Record in Web of Science"/>
    <hyperlink ref="BF831" r:id="rId1416" tooltip="http://dx.doi.org/10.21538/0134-4889-2022-28-2-56-65" display="http://dx.doi.org/10.21538/0134-4889-2022-28-2-56-65"/>
    <hyperlink ref="BT831" r:id="rId1417" tooltip="View Full Record in Web of Science" display="View Full Record in Web of Science"/>
    <hyperlink ref="BF832" r:id="rId1418" tooltip="http://dx.doi.org/10.53350/pjmhs211562072" display="http://dx.doi.org/10.53350/pjmhs211562072"/>
    <hyperlink ref="BT832" r:id="rId1419" tooltip="View Full Record in Web of Science" display="View Full Record in Web of Science"/>
    <hyperlink ref="BF833" r:id="rId1420" tooltip="http://dx.doi.org/10.1007/s11175-005-0115-y" display="http://dx.doi.org/10.1007/s11175-005-0115-y"/>
    <hyperlink ref="BT833" r:id="rId1421" tooltip="View Full Record in Web of Science" display="View Full Record in Web of Science"/>
    <hyperlink ref="BT834" r:id="rId1422" tooltip="View Full Record in Web of Science" display="View Full Record in Web of Science"/>
    <hyperlink ref="BF835" r:id="rId1423" tooltip="http://dx.doi.org/10.15507/2658-4123.033.202301.037-051" display="http://dx.doi.org/10.15507/2658-4123.033.202301.037-051"/>
    <hyperlink ref="BT835" r:id="rId1424" tooltip="View Full Record in Web of Science" display="View Full Record in Web of Science"/>
    <hyperlink ref="BF836" r:id="rId1425" tooltip="http://dx.doi.org/10.1134/S1023193521070107" display="http://dx.doi.org/10.1134/S1023193521070107"/>
    <hyperlink ref="BT836" r:id="rId1426" tooltip="View Full Record in Web of Science" display="View Full Record in Web of Science"/>
    <hyperlink ref="BF837" r:id="rId1427" tooltip="http://dx.doi.org/10.21538/0134-4889-2021-27-4-48-60" display="http://dx.doi.org/10.21538/0134-4889-2021-27-4-48-60"/>
    <hyperlink ref="BT837" r:id="rId1428" tooltip="View Full Record in Web of Science" display="View Full Record in Web of Science"/>
    <hyperlink ref="BF838" r:id="rId1429" tooltip="http://dx.doi.org/10.1109/ACCESS.2021.3116657" display="http://dx.doi.org/10.1109/ACCESS.2021.3116657"/>
    <hyperlink ref="BT838" r:id="rId1430" tooltip="View Full Record in Web of Science" display="View Full Record in Web of Science"/>
    <hyperlink ref="BF839" r:id="rId1431" tooltip="http://dx.doi.org/10.22616/ERDev.2020.19.TF249" display="http://dx.doi.org/10.22616/ERDev.2020.19.TF249"/>
    <hyperlink ref="BT839" r:id="rId1432" tooltip="View Full Record in Web of Science" display="View Full Record in Web of Science"/>
    <hyperlink ref="BF840" r:id="rId1433" tooltip="http://dx.doi.org/10.12973/eurasia.2017.00764a" display="http://dx.doi.org/10.12973/eurasia.2017.00764a"/>
    <hyperlink ref="BT840" r:id="rId1434" tooltip="View Full Record in Web of Science" display="View Full Record in Web of Science"/>
    <hyperlink ref="BF841" r:id="rId1435" tooltip="http://dx.doi.org/10.1111/tan.14552" display="http://dx.doi.org/10.1111/tan.14552"/>
    <hyperlink ref="BT841" r:id="rId1436" tooltip="View Full Record in Web of Science" display="View Full Record in Web of Science"/>
    <hyperlink ref="BF842" r:id="rId1437" tooltip="http://dx.doi.org/10.25750/1995-4301-2022-2-070-076" display="http://dx.doi.org/10.25750/1995-4301-2022-2-070-076"/>
    <hyperlink ref="BT842" r:id="rId1438" tooltip="View Full Record in Web of Science" display="View Full Record in Web of Science"/>
    <hyperlink ref="BF843" r:id="rId1439" tooltip="http://dx.doi.org/10.51847/zTI27OVMot" display="http://dx.doi.org/10.51847/zTI27OVMot"/>
    <hyperlink ref="BT843" r:id="rId1440" tooltip="View Full Record in Web of Science" display="View Full Record in Web of Science"/>
    <hyperlink ref="BF844" r:id="rId1441" tooltip="http://dx.doi.org/10.1109/ElConRus51938.2021.9396681" display="http://dx.doi.org/10.1109/ElConRus51938.2021.9396681"/>
    <hyperlink ref="BT844" r:id="rId1442" tooltip="View Full Record in Web of Science" display="View Full Record in Web of Science"/>
    <hyperlink ref="BT845" r:id="rId1443" tooltip="View Full Record in Web of Science" display="View Full Record in Web of Science"/>
    <hyperlink ref="BF846" r:id="rId1444" tooltip="http://dx.doi.org/10.1007/s11029-016-9608-x" display="http://dx.doi.org/10.1007/s11029-016-9608-x"/>
    <hyperlink ref="BT846" r:id="rId1445" tooltip="View Full Record in Web of Science" display="View Full Record in Web of Science"/>
    <hyperlink ref="BF847" r:id="rId1446" tooltip="http://dx.doi.org/10.1134/S0020168510030118" display="http://dx.doi.org/10.1134/S0020168510030118"/>
    <hyperlink ref="BT847" r:id="rId1447" tooltip="View Full Record in Web of Science" display="View Full Record in Web of Science"/>
    <hyperlink ref="BF848" r:id="rId1448" tooltip="http://dx.doi.org/10.52468/2542-1514.2021.5(4).55-77" display="http://dx.doi.org/10.52468/2542-1514.2021.5(4).55-77"/>
    <hyperlink ref="BT848" r:id="rId1449" tooltip="View Full Record in Web of Science" display="View Full Record in Web of Science"/>
    <hyperlink ref="BT849" r:id="rId1450" tooltip="View Full Record in Web of Science" display="View Full Record in Web of Science"/>
    <hyperlink ref="BT850" r:id="rId1451" tooltip="View Full Record in Web of Science" display="View Full Record in Web of Science"/>
    <hyperlink ref="BF851" r:id="rId1452" tooltip="http://dx.doi.org/10.1134/S0031918X2007011X" display="http://dx.doi.org/10.1134/S0031918X2007011X"/>
    <hyperlink ref="BT851" r:id="rId1453" tooltip="View Full Record in Web of Science" display="View Full Record in Web of Science"/>
    <hyperlink ref="BF852" r:id="rId1454" tooltip="http://dx.doi.org/10.25750/1995-4301-2019-4-037-044" display="http://dx.doi.org/10.25750/1995-4301-2019-4-037-044"/>
    <hyperlink ref="BT852" r:id="rId1455" tooltip="View Full Record in Web of Science" display="View Full Record in Web of Science"/>
    <hyperlink ref="BF853" r:id="rId1456" tooltip="http://dx.doi.org/10.1007/s11029-016-9548-5" display="http://dx.doi.org/10.1007/s11029-016-9548-5"/>
    <hyperlink ref="BT853" r:id="rId1457" tooltip="View Full Record in Web of Science" display="View Full Record in Web of Science"/>
    <hyperlink ref="BF854" r:id="rId1458" tooltip="http://dx.doi.org/10.3103/S1067821210040103" display="http://dx.doi.org/10.3103/S1067821210040103"/>
    <hyperlink ref="BT854" r:id="rId1459" tooltip="View Full Record in Web of Science" display="View Full Record in Web of Science"/>
    <hyperlink ref="BF855" r:id="rId1460" tooltip="http://dx.doi.org/10.22376/ijlpr.2023.13.1.L104-108" display="http://dx.doi.org/10.22376/ijlpr.2023.13.1.L104-108"/>
    <hyperlink ref="BT855" r:id="rId1461" tooltip="View Full Record in Web of Science" display="View Full Record in Web of Science"/>
    <hyperlink ref="BF856" r:id="rId1462" tooltip="http://dx.doi.org/10.51847/bvPSNlJliW" display="http://dx.doi.org/10.51847/bvPSNlJliW"/>
    <hyperlink ref="BT856" r:id="rId1463" tooltip="View Full Record in Web of Science" display="View Full Record in Web of Science"/>
    <hyperlink ref="BF857" r:id="rId1464" tooltip="http://dx.doi.org/10.17212/1994-6309-2019-21.3-59-71" display="http://dx.doi.org/10.17212/1994-6309-2019-21.3-59-71"/>
    <hyperlink ref="BT857" r:id="rId1465" tooltip="View Full Record in Web of Science" display="View Full Record in Web of Science"/>
    <hyperlink ref="BF858" r:id="rId1466" tooltip="http://dx.doi.org/10.1007/978-3-319-60696-5_2" display="http://dx.doi.org/10.1007/978-3-319-60696-5_2"/>
    <hyperlink ref="BT858" r:id="rId1467" tooltip="View Full Record in Web of Science" display="View Full Record in Web of Science"/>
    <hyperlink ref="BT859" r:id="rId1468" tooltip="View Full Record in Web of Science" display="View Full Record in Web of Science"/>
    <hyperlink ref="BF860" r:id="rId1469" tooltip="http://dx.doi.org/10.1134/S1064229306130151" display="http://dx.doi.org/10.1134/S1064229306130151"/>
    <hyperlink ref="BT860" r:id="rId1470" tooltip="View Full Record in Web of Science" display="View Full Record in Web of Science"/>
    <hyperlink ref="BF861" r:id="rId1471" tooltip="http://dx.doi.org/10.1111/tan.15037" display="http://dx.doi.org/10.1111/tan.15037"/>
    <hyperlink ref="BT861" r:id="rId1472" tooltip="View Full Record in Web of Science" display="View Full Record in Web of Science"/>
    <hyperlink ref="BF862" r:id="rId1473" tooltip="http://dx.doi.org/10.51847/yDF12GeLiV" display="http://dx.doi.org/10.51847/yDF12GeLiV"/>
    <hyperlink ref="BT862" r:id="rId1474" tooltip="View Full Record in Web of Science" display="View Full Record in Web of Science"/>
    <hyperlink ref="BF863" r:id="rId1475" tooltip="http://dx.doi.org/10.25750/1995-4301-2022-1-115-123" display="http://dx.doi.org/10.25750/1995-4301-2022-1-115-123"/>
    <hyperlink ref="BT863" r:id="rId1476" tooltip="View Full Record in Web of Science" display="View Full Record in Web of Science"/>
    <hyperlink ref="BF864" r:id="rId1477" tooltip="http://dx.doi.org/10.24874/IJQR15.04-08" display="http://dx.doi.org/10.24874/IJQR15.04-08"/>
    <hyperlink ref="BT864" r:id="rId1478" tooltip="View Full Record in Web of Science" display="View Full Record in Web of Science"/>
    <hyperlink ref="BF865" r:id="rId1479" tooltip="http://dx.doi.org/10.1051/e3sconf/202021013037" display="http://dx.doi.org/10.1051/e3sconf/202021013037"/>
    <hyperlink ref="BT865" r:id="rId1480" tooltip="View Full Record in Web of Science" display="View Full Record in Web of Science"/>
    <hyperlink ref="BF866" r:id="rId1481" tooltip="http://dx.doi.org/10.1051/matecconf/201710608088" display="http://dx.doi.org/10.1051/matecconf/201710608088"/>
    <hyperlink ref="BT866" r:id="rId1482" tooltip="View Full Record in Web of Science" display="View Full Record in Web of Science"/>
    <hyperlink ref="BF867" r:id="rId1483" tooltip="http://dx.doi.org/10.1007/s11029-016-9566-3" display="http://dx.doi.org/10.1007/s11029-016-9566-3"/>
    <hyperlink ref="BT867" r:id="rId1484" tooltip="View Full Record in Web of Science" display="View Full Record in Web of Science"/>
    <hyperlink ref="BF868" r:id="rId1485" tooltip="http://dx.doi.org/10.1111/tan.14944" display="http://dx.doi.org/10.1111/tan.14944"/>
    <hyperlink ref="BT868" r:id="rId1486" tooltip="View Full Record in Web of Science" display="View Full Record in Web of Science"/>
    <hyperlink ref="BF869" r:id="rId1487" tooltip="http://dx.doi.org/10.17223/15617793/476/13" display="http://dx.doi.org/10.17223/15617793/476/13"/>
    <hyperlink ref="BT869" r:id="rId1488" tooltip="View Full Record in Web of Science" display="View Full Record in Web of Science"/>
    <hyperlink ref="BF870" r:id="rId1489" tooltip="http://dx.doi.org/10.18083/LCAppl.2020.4.93" display="http://dx.doi.org/10.18083/LCAppl.2020.4.93"/>
    <hyperlink ref="BT870" r:id="rId1490" tooltip="View Full Record in Web of Science" display="View Full Record in Web of Science"/>
    <hyperlink ref="BF871" r:id="rId1491" tooltip="http://dx.doi.org/10.25750/1995-4301-2020-2-130-135" display="http://dx.doi.org/10.25750/1995-4301-2020-2-130-135"/>
    <hyperlink ref="BT871" r:id="rId1492" tooltip="View Full Record in Web of Science" display="View Full Record in Web of Science"/>
    <hyperlink ref="BF872" r:id="rId1493" tooltip="http://dx.doi.org/10.24224/2227-1295-2020-7-266-283" display="http://dx.doi.org/10.24224/2227-1295-2020-7-266-283"/>
    <hyperlink ref="BT872" r:id="rId1494" tooltip="View Full Record in Web of Science" display="View Full Record in Web of Science"/>
    <hyperlink ref="BF873" r:id="rId1495" tooltip="http://dx.doi.org/10.1007/978-3-030-22063-1_37" display="http://dx.doi.org/10.1007/978-3-030-22063-1_37"/>
    <hyperlink ref="BT873" r:id="rId1496" tooltip="View Full Record in Web of Science" display="View Full Record in Web of Science"/>
    <hyperlink ref="BF874" r:id="rId1497" tooltip="http://dx.doi.org/10.1088/1757-899X/489/1/012030" display="http://dx.doi.org/10.1088/1757-899X/489/1/012030"/>
    <hyperlink ref="BT874" r:id="rId1498" tooltip="View Full Record in Web of Science" display="View Full Record in Web of Science"/>
    <hyperlink ref="BF875" r:id="rId1499" tooltip="http://dx.doi.org/10.15405/epsbs.2018.09.2" display="http://dx.doi.org/10.15405/epsbs.2018.09.2"/>
    <hyperlink ref="BT875" r:id="rId1500" tooltip="View Full Record in Web of Science" display="View Full Record in Web of Science"/>
    <hyperlink ref="BT876" r:id="rId1501" tooltip="View Full Record in Web of Science" display="View Full Record in Web of Science"/>
    <hyperlink ref="BF877" r:id="rId1502" tooltip="http://dx.doi.org/10.1007/s11029-015-9500-0" display="http://dx.doi.org/10.1007/s11029-015-9500-0"/>
    <hyperlink ref="BT877" r:id="rId1503" tooltip="View Full Record in Web of Science" display="View Full Record in Web of Science"/>
    <hyperlink ref="BF878" r:id="rId1504" tooltip="http://dx.doi.org/10.1134/S1023193509060093" display="http://dx.doi.org/10.1134/S1023193509060093"/>
    <hyperlink ref="BT878" r:id="rId1505" tooltip="View Full Record in Web of Science" display="View Full Record in Web of Science"/>
    <hyperlink ref="BT879" r:id="rId1506" tooltip="View Full Record in Web of Science" display="View Full Record in Web of Science"/>
    <hyperlink ref="BF880" r:id="rId1507" tooltip="http://dx.doi.org/10.1016/j.jpdc.2020.02.006" display="http://dx.doi.org/10.1016/j.jpdc.2020.02.006"/>
    <hyperlink ref="BT880" r:id="rId1508" tooltip="View Full Record in Web of Science" display="View Full Record in Web of Science"/>
    <hyperlink ref="BF881" r:id="rId1509" tooltip="http://dx.doi.org/10.18720/MPM.4262019_14" display="http://dx.doi.org/10.18720/MPM.4262019_14"/>
    <hyperlink ref="BT881" r:id="rId1510" tooltip="View Full Record in Web of Science" display="View Full Record in Web of Science"/>
    <hyperlink ref="BF882" r:id="rId1511" tooltip="http://dx.doi.org/10.1016/j.matpr.2019.07.680" display="http://dx.doi.org/10.1016/j.matpr.2019.07.680"/>
    <hyperlink ref="BT882" r:id="rId1512" tooltip="View Full Record in Web of Science" display="View Full Record in Web of Science"/>
    <hyperlink ref="BF883" r:id="rId1513" tooltip="http://dx.doi.org/10.1109/IIAI-AAI.2016.92" display="http://dx.doi.org/10.1109/IIAI-AAI.2016.92"/>
    <hyperlink ref="BT883" r:id="rId1514" tooltip="View Full Record in Web of Science" display="View Full Record in Web of Science"/>
    <hyperlink ref="BF884" r:id="rId1515" tooltip="http://dx.doi.org/10.1007/s11175-005-0116-x" display="http://dx.doi.org/10.1007/s11175-005-0116-x"/>
    <hyperlink ref="BT884" r:id="rId1516" tooltip="View Full Record in Web of Science" display="View Full Record in Web of Science"/>
    <hyperlink ref="BF885" r:id="rId1517" tooltip="http://dx.doi.org/10.1023/B:JANC.0000040698.44884.ad" display="http://dx.doi.org/10.1023/B:JANC.0000040698.44884.ad"/>
    <hyperlink ref="BT885" r:id="rId1518" tooltip="View Full Record in Web of Science" display="View Full Record in Web of Science"/>
    <hyperlink ref="BF886" r:id="rId1519" tooltip="http://dx.doi.org/10.1111/tan.14558" display="http://dx.doi.org/10.1111/tan.14558"/>
    <hyperlink ref="BT886" r:id="rId1520" tooltip="View Full Record in Web of Science" display="View Full Record in Web of Science"/>
    <hyperlink ref="BF887" r:id="rId1521" tooltip="http://dx.doi.org/10.17223/23062061/23/7" display="http://dx.doi.org/10.17223/23062061/23/7"/>
    <hyperlink ref="BT887" r:id="rId1522" tooltip="View Full Record in Web of Science" display="View Full Record in Web of Science"/>
    <hyperlink ref="BF888" r:id="rId1523" tooltip="http://dx.doi.org/10.1051/matecconf/201710608076" display="http://dx.doi.org/10.1051/matecconf/201710608076"/>
    <hyperlink ref="BT888" r:id="rId1524" tooltip="View Full Record in Web of Science" display="View Full Record in Web of Science"/>
    <hyperlink ref="BF889" r:id="rId1525" tooltip="http://dx.doi.org/10.1134/S0020168506050049" display="http://dx.doi.org/10.1134/S0020168506050049"/>
    <hyperlink ref="BT889" r:id="rId1526" tooltip="View Full Record in Web of Science" display="View Full Record in Web of Science"/>
    <hyperlink ref="BF890" r:id="rId1527" tooltip="http://dx.doi.org/10.51847/h2jlKTkM26" display="http://dx.doi.org/10.51847/h2jlKTkM26"/>
    <hyperlink ref="BT890" r:id="rId1528" tooltip="View Full Record in Web of Science" display="View Full Record in Web of Science"/>
    <hyperlink ref="BF891" r:id="rId1529" tooltip="http://dx.doi.org/10.37482/0536-1036-2020-3-128-142" display="http://dx.doi.org/10.37482/0536-1036-2020-3-128-142"/>
    <hyperlink ref="BT891" r:id="rId1530" tooltip="View Full Record in Web of Science" display="View Full Record in Web of Science"/>
    <hyperlink ref="BF892" r:id="rId1531" tooltip="http://dx.doi.org/10.25750/1995-4301-2019-1-023-029" display="http://dx.doi.org/10.25750/1995-4301-2019-1-023-029"/>
    <hyperlink ref="BT892" r:id="rId1532" tooltip="View Full Record in Web of Science" display="View Full Record in Web of Science"/>
    <hyperlink ref="BF893" r:id="rId1533" tooltip="http://dx.doi.org/10.1088/1757-899X/451/1/012205" display="http://dx.doi.org/10.1088/1757-899X/451/1/012205"/>
    <hyperlink ref="BT893" r:id="rId1534" tooltip="View Full Record in Web of Science" display="View Full Record in Web of Science"/>
    <hyperlink ref="BF894" r:id="rId1535" tooltip="http://dx.doi.org/10.1051/matecconf/201710608083" display="http://dx.doi.org/10.1051/matecconf/201710608083"/>
    <hyperlink ref="BT894" r:id="rId1536" tooltip="View Full Record in Web of Science" display="View Full Record in Web of Science"/>
    <hyperlink ref="BF895" r:id="rId1537" tooltip="http://dx.doi.org/10.1051/matecconf/201710608086" display="http://dx.doi.org/10.1051/matecconf/201710608086"/>
    <hyperlink ref="BT895" r:id="rId1538" tooltip="View Full Record in Web of Science" display="View Full Record in Web of Science"/>
    <hyperlink ref="BT896" r:id="rId1539" tooltip="View Full Record in Web of Science" display="View Full Record in Web of Science"/>
    <hyperlink ref="BF897" r:id="rId1540" tooltip="http://dx.doi.org/10.1134/S1560090412030050" display="http://dx.doi.org/10.1134/S1560090412030050"/>
    <hyperlink ref="BT897" r:id="rId1541" tooltip="View Full Record in Web of Science" display="View Full Record in Web of Science"/>
    <hyperlink ref="BF898" r:id="rId1542" tooltip="http://dx.doi.org/10.1111/tan.14802" display="http://dx.doi.org/10.1111/tan.14802"/>
    <hyperlink ref="BT898" r:id="rId1543" tooltip="View Full Record in Web of Science" display="View Full Record in Web of Science"/>
    <hyperlink ref="BF899" r:id="rId1544" tooltip="http://dx.doi.org/10.1111/tan.14683" display="http://dx.doi.org/10.1111/tan.14683"/>
    <hyperlink ref="BT899" r:id="rId1545" tooltip="View Full Record in Web of Science" display="View Full Record in Web of Science"/>
    <hyperlink ref="BF900" r:id="rId1546" tooltip="http://dx.doi.org/10.22038/IJP.2021.56526.4442" display="http://dx.doi.org/10.22038/IJP.2021.56526.4442"/>
    <hyperlink ref="BT900" r:id="rId1547" tooltip="View Full Record in Web of Science" display="View Full Record in Web of Science"/>
    <hyperlink ref="BF901" r:id="rId1548" tooltip="http://dx.doi.org/10.17059/ekon.reg.2021-4-22" display="http://dx.doi.org/10.17059/ekon.reg.2021-4-22"/>
    <hyperlink ref="BT901" r:id="rId1549" tooltip="View Full Record in Web of Science" display="View Full Record in Web of Science"/>
    <hyperlink ref="BF902" r:id="rId1550" tooltip="http://dx.doi.org/10.1088/1757-899X/940/1/012053" display="http://dx.doi.org/10.1088/1757-899X/940/1/012053"/>
    <hyperlink ref="BT902" r:id="rId1551" tooltip="View Full Record in Web of Science" display="View Full Record in Web of Science"/>
    <hyperlink ref="BF903" r:id="rId1552" tooltip="http://dx.doi.org/10.1007/978-3-319-13186-3_21" display="http://dx.doi.org/10.1007/978-3-319-13186-3_21"/>
    <hyperlink ref="BT903" r:id="rId1553" tooltip="View Full Record in Web of Science" display="View Full Record in Web of Science"/>
    <hyperlink ref="BF904" r:id="rId1554" tooltip="http://dx.doi.org/10.3103/S1066369X2302007X" display="http://dx.doi.org/10.3103/S1066369X2302007X"/>
    <hyperlink ref="BT904" r:id="rId1555" tooltip="View Full Record in Web of Science" display="View Full Record in Web of Science"/>
    <hyperlink ref="BF905" r:id="rId1556" tooltip="http://dx.doi.org/10.1111/tan.14838" display="http://dx.doi.org/10.1111/tan.14838"/>
    <hyperlink ref="BT905" r:id="rId1557" tooltip="View Full Record in Web of Science" display="View Full Record in Web of Science"/>
    <hyperlink ref="BF906" r:id="rId1558" tooltip="http://dx.doi.org/10.1134/S1023193521090056" display="http://dx.doi.org/10.1134/S1023193521090056"/>
    <hyperlink ref="BT906" r:id="rId1559" tooltip="View Full Record in Web of Science" display="View Full Record in Web of Science"/>
    <hyperlink ref="BF907" r:id="rId1560" tooltip="http://dx.doi.org/10.25750/1995-4301-2021-2-115-121" display="http://dx.doi.org/10.25750/1995-4301-2021-2-115-121"/>
    <hyperlink ref="BT907" r:id="rId1561" tooltip="View Full Record in Web of Science" display="View Full Record in Web of Science"/>
    <hyperlink ref="BF908" r:id="rId1562" tooltip="http://dx.doi.org/10.25750/1995-4301-2019-2-131-136" display="http://dx.doi.org/10.25750/1995-4301-2019-2-131-136"/>
    <hyperlink ref="BT908" r:id="rId1563" tooltip="View Full Record in Web of Science" display="View Full Record in Web of Science"/>
    <hyperlink ref="BT909" r:id="rId1564" tooltip="View Full Record in Web of Science" display="View Full Record in Web of Science"/>
    <hyperlink ref="BF910" r:id="rId1565" tooltip="http://dx.doi.org/10.12973/eurasia.2017.00931a" display="http://dx.doi.org/10.12973/eurasia.2017.00931a"/>
    <hyperlink ref="BT910" r:id="rId1566" tooltip="View Full Record in Web of Science" display="View Full Record in Web of Science"/>
    <hyperlink ref="BF911" r:id="rId1567" tooltip="http://dx.doi.org/10.1007/s11029-015-9531-6" display="http://dx.doi.org/10.1007/s11029-015-9531-6"/>
    <hyperlink ref="BT911" r:id="rId1568" tooltip="View Full Record in Web of Science" display="View Full Record in Web of Science"/>
    <hyperlink ref="BF912" r:id="rId1569" tooltip="http://dx.doi.org/10.1109/ISKE.2015.28" display="http://dx.doi.org/10.1109/ISKE.2015.28"/>
    <hyperlink ref="BT912" r:id="rId1570" tooltip="View Full Record in Web of Science" display="View Full Record in Web of Science"/>
    <hyperlink ref="BF913" r:id="rId1571" tooltip="http://dx.doi.org/10.1007/s10720-005-0067-z" display="http://dx.doi.org/10.1007/s10720-005-0067-z"/>
    <hyperlink ref="BT913" r:id="rId1572" tooltip="View Full Record in Web of Science" display="View Full Record in Web of Science"/>
    <hyperlink ref="BF914" r:id="rId1573" tooltip="http://dx.doi.org/10.1007/s11175-005-0102-3" display="http://dx.doi.org/10.1007/s11175-005-0102-3"/>
    <hyperlink ref="BT914" r:id="rId1574" tooltip="View Full Record in Web of Science" display="View Full Record in Web of Science"/>
    <hyperlink ref="BF915" r:id="rId1575" tooltip="http://dx.doi.org/10.13187/ejced.2023.1.173" display="http://dx.doi.org/10.13187/ejced.2023.1.173"/>
    <hyperlink ref="BT915" r:id="rId1576" tooltip="View Full Record in Web of Science" display="View Full Record in Web of Science"/>
    <hyperlink ref="BF916" r:id="rId1577" tooltip="http://dx.doi.org/10.25750/1995-4301-2020-4-035-042" display="http://dx.doi.org/10.25750/1995-4301-2020-4-035-042"/>
    <hyperlink ref="BT916" r:id="rId1578" tooltip="View Full Record in Web of Science" display="View Full Record in Web of Science"/>
    <hyperlink ref="BT917" r:id="rId1579" tooltip="View Full Record in Web of Science" display="View Full Record in Web of Science"/>
    <hyperlink ref="BF918" r:id="rId1580" tooltip="http://dx.doi.org/10.1016/j.proeng.2017.10.488" display="http://dx.doi.org/10.1016/j.proeng.2017.10.488"/>
    <hyperlink ref="BT918" r:id="rId1581" tooltip="View Full Record in Web of Science" display="View Full Record in Web of Science"/>
    <hyperlink ref="BT919" r:id="rId1582" tooltip="View Full Record in Web of Science" display="View Full Record in Web of Science"/>
    <hyperlink ref="BF920" r:id="rId1583" tooltip="http://dx.doi.org/10.17223/19996195/53/14" display="http://dx.doi.org/10.17223/19996195/53/14"/>
    <hyperlink ref="BT920" r:id="rId1584" tooltip="View Full Record in Web of Science" display="View Full Record in Web of Science"/>
    <hyperlink ref="BF921" r:id="rId1585" tooltip="http://dx.doi.org/10.1134/S102319351708002X" display="http://dx.doi.org/10.1134/S102319351708002X"/>
    <hyperlink ref="BT921" r:id="rId1586" tooltip="View Full Record in Web of Science" display="View Full Record in Web of Science"/>
    <hyperlink ref="BF922" r:id="rId1587" tooltip="http://dx.doi.org/10.1051/matecconf/201710608079" display="http://dx.doi.org/10.1051/matecconf/201710608079"/>
    <hyperlink ref="BT922" r:id="rId1588" tooltip="View Full Record in Web of Science" display="View Full Record in Web of Science"/>
    <hyperlink ref="BF923" r:id="rId1589" tooltip="http://dx.doi.org/10.1007/s11045-016-0394-3" display="http://dx.doi.org/10.1007/s11045-016-0394-3"/>
    <hyperlink ref="BT923" r:id="rId1590" tooltip="View Full Record in Web of Science" display="View Full Record in Web of Science"/>
    <hyperlink ref="BT924" r:id="rId1591" tooltip="View Full Record in Web of Science" display="View Full Record in Web of Science"/>
    <hyperlink ref="BF925" r:id="rId1592" tooltip="http://dx.doi.org/10.1134/S1023193513080132" display="http://dx.doi.org/10.1134/S1023193513080132"/>
    <hyperlink ref="BT925" r:id="rId1593" tooltip="View Full Record in Web of Science" display="View Full Record in Web of Science"/>
    <hyperlink ref="BF926" r:id="rId1594" tooltip="http://dx.doi.org/10.1111/tan.15042" display="http://dx.doi.org/10.1111/tan.15042"/>
    <hyperlink ref="BT926" r:id="rId1595" tooltip="View Full Record in Web of Science" display="View Full Record in Web of Science"/>
    <hyperlink ref="BF927" r:id="rId1596" tooltip="http://dx.doi.org/10.1134/S0001434622030014" display="http://dx.doi.org/10.1134/S0001434622030014"/>
    <hyperlink ref="BT927" r:id="rId1597" tooltip="View Full Record in Web of Science" display="View Full Record in Web of Science"/>
    <hyperlink ref="BF928" r:id="rId1598" tooltip="http://dx.doi.org/10.14529/mmp210206" display="http://dx.doi.org/10.14529/mmp210206"/>
    <hyperlink ref="BT928" r:id="rId1599" tooltip="View Full Record in Web of Science" display="View Full Record in Web of Science"/>
    <hyperlink ref="BT929" r:id="rId1600" tooltip="View Full Record in Web of Science" display="View Full Record in Web of Science"/>
    <hyperlink ref="BF930" r:id="rId1601" tooltip="http://dx.doi.org/10.1016/j.matpr.2018.12.138" display="http://dx.doi.org/10.1016/j.matpr.2018.12.138"/>
    <hyperlink ref="BT930" r:id="rId1602" tooltip="View Full Record in Web of Science" display="View Full Record in Web of Science"/>
    <hyperlink ref="BF931" r:id="rId1603" tooltip="http://dx.doi.org/10.3897/ap.1.e0448" display="http://dx.doi.org/10.3897/ap.1.e0448"/>
    <hyperlink ref="BT931" r:id="rId1604" tooltip="View Full Record in Web of Science" display="View Full Record in Web of Science"/>
    <hyperlink ref="BF932" r:id="rId1605" tooltip="http://dx.doi.org/10.17223/19986645/54/4" display="http://dx.doi.org/10.17223/19986645/54/4"/>
    <hyperlink ref="BT932" r:id="rId1606" tooltip="View Full Record in Web of Science" display="View Full Record in Web of Science"/>
    <hyperlink ref="BF933" r:id="rId1607" tooltip="http://dx.doi.org/10.1088/1742-6596/1015/3/032068" display="http://dx.doi.org/10.1088/1742-6596/1015/3/032068"/>
    <hyperlink ref="BT933" r:id="rId1608" tooltip="View Full Record in Web of Science" display="View Full Record in Web of Science"/>
    <hyperlink ref="BF934" r:id="rId1609" tooltip="http://dx.doi.org/10.1051/matecconf/201710608082" display="http://dx.doi.org/10.1051/matecconf/201710608082"/>
    <hyperlink ref="BT934" r:id="rId1610" tooltip="View Full Record in Web of Science" display="View Full Record in Web of Science"/>
    <hyperlink ref="BT935" r:id="rId1611" tooltip="View Full Record in Web of Science" display="View Full Record in Web of Science"/>
    <hyperlink ref="BF936" r:id="rId1612" tooltip="http://dx.doi.org/10.20542/0131-2227-2020-64-8-91-100" display="http://dx.doi.org/10.20542/0131-2227-2020-64-8-91-100"/>
    <hyperlink ref="BT936" r:id="rId1613" tooltip="View Full Record in Web of Science" display="View Full Record in Web of Science"/>
    <hyperlink ref="BF937" r:id="rId1614" tooltip="http://dx.doi.org/10.22055/RALS.2020.16291" display="http://dx.doi.org/10.22055/RALS.2020.16291"/>
    <hyperlink ref="BT937" r:id="rId1615" tooltip="View Full Record in Web of Science" display="View Full Record in Web of Science"/>
    <hyperlink ref="BF938" r:id="rId1616" tooltip="http://dx.doi.org/10.17150/2500-4255.2019.13(3).489-497" display="http://dx.doi.org/10.17150/2500-4255.2019.13(3).489-497"/>
    <hyperlink ref="BT938" r:id="rId1617" tooltip="View Full Record in Web of Science" display="View Full Record in Web of Science"/>
    <hyperlink ref="BF939" r:id="rId1618" tooltip="http://dx.doi.org/10.1088/1757-899X/537/2/022064" display="http://dx.doi.org/10.1088/1757-899X/537/2/022064"/>
    <hyperlink ref="BT939" r:id="rId1619" tooltip="View Full Record in Web of Science" display="View Full Record in Web of Science"/>
    <hyperlink ref="BF940" r:id="rId1620" tooltip="http://dx.doi.org/10.1051/matecconf/201822402008" display="http://dx.doi.org/10.1051/matecconf/201822402008"/>
    <hyperlink ref="BT940" r:id="rId1621" tooltip="View Full Record in Web of Science" display="View Full Record in Web of Science"/>
    <hyperlink ref="BF941" r:id="rId1622" tooltip="http://dx.doi.org/10.12973/eurasia.2017.00934a" display="http://dx.doi.org/10.12973/eurasia.2017.00934a"/>
    <hyperlink ref="BT941" r:id="rId1623" tooltip="View Full Record in Web of Science" display="View Full Record in Web of Science"/>
    <hyperlink ref="BT942" r:id="rId1624" tooltip="View Full Record in Web of Science" display="View Full Record in Web of Science"/>
    <hyperlink ref="BF943" r:id="rId1625" tooltip="http://dx.doi.org/10.1007/s11029-016-9596-x" display="http://dx.doi.org/10.1007/s11029-016-9596-x"/>
    <hyperlink ref="BT943" r:id="rId1626" tooltip="View Full Record in Web of Science" display="View Full Record in Web of Science"/>
    <hyperlink ref="BF944" r:id="rId1627" tooltip="http://dx.doi.org/10.1016/j.cap.2007.04.013" display="http://dx.doi.org/10.1016/j.cap.2007.04.013"/>
    <hyperlink ref="BT944" r:id="rId1628" tooltip="View Full Record in Web of Science" display="View Full Record in Web of Science"/>
    <hyperlink ref="BF945" r:id="rId1629" tooltip="http://dx.doi.org/10.21538/0134-4889-2020-26-3-235-248" display="http://dx.doi.org/10.21538/0134-4889-2020-26-3-235-248"/>
    <hyperlink ref="BT945" r:id="rId1630" tooltip="View Full Record in Web of Science" display="View Full Record in Web of Science"/>
    <hyperlink ref="BF946" r:id="rId1631" tooltip="http://dx.doi.org/10.1051/matecconf/201710608089" display="http://dx.doi.org/10.1051/matecconf/201710608089"/>
    <hyperlink ref="BT946" r:id="rId1632" tooltip="View Full Record in Web of Science" display="View Full Record in Web of Science"/>
    <hyperlink ref="BF947" r:id="rId1633" tooltip="http://dx.doi.org/10.1134/S1995425513050028" display="http://dx.doi.org/10.1134/S1995425513050028"/>
    <hyperlink ref="BT947" r:id="rId1634" tooltip="View Full Record in Web of Science" display="View Full Record in Web of Science"/>
    <hyperlink ref="BF948" r:id="rId1635" tooltip="http://dx.doi.org/10.1007/s11175-005-0117-9" display="http://dx.doi.org/10.1007/s11175-005-0117-9"/>
    <hyperlink ref="BT948" r:id="rId1636" tooltip="View Full Record in Web of Science" display="View Full Record in Web of Science"/>
    <hyperlink ref="BT949" r:id="rId1637" tooltip="View Full Record in Web of Science" display="View Full Record in Web of Science"/>
    <hyperlink ref="BF950" r:id="rId1638" tooltip="http://dx.doi.org/10.1111/tan.14969" display="http://dx.doi.org/10.1111/tan.14969"/>
    <hyperlink ref="BT950" r:id="rId1639" tooltip="View Full Record in Web of Science" display="View Full Record in Web of Science"/>
    <hyperlink ref="BF951" r:id="rId1640" tooltip="http://dx.doi.org/10.17770/sie2020vol1.5079" display="http://dx.doi.org/10.17770/sie2020vol1.5079"/>
    <hyperlink ref="BT951" r:id="rId1641" tooltip="View Full Record in Web of Science" display="View Full Record in Web of Science"/>
    <hyperlink ref="BF952" r:id="rId1642" tooltip="http://dx.doi.org/10.17223/19996195/51/8" display="http://dx.doi.org/10.17223/19996195/51/8"/>
    <hyperlink ref="BT952" r:id="rId1643" tooltip="View Full Record in Web of Science" display="View Full Record in Web of Science"/>
    <hyperlink ref="BF953" r:id="rId1644" tooltip="http://dx.doi.org/10.1007/978-3-030-36592-9_2" display="http://dx.doi.org/10.1007/978-3-030-36592-9_2"/>
    <hyperlink ref="BT953" r:id="rId1645" tooltip="View Full Record in Web of Science" display="View Full Record in Web of Science"/>
    <hyperlink ref="BF954" r:id="rId1646" tooltip="http://dx.doi.org/10.1134/S1023193507040179" display="http://dx.doi.org/10.1134/S1023193507040179"/>
    <hyperlink ref="BT954" r:id="rId1647" tooltip="View Full Record in Web of Science" display="View Full Record in Web of Science"/>
    <hyperlink ref="BF955" r:id="rId1648" tooltip="http://dx.doi.org/10.1007/s10720-005-0066-0" display="http://dx.doi.org/10.1007/s10720-005-0066-0"/>
    <hyperlink ref="BT955" r:id="rId1649" tooltip="View Full Record in Web of Science" display="View Full Record in Web of Science"/>
    <hyperlink ref="BF956" r:id="rId1650" tooltip="http://dx.doi.org/10.1111/tan.15034" display="http://dx.doi.org/10.1111/tan.15034"/>
    <hyperlink ref="BT956" r:id="rId1651" tooltip="View Full Record in Web of Science" display="View Full Record in Web of Science"/>
    <hyperlink ref="BT957" r:id="rId1652" tooltip="View Full Record in Web of Science" display="View Full Record in Web of Science"/>
    <hyperlink ref="BF958" r:id="rId1653" tooltip="http://dx.doi.org/10.37358/mp.20.1.5309" display="http://dx.doi.org/10.37358/mp.20.1.5309"/>
    <hyperlink ref="BT958" r:id="rId1654" tooltip="View Full Record in Web of Science" display="View Full Record in Web of Science"/>
    <hyperlink ref="BF959" r:id="rId1655" tooltip="http://dx.doi.org/10.15507/2658-4123.030.202001.043-059" display="http://dx.doi.org/10.15507/2658-4123.030.202001.043-059"/>
    <hyperlink ref="BT959" r:id="rId1656" tooltip="View Full Record in Web of Science" display="View Full Record in Web of Science"/>
    <hyperlink ref="BF960" r:id="rId1657" tooltip="http://dx.doi.org/10.1088/1742-6596/1210/1/012150" display="http://dx.doi.org/10.1088/1742-6596/1210/1/012150"/>
    <hyperlink ref="BT960" r:id="rId1658" tooltip="View Full Record in Web of Science" display="View Full Record in Web of Science"/>
    <hyperlink ref="BF961" r:id="rId1659" tooltip="http://dx.doi.org/10.31166/VoprosyIstorii201911Statyi01" display="http://dx.doi.org/10.31166/VoprosyIstorii201911Statyi01"/>
    <hyperlink ref="BT961" r:id="rId1660" tooltip="View Full Record in Web of Science" display="View Full Record in Web of Science"/>
    <hyperlink ref="BT962" r:id="rId1661" tooltip="View Full Record in Web of Science" display="View Full Record in Web of Science"/>
    <hyperlink ref="BF963" r:id="rId1662" tooltip="http://dx.doi.org/10.54905/disssi/v27i134/e191ms2989" display="http://dx.doi.org/10.54905/disssi/v27i134/e191ms2989"/>
    <hyperlink ref="BT963" r:id="rId1663" tooltip="View Full Record in Web of Science" display="View Full Record in Web of Science"/>
    <hyperlink ref="BF964" r:id="rId1664" tooltip="http://dx.doi.org/10.1111/tan.14946" display="http://dx.doi.org/10.1111/tan.14946"/>
    <hyperlink ref="BT964" r:id="rId1665" tooltip="View Full Record in Web of Science" display="View Full Record in Web of Science"/>
    <hyperlink ref="BF965" r:id="rId1666" tooltip="http://dx.doi.org/10.22055/RALS.2019.15172" display="http://dx.doi.org/10.22055/RALS.2019.15172"/>
    <hyperlink ref="BT965" r:id="rId1667" tooltip="View Full Record in Web of Science" display="View Full Record in Web of Science"/>
    <hyperlink ref="BF966" r:id="rId1668" tooltip="http://dx.doi.org/10.12973/eurasia.2017.00933a" display="http://dx.doi.org/10.12973/eurasia.2017.00933a"/>
    <hyperlink ref="BT966" r:id="rId1669" tooltip="View Full Record in Web of Science" display="View Full Record in Web of Science"/>
    <hyperlink ref="BF967" r:id="rId1670" tooltip="http://dx.doi.org/10.12973/eurasia.2017.01248a" display="http://dx.doi.org/10.12973/eurasia.2017.01248a"/>
    <hyperlink ref="BT967" r:id="rId1671" tooltip="View Full Record in Web of Science" display="View Full Record in Web of Science"/>
    <hyperlink ref="BF968" r:id="rId1672" tooltip="http://dx.doi.org/10.15405/epsbs.2017.08.02.4" display="http://dx.doi.org/10.15405/epsbs.2017.08.02.4"/>
    <hyperlink ref="BT968" r:id="rId1673" tooltip="View Full Record in Web of Science" display="View Full Record in Web of Science"/>
    <hyperlink ref="BF969" r:id="rId1674" tooltip="http://dx.doi.org/10.1088/1757-899X/262/1/012024" display="http://dx.doi.org/10.1088/1757-899X/262/1/012024"/>
    <hyperlink ref="BT969" r:id="rId1675" tooltip="View Full Record in Web of Science" display="View Full Record in Web of Science"/>
    <hyperlink ref="BF970" r:id="rId1676" tooltip="http://dx.doi.org/10.1051/matecconf/201710608078" display="http://dx.doi.org/10.1051/matecconf/201710608078"/>
    <hyperlink ref="BT970" r:id="rId1677" tooltip="View Full Record in Web of Science" display="View Full Record in Web of Science"/>
    <hyperlink ref="BT971" r:id="rId1678" tooltip="View Full Record in Web of Science" display="View Full Record in Web of Science"/>
    <hyperlink ref="BF972" r:id="rId1679" tooltip="http://dx.doi.org/10.1134/S1023193519080111" display="http://dx.doi.org/10.1134/S1023193519080111"/>
    <hyperlink ref="BT972" r:id="rId1680" tooltip="View Full Record in Web of Science" display="View Full Record in Web of Science"/>
    <hyperlink ref="BF973" r:id="rId1681" tooltip="http://dx.doi.org/10.12973/eurasia.2017.00989a" display="http://dx.doi.org/10.12973/eurasia.2017.00989a"/>
    <hyperlink ref="BT973" r:id="rId1682" tooltip="View Full Record in Web of Science" display="View Full Record in Web of Science"/>
    <hyperlink ref="BF974" r:id="rId1683" tooltip="http://dx.doi.org/10.3103/S0025654417020108" display="http://dx.doi.org/10.3103/S0025654417020108"/>
    <hyperlink ref="BT974" r:id="rId1684" tooltip="View Full Record in Web of Science" display="View Full Record in Web of Science"/>
    <hyperlink ref="BF975" r:id="rId1685" tooltip="http://dx.doi.org/10.1051/matecconf/201712901023" display="http://dx.doi.org/10.1051/matecconf/201712901023"/>
    <hyperlink ref="BT975" r:id="rId1686" tooltip="View Full Record in Web of Science" display="View Full Record in Web of Science"/>
    <hyperlink ref="BF976" r:id="rId1687" tooltip="http://dx.doi.org/10.1016/j.proeng.2015.06.029" display="http://dx.doi.org/10.1016/j.proeng.2015.06.029"/>
    <hyperlink ref="BT976" r:id="rId1688" tooltip="View Full Record in Web of Science" display="View Full Record in Web of Science"/>
    <hyperlink ref="BF977" r:id="rId1689" tooltip="http://dx.doi.org/10.1134/S1023193513080107" display="http://dx.doi.org/10.1134/S1023193513080107"/>
    <hyperlink ref="BT977" r:id="rId1690" tooltip="View Full Record in Web of Science" display="View Full Record in Web of Science"/>
    <hyperlink ref="BF978" r:id="rId1691" tooltip="http://dx.doi.org/10.1007/s10517-012-1640-9" display="http://dx.doi.org/10.1007/s10517-012-1640-9"/>
    <hyperlink ref="BT978" r:id="rId1692" tooltip="View Full Record in Web of Science" display="View Full Record in Web of Science"/>
    <hyperlink ref="BF979" r:id="rId1693" tooltip="http://dx.doi.org/10.1111/tan.15032" display="http://dx.doi.org/10.1111/tan.15032"/>
    <hyperlink ref="BT979" r:id="rId1694" tooltip="View Full Record in Web of Science" display="View Full Record in Web of Science"/>
    <hyperlink ref="BF980" r:id="rId1695" tooltip="http://dx.doi.org/10.14529/hsm220106" display="http://dx.doi.org/10.14529/hsm220106"/>
    <hyperlink ref="BT980" r:id="rId1696" tooltip="View Full Record in Web of Science" display="View Full Record in Web of Science"/>
    <hyperlink ref="BT981" r:id="rId1697" tooltip="View Full Record in Web of Science" display="View Full Record in Web of Science"/>
    <hyperlink ref="BF982" r:id="rId1698" tooltip="http://dx.doi.org/10.3390/v11070624" display="http://dx.doi.org/10.3390/v11070624"/>
    <hyperlink ref="BT982" r:id="rId1699" tooltip="View Full Record in Web of Science" display="View Full Record in Web of Science"/>
    <hyperlink ref="BF983" r:id="rId1700" tooltip="http://dx.doi.org/10.6060/ivkkt.20196211.5979" display="http://dx.doi.org/10.6060/ivkkt.20196211.5979"/>
    <hyperlink ref="BT983" r:id="rId1701" tooltip="View Full Record in Web of Science" display="View Full Record in Web of Science"/>
    <hyperlink ref="BT984" r:id="rId1702" tooltip="View Full Record in Web of Science" display="View Full Record in Web of Science"/>
    <hyperlink ref="BF985" r:id="rId1703" tooltip="http://dx.doi.org/10.1088/1757-899X/971/2/022047" display="http://dx.doi.org/10.1088/1757-899X/971/2/022047"/>
    <hyperlink ref="BT985" r:id="rId1704" tooltip="View Full Record in Web of Science" display="View Full Record in Web of Science"/>
    <hyperlink ref="BF986" r:id="rId1705" tooltip="http://dx.doi.org/10.3390/polym13071101" display="http://dx.doi.org/10.3390/polym13071101"/>
    <hyperlink ref="BT986" r:id="rId1706" tooltip="View Full Record in Web of Science" display="View Full Record in Web of Science"/>
    <hyperlink ref="BF987" r:id="rId1707" tooltip="http://dx.doi.org/10.3897/ap.1.e1014" display="http://dx.doi.org/10.3897/ap.1.e1014"/>
    <hyperlink ref="BT987" r:id="rId1708" tooltip="View Full Record in Web of Science" display="View Full Record in Web of Science"/>
    <hyperlink ref="BT988" r:id="rId1709" tooltip="View Full Record in Web of Science" display="View Full Record in Web of Science"/>
    <hyperlink ref="BF989" r:id="rId1710" tooltip="http://dx.doi.org/10.15405/epsbs.2020.12.03.36" display="http://dx.doi.org/10.15405/epsbs.2020.12.03.36"/>
    <hyperlink ref="BT989" r:id="rId1711" tooltip="View Full Record in Web of Science" display="View Full Record in Web of Science"/>
    <hyperlink ref="BF990" r:id="rId1712" tooltip="http://dx.doi.org/10.1111/tan.14967" display="http://dx.doi.org/10.1111/tan.14967"/>
    <hyperlink ref="BT990" r:id="rId1713" tooltip="View Full Record in Web of Science" display="View Full Record in Web of Science"/>
    <hyperlink ref="BT991" r:id="rId1714" tooltip="View Full Record in Web of Science" display="View Full Record in Web of Science"/>
    <hyperlink ref="BF992" r:id="rId1715" tooltip="http://dx.doi.org/10.15826/izv2.2020.22.2.038" display="http://dx.doi.org/10.15826/izv2.2020.22.2.038"/>
    <hyperlink ref="BT992" r:id="rId1716" tooltip="View Full Record in Web of Science" display="View Full Record in Web of Science"/>
    <hyperlink ref="BF993" r:id="rId1717" tooltip="http://dx.doi.org/10.3389/fenrg.2022.943447" display="http://dx.doi.org/10.3389/fenrg.2022.943447"/>
    <hyperlink ref="BT993" r:id="rId1718" tooltip="View Full Record in Web of Science" display="View Full Record in Web of Science"/>
    <hyperlink ref="BF994" r:id="rId1719" tooltip="http://dx.doi.org/10.4103/jehp.jehp_413_21" display="http://dx.doi.org/10.4103/jehp.jehp_413_21"/>
    <hyperlink ref="BT994" r:id="rId1720" tooltip="View Full Record in Web of Science" display="View Full Record in Web of Science"/>
    <hyperlink ref="BT995" r:id="rId1721" tooltip="View Full Record in Web of Science" display="View Full Record in Web of Science"/>
    <hyperlink ref="BF996" r:id="rId1722" tooltip="http://dx.doi.org/10.1134/S1070427215020044" display="http://dx.doi.org/10.1134/S1070427215020044"/>
    <hyperlink ref="BT996" r:id="rId1723" tooltip="View Full Record in Web of Science" display="View Full Record in Web of Science"/>
    <hyperlink ref="BF997" r:id="rId1724" tooltip="http://dx.doi.org/10.1111/ijag.16578" display="http://dx.doi.org/10.1111/ijag.16578"/>
    <hyperlink ref="BT997" r:id="rId1725" tooltip="View Full Record in Web of Science" display="View Full Record in Web of Science"/>
    <hyperlink ref="BF998" r:id="rId1726" tooltip="http://dx.doi.org/10.15405/epsbs.2021.07.02.43" display="http://dx.doi.org/10.15405/epsbs.2021.07.02.43"/>
    <hyperlink ref="BT998" r:id="rId1727" tooltip="View Full Record in Web of Science" display="View Full Record in Web of Science"/>
    <hyperlink ref="BF999" r:id="rId1728" tooltip="http://dx.doi.org/10.1134/S1068162012070230" display="http://dx.doi.org/10.1134/S1068162012070230"/>
    <hyperlink ref="BT999" r:id="rId1729" tooltip="View Full Record in Web of Science" display="View Full Record in Web of Science"/>
    <hyperlink ref="BF1000" r:id="rId1730" tooltip="http://dx.doi.org/10.1111/tan.14639" display="http://dx.doi.org/10.1111/tan.14639"/>
    <hyperlink ref="BT1000" r:id="rId1731" tooltip="View Full Record in Web of Science" display="View Full Record in Web of Science"/>
    <hyperlink ref="BF1001" r:id="rId1732" tooltip="http://dx.doi.org/10.13187/ejced.2021.2.358" display="http://dx.doi.org/10.13187/ejced.2021.2.358"/>
    <hyperlink ref="BT1001" r:id="rId1733" tooltip="View Full Record in Web of Science" display="View Full Record in Web of Science"/>
    <hyperlink ref="BF1002" r:id="rId1734" tooltip="http://dx.doi.org/10.1134/S1070427221030083" display="http://dx.doi.org/10.1134/S1070427221030083"/>
    <hyperlink ref="BT1002" r:id="rId1735" tooltip="View Full Record in Web of Science" display="View Full Record in Web of Science"/>
    <hyperlink ref="BF1003" r:id="rId1736" tooltip="http://dx.doi.org/10.1088/1757-899X/971/3/032059" display="http://dx.doi.org/10.1088/1757-899X/971/3/032059"/>
    <hyperlink ref="BT1003" r:id="rId1737" tooltip="View Full Record in Web of Science" display="View Full Record in Web of Science"/>
    <hyperlink ref="BF1004" r:id="rId1738" tooltip="http://dx.doi.org/10.1111/tan.14968" display="http://dx.doi.org/10.1111/tan.14968"/>
    <hyperlink ref="BT1004" r:id="rId1739" tooltip="View Full Record in Web of Science" display="View Full Record in Web of Science"/>
    <hyperlink ref="BF1005" r:id="rId1740" tooltip="http://dx.doi.org/10.25750/1995-4301-2020-1-136-143" display="http://dx.doi.org/10.25750/1995-4301-2020-1-136-143"/>
    <hyperlink ref="BT1005" r:id="rId1741" tooltip="View Full Record in Web of Science" display="View Full Record in Web of Science"/>
    <hyperlink ref="BF1006" r:id="rId1742" tooltip="http://dx.doi.org/10.37816/2073-9567-2023-67-277-292" display="http://dx.doi.org/10.37816/2073-9567-2023-67-277-292"/>
    <hyperlink ref="BT1006" r:id="rId1743" tooltip="View Full Record in Web of Science" display="View Full Record in Web of Science"/>
    <hyperlink ref="BF1007" r:id="rId1744" tooltip="http://dx.doi.org/10.25750/1995-4301-2022-3-166-174" display="http://dx.doi.org/10.25750/1995-4301-2022-3-166-174"/>
    <hyperlink ref="BT1007" r:id="rId1745" tooltip="View Full Record in Web of Science" display="View Full Record in Web of Science"/>
    <hyperlink ref="BF1008" r:id="rId1746" tooltip="http://dx.doi.org/10.22038/IJP.2021.58495.4571" display="http://dx.doi.org/10.22038/IJP.2021.58495.4571"/>
    <hyperlink ref="BT1008" r:id="rId1747" tooltip="View Full Record in Web of Science" display="View Full Record in Web of Science"/>
    <hyperlink ref="BF1009" r:id="rId1748" tooltip="http://dx.doi.org/10.13187/ejced.2019.1.187" display="http://dx.doi.org/10.13187/ejced.2019.1.187"/>
    <hyperlink ref="BT1009" r:id="rId1749" tooltip="View Full Record in Web of Science" display="View Full Record in Web of Science"/>
    <hyperlink ref="BF1010" r:id="rId1750" tooltip="http://dx.doi.org/10.31166/VoprosyIstorii202206Statyi23" display="http://dx.doi.org/10.31166/VoprosyIstorii202206Statyi23"/>
    <hyperlink ref="BT1010" r:id="rId1751" tooltip="View Full Record in Web of Science" display="View Full Record in Web of Science"/>
    <hyperlink ref="BF1011" r:id="rId1752" tooltip="http://dx.doi.org/10.15211/soveurope62019161171" display="http://dx.doi.org/10.15211/soveurope62019161171"/>
    <hyperlink ref="BT1011" r:id="rId1753" tooltip="View Full Record in Web of Science" display="View Full Record in Web of Science"/>
    <hyperlink ref="BF1012" r:id="rId1754" tooltip="http://dx.doi.org/10.3390/gels9010045" display="http://dx.doi.org/10.3390/gels9010045"/>
    <hyperlink ref="BT1012" r:id="rId1755" tooltip="View Full Record in Web of Science" display="View Full Record in Web of Science"/>
    <hyperlink ref="BF1013" r:id="rId1756" tooltip="http://dx.doi.org/10.25750/1995-4301-2020-4-022-029" display="http://dx.doi.org/10.25750/1995-4301-2020-4-022-029"/>
    <hyperlink ref="BT1013" r:id="rId1757" tooltip="View Full Record in Web of Science" display="View Full Record in Web of Science"/>
    <hyperlink ref="BF1014" r:id="rId1758" tooltip="http://dx.doi.org/10.24874/IJQR14.02-08" display="http://dx.doi.org/10.24874/IJQR14.02-08"/>
    <hyperlink ref="BT1014" r:id="rId1759" tooltip="View Full Record in Web of Science" display="View Full Record in Web of Science"/>
    <hyperlink ref="BF1015" r:id="rId1760" tooltip="http://dx.doi.org/10.13187/ejced.2023.1.188" display="http://dx.doi.org/10.13187/ejced.2023.1.188"/>
    <hyperlink ref="BT1015" r:id="rId1761" tooltip="View Full Record in Web of Science" display="View Full Record in Web of Science"/>
    <hyperlink ref="BF1016" r:id="rId1762" tooltip="http://dx.doi.org/10.13187/ejced.2022.4.1147" display="http://dx.doi.org/10.13187/ejced.2022.4.1147"/>
    <hyperlink ref="BT1016" r:id="rId1763" tooltip="View Full Record in Web of Science" display="View Full Record in Web of Science"/>
    <hyperlink ref="BF1017" r:id="rId1764" tooltip="http://dx.doi.org/10.13187/ejced.2021.4.987" display="http://dx.doi.org/10.13187/ejced.2021.4.987"/>
    <hyperlink ref="BT1017" r:id="rId1765" tooltip="View Full Record in Web of Science" display="View Full Record in Web of Science"/>
    <hyperlink ref="BF1018" r:id="rId1766" tooltip="http://dx.doi.org/10.1134/S1070427210100290" display="http://dx.doi.org/10.1134/S1070427210100290"/>
    <hyperlink ref="BT1018" r:id="rId1767" tooltip="View Full Record in Web of Science" display="View Full Record in Web of Science"/>
    <hyperlink ref="BF1019" r:id="rId1768" tooltip="http://dx.doi.org/10.29051/el.v7iesp.2.15150" display="http://dx.doi.org/10.29051/el.v7iesp.2.15150"/>
    <hyperlink ref="BT1019" r:id="rId1769" tooltip="View Full Record in Web of Science" display="View Full Record in Web of Science"/>
    <hyperlink ref="BT1020" r:id="rId1770" tooltip="View Full Record in Web of Science" display="View Full Record in Web of Science"/>
    <hyperlink ref="BF1021" r:id="rId1771" tooltip="http://dx.doi.org/10.1111/tan.15007" display="http://dx.doi.org/10.1111/tan.15007"/>
    <hyperlink ref="BT1021" r:id="rId1772" tooltip="View Full Record in Web of Science" display="View Full Record in Web of Science"/>
    <hyperlink ref="BF1022" r:id="rId1773" tooltip="http://dx.doi.org/10.25750/1995-4301-2022-4-232-239" display="http://dx.doi.org/10.25750/1995-4301-2022-4-232-239"/>
    <hyperlink ref="BT1022" r:id="rId1774" tooltip="View Full Record in Web of Science" display="View Full Record in Web of Science"/>
    <hyperlink ref="BF1023" r:id="rId1775" tooltip="http://dx.doi.org/10.31166/VoprosyIstorii201911Statyi11" display="http://dx.doi.org/10.31166/VoprosyIstorii201911Statyi11"/>
    <hyperlink ref="BT1023" r:id="rId1776" tooltip="View Full Record in Web of Science" display="View Full Record in Web of Science"/>
    <hyperlink ref="BF1024" r:id="rId1777" tooltip="http://dx.doi.org/10.17223/15617793/430/29" display="http://dx.doi.org/10.17223/15617793/430/29"/>
    <hyperlink ref="BT1024" r:id="rId1778" tooltip="View Full Record in Web of Science" display="View Full Record in Web of Science"/>
    <hyperlink ref="BF1025" r:id="rId1779" tooltip="http://dx.doi.org/10.1111/tan.14559" display="http://dx.doi.org/10.1111/tan.14559"/>
    <hyperlink ref="BT1025" r:id="rId1780" tooltip="View Full Record in Web of Science" display="View Full Record in Web of Science"/>
    <hyperlink ref="BF1026" r:id="rId1781" tooltip="http://dx.doi.org/10.25750/1995-4301-2022-4-088-095" display="http://dx.doi.org/10.25750/1995-4301-2022-4-088-095"/>
    <hyperlink ref="BT1026" r:id="rId1782" tooltip="View Full Record in Web of Science" display="View Full Record in Web of Science"/>
    <hyperlink ref="BF1027" r:id="rId1783" tooltip="http://dx.doi.org/10.13187/ejced.2021.2.462" display="http://dx.doi.org/10.13187/ejced.2021.2.462"/>
    <hyperlink ref="BT1027" r:id="rId1784" tooltip="View Full Record in Web of Science" display="View Full Record in Web of Science"/>
    <hyperlink ref="BF1028" r:id="rId1785" tooltip="http://dx.doi.org/10.15789/2220-7619-2019-3-4-437-448" display="http://dx.doi.org/10.15789/2220-7619-2019-3-4-437-448"/>
    <hyperlink ref="BT1028" r:id="rId1786" tooltip="View Full Record in Web of Science" display="View Full Record in Web of Science"/>
    <hyperlink ref="BF1029" r:id="rId1787" tooltip="http://dx.doi.org/10.25178/nit.2019.1.6" display="http://dx.doi.org/10.25178/nit.2019.1.6"/>
    <hyperlink ref="BT1029" r:id="rId1788" tooltip="View Full Record in Web of Science" display="View Full Record in Web of Science"/>
    <hyperlink ref="BF1030" r:id="rId1789" tooltip="http://dx.doi.org/10.17150/2308-6203.2019.8(2).438-446" display="http://dx.doi.org/10.17150/2308-6203.2019.8(2).438-446"/>
    <hyperlink ref="BT1030" r:id="rId1790" tooltip="View Full Record in Web of Science" display="View Full Record in Web of Science"/>
    <hyperlink ref="BF1031" r:id="rId1791" tooltip="http://dx.doi.org/10.1111/tan.14965" display="http://dx.doi.org/10.1111/tan.14965"/>
    <hyperlink ref="BT1031" r:id="rId1792" tooltip="View Full Record in Web of Science" display="View Full Record in Web of Science"/>
    <hyperlink ref="BF1032" r:id="rId1793" tooltip="http://dx.doi.org/10.1111/tan.14962" display="http://dx.doi.org/10.1111/tan.14962"/>
    <hyperlink ref="BT1032" r:id="rId1794" tooltip="View Full Record in Web of Science" display="View Full Record in Web of Science"/>
    <hyperlink ref="BT1033" r:id="rId1795" tooltip="View Full Record in Web of Science" display="View Full Record in Web of Science"/>
    <hyperlink ref="BF1034" r:id="rId1796" tooltip="http://dx.doi.org/10.1134/S1995425515050121" display="http://dx.doi.org/10.1134/S1995425515050121"/>
    <hyperlink ref="BT1034" r:id="rId1797" tooltip="View Full Record in Web of Science" display="View Full Record in Web of Science"/>
    <hyperlink ref="BF1035" r:id="rId1798" tooltip="http://dx.doi.org/10.22038/ijp.2021.57347.4500" display="http://dx.doi.org/10.22038/ijp.2021.57347.4500"/>
    <hyperlink ref="BT1035" r:id="rId1799" tooltip="View Full Record in Web of Science" display="View Full Record in Web of Science"/>
    <hyperlink ref="BT1036" r:id="rId1800" tooltip="View Full Record in Web of Science" display="View Full Record in Web of Science"/>
    <hyperlink ref="BF1037" r:id="rId1801" tooltip="http://dx.doi.org/10.24874/IJQR16.03-19" display="http://dx.doi.org/10.24874/IJQR16.03-19"/>
    <hyperlink ref="BT1037" r:id="rId1802" tooltip="View Full Record in Web of Science" display="View Full Record in Web of Science"/>
    <hyperlink ref="BF1038" r:id="rId1803" tooltip="http://dx.doi.org/10.3390/sym13101869" display="http://dx.doi.org/10.3390/sym13101869"/>
    <hyperlink ref="BT1038" r:id="rId1804" tooltip="View Full Record in Web of Science" display="View Full Record in Web of Science"/>
    <hyperlink ref="BF1039" r:id="rId1805" tooltip="http://dx.doi.org/10.13187/ejced.2020.3.603" display="http://dx.doi.org/10.13187/ejced.2020.3.603"/>
    <hyperlink ref="BT1039" r:id="rId1806" tooltip="View Full Record in Web of Science" display="View Full Record in Web of Science"/>
    <hyperlink ref="BF1040" r:id="rId1807" tooltip="http://dx.doi.org/10.33048/semi.2019.16.105" display="http://dx.doi.org/10.33048/semi.2019.16.105"/>
    <hyperlink ref="BT1040" r:id="rId1808" tooltip="View Full Record in Web of Science" display="View Full Record in Web of Science"/>
    <hyperlink ref="BF1041" r:id="rId1809" tooltip="http://dx.doi.org/10.1111/tan.14960" display="http://dx.doi.org/10.1111/tan.14960"/>
    <hyperlink ref="BT1041" r:id="rId1810" tooltip="View Full Record in Web of Science" display="View Full Record in Web of Science"/>
    <hyperlink ref="BF1042" r:id="rId1811" tooltip="http://dx.doi.org/10.51847/1A2QGmzKEo" display="http://dx.doi.org/10.51847/1A2QGmzKEo"/>
    <hyperlink ref="BT1042" r:id="rId1812" tooltip="View Full Record in Web of Science" display="View Full Record in Web of Science"/>
    <hyperlink ref="BF1043" r:id="rId1813" tooltip="http://dx.doi.org/10.1088/1757-899X/971/3/032060" display="http://dx.doi.org/10.1088/1757-899X/971/3/032060"/>
    <hyperlink ref="BT1043" r:id="rId1814" tooltip="View Full Record in Web of Science" display="View Full Record in Web of Science"/>
    <hyperlink ref="BF1044" r:id="rId1815" tooltip="http://dx.doi.org/10.1111/tan.14617" display="http://dx.doi.org/10.1111/tan.14617"/>
    <hyperlink ref="BT1044" r:id="rId1816" tooltip="View Full Record in Web of Science" display="View Full Record in Web of Science"/>
    <hyperlink ref="BF1045" r:id="rId1817" tooltip="http://dx.doi.org/10.1007/s10800-022-01667-0" display="http://dx.doi.org/10.1007/s10800-022-01667-0"/>
    <hyperlink ref="BT1045" r:id="rId1818" tooltip="View Full Record in Web of Science" display="View Full Record in Web of Science"/>
    <hyperlink ref="BF1046" r:id="rId1819" tooltip="http://dx.doi.org/10.31166/VoprosyIstorii202111Statyi33" display="http://dx.doi.org/10.31166/VoprosyIstorii202111Statyi33"/>
    <hyperlink ref="BT1046" r:id="rId1820" tooltip="View Full Record in Web of Science" display="View Full Record in Web of Science"/>
    <hyperlink ref="BF1047" r:id="rId1821" tooltip="http://dx.doi.org/10.24874/IJQR15.02-06" display="http://dx.doi.org/10.24874/IJQR15.02-06"/>
    <hyperlink ref="BT1047" r:id="rId1822" tooltip="View Full Record in Web of Science" display="View Full Record in Web of Science"/>
    <hyperlink ref="BF1048" r:id="rId1823" tooltip="http://dx.doi.org/10.1007/978-3-030-34983-7_19" display="http://dx.doi.org/10.1007/978-3-030-34983-7_19"/>
    <hyperlink ref="BT1048" r:id="rId1824" tooltip="View Full Record in Web of Science" display="View Full Record in Web of Science"/>
    <hyperlink ref="BF1049" r:id="rId1825" tooltip="http://dx.doi.org/10.1051/e3sconf/202021016021" display="http://dx.doi.org/10.1051/e3sconf/202021016021"/>
    <hyperlink ref="BT1049" r:id="rId1826" tooltip="View Full Record in Web of Science" display="View Full Record in Web of Science"/>
    <hyperlink ref="BF1050" r:id="rId1827" tooltip="http://dx.doi.org/10.1149/2.0561910jes" display="http://dx.doi.org/10.1149/2.0561910jes"/>
    <hyperlink ref="BT1050" r:id="rId1828" tooltip="View Full Record in Web of Science" display="View Full Record in Web of Science"/>
    <hyperlink ref="BF1051" r:id="rId1829" tooltip="http://dx.doi.org/10.3103/S106782121105004X" display="http://dx.doi.org/10.3103/S106782121105004X"/>
    <hyperlink ref="BT1051" r:id="rId1830" tooltip="View Full Record in Web of Science" display="View Full Record in Web of Science"/>
    <hyperlink ref="BF1052" r:id="rId1831" tooltip="http://dx.doi.org/10.1051/e3sconf/202021010007" display="http://dx.doi.org/10.1051/e3sconf/202021010007"/>
    <hyperlink ref="BT1052" r:id="rId1832" tooltip="View Full Record in Web of Science" display="View Full Record in Web of Science"/>
    <hyperlink ref="BF1053" r:id="rId1833" tooltip="http://dx.doi.org/10.1088/1755-1315/90/1/012125" display="http://dx.doi.org/10.1088/1755-1315/90/1/012125"/>
    <hyperlink ref="BT1053" r:id="rId1834" tooltip="View Full Record in Web of Science" display="View Full Record in Web of Science"/>
    <hyperlink ref="BF1054" r:id="rId1835" tooltip="http://dx.doi.org/10.25750/1995-4301-2022-3-110-117" display="http://dx.doi.org/10.25750/1995-4301-2022-3-110-117"/>
    <hyperlink ref="BT1054" r:id="rId1836" tooltip="View Full Record in Web of Science" display="View Full Record in Web of Science"/>
    <hyperlink ref="BF1055" r:id="rId1837" tooltip="http://dx.doi.org/10.53350/pjmhs211592651" display="http://dx.doi.org/10.53350/pjmhs211592651"/>
    <hyperlink ref="BT1055" r:id="rId1838" tooltip="View Full Record in Web of Science" display="View Full Record in Web of Science"/>
    <hyperlink ref="BF1056" r:id="rId1839" tooltip="http://dx.doi.org/10.13187/ejced.2021.3.726" display="http://dx.doi.org/10.13187/ejced.2021.3.726"/>
    <hyperlink ref="BT1056" r:id="rId1840" tooltip="View Full Record in Web of Science" display="View Full Record in Web of Science"/>
    <hyperlink ref="BF1057" r:id="rId1841" tooltip="http://dx.doi.org/10.1051/e3sconf/202021017027" display="http://dx.doi.org/10.1051/e3sconf/202021017027"/>
    <hyperlink ref="BT1057" r:id="rId1842" tooltip="View Full Record in Web of Science" display="View Full Record in Web of Science"/>
    <hyperlink ref="BF1058" r:id="rId1843" tooltip="http://dx.doi.org/10.1007/s11029-019-09824-x" display="http://dx.doi.org/10.1007/s11029-019-09824-x"/>
    <hyperlink ref="BT1058" r:id="rId1844" tooltip="View Full Record in Web of Science" display="View Full Record in Web of Science"/>
    <hyperlink ref="BF1059" r:id="rId1845" tooltip="http://dx.doi.org/10.1007/s11356-018-3375-2" display="http://dx.doi.org/10.1007/s11356-018-3375-2"/>
    <hyperlink ref="BT1059" r:id="rId1846" tooltip="View Full Record in Web of Science" display="View Full Record in Web of Science"/>
    <hyperlink ref="BF1060" r:id="rId1847" tooltip="http://dx.doi.org/10.1016/j.ijbiomac.2018.02.053" display="http://dx.doi.org/10.1016/j.ijbiomac.2018.02.053"/>
    <hyperlink ref="BT1060" r:id="rId1848" tooltip="View Full Record in Web of Science" display="View Full Record in Web of Science"/>
    <hyperlink ref="BT1061" r:id="rId1849" tooltip="View Full Record in Web of Science" display="View Full Record in Web of Science"/>
    <hyperlink ref="BF1062" r:id="rId1850" tooltip="http://dx.doi.org/10.18721/JPM.11110" display="http://dx.doi.org/10.18721/JPM.11110"/>
    <hyperlink ref="BT1062" r:id="rId1851" tooltip="View Full Record in Web of Science" display="View Full Record in Web of Science"/>
    <hyperlink ref="BF1063" r:id="rId1852" tooltip="http://dx.doi.org/10.1007/s10517-016-3246-0" display="http://dx.doi.org/10.1007/s10517-016-3246-0"/>
    <hyperlink ref="BT1063" r:id="rId1853" tooltip="View Full Record in Web of Science" display="View Full Record in Web of Science"/>
    <hyperlink ref="BF1064" r:id="rId1854" tooltip="http://dx.doi.org/10.25750/1995-4301-2022-4-014-021" display="http://dx.doi.org/10.25750/1995-4301-2022-4-014-021"/>
    <hyperlink ref="BT1064" r:id="rId1855" tooltip="View Full Record in Web of Science" display="View Full Record in Web of Science"/>
    <hyperlink ref="BF1065" r:id="rId1856" tooltip="http://dx.doi.org/10.25750/1995-4301-2022-1-182-190" display="http://dx.doi.org/10.25750/1995-4301-2022-1-182-190"/>
    <hyperlink ref="BT1065" r:id="rId1857" tooltip="View Full Record in Web of Science" display="View Full Record in Web of Science"/>
    <hyperlink ref="BF1066" r:id="rId1858" tooltip="http://dx.doi.org/10.1007/s11029-020-09869-3" display="http://dx.doi.org/10.1007/s11029-020-09869-3"/>
    <hyperlink ref="BT1066" r:id="rId1859" tooltip="View Full Record in Web of Science" display="View Full Record in Web of Science"/>
    <hyperlink ref="BF1067" r:id="rId1860" tooltip="http://dx.doi.org/10.1134/S1070428022080139" display="http://dx.doi.org/10.1134/S1070428022080139"/>
    <hyperlink ref="BT1067" r:id="rId1861" tooltip="View Full Record in Web of Science" display="View Full Record in Web of Science"/>
    <hyperlink ref="BF1068" r:id="rId1862" tooltip="http://dx.doi.org/10.1007/s00249-022-01592-2" display="http://dx.doi.org/10.1007/s00249-022-01592-2"/>
    <hyperlink ref="BT1068" r:id="rId1863" tooltip="View Full Record in Web of Science" display="View Full Record in Web of Science"/>
    <hyperlink ref="BF1069" r:id="rId1864" tooltip="http://dx.doi.org/10.1007/s13632-020-00702-w" display="http://dx.doi.org/10.1007/s13632-020-00702-w"/>
    <hyperlink ref="BT1069" r:id="rId1865" tooltip="View Full Record in Web of Science" display="View Full Record in Web of Science"/>
    <hyperlink ref="BF1070" r:id="rId1866" tooltip="http://dx.doi.org/10.1051/e3sconf/202021010008" display="http://dx.doi.org/10.1051/e3sconf/202021010008"/>
    <hyperlink ref="BT1070" r:id="rId1867" tooltip="View Full Record in Web of Science" display="View Full Record in Web of Science"/>
    <hyperlink ref="BF1071" r:id="rId1868" tooltip="http://dx.doi.org/10.18083/LCAppl.2020.1.85" display="http://dx.doi.org/10.18083/LCAppl.2020.1.85"/>
    <hyperlink ref="BT1071" r:id="rId1869" tooltip="View Full Record in Web of Science" display="View Full Record in Web of Science"/>
    <hyperlink ref="BF1072" r:id="rId1870" tooltip="http://dx.doi.org/10.1088/1742-6596/1158/3/032044" display="http://dx.doi.org/10.1088/1742-6596/1158/3/032044"/>
    <hyperlink ref="BT1072" r:id="rId1871" tooltip="View Full Record in Web of Science" display="View Full Record in Web of Science"/>
    <hyperlink ref="BF1073" r:id="rId1872" tooltip="http://dx.doi.org/10.1088/1755-1315/90/1/012218" display="http://dx.doi.org/10.1088/1755-1315/90/1/012218"/>
    <hyperlink ref="BT1073" r:id="rId1873" tooltip="View Full Record in Web of Science" display="View Full Record in Web of Science"/>
    <hyperlink ref="BF1074" r:id="rId1874" tooltip="http://dx.doi.org/10.1088/1755-1315/90/1/012208" display="http://dx.doi.org/10.1088/1755-1315/90/1/012208"/>
    <hyperlink ref="BT1074" r:id="rId1875" tooltip="View Full Record in Web of Science" display="View Full Record in Web of Science"/>
    <hyperlink ref="BF1075" r:id="rId1876" tooltip="http://dx.doi.org/10.1515/POLYENG.2011.058" display="http://dx.doi.org/10.1515/POLYENG.2011.058"/>
    <hyperlink ref="BT1075" r:id="rId1877" tooltip="View Full Record in Web of Science" display="View Full Record in Web of Science"/>
    <hyperlink ref="BF1076" r:id="rId1878" tooltip="http://dx.doi.org/10.25750/1995-4301-2021-3-111-117" display="http://dx.doi.org/10.25750/1995-4301-2021-3-111-117"/>
    <hyperlink ref="BT1076" r:id="rId1879" tooltip="View Full Record in Web of Science" display="View Full Record in Web of Science"/>
    <hyperlink ref="BT1077" r:id="rId1880" tooltip="View Full Record in Web of Science" display="View Full Record in Web of Science"/>
    <hyperlink ref="BF1078" r:id="rId1881" tooltip="http://dx.doi.org/10.25750/1995-4301-2020-1-042-046" display="http://dx.doi.org/10.25750/1995-4301-2020-1-042-046"/>
    <hyperlink ref="BT1078" r:id="rId1882" tooltip="View Full Record in Web of Science" display="View Full Record in Web of Science"/>
    <hyperlink ref="BF1079" r:id="rId1883" tooltip="http://dx.doi.org/10.1051/matecconf/201710608077" display="http://dx.doi.org/10.1051/matecconf/201710608077"/>
    <hyperlink ref="BT1079" r:id="rId1884" tooltip="View Full Record in Web of Science" display="View Full Record in Web of Science"/>
    <hyperlink ref="BF1080" r:id="rId1885" tooltip="http://dx.doi.org/10.1051/e3sconf/202021013036" display="http://dx.doi.org/10.1051/e3sconf/202021013036"/>
    <hyperlink ref="BT1080" r:id="rId1886" tooltip="View Full Record in Web of Science" display="View Full Record in Web of Science"/>
    <hyperlink ref="BF1081" r:id="rId1887" tooltip="http://dx.doi.org/10.12973/eurasia.2017.00727a" display="http://dx.doi.org/10.12973/eurasia.2017.00727a"/>
    <hyperlink ref="BT1081" r:id="rId1888" tooltip="View Full Record in Web of Science" display="View Full Record in Web of Science"/>
    <hyperlink ref="BF1082" r:id="rId1889" tooltip="http://dx.doi.org/10.1134/S0021894416040179" display="http://dx.doi.org/10.1134/S0021894416040179"/>
    <hyperlink ref="BT1082" r:id="rId1890" tooltip="View Full Record in Web of Science" display="View Full Record in Web of Science"/>
    <hyperlink ref="BF1083" r:id="rId1891" tooltip="http://dx.doi.org/10.1134/S1064229319100132" display="http://dx.doi.org/10.1134/S1064229319100132"/>
    <hyperlink ref="BT1083" r:id="rId1892" tooltip="View Full Record in Web of Science" display="View Full Record in Web of Science"/>
    <hyperlink ref="BT1084" r:id="rId1893" tooltip="View Full Record in Web of Science" display="View Full Record in Web of Science"/>
    <hyperlink ref="BF1085" r:id="rId1894" tooltip="http://dx.doi.org/10.15298/rusjtheriol.16.2.05" display="http://dx.doi.org/10.15298/rusjtheriol.16.2.05"/>
    <hyperlink ref="BT1085" r:id="rId1895" tooltip="View Full Record in Web of Science" display="View Full Record in Web of Science"/>
    <hyperlink ref="BF1086" r:id="rId1896" tooltip="http://dx.doi.org/10.1088/1755-1315/90/1/012122" display="http://dx.doi.org/10.1088/1755-1315/90/1/012122"/>
    <hyperlink ref="BT1086" r:id="rId1897" tooltip="View Full Record in Web of Science" display="View Full Record in Web of Science"/>
    <hyperlink ref="BF1087" r:id="rId1898" tooltip="http://dx.doi.org/10.1134/S1062359020100179" display="http://dx.doi.org/10.1134/S1062359020100179"/>
    <hyperlink ref="BT1087" r:id="rId1899" tooltip="View Full Record in Web of Science" display="View Full Record in Web of Science"/>
    <hyperlink ref="BF1088" r:id="rId1900" tooltip="http://dx.doi.org/10.1080/13640461.2020.1822632" display="http://dx.doi.org/10.1080/13640461.2020.1822632"/>
    <hyperlink ref="BT1088" r:id="rId1901" tooltip="View Full Record in Web of Science" display="View Full Record in Web of Science"/>
    <hyperlink ref="BF1089" r:id="rId1902" tooltip="http://dx.doi.org/10.25750/1995-4301-2020-1-089-096" display="http://dx.doi.org/10.25750/1995-4301-2020-1-089-096"/>
    <hyperlink ref="BT1089" r:id="rId1903" tooltip="View Full Record in Web of Science" display="View Full Record in Web of Science"/>
    <hyperlink ref="BF1090" r:id="rId1904" tooltip="http://dx.doi.org/10.25750/1995-4301-2019-3-034-040" display="http://dx.doi.org/10.25750/1995-4301-2019-3-034-040"/>
    <hyperlink ref="BT1090" r:id="rId1905" tooltip="View Full Record in Web of Science" display="View Full Record in Web of Science"/>
    <hyperlink ref="BF1091" r:id="rId1906" tooltip="http://dx.doi.org/10.1134/S0005117913020069" display="http://dx.doi.org/10.1134/S0005117913020069"/>
    <hyperlink ref="BT1091" r:id="rId1907" tooltip="View Full Record in Web of Science" display="View Full Record in Web of Science"/>
    <hyperlink ref="BT1092" r:id="rId1908" tooltip="View Full Record in Web of Science" display="View Full Record in Web of Science"/>
    <hyperlink ref="BF1093" r:id="rId1909" tooltip="http://dx.doi.org/10.1134/S0021894418030173" display="http://dx.doi.org/10.1134/S0021894418030173"/>
    <hyperlink ref="BT1093" r:id="rId1910" tooltip="View Full Record in Web of Science" display="View Full Record in Web of Science"/>
    <hyperlink ref="BF1094" r:id="rId1911" tooltip="http://dx.doi.org/10.1051/matecconf/201710608075" display="http://dx.doi.org/10.1051/matecconf/201710608075"/>
    <hyperlink ref="BT1094" r:id="rId1912" tooltip="View Full Record in Web of Science" display="View Full Record in Web of Science"/>
    <hyperlink ref="BF1095" r:id="rId1913" tooltip="http://dx.doi.org/10.15789/2220-7619-IAO-2007" display="http://dx.doi.org/10.15789/2220-7619-IAO-2007"/>
    <hyperlink ref="BT1095" r:id="rId1914" tooltip="View Full Record in Web of Science" display="View Full Record in Web of Science"/>
    <hyperlink ref="BF1096" r:id="rId1915" tooltip="http://dx.doi.org/10.1007/s11029-017-9673-9" display="http://dx.doi.org/10.1007/s11029-017-9673-9"/>
    <hyperlink ref="BT1096" r:id="rId1916" tooltip="View Full Record in Web of Science" display="View Full Record in Web of Science"/>
    <hyperlink ref="BF1097" r:id="rId1917" tooltip="http://dx.doi.org/10.1007/s11696-022-02234-9" display="http://dx.doi.org/10.1007/s11696-022-02234-9"/>
    <hyperlink ref="BT1097" r:id="rId1918" tooltip="View Full Record in Web of Science" display="View Full Record in Web of Science"/>
    <hyperlink ref="BF1098" r:id="rId1919" tooltip="http://dx.doi.org/10.25750/1995-4301-2020-2-117-122" display="http://dx.doi.org/10.25750/1995-4301-2020-2-117-122"/>
    <hyperlink ref="BT1098" r:id="rId1920" tooltip="View Full Record in Web of Science" display="View Full Record in Web of Science"/>
    <hyperlink ref="BF1099" r:id="rId1921" tooltip="http://dx.doi.org/10.1002/jbm.a.36721" display="http://dx.doi.org/10.1002/jbm.a.36721"/>
    <hyperlink ref="BT1099" r:id="rId1922" tooltip="View Full Record in Web of Science" display="View Full Record in Web of Science"/>
    <hyperlink ref="BF1100" r:id="rId1923" tooltip="http://dx.doi.org/10.1007/978-3-319-72613-7_11" display="http://dx.doi.org/10.1007/978-3-319-72613-7_11"/>
    <hyperlink ref="BT1100" r:id="rId1924" tooltip="View Full Record in Web of Science" display="View Full Record in Web of Science"/>
    <hyperlink ref="BF1101" r:id="rId1925" tooltip="http://dx.doi.org/10.1016/j.carbpol.2013.12.071" display="http://dx.doi.org/10.1016/j.carbpol.2013.12.071"/>
    <hyperlink ref="BT1101" r:id="rId1926" tooltip="View Full Record in Web of Science" display="View Full Record in Web of Science"/>
    <hyperlink ref="BF1102" r:id="rId1927" tooltip="http://dx.doi.org/10.25750/1995-4301-2022-1-084-090" display="http://dx.doi.org/10.25750/1995-4301-2022-1-084-090"/>
    <hyperlink ref="BT1102" r:id="rId1928" tooltip="View Full Record in Web of Science" display="View Full Record in Web of Science"/>
    <hyperlink ref="BF1103" r:id="rId1929" tooltip="http://dx.doi.org/10.17223/15617793/462/31" display="http://dx.doi.org/10.17223/15617793/462/31"/>
    <hyperlink ref="BT1103" r:id="rId1930" tooltip="View Full Record in Web of Science" display="View Full Record in Web of Science"/>
    <hyperlink ref="BF1104" r:id="rId1931" tooltip="http://dx.doi.org/10.25750/1995-4301-2018-2-101/2-107/1" display="http://dx.doi.org/10.25750/1995-4301-2018-2-101/2-107/1"/>
    <hyperlink ref="BT1104" r:id="rId1932" tooltip="View Full Record in Web of Science" display="View Full Record in Web of Science"/>
    <hyperlink ref="BF1105" r:id="rId1933" tooltip="http://dx.doi.org/10.1007/s10965-022-03042-1" display="http://dx.doi.org/10.1007/s10965-022-03042-1"/>
    <hyperlink ref="BT1105" r:id="rId1934" tooltip="View Full Record in Web of Science" display="View Full Record in Web of Science"/>
    <hyperlink ref="BT1106" r:id="rId1935" tooltip="View Full Record in Web of Science" display="View Full Record in Web of Science"/>
    <hyperlink ref="BF1107" r:id="rId1936" tooltip="http://dx.doi.org/10.1134/S0021894417030178" display="http://dx.doi.org/10.1134/S0021894417030178"/>
    <hyperlink ref="BT1107" r:id="rId1937" tooltip="View Full Record in Web of Science" display="View Full Record in Web of Science"/>
    <hyperlink ref="BF1108" r:id="rId1938" tooltip="http://dx.doi.org/10.13187/ejced.2021.3.638" display="http://dx.doi.org/10.13187/ejced.2021.3.638"/>
    <hyperlink ref="BT1108" r:id="rId1939" tooltip="View Full Record in Web of Science" display="View Full Record in Web of Science"/>
    <hyperlink ref="BF1109" r:id="rId1940" tooltip="http://dx.doi.org/10.1063/5.0003363" display="http://dx.doi.org/10.1063/5.0003363"/>
    <hyperlink ref="BT1109" r:id="rId1941" tooltip="View Full Record in Web of Science" display="View Full Record in Web of Science"/>
    <hyperlink ref="BF1110" r:id="rId1942" tooltip="http://dx.doi.org/10.1016/j.ijbiomac.2018.11.081" display="http://dx.doi.org/10.1016/j.ijbiomac.2018.11.081"/>
    <hyperlink ref="BT1110" r:id="rId1943" tooltip="View Full Record in Web of Science" display="View Full Record in Web of Science"/>
    <hyperlink ref="BT1111" r:id="rId1944" tooltip="View Full Record in Web of Science" display="View Full Record in Web of Science"/>
    <hyperlink ref="BF1112" r:id="rId1945" tooltip="http://dx.doi.org/10.25750/1995-4301-2022-3-082-089" display="http://dx.doi.org/10.25750/1995-4301-2022-3-082-089"/>
    <hyperlink ref="BT1112" r:id="rId1946" tooltip="View Full Record in Web of Science" display="View Full Record in Web of Science"/>
    <hyperlink ref="BF1113" r:id="rId1947" tooltip="http://dx.doi.org/10.25750/1995-4301-2021-2-081-088" display="http://dx.doi.org/10.25750/1995-4301-2021-2-081-088"/>
    <hyperlink ref="BT1113" r:id="rId1948" tooltip="View Full Record in Web of Science" display="View Full Record in Web of Science"/>
    <hyperlink ref="BF1114" r:id="rId1949" tooltip="http://dx.doi.org/10.25750/1995-4301-2021-3-060-065" display="http://dx.doi.org/10.25750/1995-4301-2021-3-060-065"/>
    <hyperlink ref="BT1114" r:id="rId1950" tooltip="View Full Record in Web of Science" display="View Full Record in Web of Science"/>
    <hyperlink ref="BF1115" r:id="rId1951" tooltip="http://dx.doi.org/10.25750/1995-4301-2020-3-176-181" display="http://dx.doi.org/10.25750/1995-4301-2020-3-176-181"/>
    <hyperlink ref="BT1115" r:id="rId1952" tooltip="View Full Record in Web of Science" display="View Full Record in Web of Science"/>
    <hyperlink ref="BF1116" r:id="rId1953" tooltip="http://dx.doi.org/10.25750/1995-4301-2019-4-015-023" display="http://dx.doi.org/10.25750/1995-4301-2019-4-015-023"/>
    <hyperlink ref="BT1116" r:id="rId1954" tooltip="View Full Record in Web of Science" display="View Full Record in Web of Science"/>
    <hyperlink ref="BF1117" r:id="rId1955" tooltip="http://dx.doi.org/10.1007/978-3-319-60696-5_62" display="http://dx.doi.org/10.1007/978-3-319-60696-5_62"/>
    <hyperlink ref="BT1117" r:id="rId1956" tooltip="View Full Record in Web of Science" display="View Full Record in Web of Science"/>
    <hyperlink ref="BF1118" r:id="rId1957" tooltip="http://dx.doi.org/10.1088/1755-1315/90/1/012126" display="http://dx.doi.org/10.1088/1755-1315/90/1/012126"/>
    <hyperlink ref="BT1118" r:id="rId1958" tooltip="View Full Record in Web of Science" display="View Full Record in Web of Science"/>
    <hyperlink ref="BF1119" r:id="rId1959" tooltip="http://dx.doi.org/10.13187/ejced.2022.2.432" display="http://dx.doi.org/10.13187/ejced.2022.2.432"/>
    <hyperlink ref="BT1119" r:id="rId1960" tooltip="View Full Record in Web of Science" display="View Full Record in Web of Science"/>
    <hyperlink ref="BF1120" r:id="rId1961" tooltip="http://dx.doi.org/10.25750/1995-4301-2021-1-022-029" display="http://dx.doi.org/10.25750/1995-4301-2021-1-022-029"/>
    <hyperlink ref="BT1120" r:id="rId1962" tooltip="View Full Record in Web of Science" display="View Full Record in Web of Science"/>
    <hyperlink ref="BF1121" r:id="rId1963" tooltip="http://dx.doi.org/10.1016/j.ijbiomac.2020.07.189" display="http://dx.doi.org/10.1016/j.ijbiomac.2020.07.189"/>
    <hyperlink ref="BT1121" r:id="rId1964" tooltip="View Full Record in Web of Science" display="View Full Record in Web of Science"/>
    <hyperlink ref="BF1122" r:id="rId1965" tooltip="http://dx.doi.org/10.25750/1995-4301-2020-1-151-159" display="http://dx.doi.org/10.25750/1995-4301-2020-1-151-159"/>
    <hyperlink ref="BT1122" r:id="rId1966" tooltip="View Full Record in Web of Science" display="View Full Record in Web of Science"/>
    <hyperlink ref="BF1123" r:id="rId1967" tooltip="http://dx.doi.org/10.1016/j.heliyon.2019.e01202" display="http://dx.doi.org/10.1016/j.heliyon.2019.e01202"/>
    <hyperlink ref="BT1123" r:id="rId1968" tooltip="View Full Record in Web of Science" display="View Full Record in Web of Science"/>
    <hyperlink ref="BF1124" r:id="rId1969" tooltip="http://dx.doi.org/10.25750/1995-4301-2021-3-038-043" display="http://dx.doi.org/10.25750/1995-4301-2021-3-038-043"/>
    <hyperlink ref="BT1124" r:id="rId1970" tooltip="View Full Record in Web of Science" display="View Full Record in Web of Science"/>
    <hyperlink ref="BF1125" r:id="rId1971" tooltip="http://dx.doi.org/10.1007/s12033-019-00202-5" display="http://dx.doi.org/10.1007/s12033-019-00202-5"/>
    <hyperlink ref="BT1125" r:id="rId1972" tooltip="View Full Record in Web of Science" display="View Full Record in Web of Science"/>
    <hyperlink ref="BT1126" r:id="rId1973" tooltip="View Full Record in Web of Science" display="View Full Record in Web of Science"/>
    <hyperlink ref="BF1127" r:id="rId1974" tooltip="http://dx.doi.org/10.3390/cryst12030419" display="http://dx.doi.org/10.3390/cryst12030419"/>
    <hyperlink ref="BT1127" r:id="rId1975" tooltip="View Full Record in Web of Science" display="View Full Record in Web of Science"/>
    <hyperlink ref="BF1128" r:id="rId1976" tooltip="http://dx.doi.org/10.1016/j.ijbiomac.2020.08.024" display="http://dx.doi.org/10.1016/j.ijbiomac.2020.08.024"/>
    <hyperlink ref="BT1128" r:id="rId1977" tooltip="View Full Record in Web of Science" display="View Full Record in Web of Science"/>
    <hyperlink ref="BF1129" r:id="rId1978" tooltip="http://dx.doi.org/10.3103/S1066369X20060079" display="http://dx.doi.org/10.3103/S1066369X20060079"/>
    <hyperlink ref="BT1129" r:id="rId1979" tooltip="View Full Record in Web of Science" display="View Full Record in Web of Science"/>
    <hyperlink ref="BF1130" r:id="rId1980" tooltip="http://dx.doi.org/10.3390/plants8060172" display="http://dx.doi.org/10.3390/plants8060172"/>
    <hyperlink ref="BT1130" r:id="rId1981" tooltip="View Full Record in Web of Science" display="View Full Record in Web of Science"/>
    <hyperlink ref="BF1131" r:id="rId1982" tooltip="http://dx.doi.org/10.1016/j.carbpol.2018.10.053" display="http://dx.doi.org/10.1016/j.carbpol.2018.10.053"/>
    <hyperlink ref="BT1131" r:id="rId1983" tooltip="View Full Record in Web of Science" display="View Full Record in Web of Science"/>
    <hyperlink ref="BF1132" r:id="rId1984" tooltip="http://dx.doi.org/10.3390/risks9120212" display="http://dx.doi.org/10.3390/risks9120212"/>
    <hyperlink ref="BT1132" r:id="rId1985" tooltip="View Full Record in Web of Science" display="View Full Record in Web of Science"/>
    <hyperlink ref="BF1133" r:id="rId1986" tooltip="http://dx.doi.org/10.25750/1995-4301-2021-4-174-180" display="http://dx.doi.org/10.25750/1995-4301-2021-4-174-180"/>
    <hyperlink ref="BT1133" r:id="rId1987" tooltip="View Full Record in Web of Science" display="View Full Record in Web of Science"/>
    <hyperlink ref="BF1134" r:id="rId1988" tooltip="http://dx.doi.org/10.1134/S0021894420040148" display="http://dx.doi.org/10.1134/S0021894420040148"/>
    <hyperlink ref="BT1134" r:id="rId1989" tooltip="View Full Record in Web of Science" display="View Full Record in Web of Science"/>
    <hyperlink ref="BF1135" r:id="rId1990" tooltip="http://dx.doi.org/10.25750/1995-4301-2020-1-160-166" display="http://dx.doi.org/10.25750/1995-4301-2020-1-160-166"/>
    <hyperlink ref="BT1135" r:id="rId1991" tooltip="View Full Record in Web of Science" display="View Full Record in Web of Science"/>
    <hyperlink ref="BF1136" r:id="rId1992" tooltip="http://dx.doi.org/10.15405/epsbs.2019.12.15" display="http://dx.doi.org/10.15405/epsbs.2019.12.15"/>
    <hyperlink ref="BT1136" r:id="rId1993" tooltip="View Full Record in Web of Science" display="View Full Record in Web of Science"/>
    <hyperlink ref="BF1137" r:id="rId1994" tooltip="http://dx.doi.org/10.1134/S0021894423020153" display="http://dx.doi.org/10.1134/S0021894423020153"/>
    <hyperlink ref="BT1137" r:id="rId1995" tooltip="View Full Record in Web of Science" display="View Full Record in Web of Science"/>
    <hyperlink ref="BF1138" r:id="rId1996" tooltip="http://dx.doi.org/10.17223/15617793/442/30" display="http://dx.doi.org/10.17223/15617793/442/30"/>
    <hyperlink ref="BT1138" r:id="rId1997" tooltip="View Full Record in Web of Science" display="View Full Record in Web of Science"/>
    <hyperlink ref="BF1139" r:id="rId1998" tooltip="http://dx.doi.org/10.1051/e3sconf/201911002152" display="http://dx.doi.org/10.1051/e3sconf/201911002152"/>
    <hyperlink ref="BT1139" r:id="rId1999" tooltip="View Full Record in Web of Science" display="View Full Record in Web of Science"/>
    <hyperlink ref="BF1140" r:id="rId2000" tooltip="http://dx.doi.org/10.1007/s10517-018-4180-0" display="http://dx.doi.org/10.1007/s10517-018-4180-0"/>
    <hyperlink ref="BT1140" r:id="rId2001" tooltip="View Full Record in Web of Science" display="View Full Record in Web of Science"/>
    <hyperlink ref="BF1141" r:id="rId2002" tooltip="http://dx.doi.org/10.1051/matecconf/201817001046" display="http://dx.doi.org/10.1051/matecconf/201817001046"/>
    <hyperlink ref="BT1141" r:id="rId2003" tooltip="View Full Record in Web of Science" display="View Full Record in Web of Science"/>
    <hyperlink ref="BF1142" r:id="rId2004" tooltip="http://dx.doi.org/10.22616/ERDev.2020.19.TF334" display="http://dx.doi.org/10.22616/ERDev.2020.19.TF334"/>
    <hyperlink ref="BT1142" r:id="rId2005" tooltip="View Full Record in Web of Science" display="View Full Record in Web of Science"/>
    <hyperlink ref="BF1143" r:id="rId2006" tooltip="http://dx.doi.org/10.1016/j.ijbiomac.2018.07.078" display="http://dx.doi.org/10.1016/j.ijbiomac.2018.07.078"/>
    <hyperlink ref="BT1143" r:id="rId2007" tooltip="View Full Record in Web of Science" display="View Full Record in Web of Science"/>
    <hyperlink ref="BF1144" r:id="rId2008" tooltip="http://dx.doi.org/10.15405/epsbs.2017.08.2" display="http://dx.doi.org/10.15405/epsbs.2017.08.2"/>
    <hyperlink ref="BT1144" r:id="rId2009" tooltip="View Full Record in Web of Science" display="View Full Record in Web of Science"/>
    <hyperlink ref="BF1145" r:id="rId2010" tooltip="http://dx.doi.org/10.1007/978-981-16-8806-5_2" display="http://dx.doi.org/10.1007/978-981-16-8806-5_2"/>
    <hyperlink ref="BT1145" r:id="rId2011" tooltip="View Full Record in Web of Science" display="View Full Record in Web of Science"/>
    <hyperlink ref="BF1146" r:id="rId2012" tooltip="http://dx.doi.org/10.1051/bioconf/20201700118" display="http://dx.doi.org/10.1051/bioconf/20201700118"/>
    <hyperlink ref="BT1146" r:id="rId2013" tooltip="View Full Record in Web of Science" display="View Full Record in Web of Science"/>
    <hyperlink ref="BF1147" r:id="rId2014" tooltip="http://dx.doi.org/10.22616/ERDev2017.16.N269" display="http://dx.doi.org/10.22616/ERDev2017.16.N269"/>
    <hyperlink ref="BT1147" r:id="rId2015" tooltip="View Full Record in Web of Science" display="View Full Record in Web of Science"/>
    <hyperlink ref="BF1148" r:id="rId2016" tooltip="http://dx.doi.org/10.1134/S1068162012070242" display="http://dx.doi.org/10.1134/S1068162012070242"/>
    <hyperlink ref="BT1148" r:id="rId2017" tooltip="View Full Record in Web of Science" display="View Full Record in Web of Science"/>
    <hyperlink ref="BF1149" r:id="rId2018" tooltip="http://dx.doi.org/10.13187/ejced.2021.4.943" display="http://dx.doi.org/10.13187/ejced.2021.4.943"/>
    <hyperlink ref="BT1149" r:id="rId2019" tooltip="View Full Record in Web of Science" display="View Full Record in Web of Science"/>
    <hyperlink ref="BF1150" r:id="rId2020" tooltip="http://dx.doi.org/10.25750/1995-4301-2021-2-107-114" display="http://dx.doi.org/10.25750/1995-4301-2021-2-107-114"/>
    <hyperlink ref="BT1150" r:id="rId2021" tooltip="View Full Record in Web of Science" display="View Full Record in Web of Science"/>
    <hyperlink ref="BF1151" r:id="rId2022" tooltip="http://dx.doi.org/10.25750/1995-4301-2020-3-036-040" display="http://dx.doi.org/10.25750/1995-4301-2020-3-036-040"/>
    <hyperlink ref="BT1151" r:id="rId2023" tooltip="View Full Record in Web of Science" display="View Full Record in Web of Science"/>
    <hyperlink ref="BF1152" r:id="rId2024" tooltip="http://dx.doi.org/10.1016/j.ijbiomac.2019.07.122" display="http://dx.doi.org/10.1016/j.ijbiomac.2019.07.122"/>
    <hyperlink ref="BT1152" r:id="rId2025" tooltip="View Full Record in Web of Science" display="View Full Record in Web of Science"/>
    <hyperlink ref="BF1153" r:id="rId2026" tooltip="http://dx.doi.org/10.1016/j.carbpol.2019.03.087" display="http://dx.doi.org/10.1016/j.carbpol.2019.03.087"/>
    <hyperlink ref="BT1153" r:id="rId2027" tooltip="View Full Record in Web of Science" display="View Full Record in Web of Science"/>
    <hyperlink ref="BF1154" r:id="rId2028" tooltip="http://dx.doi.org/10.25750/1995-4301-2019-2-039-043" display="http://dx.doi.org/10.25750/1995-4301-2019-2-039-043"/>
    <hyperlink ref="BT1154" r:id="rId2029" tooltip="View Full Record in Web of Science" display="View Full Record in Web of Science"/>
    <hyperlink ref="BF1155" r:id="rId2030" tooltip="http://dx.doi.org/10.25750/1995-4301-2018-2-035-037" display="http://dx.doi.org/10.25750/1995-4301-2018-2-035-037"/>
    <hyperlink ref="BT1155" r:id="rId2031" tooltip="View Full Record in Web of Science" display="View Full Record in Web of Science"/>
    <hyperlink ref="BF1156" r:id="rId2032" tooltip="http://dx.doi.org/10.1002/jbm.a.36116" display="http://dx.doi.org/10.1002/jbm.a.36116"/>
    <hyperlink ref="BT1156" r:id="rId2033" tooltip="View Full Record in Web of Science" display="View Full Record in Web of Science"/>
    <hyperlink ref="BF1157" r:id="rId2034" tooltip="http://dx.doi.org/10.12973/eurasia.2017.00719a" display="http://dx.doi.org/10.12973/eurasia.2017.00719a"/>
    <hyperlink ref="BT1157" r:id="rId2035" tooltip="View Full Record in Web of Science" display="View Full Record in Web of Science"/>
    <hyperlink ref="BF1158" r:id="rId2036" tooltip="http://dx.doi.org/10.1134/S1068162014020162" display="http://dx.doi.org/10.1134/S1068162014020162"/>
    <hyperlink ref="BT1158" r:id="rId2037" tooltip="View Full Record in Web of Science" display="View Full Record in Web of Science"/>
    <hyperlink ref="BF1159" r:id="rId2038" tooltip="http://dx.doi.org/10.1134/S0026261710060263" display="http://dx.doi.org/10.1134/S0026261710060263"/>
    <hyperlink ref="BT1159" r:id="rId2039" tooltip="View Full Record in Web of Science" display="View Full Record in Web of Science"/>
    <hyperlink ref="BF1160" r:id="rId2040" tooltip="http://dx.doi.org/10.1016/j.mtcomm.2022.104986" display="http://dx.doi.org/10.1016/j.mtcomm.2022.104986"/>
    <hyperlink ref="BT1160" r:id="rId2041" tooltip="View Full Record in Web of Science" display="View Full Record in Web of Science"/>
    <hyperlink ref="BF1161" r:id="rId2042" tooltip="http://dx.doi.org/10.1134/S1068162021040099" display="http://dx.doi.org/10.1134/S1068162021040099"/>
    <hyperlink ref="BT1161" r:id="rId2043" tooltip="View Full Record in Web of Science" display="View Full Record in Web of Science"/>
    <hyperlink ref="BF1162" r:id="rId2044" tooltip="http://dx.doi.org/10.25750/1995-4301-2021-4-218-223" display="http://dx.doi.org/10.25750/1995-4301-2021-4-218-223"/>
    <hyperlink ref="BT1162" r:id="rId2045" tooltip="View Full Record in Web of Science" display="View Full Record in Web of Science"/>
    <hyperlink ref="BF1163" r:id="rId2046" tooltip="http://dx.doi.org/10.1016/j.ijbiomac.2020.04.055" display="http://dx.doi.org/10.1016/j.ijbiomac.2020.04.055"/>
    <hyperlink ref="BT1163" r:id="rId2047" tooltip="View Full Record in Web of Science" display="View Full Record in Web of Science"/>
    <hyperlink ref="BF1164" r:id="rId2048" tooltip="http://dx.doi.org/10.1016/j.scitotenv.2020.137920" display="http://dx.doi.org/10.1016/j.scitotenv.2020.137920"/>
    <hyperlink ref="BT1164" r:id="rId2049" tooltip="View Full Record in Web of Science" display="View Full Record in Web of Science"/>
    <hyperlink ref="BF1165" r:id="rId2050" tooltip="http://dx.doi.org/10.25750/1995-4301-2019-2-044-052" display="http://dx.doi.org/10.25750/1995-4301-2019-2-044-052"/>
    <hyperlink ref="BT1165" r:id="rId2051" tooltip="View Full Record in Web of Science" display="View Full Record in Web of Science"/>
    <hyperlink ref="BF1166" r:id="rId2052" tooltip="http://dx.doi.org/10.24874/IJQR13.04-12" display="http://dx.doi.org/10.24874/IJQR13.04-12"/>
    <hyperlink ref="BT1166" r:id="rId2053" tooltip="View Full Record in Web of Science" display="View Full Record in Web of Science"/>
    <hyperlink ref="BF1167" r:id="rId2054" tooltip="http://dx.doi.org/10.25750/1995-4301-2019-1-102-110" display="http://dx.doi.org/10.25750/1995-4301-2019-1-102-110"/>
    <hyperlink ref="BT1167" r:id="rId2055" tooltip="View Full Record in Web of Science" display="View Full Record in Web of Science"/>
    <hyperlink ref="BF1168" r:id="rId2056" tooltip="http://dx.doi.org/10.12973/eurasia.2017.00743a" display="http://dx.doi.org/10.12973/eurasia.2017.00743a"/>
    <hyperlink ref="BT1168" r:id="rId2057" tooltip="View Full Record in Web of Science" display="View Full Record in Web of Science"/>
    <hyperlink ref="BF1169" r:id="rId2058" tooltip="http://dx.doi.org/10.5750/1995-4301-2022-2-209-215" display="http://dx.doi.org/10.5750/1995-4301-2022-2-209-215"/>
    <hyperlink ref="BT1169" r:id="rId2059" tooltip="View Full Record in Web of Science" display="View Full Record in Web of Science"/>
    <hyperlink ref="BF1170" r:id="rId2060" tooltip="http://dx.doi.org/10.1016/j.indcrop.2021.114382" display="http://dx.doi.org/10.1016/j.indcrop.2021.114382"/>
    <hyperlink ref="BT1170" r:id="rId2061" tooltip="View Full Record in Web of Science" display="View Full Record in Web of Science"/>
    <hyperlink ref="BF1171" r:id="rId2062" tooltip="http://dx.doi.org/10.1109/ElConRus51938.2021.9396276" display="http://dx.doi.org/10.1109/ElConRus51938.2021.9396276"/>
    <hyperlink ref="BT1171" r:id="rId2063" tooltip="View Full Record in Web of Science" display="View Full Record in Web of Science"/>
    <hyperlink ref="BF1172" r:id="rId2064" tooltip="http://dx.doi.org/10.51847/oCGvk8tmjd" display="http://dx.doi.org/10.51847/oCGvk8tmjd"/>
    <hyperlink ref="BT1172" r:id="rId2065" tooltip="View Full Record in Web of Science" display="View Full Record in Web of Science"/>
    <hyperlink ref="BF1173" r:id="rId2066" tooltip="http://dx.doi.org/10.1016/j.matchar.2020.110537" display="http://dx.doi.org/10.1016/j.matchar.2020.110537"/>
    <hyperlink ref="BT1173" r:id="rId2067" tooltip="View Full Record in Web of Science" display="View Full Record in Web of Science"/>
    <hyperlink ref="BT1174" r:id="rId2068" tooltip="View Full Record in Web of Science" display="View Full Record in Web of Science"/>
    <hyperlink ref="BF1175" r:id="rId2069" tooltip="http://dx.doi.org/10.25750/1995-4301-2020-3-041-045" display="http://dx.doi.org/10.25750/1995-4301-2020-3-041-045"/>
    <hyperlink ref="BT1175" r:id="rId2070" tooltip="View Full Record in Web of Science" display="View Full Record in Web of Science"/>
    <hyperlink ref="BF1176" r:id="rId2071" tooltip="http://dx.doi.org/10.21638/spbu14.2018.404" display="http://dx.doi.org/10.21638/spbu14.2018.404"/>
    <hyperlink ref="BT1176" r:id="rId2072" tooltip="View Full Record in Web of Science" display="View Full Record in Web of Science"/>
    <hyperlink ref="BF1177" r:id="rId2073" tooltip="http://dx.doi.org/10.13187/ejced.2022.3.817" display="http://dx.doi.org/10.13187/ejced.2022.3.817"/>
    <hyperlink ref="BT1177" r:id="rId2074" tooltip="View Full Record in Web of Science" display="View Full Record in Web of Science"/>
    <hyperlink ref="BF1178" r:id="rId2075" tooltip="http://dx.doi.org/10.25750/1995-4301-2021-1-104-111" display="http://dx.doi.org/10.25750/1995-4301-2021-1-104-111"/>
    <hyperlink ref="BT1178" r:id="rId2076" tooltip="View Full Record in Web of Science" display="View Full Record in Web of Science"/>
    <hyperlink ref="BT1179" r:id="rId2077" tooltip="View Full Record in Web of Science" display="View Full Record in Web of Science"/>
    <hyperlink ref="BF1180" r:id="rId2078" tooltip="http://dx.doi.org/10.15211/soveurope5201898109" display="http://dx.doi.org/10.15211/soveurope5201898109"/>
    <hyperlink ref="BT1180" r:id="rId2079" tooltip="View Full Record in Web of Science" display="View Full Record in Web of Science"/>
    <hyperlink ref="BF1181" r:id="rId2080" tooltip="http://dx.doi.org/10.12973/eurasia.2017.01217a" display="http://dx.doi.org/10.12973/eurasia.2017.01217a"/>
    <hyperlink ref="BT1181" r:id="rId2081" tooltip="View Full Record in Web of Science" display="View Full Record in Web of Science"/>
    <hyperlink ref="BF1182" r:id="rId2082" tooltip="http://dx.doi.org/10.1051/matecconf/201710608074" display="http://dx.doi.org/10.1051/matecconf/201710608074"/>
    <hyperlink ref="BT1182" r:id="rId2083" tooltip="View Full Record in Web of Science" display="View Full Record in Web of Science"/>
    <hyperlink ref="BF1183" r:id="rId2084" tooltip="http://dx.doi.org/10.3103/S0891416815020032" display="http://dx.doi.org/10.3103/S0891416815020032"/>
    <hyperlink ref="BT1183" r:id="rId2085" tooltip="View Full Record in Web of Science" display="View Full Record in Web of Science"/>
    <hyperlink ref="BF1184" r:id="rId2086" tooltip="http://dx.doi.org/10.1134/S1070428023010074" display="http://dx.doi.org/10.1134/S1070428023010074"/>
    <hyperlink ref="BT1184" r:id="rId2087" tooltip="View Full Record in Web of Science" display="View Full Record in Web of Science"/>
    <hyperlink ref="BF1185" r:id="rId2088" tooltip="http://dx.doi.org/10.1016/j.ssi.2021.115850" display="http://dx.doi.org/10.1016/j.ssi.2021.115850"/>
    <hyperlink ref="BT1185" r:id="rId2089" tooltip="View Full Record in Web of Science" display="View Full Record in Web of Science"/>
    <hyperlink ref="BF1186" r:id="rId2090" tooltip="http://dx.doi.org/10.25750/1995-4301-2022-2-035-041" display="http://dx.doi.org/10.25750/1995-4301-2022-2-035-041"/>
    <hyperlink ref="BT1186" r:id="rId2091" tooltip="View Full Record in Web of Science" display="View Full Record in Web of Science"/>
    <hyperlink ref="BF1187" r:id="rId2092" tooltip="http://dx.doi.org/10.1016/j.mtla.2020.100981" display="http://dx.doi.org/10.1016/j.mtla.2020.100981"/>
    <hyperlink ref="BT1187" r:id="rId2093" tooltip="View Full Record in Web of Science" display="View Full Record in Web of Science"/>
    <hyperlink ref="BT1188" r:id="rId2094" tooltip="View Full Record in Web of Science" display="View Full Record in Web of Science"/>
    <hyperlink ref="BF1189" r:id="rId2095" tooltip="http://dx.doi.org/10.1134/S1067413613030144" display="http://dx.doi.org/10.1134/S1067413613030144"/>
    <hyperlink ref="BT1189" r:id="rId2096" tooltip="View Full Record in Web of Science" display="View Full Record in Web of Science"/>
    <hyperlink ref="BF1190" r:id="rId2097" tooltip="http://dx.doi.org/10.25750/1995-4301-2022-1-198-204" display="http://dx.doi.org/10.25750/1995-4301-2022-1-198-204"/>
    <hyperlink ref="BT1190" r:id="rId2098" tooltip="View Full Record in Web of Science" display="View Full Record in Web of Science"/>
    <hyperlink ref="BF1191" r:id="rId2099" tooltip="http://dx.doi.org/10.25750/1995-4301-2021-2-013-021" display="http://dx.doi.org/10.25750/1995-4301-2021-2-013-021"/>
    <hyperlink ref="BT1191" r:id="rId2100" tooltip="View Full Record in Web of Science" display="View Full Record in Web of Science"/>
    <hyperlink ref="BF1192" r:id="rId2101" tooltip="http://dx.doi.org/10.1109/ElConRus51938.2021.9396694" display="http://dx.doi.org/10.1109/ElConRus51938.2021.9396694"/>
    <hyperlink ref="BT1192" r:id="rId2102" tooltip="View Full Record in Web of Science" display="View Full Record in Web of Science"/>
    <hyperlink ref="BF1193" r:id="rId2103" tooltip="http://dx.doi.org/10.25750/1995-4301-2021-2-022-030" display="http://dx.doi.org/10.25750/1995-4301-2021-2-022-030"/>
    <hyperlink ref="BT1193" r:id="rId2104" tooltip="View Full Record in Web of Science" display="View Full Record in Web of Science"/>
    <hyperlink ref="BF1194" r:id="rId2105" tooltip="http://dx.doi.org/10.51847/bzkZmBKa9f" display="http://dx.doi.org/10.51847/bzkZmBKa9f"/>
    <hyperlink ref="BT1194" r:id="rId2106" tooltip="View Full Record in Web of Science" display="View Full Record in Web of Science"/>
    <hyperlink ref="BF1195" r:id="rId2107" tooltip="http://dx.doi.org/10.25750/1995-4301-2020-2-044-050" display="http://dx.doi.org/10.25750/1995-4301-2020-2-044-050"/>
    <hyperlink ref="BT1195" r:id="rId2108" tooltip="View Full Record in Web of Science" display="View Full Record in Web of Science"/>
    <hyperlink ref="BF1196" r:id="rId2109" tooltip="http://dx.doi.org/10.3103/S1052618819020110" display="http://dx.doi.org/10.3103/S1052618819020110"/>
    <hyperlink ref="BT1196" r:id="rId2110" tooltip="View Full Record in Web of Science" display="View Full Record in Web of Science"/>
    <hyperlink ref="BF1197" r:id="rId2111" tooltip="http://dx.doi.org/10.1002/etc.3956" display="http://dx.doi.org/10.1002/etc.3956"/>
    <hyperlink ref="BT1197" r:id="rId2112" tooltip="View Full Record in Web of Science" display="View Full Record in Web of Science"/>
    <hyperlink ref="BF1198" r:id="rId2113" tooltip="http://dx.doi.org/10.25750/1995-4301-2022-2-006-014" display="http://dx.doi.org/10.25750/1995-4301-2022-2-006-014"/>
    <hyperlink ref="BT1198" r:id="rId2114" tooltip="View Full Record in Web of Science" display="View Full Record in Web of Science"/>
    <hyperlink ref="BF1199" r:id="rId2115" tooltip="http://dx.doi.org/10.3390/polym14235283" display="http://dx.doi.org/10.3390/polym14235283"/>
    <hyperlink ref="BT1199" r:id="rId2116" tooltip="View Full Record in Web of Science" display="View Full Record in Web of Science"/>
    <hyperlink ref="BF1200" r:id="rId2117" tooltip="http://dx.doi.org/10.22616/ERDev.2021.20.TF043" display="http://dx.doi.org/10.22616/ERDev.2021.20.TF043"/>
    <hyperlink ref="BT1200" r:id="rId2118" tooltip="View Full Record in Web of Science" display="View Full Record in Web of Science"/>
    <hyperlink ref="BF1201" r:id="rId2119" tooltip="http://dx.doi.org/10.1007/978-3-030-28163-2_15" display="http://dx.doi.org/10.1007/978-3-030-28163-2_15"/>
    <hyperlink ref="BT1201" r:id="rId2120" tooltip="View Full Record in Web of Science" display="View Full Record in Web of Science"/>
    <hyperlink ref="BF1202" r:id="rId2121" tooltip="http://dx.doi.org/10.25750/1995-4301-2018-2-087-093" display="http://dx.doi.org/10.25750/1995-4301-2018-2-087-093"/>
    <hyperlink ref="BT1202" r:id="rId2122" tooltip="View Full Record in Web of Science" display="View Full Record in Web of Science"/>
    <hyperlink ref="BT1203" r:id="rId2123" tooltip="View Full Record in Web of Science" display="View Full Record in Web of Science"/>
    <hyperlink ref="BF1204" r:id="rId2124" tooltip="http://dx.doi.org/10.1134/S0003683822040081" display="http://dx.doi.org/10.1134/S0003683822040081"/>
    <hyperlink ref="BT1204" r:id="rId2125" tooltip="View Full Record in Web of Science" display="View Full Record in Web of Science"/>
    <hyperlink ref="BT1205" r:id="rId2126" tooltip="View Full Record in Web of Science" display="View Full Record in Web of Science"/>
    <hyperlink ref="BF1206" r:id="rId2127" tooltip="http://dx.doi.org/10.25750/1995-4301-2022-4-006-013" display="http://dx.doi.org/10.25750/1995-4301-2022-4-006-013"/>
    <hyperlink ref="BT1206" r:id="rId2128" tooltip="View Full Record in Web of Science" display="View Full Record in Web of Science"/>
    <hyperlink ref="BF1207" r:id="rId2129" tooltip="http://dx.doi.org/10.29333/iji.2019.12346a" display="http://dx.doi.org/10.29333/iji.2019.12346a"/>
    <hyperlink ref="BT1207" r:id="rId2130" tooltip="View Full Record in Web of Science" display="View Full Record in Web of Science"/>
    <hyperlink ref="BF1208" r:id="rId2131" tooltip="http://dx.doi.org/10.25750/1995-4301-2019-2-053-060" display="http://dx.doi.org/10.25750/1995-4301-2019-2-053-060"/>
    <hyperlink ref="BT1208" r:id="rId2132" tooltip="View Full Record in Web of Science" display="View Full Record in Web of Science"/>
    <hyperlink ref="BF1209" r:id="rId2133" tooltip="http://dx.doi.org/10.1080/09205063.2016.1268461" display="http://dx.doi.org/10.1080/09205063.2016.1268461"/>
    <hyperlink ref="BT1209" r:id="rId2134" tooltip="View Full Record in Web of Science" display="View Full Record in Web of Science"/>
    <hyperlink ref="BF1210" r:id="rId2135" tooltip="http://dx.doi.org/10.1134/S1064229318050113" display="http://dx.doi.org/10.1134/S1064229318050113"/>
    <hyperlink ref="BT1210" r:id="rId2136" tooltip="View Full Record in Web of Science" display="View Full Record in Web of Science"/>
    <hyperlink ref="BF1211" r:id="rId2137" tooltip="http://dx.doi.org/10.25750/1995-4301-2022-2-084-092" display="http://dx.doi.org/10.25750/1995-4301-2022-2-084-092"/>
    <hyperlink ref="BT1211" r:id="rId2138" tooltip="View Full Record in Web of Science" display="View Full Record in Web of Science"/>
    <hyperlink ref="BF1212" r:id="rId2139" tooltip="http://dx.doi.org/10.25750/1995-4301-2019-3-028-033" display="http://dx.doi.org/10.25750/1995-4301-2019-3-028-033"/>
    <hyperlink ref="BT1212" r:id="rId2140" tooltip="View Full Record in Web of Science" display="View Full Record in Web of Science"/>
    <hyperlink ref="BF1213" r:id="rId2141" tooltip="http://dx.doi.org/10.1134/S106422931611003X" display="http://dx.doi.org/10.1134/S106422931611003X"/>
    <hyperlink ref="BT1213" r:id="rId2142" tooltip="View Full Record in Web of Science" display="View Full Record in Web of Science"/>
    <hyperlink ref="BF1214" r:id="rId2143" tooltip="http://dx.doi.org/10.1088/1755-1315/90/1/012138" display="http://dx.doi.org/10.1088/1755-1315/90/1/012138"/>
    <hyperlink ref="BT1214" r:id="rId2144" tooltip="View Full Record in Web of Science" display="View Full Record in Web of Science"/>
    <hyperlink ref="BF1215" r:id="rId2145" tooltip="http://dx.doi.org/10.25750/1995-4301-2021-3-044-051" display="http://dx.doi.org/10.25750/1995-4301-2021-3-044-051"/>
    <hyperlink ref="BT1215" r:id="rId2146" tooltip="View Full Record in Web of Science" display="View Full Record in Web of Science"/>
    <hyperlink ref="BF1216" r:id="rId2147" tooltip="http://dx.doi.org/10.1051/matecconf/201710608087" display="http://dx.doi.org/10.1051/matecconf/201710608087"/>
    <hyperlink ref="BT1216" r:id="rId2148" tooltip="View Full Record in Web of Science" display="View Full Record in Web of Science"/>
    <hyperlink ref="BF1217" r:id="rId2149" tooltip="http://dx.doi.org/10.25750/1995-4301-2021-4-230-236" display="http://dx.doi.org/10.25750/1995-4301-2021-4-230-236"/>
    <hyperlink ref="BT1217" r:id="rId2150" tooltip="View Full Record in Web of Science" display="View Full Record in Web of Science"/>
    <hyperlink ref="BF1218" r:id="rId2151" tooltip="http://dx.doi.org/10.25750/1995-4301-2019-4-142-149" display="http://dx.doi.org/10.25750/1995-4301-2019-4-142-149"/>
    <hyperlink ref="BT1218" r:id="rId2152" tooltip="View Full Record in Web of Science" display="View Full Record in Web of Science"/>
    <hyperlink ref="BF1219" r:id="rId2153" tooltip="http://dx.doi.org/10.25750/1995-4301-2019-4-103-109" display="http://dx.doi.org/10.25750/1995-4301-2019-4-103-109"/>
    <hyperlink ref="BT1219" r:id="rId2154" tooltip="View Full Record in Web of Science" display="View Full Record in Web of Science"/>
    <hyperlink ref="BF1220" r:id="rId2155" tooltip="http://dx.doi.org/10.1088/1757-899X/98/1/012038" display="http://dx.doi.org/10.1088/1757-899X/98/1/012038"/>
    <hyperlink ref="BT1220" r:id="rId2156" tooltip="View Full Record in Web of Science" display="View Full Record in Web of Science"/>
    <hyperlink ref="BF1221" r:id="rId2157" tooltip="http://dx.doi.org/10.1016/j.jasrep.2017.01.005" display="http://dx.doi.org/10.1016/j.jasrep.2017.01.005"/>
    <hyperlink ref="BT1221" r:id="rId2158" tooltip="View Full Record in Web of Science" display="View Full Record in Web of Science"/>
    <hyperlink ref="BF1222" r:id="rId2159" tooltip="http://dx.doi.org/10.25750/1995-4301-2020-4-237-241" display="http://dx.doi.org/10.25750/1995-4301-2020-4-237-241"/>
    <hyperlink ref="BT1222" r:id="rId2160" tooltip="View Full Record in Web of Science" display="View Full Record in Web of Science"/>
    <hyperlink ref="BF1223" r:id="rId2161" tooltip="http://dx.doi.org/10.25750/1995-4301-2020-2-014-025" display="http://dx.doi.org/10.25750/1995-4301-2020-2-014-025"/>
    <hyperlink ref="BT1223" r:id="rId2162" tooltip="View Full Record in Web of Science" display="View Full Record in Web of Science"/>
    <hyperlink ref="BF1224" r:id="rId2163" tooltip="http://dx.doi.org/10.25750/1995-4301-2021-2-122-127" display="http://dx.doi.org/10.25750/1995-4301-2021-2-122-127"/>
    <hyperlink ref="BT1224" r:id="rId2164" tooltip="View Full Record in Web of Science" display="View Full Record in Web of Science"/>
    <hyperlink ref="BF1225" r:id="rId2165" tooltip="http://dx.doi.org/10.25750/1995-4301-2021-4-193-202" display="http://dx.doi.org/10.25750/1995-4301-2021-4-193-202"/>
    <hyperlink ref="BT1225" r:id="rId2166" tooltip="View Full Record in Web of Science" display="View Full Record in Web of Science"/>
    <hyperlink ref="BF1226" r:id="rId2167" tooltip="http://dx.doi.org/10.18720/MPM.4432020_14" display="http://dx.doi.org/10.18720/MPM.4432020_14"/>
    <hyperlink ref="BT1226" r:id="rId2168" tooltip="View Full Record in Web of Science" display="View Full Record in Web of Science"/>
    <hyperlink ref="BF1227" r:id="rId2169" tooltip="http://dx.doi.org/10.25750/1995-4301-2020-3-217-223" display="http://dx.doi.org/10.25750/1995-4301-2020-3-217-223"/>
    <hyperlink ref="BT1227" r:id="rId2170" tooltip="View Full Record in Web of Science" display="View Full Record in Web of Science"/>
    <hyperlink ref="BF1228" r:id="rId2171" tooltip="http://dx.doi.org/10.25750/1995-4301-2021-3-021-030" display="http://dx.doi.org/10.25750/1995-4301-2021-3-021-030"/>
    <hyperlink ref="BT1228" r:id="rId2172" tooltip="View Full Record in Web of Science" display="View Full Record in Web of Science"/>
    <hyperlink ref="BT1229" r:id="rId2173" tooltip="View Full Record in Web of Science" display="View Full Record in Web of Science"/>
    <hyperlink ref="BF1230" r:id="rId2174" tooltip="http://dx.doi.org/10.25750/1995-4301-2018-4-046-052" display="http://dx.doi.org/10.25750/1995-4301-2018-4-046-052"/>
    <hyperlink ref="BT1230" r:id="rId2175" tooltip="View Full Record in Web of Science" display="View Full Record in Web of Science"/>
    <hyperlink ref="BT1231" r:id="rId2176" tooltip="View Full Record in Web of Science" display="View Full Record in Web of Science"/>
    <hyperlink ref="BF1232" r:id="rId2177" tooltip="http://dx.doi.org/10.25750/1995-4301-2022-2-026-034" display="http://dx.doi.org/10.25750/1995-4301-2022-2-026-034"/>
    <hyperlink ref="BT1232" r:id="rId2178" tooltip="View Full Record in Web of Science" display="View Full Record in Web of Science"/>
    <hyperlink ref="BF1233" r:id="rId2179" tooltip="http://dx.doi.org/10.1051/e3sconf/202021012005" display="http://dx.doi.org/10.1051/e3sconf/202021012005"/>
    <hyperlink ref="BT1233" r:id="rId2180" tooltip="View Full Record in Web of Science" display="View Full Record in Web of Science"/>
    <hyperlink ref="BF1234" r:id="rId2181" tooltip="http://dx.doi.org/10.25750/1995-4301-2022-3-014-025" display="http://dx.doi.org/10.25750/1995-4301-2022-3-014-025"/>
    <hyperlink ref="BT1234" r:id="rId2182" tooltip="View Full Record in Web of Science" display="View Full Record in Web of Science"/>
    <hyperlink ref="BF1235" r:id="rId2183" tooltip="http://dx.doi.org/10.25750/1995-4301-2021-1-139-146" display="http://dx.doi.org/10.25750/1995-4301-2021-1-139-146"/>
    <hyperlink ref="BT1235" r:id="rId2184" tooltip="View Full Record in Web of Science" display="View Full Record in Web of Science"/>
    <hyperlink ref="BF1236" r:id="rId2185" tooltip="http://dx.doi.org/10.1051/e3sconf/201911001077" display="http://dx.doi.org/10.1051/e3sconf/201911001077"/>
    <hyperlink ref="BT1236" r:id="rId2186" tooltip="View Full Record in Web of Science" display="View Full Record in Web of Science"/>
    <hyperlink ref="BF1237" r:id="rId2187" tooltip="http://dx.doi.org/10.1134/S1064229313100062" display="http://dx.doi.org/10.1134/S1064229313100062"/>
    <hyperlink ref="BT1237" r:id="rId2188" tooltip="View Full Record in Web of Science" display="View Full Record in Web of Science"/>
    <hyperlink ref="BF1238" r:id="rId2189" tooltip="http://dx.doi.org/10.31166/VoprosyIstorii202112Statyi117" display="http://dx.doi.org/10.31166/VoprosyIstorii202112Statyi117"/>
    <hyperlink ref="BT1238" r:id="rId2190" tooltip="View Full Record in Web of Science" display="View Full Record in Web of Science"/>
    <hyperlink ref="BF1239" r:id="rId2191" tooltip="http://dx.doi.org/10.25750/1995-4301-2020-4-162-168" display="http://dx.doi.org/10.25750/1995-4301-2020-4-162-168"/>
    <hyperlink ref="BT1239" r:id="rId2192" tooltip="View Full Record in Web of Science" display="View Full Record in Web of Science"/>
    <hyperlink ref="BF1240" r:id="rId2193" tooltip="http://dx.doi.org/10.1134/S1068162019060165" display="http://dx.doi.org/10.1134/S1068162019060165"/>
    <hyperlink ref="BT1240" r:id="rId2194" tooltip="View Full Record in Web of Science" display="View Full Record in Web of Science"/>
    <hyperlink ref="BF1241" r:id="rId2195" tooltip="http://dx.doi.org/10.25750/1995-4301-2018-4-061-067" display="http://dx.doi.org/10.25750/1995-4301-2018-4-061-067"/>
    <hyperlink ref="BT1241" r:id="rId2196" tooltip="View Full Record in Web of Science" display="View Full Record in Web of Science"/>
    <hyperlink ref="BF1242" r:id="rId2197" tooltip="http://dx.doi.org/10.1134/S0003683821040049" display="http://dx.doi.org/10.1134/S0003683821040049"/>
    <hyperlink ref="BT1242" r:id="rId2198" tooltip="View Full Record in Web of Science" display="View Full Record in Web of Science"/>
    <hyperlink ref="BF1243" r:id="rId2199" tooltip="http://dx.doi.org/10.25750/1995-4301-2021-3-219-227" display="http://dx.doi.org/10.25750/1995-4301-2021-3-219-227"/>
    <hyperlink ref="BT1243" r:id="rId2200" tooltip="View Full Record in Web of Science" display="View Full Record in Web of Science"/>
    <hyperlink ref="BF1244" r:id="rId2201" tooltip="http://dx.doi.org/10.1134/S1064229317110114" display="http://dx.doi.org/10.1134/S1064229317110114"/>
    <hyperlink ref="BT1244" r:id="rId2202" tooltip="View Full Record in Web of Science" display="View Full Record in Web of Science"/>
    <hyperlink ref="BF1245" r:id="rId2203" tooltip="http://dx.doi.org/10.25750/1995-4301-2022-2-077-083" display="http://dx.doi.org/10.25750/1995-4301-2022-2-077-083"/>
    <hyperlink ref="BT1245" r:id="rId2204" tooltip="View Full Record in Web of Science" display="View Full Record in Web of Science"/>
    <hyperlink ref="BF1246" r:id="rId2205" tooltip="http://dx.doi.org/10.25750/1995-4301-2019-4-061-068" display="http://dx.doi.org/10.25750/1995-4301-2019-4-061-068"/>
    <hyperlink ref="BT1246" r:id="rId2206" tooltip="View Full Record in Web of Science" display="View Full Record in Web of Science"/>
    <hyperlink ref="BF1247" r:id="rId2207" tooltip="http://dx.doi.org/10.1134/S0003683814020070" display="http://dx.doi.org/10.1134/S0003683814020070"/>
    <hyperlink ref="BT1247" r:id="rId2208" tooltip="View Full Record in Web of Science" display="View Full Record in Web of Science"/>
    <hyperlink ref="BF1248" r:id="rId2209" tooltip="http://dx.doi.org/10.31407/ijees12.240" display="http://dx.doi.org/10.31407/ijees12.240"/>
    <hyperlink ref="BT1248" r:id="rId2210" tooltip="View Full Record in Web of Science" display="View Full Record in Web of Science"/>
    <hyperlink ref="BF1249" r:id="rId2211" tooltip="http://dx.doi.org/10.12973/eurasia.2017.00698a" display="http://dx.doi.org/10.12973/eurasia.2017.00698a"/>
    <hyperlink ref="BT1249" r:id="rId2212" tooltip="View Full Record in Web of Science" display="View Full Record in Web of Science"/>
    <hyperlink ref="BF1250" r:id="rId2213" tooltip="http://dx.doi.org/10.25750/1995-4301-2021-2-183-188" display="http://dx.doi.org/10.25750/1995-4301-2021-2-183-188"/>
    <hyperlink ref="BT1250" r:id="rId2214" tooltip="View Full Record in Web of Science" display="View Full Record in Web of Science"/>
    <hyperlink ref="BF1251" r:id="rId2215" tooltip="http://dx.doi.org/10.25750/1995-4301-2021-3-052-059" display="http://dx.doi.org/10.25750/1995-4301-2021-3-052-059"/>
    <hyperlink ref="BT1251" r:id="rId2216" tooltip="View Full Record in Web of Science" display="View Full Record in Web of Science"/>
    <hyperlink ref="BF1252" r:id="rId2217" tooltip="http://dx.doi.org/10.1051/matecconf/201710608085" display="http://dx.doi.org/10.1051/matecconf/201710608085"/>
    <hyperlink ref="BT1252" r:id="rId2218" tooltip="View Full Record in Web of Science" display="View Full Record in Web of Science"/>
    <hyperlink ref="BF1253" r:id="rId2219" tooltip="http://dx.doi.org/10.1134/S106422931305013X" display="http://dx.doi.org/10.1134/S106422931305013X"/>
    <hyperlink ref="BT1253" r:id="rId2220" tooltip="View Full Record in Web of Science" display="View Full Record in Web of Science"/>
    <hyperlink ref="BF1254" r:id="rId2221" tooltip="http://dx.doi.org/10.3389/fenrg.2022.908489" display="http://dx.doi.org/10.3389/fenrg.2022.908489"/>
    <hyperlink ref="BT1254" r:id="rId2222" tooltip="View Full Record in Web of Science" display="View Full Record in Web of Science"/>
    <hyperlink ref="BF1255" r:id="rId2223" tooltip="http://dx.doi.org/10.1134/S1995082918020086" display="http://dx.doi.org/10.1134/S1995082918020086"/>
    <hyperlink ref="BT1255" r:id="rId2224" tooltip="View Full Record in Web of Science" display="View Full Record in Web of Science"/>
    <hyperlink ref="BF1256" r:id="rId2225" tooltip="http://dx.doi.org/10.1007/s10600-017-2133-x" display="http://dx.doi.org/10.1007/s10600-017-2133-x"/>
    <hyperlink ref="BT1256" r:id="rId2226" tooltip="View Full Record in Web of Science" display="View Full Record in Web of Science"/>
    <hyperlink ref="BF1257" r:id="rId2227" tooltip="http://dx.doi.org/10.1016/j.foodhyd.2016.10.042" display="http://dx.doi.org/10.1016/j.foodhyd.2016.10.042"/>
    <hyperlink ref="BT1257" r:id="rId2228" tooltip="View Full Record in Web of Science" display="View Full Record in Web of Science"/>
    <hyperlink ref="BF1258" r:id="rId2229" tooltip="http://dx.doi.org/10.22616/ERDev2017.16.N061" display="http://dx.doi.org/10.22616/ERDev2017.16.N061"/>
    <hyperlink ref="BT1258" r:id="rId2230" tooltip="View Full Record in Web of Science" display="View Full Record in Web of Science"/>
    <hyperlink ref="BF1259" r:id="rId2231" tooltip="http://dx.doi.org/10.12911/22998993/146330" display="http://dx.doi.org/10.12911/22998993/146330"/>
    <hyperlink ref="BT1259" r:id="rId2232" tooltip="View Full Record in Web of Science" display="View Full Record in Web of Science"/>
    <hyperlink ref="BF1260" r:id="rId2233" tooltip="http://dx.doi.org/10.5281/zenodo.3262155" display="http://dx.doi.org/10.5281/zenodo.3262155"/>
    <hyperlink ref="BT1260" r:id="rId2234" tooltip="View Full Record in Web of Science" display="View Full Record in Web of Science"/>
    <hyperlink ref="BF1261" r:id="rId2235" tooltip="http://dx.doi.org/10.1007/978-3-319-45462-7_9" display="http://dx.doi.org/10.1007/978-3-319-45462-7_9"/>
    <hyperlink ref="BT1261" r:id="rId2236" tooltip="View Full Record in Web of Science" display="View Full Record in Web of Science"/>
    <hyperlink ref="BF1262" r:id="rId2237" tooltip="http://dx.doi.org/10.1007/s10517-023-05681-w" display="http://dx.doi.org/10.1007/s10517-023-05681-w"/>
    <hyperlink ref="BT1262" r:id="rId2238" tooltip="View Full Record in Web of Science" display="View Full Record in Web of Science"/>
    <hyperlink ref="BF1263" r:id="rId2239" tooltip="http://dx.doi.org/10.3390/ma14040962" display="http://dx.doi.org/10.3390/ma14040962"/>
    <hyperlink ref="BT1263" r:id="rId2240" tooltip="View Full Record in Web of Science" display="View Full Record in Web of Science"/>
    <hyperlink ref="BF1264" r:id="rId2241" tooltip="http://dx.doi.org/10.1016/j.carbpol.2016.09.048" display="http://dx.doi.org/10.1016/j.carbpol.2016.09.048"/>
    <hyperlink ref="BT1264" r:id="rId2242" tooltip="View Full Record in Web of Science" display="View Full Record in Web of Science"/>
    <hyperlink ref="BF1265" r:id="rId2243" tooltip="http://dx.doi.org/10.1134/S1064229311020116" display="http://dx.doi.org/10.1134/S1064229311020116"/>
    <hyperlink ref="BT1265" r:id="rId2244" tooltip="View Full Record in Web of Science" display="View Full Record in Web of Science"/>
    <hyperlink ref="BT1266" r:id="rId2245" tooltip="View Full Record in Web of Science" display="View Full Record in Web of Science"/>
    <hyperlink ref="BF1267" r:id="rId2246" tooltip="http://dx.doi.org/10.25750/1995-4301-2022-3-219-225" display="http://dx.doi.org/10.25750/1995-4301-2022-3-219-225"/>
    <hyperlink ref="BT1267" r:id="rId2247" tooltip="View Full Record in Web of Science" display="View Full Record in Web of Science"/>
    <hyperlink ref="BF1268" r:id="rId2248" tooltip="http://dx.doi.org/10.31166/VoprosyIstorii202008Statyi17" display="http://dx.doi.org/10.31166/VoprosyIstorii202008Statyi17"/>
    <hyperlink ref="BT1268" r:id="rId2249" tooltip="View Full Record in Web of Science" display="View Full Record in Web of Science"/>
    <hyperlink ref="BF1269" r:id="rId2250" tooltip="http://dx.doi.org/10.1002/jbm.a.35936" display="http://dx.doi.org/10.1002/jbm.a.35936"/>
    <hyperlink ref="BT1269" r:id="rId2251" tooltip="View Full Record in Web of Science" display="View Full Record in Web of Science"/>
    <hyperlink ref="BF1270" r:id="rId2252" tooltip="http://dx.doi.org/10.1134/S1995425515010138" display="http://dx.doi.org/10.1134/S1995425515010138"/>
    <hyperlink ref="BT1270" r:id="rId2253" tooltip="View Full Record in Web of Science" display="View Full Record in Web of Science"/>
    <hyperlink ref="BF1271" r:id="rId2254" tooltip="http://dx.doi.org/10.1134/S1062359022100387" display="http://dx.doi.org/10.1134/S1062359022100387"/>
    <hyperlink ref="BT1271" r:id="rId2255" tooltip="View Full Record in Web of Science" display="View Full Record in Web of Science"/>
    <hyperlink ref="BF1272" r:id="rId2256" tooltip="http://dx.doi.org/10.17223/15617793/467/18" display="http://dx.doi.org/10.17223/15617793/467/18"/>
    <hyperlink ref="BT1272" r:id="rId2257" tooltip="View Full Record in Web of Science" display="View Full Record in Web of Science"/>
    <hyperlink ref="BF1273" r:id="rId2258" tooltip="http://dx.doi.org/10.1007/s10008-021-04942-w" display="http://dx.doi.org/10.1007/s10008-021-04942-w"/>
    <hyperlink ref="BT1273" r:id="rId2259" tooltip="View Full Record in Web of Science" display="View Full Record in Web of Science"/>
    <hyperlink ref="BF1274" r:id="rId2260" tooltip="http://dx.doi.org/10.25750/1995-4301-2019-3-134-141" display="http://dx.doi.org/10.25750/1995-4301-2019-3-134-141"/>
    <hyperlink ref="BT1274" r:id="rId2261" tooltip="View Full Record in Web of Science" display="View Full Record in Web of Science"/>
    <hyperlink ref="BF1275" r:id="rId2262" tooltip="http://dx.doi.org/10.25750/1995-4301-2018-3-086-092" display="http://dx.doi.org/10.25750/1995-4301-2018-3-086-092"/>
    <hyperlink ref="BT1275" r:id="rId2263" tooltip="View Full Record in Web of Science" display="View Full Record in Web of Science"/>
    <hyperlink ref="BF1276" r:id="rId2264" tooltip="http://dx.doi.org/10.1134/S0026261706020184" display="http://dx.doi.org/10.1134/S0026261706020184"/>
    <hyperlink ref="BT1276" r:id="rId2265" tooltip="View Full Record in Web of Science" display="View Full Record in Web of Science"/>
    <hyperlink ref="BF1277" r:id="rId2266" tooltip="http://dx.doi.org/10.3390/risks10110206" display="http://dx.doi.org/10.3390/risks10110206"/>
    <hyperlink ref="BT1277" r:id="rId2267" tooltip="View Full Record in Web of Science" display="View Full Record in Web of Science"/>
    <hyperlink ref="BF1278" r:id="rId2268" tooltip="http://dx.doi.org/10.1007/s10853-021-06645-z" display="http://dx.doi.org/10.1007/s10853-021-06645-z"/>
    <hyperlink ref="BT1278" r:id="rId2269" tooltip="View Full Record in Web of Science" display="View Full Record in Web of Science"/>
    <hyperlink ref="BF1279" r:id="rId2270" tooltip="http://dx.doi.org/10.18149/MPM.4712021_11" display="http://dx.doi.org/10.18149/MPM.4712021_11"/>
    <hyperlink ref="BT1279" r:id="rId2271" tooltip="View Full Record in Web of Science" display="View Full Record in Web of Science"/>
    <hyperlink ref="BF1280" r:id="rId2272" tooltip="http://dx.doi.org/10.25750/1995-4301-2020-4-129-135" display="http://dx.doi.org/10.25750/1995-4301-2020-4-129-135"/>
    <hyperlink ref="BT1280" r:id="rId2273" tooltip="View Full Record in Web of Science" display="View Full Record in Web of Science"/>
    <hyperlink ref="BF1281" r:id="rId2274" tooltip="http://dx.doi.org/10.25750/1995-4301-2020-3-119-125" display="http://dx.doi.org/10.25750/1995-4301-2020-3-119-125"/>
    <hyperlink ref="BT1281" r:id="rId2275" tooltip="View Full Record in Web of Science" display="View Full Record in Web of Science"/>
    <hyperlink ref="BF1282" r:id="rId2276" tooltip="http://dx.doi.org/10.1088/1755-1315/90/012139" display="http://dx.doi.org/10.1088/1755-1315/90/012139"/>
    <hyperlink ref="BT1282" r:id="rId2277" tooltip="View Full Record in Web of Science" display="View Full Record in Web of Science"/>
    <hyperlink ref="BF1283" r:id="rId2278" tooltip="http://dx.doi.org/10.3389/fenvs.2022.1091149" display="http://dx.doi.org/10.3389/fenvs.2022.1091149"/>
    <hyperlink ref="BT1283" r:id="rId2279" tooltip="View Full Record in Web of Science" display="View Full Record in Web of Science"/>
    <hyperlink ref="BF1284" r:id="rId2280" tooltip="http://dx.doi.org/10.18470/1992-1098-2021-1-53-60" display="http://dx.doi.org/10.18470/1992-1098-2021-1-53-60"/>
    <hyperlink ref="BT1284" r:id="rId2281" tooltip="View Full Record in Web of Science" display="View Full Record in Web of Science"/>
    <hyperlink ref="BF1285" r:id="rId2282" tooltip="http://dx.doi.org/10.25750/1995-4301-2019-2-108-112" display="http://dx.doi.org/10.25750/1995-4301-2019-2-108-112"/>
    <hyperlink ref="BT1285" r:id="rId2283" tooltip="View Full Record in Web of Science" display="View Full Record in Web of Science"/>
    <hyperlink ref="BF1286" r:id="rId2284" tooltip="http://dx.doi.org/10.1134/S0036029518130153" display="http://dx.doi.org/10.1134/S0036029518130153"/>
    <hyperlink ref="BT1286" r:id="rId2285" tooltip="View Full Record in Web of Science" display="View Full Record in Web of Science"/>
    <hyperlink ref="BF1287" r:id="rId2286" tooltip="http://dx.doi.org/10.17223/15617793/476/31" display="http://dx.doi.org/10.17223/15617793/476/31"/>
    <hyperlink ref="BT1287" r:id="rId2287" tooltip="View Full Record in Web of Science" display="View Full Record in Web of Science"/>
    <hyperlink ref="BF1288" r:id="rId2288" tooltip="http://dx.doi.org/10.25750/1995-4301-2022-3-199-205" display="http://dx.doi.org/10.25750/1995-4301-2022-3-199-205"/>
    <hyperlink ref="BT1288" r:id="rId2289" tooltip="View Full Record in Web of Science" display="View Full Record in Web of Science"/>
    <hyperlink ref="BF1289" r:id="rId2290" tooltip="http://dx.doi.org/10.13187/ejced.2022.1.241" display="http://dx.doi.org/10.13187/ejced.2022.1.241"/>
    <hyperlink ref="BT1289" r:id="rId2291" tooltip="View Full Record in Web of Science" display="View Full Record in Web of Science"/>
    <hyperlink ref="BF1290" r:id="rId2292" tooltip="http://dx.doi.org/10.1099/ijsem.0.000994" display="http://dx.doi.org/10.1099/ijsem.0.000994"/>
    <hyperlink ref="BT1290" r:id="rId2293" tooltip="View Full Record in Web of Science" display="View Full Record in Web of Science"/>
    <hyperlink ref="BF1291" r:id="rId2294" tooltip="http://dx.doi.org/10.25750/1995-4301-2018-4-093-098" display="http://dx.doi.org/10.25750/1995-4301-2018-4-093-098"/>
    <hyperlink ref="BT1291" r:id="rId2295" tooltip="View Full Record in Web of Science" display="View Full Record in Web of Science"/>
    <hyperlink ref="BF1292" r:id="rId2296" tooltip="http://dx.doi.org/10.25750/1995-4301-2022-4-159-165" display="http://dx.doi.org/10.25750/1995-4301-2022-4-159-165"/>
    <hyperlink ref="BT1292" r:id="rId2297" tooltip="View Full Record in Web of Science" display="View Full Record in Web of Science"/>
    <hyperlink ref="BF1293" r:id="rId2298" tooltip="http://dx.doi.org/10.25750/1995-4301-2019-3-057-065" display="http://dx.doi.org/10.25750/1995-4301-2019-3-057-065"/>
    <hyperlink ref="BT1293" r:id="rId2299" tooltip="View Full Record in Web of Science" display="View Full Record in Web of Science"/>
    <hyperlink ref="BF1294" r:id="rId2300" tooltip="http://dx.doi.org/10.1134/S1064229313020026" display="http://dx.doi.org/10.1134/S1064229313020026"/>
    <hyperlink ref="BT1294" r:id="rId2301" tooltip="View Full Record in Web of Science" display="View Full Record in Web of Science"/>
    <hyperlink ref="BF1295" r:id="rId2302" tooltip="http://dx.doi.org/10.1007/s11029-014-9408-0" display="http://dx.doi.org/10.1007/s11029-014-9408-0"/>
    <hyperlink ref="BT1295" r:id="rId2303" tooltip="View Full Record in Web of Science" display="View Full Record in Web of Science"/>
    <hyperlink ref="BF1296" r:id="rId2304" tooltip="http://dx.doi.org/10.3389/feduc.2022.1016919" display="http://dx.doi.org/10.3389/feduc.2022.1016919"/>
    <hyperlink ref="BT1296" r:id="rId2305" tooltip="View Full Record in Web of Science" display="View Full Record in Web of Science"/>
    <hyperlink ref="BF1297" r:id="rId2306" tooltip="http://dx.doi.org/10.25750/1995-4301-2021-1-006-015" display="http://dx.doi.org/10.25750/1995-4301-2021-1-006-015"/>
    <hyperlink ref="BT1297" r:id="rId2307" tooltip="View Full Record in Web of Science" display="View Full Record in Web of Science"/>
    <hyperlink ref="BF1298" r:id="rId2308" tooltip="http://dx.doi.org/10.25750/1995-4301-2018-3-078-085" display="http://dx.doi.org/10.25750/1995-4301-2018-3-078-085"/>
    <hyperlink ref="BT1298" r:id="rId2309" tooltip="View Full Record in Web of Science" display="View Full Record in Web of Science"/>
    <hyperlink ref="BF1299" r:id="rId2310" tooltip="http://dx.doi.org/10.13187/ejced.2022.2.526" display="http://dx.doi.org/10.13187/ejced.2022.2.526"/>
    <hyperlink ref="BT1299" r:id="rId2311" tooltip="View Full Record in Web of Science" display="View Full Record in Web of Science"/>
    <hyperlink ref="BF1300" r:id="rId2312" tooltip="http://dx.doi.org/10.1007/s10008-016-3405-2" display="http://dx.doi.org/10.1007/s10008-016-3405-2"/>
    <hyperlink ref="BT1300" r:id="rId2313" tooltip="View Full Record in Web of Science" display="View Full Record in Web of Science"/>
    <hyperlink ref="BF1301" r:id="rId2314" tooltip="http://dx.doi.org/10.1016/j.jbiomech.2019.109504" display="http://dx.doi.org/10.1016/j.jbiomech.2019.109504"/>
    <hyperlink ref="BT1301" r:id="rId2315" tooltip="View Full Record in Web of Science" display="View Full Record in Web of Science"/>
    <hyperlink ref="BF1302" r:id="rId2316" tooltip="http://dx.doi.org/10.14529/hsm20s114" display="http://dx.doi.org/10.14529/hsm20s114"/>
    <hyperlink ref="BT1302" r:id="rId2317" tooltip="View Full Record in Web of Science" display="View Full Record in Web of Science"/>
    <hyperlink ref="BF1303" r:id="rId2318" tooltip="http://dx.doi.org/10.1149/2.0071712jss" display="http://dx.doi.org/10.1149/2.0071712jss"/>
    <hyperlink ref="BT1303" r:id="rId2319" tooltip="View Full Record in Web of Science" display="View Full Record in Web of Science"/>
    <hyperlink ref="BF1304" r:id="rId2320" tooltip="http://dx.doi.org/10.1134/S1995425515060189" display="http://dx.doi.org/10.1134/S1995425515060189"/>
    <hyperlink ref="BT1304" r:id="rId2321" tooltip="View Full Record in Web of Science" display="View Full Record in Web of Science"/>
    <hyperlink ref="BT1305" r:id="rId2322" tooltip="View Full Record in Web of Science" display="View Full Record in Web of Science"/>
    <hyperlink ref="BF1306" r:id="rId2323" tooltip="http://dx.doi.org/10.13187/ejced.2022.3.898" display="http://dx.doi.org/10.13187/ejced.2022.3.898"/>
    <hyperlink ref="BT1306" r:id="rId2324" tooltip="View Full Record in Web of Science" display="View Full Record in Web of Science"/>
    <hyperlink ref="BF1307" r:id="rId2325" tooltip="http://dx.doi.org/10.25750/1995-4301-2022-4-196-203" display="http://dx.doi.org/10.25750/1995-4301-2022-4-196-203"/>
    <hyperlink ref="BT1307" r:id="rId2326" tooltip="View Full Record in Web of Science" display="View Full Record in Web of Science"/>
    <hyperlink ref="BF1308" r:id="rId2327" tooltip="http://dx.doi.org/10.1134/S1062359022010137" display="http://dx.doi.org/10.1134/S1062359022010137"/>
    <hyperlink ref="BT1308" r:id="rId2328" tooltip="View Full Record in Web of Science" display="View Full Record in Web of Science"/>
    <hyperlink ref="BF1309" r:id="rId2329" tooltip="http://dx.doi.org/10.22633/rpge.v25iesp.2.15282" display="http://dx.doi.org/10.22633/rpge.v25iesp.2.15282"/>
    <hyperlink ref="BT1309" r:id="rId2330" tooltip="View Full Record in Web of Science" display="View Full Record in Web of Science"/>
    <hyperlink ref="BF1310" r:id="rId2331" tooltip="http://dx.doi.org/10.25750/1995-4301-2020-2-166-171" display="http://dx.doi.org/10.25750/1995-4301-2020-2-166-171"/>
    <hyperlink ref="BT1310" r:id="rId2332" tooltip="View Full Record in Web of Science" display="View Full Record in Web of Science"/>
    <hyperlink ref="BF1311" r:id="rId2333" tooltip="http://dx.doi.org/10.3390/biomedicines6010005" display="http://dx.doi.org/10.3390/biomedicines6010005"/>
    <hyperlink ref="BT1311" r:id="rId2334" tooltip="View Full Record in Web of Science" display="View Full Record in Web of Science"/>
    <hyperlink ref="BF1312" r:id="rId2335" tooltip="http://dx.doi.org/10.17150/2500-4255.2018.12(4).515-524" display="http://dx.doi.org/10.17150/2500-4255.2018.12(4).515-524"/>
    <hyperlink ref="BT1312" r:id="rId2336" tooltip="View Full Record in Web of Science" display="View Full Record in Web of Science"/>
    <hyperlink ref="BF1313" r:id="rId2337" tooltip="http://dx.doi.org/10.13187/ejced.2022.4" display="http://dx.doi.org/10.13187/ejced.2022.4"/>
    <hyperlink ref="BT1313" r:id="rId2338" tooltip="View Full Record in Web of Science" display="View Full Record in Web of Science"/>
    <hyperlink ref="BF1314" r:id="rId2339" tooltip="http://dx.doi.org/10.25750/1995-4301-2020-1-130-135" display="http://dx.doi.org/10.25750/1995-4301-2020-1-130-135"/>
    <hyperlink ref="BT1314" r:id="rId2340" tooltip="View Full Record in Web of Science" display="View Full Record in Web of Science"/>
    <hyperlink ref="BF1315" r:id="rId2341" tooltip="http://dx.doi.org/10.1163/15685403-00003976" display="http://dx.doi.org/10.1163/15685403-00003976"/>
    <hyperlink ref="BT1315" r:id="rId2342" tooltip="View Full Record in Web of Science" display="View Full Record in Web of Science"/>
    <hyperlink ref="BF1316" r:id="rId2343" tooltip="http://dx.doi.org/10.25750/1995-4301-2020-4-143-148" display="http://dx.doi.org/10.25750/1995-4301-2020-4-143-148"/>
    <hyperlink ref="BT1316" r:id="rId2344" tooltip="View Full Record in Web of Science" display="View Full Record in Web of Science"/>
    <hyperlink ref="BF1317" r:id="rId2345" tooltip="http://dx.doi.org/10.25750/1995-4301-2022-1-102-108" display="http://dx.doi.org/10.25750/1995-4301-2022-1-102-108"/>
    <hyperlink ref="BT1317" r:id="rId2346" tooltip="View Full Record in Web of Science" display="View Full Record in Web of Science"/>
    <hyperlink ref="BF1318" r:id="rId2347" tooltip="http://dx.doi.org/10.5750/1995-4301-2022-2-228-233" display="http://dx.doi.org/10.5750/1995-4301-2022-2-228-233"/>
    <hyperlink ref="BT1318" r:id="rId2348" tooltip="View Full Record in Web of Science" display="View Full Record in Web of Science"/>
    <hyperlink ref="BF1319" r:id="rId2349" tooltip="http://dx.doi.org/10.25750/1995-4301-2019-2-014-031" display="http://dx.doi.org/10.25750/1995-4301-2019-2-014-031"/>
    <hyperlink ref="BT1319" r:id="rId2350" tooltip="View Full Record in Web of Science" display="View Full Record in Web of Science"/>
    <hyperlink ref="BF1320" r:id="rId2351" tooltip="http://dx.doi.org/10.1109/WAINA.2017.116" display="http://dx.doi.org/10.1109/WAINA.2017.116"/>
    <hyperlink ref="BT1320" r:id="rId2352" tooltip="View Full Record in Web of Science" display="View Full Record in Web of Science"/>
    <hyperlink ref="BF1321" r:id="rId2353" tooltip="http://dx.doi.org/10.25750/1995-4301-2020-4-176-184" display="http://dx.doi.org/10.25750/1995-4301-2020-4-176-184"/>
    <hyperlink ref="BT1321" r:id="rId2354" tooltip="View Full Record in Web of Science" display="View Full Record in Web of Science"/>
    <hyperlink ref="BF1322" r:id="rId2355" tooltip="http://dx.doi.org/10.1134/S1064229318030031" display="http://dx.doi.org/10.1134/S1064229318030031"/>
    <hyperlink ref="BT1322" r:id="rId2356" tooltip="View Full Record in Web of Science" display="View Full Record in Web of Science"/>
    <hyperlink ref="BF1323" r:id="rId2357" tooltip="http://dx.doi.org/10.1134/S1995425515060050" display="http://dx.doi.org/10.1134/S1995425515060050"/>
    <hyperlink ref="BT1323" r:id="rId2358" tooltip="View Full Record in Web of Science" display="View Full Record in Web of Science"/>
    <hyperlink ref="BF1324" r:id="rId2359" tooltip="http://dx.doi.org/10.1021/acs.chemmater.2c01159" display="http://dx.doi.org/10.1021/acs.chemmater.2c01159"/>
    <hyperlink ref="BT1324" r:id="rId2360" tooltip="View Full Record in Web of Science" display="View Full Record in Web of Science"/>
    <hyperlink ref="BF1325" r:id="rId2361" tooltip="http://dx.doi.org/10.25750/1995-4301-2018-3-012-018" display="http://dx.doi.org/10.25750/1995-4301-2018-3-012-018"/>
    <hyperlink ref="BT1325" r:id="rId2362" tooltip="View Full Record in Web of Science" display="View Full Record in Web of Science"/>
    <hyperlink ref="BF1326" r:id="rId2363" tooltip="http://dx.doi.org/10.3103/S1066369X18060087" display="http://dx.doi.org/10.3103/S1066369X18060087"/>
    <hyperlink ref="BT1326" r:id="rId2364" tooltip="View Full Record in Web of Science" display="View Full Record in Web of Science"/>
    <hyperlink ref="BF1327" r:id="rId2365" tooltip="http://dx.doi.org/10.25750/1995-4301-2018-4-114-118" display="http://dx.doi.org/10.25750/1995-4301-2018-4-114-118"/>
    <hyperlink ref="BT1327" r:id="rId2366" tooltip="View Full Record in Web of Science" display="View Full Record in Web of Science"/>
    <hyperlink ref="BF1328" r:id="rId2367" tooltip="http://dx.doi.org/10.1134/S0003683817020077" display="http://dx.doi.org/10.1134/S0003683817020077"/>
    <hyperlink ref="BT1328" r:id="rId2368" tooltip="View Full Record in Web of Science" display="View Full Record in Web of Science"/>
    <hyperlink ref="BF1329" r:id="rId2369" tooltip="http://dx.doi.org/10.3389/fenrg.2022.1025441" display="http://dx.doi.org/10.3389/fenrg.2022.1025441"/>
    <hyperlink ref="BT1329" r:id="rId2370" tooltip="View Full Record in Web of Science" display="View Full Record in Web of Science"/>
    <hyperlink ref="BF1330" r:id="rId2371" tooltip="http://dx.doi.org/10.20511/pyr2021.v9nSPE1.1223" display="http://dx.doi.org/10.20511/pyr2021.v9nSPE1.1223"/>
    <hyperlink ref="BT1330" r:id="rId2372" tooltip="View Full Record in Web of Science" display="View Full Record in Web of Science"/>
    <hyperlink ref="BF1331" r:id="rId2373" tooltip="http://dx.doi.org/10.25750/1995-4301-2019-1-111-115" display="http://dx.doi.org/10.25750/1995-4301-2019-1-111-115"/>
    <hyperlink ref="BT1331" r:id="rId2374" tooltip="View Full Record in Web of Science" display="View Full Record in Web of Science"/>
    <hyperlink ref="BF1332" r:id="rId2375" tooltip="http://dx.doi.org/10.25750/1995-4301-2020-3-161-167" display="http://dx.doi.org/10.25750/1995-4301-2020-3-161-167"/>
    <hyperlink ref="BT1332" r:id="rId2376" tooltip="View Full Record in Web of Science" display="View Full Record in Web of Science"/>
    <hyperlink ref="BT1333" r:id="rId2377" tooltip="View Full Record in Web of Science" display="View Full Record in Web of Science"/>
    <hyperlink ref="BF1334" r:id="rId2378" tooltip="http://dx.doi.org/10.1080/09553002.2018.1492167" display="http://dx.doi.org/10.1080/09553002.2018.1492167"/>
    <hyperlink ref="BT1334" r:id="rId2379" tooltip="View Full Record in Web of Science" display="View Full Record in Web of Science"/>
    <hyperlink ref="BF1335" r:id="rId2380" tooltip="http://dx.doi.org/10.1016/j.carbpol.2020.116166" display="http://dx.doi.org/10.1016/j.carbpol.2020.116166"/>
    <hyperlink ref="BT1335" r:id="rId2381" tooltip="View Full Record in Web of Science" display="View Full Record in Web of Science"/>
    <hyperlink ref="BF1336" r:id="rId2382" tooltip="http://dx.doi.org/10.15561/18189172.2019.0404" display="http://dx.doi.org/10.15561/18189172.2019.0404"/>
    <hyperlink ref="BT1336" r:id="rId2383" tooltip="View Full Record in Web of Science" display="View Full Record in Web of Science"/>
    <hyperlink ref="BF1337" r:id="rId2384" tooltip="http://dx.doi.org/10.3390/polym10080817" display="http://dx.doi.org/10.3390/polym10080817"/>
    <hyperlink ref="BT1337" r:id="rId2385" tooltip="View Full Record in Web of Science" display="View Full Record in Web of Science"/>
    <hyperlink ref="BF1338" r:id="rId2386" tooltip="http://dx.doi.org/10.1177/0883911516637374" display="http://dx.doi.org/10.1177/0883911516637374"/>
    <hyperlink ref="BT1338" r:id="rId2387" tooltip="View Full Record in Web of Science" display="View Full Record in Web of Science"/>
    <hyperlink ref="BF1339" r:id="rId2388" tooltip="http://dx.doi.org/10.1080/00914037.2015.1129955" display="http://dx.doi.org/10.1080/00914037.2015.1129955"/>
    <hyperlink ref="BT1339" r:id="rId2389" tooltip="View Full Record in Web of Science" display="View Full Record in Web of Science"/>
    <hyperlink ref="BF1340" r:id="rId2390" tooltip="http://dx.doi.org/10.1134/S1990747818020058" display="http://dx.doi.org/10.1134/S1990747818020058"/>
    <hyperlink ref="BT1340" r:id="rId2391" tooltip="View Full Record in Web of Science" display="View Full Record in Web of Science"/>
    <hyperlink ref="BF1341" r:id="rId2392" tooltip="http://dx.doi.org/10.1007/978-3-030-24289-3_20" display="http://dx.doi.org/10.1007/978-3-030-24289-3_20"/>
    <hyperlink ref="BT1341" r:id="rId2393" tooltip="View Full Record in Web of Science" display="View Full Record in Web of Science"/>
    <hyperlink ref="BF1342" r:id="rId2394" tooltip="http://dx.doi.org/10.5220/0007839606480655" display="http://dx.doi.org/10.5220/0007839606480655"/>
    <hyperlink ref="BT1342" r:id="rId2395" tooltip="View Full Record in Web of Science" display="View Full Record in Web of Science"/>
    <hyperlink ref="BF1343" r:id="rId2396" tooltip="http://dx.doi.org/10.25750/1995-4301-2018-2-005-015" display="http://dx.doi.org/10.25750/1995-4301-2018-2-005-015"/>
    <hyperlink ref="BT1343" r:id="rId2397" tooltip="View Full Record in Web of Science" display="View Full Record in Web of Science"/>
    <hyperlink ref="BF1344" r:id="rId2398" tooltip="http://dx.doi.org/10.3390/membranes12111084" display="http://dx.doi.org/10.3390/membranes12111084"/>
    <hyperlink ref="BT1344" r:id="rId2399" tooltip="View Full Record in Web of Science" display="View Full Record in Web of Science"/>
    <hyperlink ref="BF1345" r:id="rId2400" tooltip="http://dx.doi.org/10.25750/1995-4301-2020-4-216-222" display="http://dx.doi.org/10.25750/1995-4301-2020-4-216-222"/>
    <hyperlink ref="BT1345" r:id="rId2401" tooltip="View Full Record in Web of Science" display="View Full Record in Web of Science"/>
    <hyperlink ref="BF1346" r:id="rId2402" tooltip="http://dx.doi.org/10.1016/j.ceramint.2021.11.151" display="http://dx.doi.org/10.1016/j.ceramint.2021.11.151"/>
    <hyperlink ref="BT1346" r:id="rId2403" tooltip="View Full Record in Web of Science" display="View Full Record in Web of Science"/>
    <hyperlink ref="BT1347" r:id="rId2404" tooltip="View Full Record in Web of Science" display="View Full Record in Web of Science"/>
    <hyperlink ref="BF1348" r:id="rId2405" tooltip="http://dx.doi.org/10.25750/1995-4301-2019-2-113-120" display="http://dx.doi.org/10.25750/1995-4301-2019-2-113-120"/>
    <hyperlink ref="BT1348" r:id="rId2406" tooltip="View Full Record in Web of Science" display="View Full Record in Web of Science"/>
    <hyperlink ref="BF1349" r:id="rId2407" tooltip="http://dx.doi.org/10.25750/1995-4301-2019-3-101-108" display="http://dx.doi.org/10.25750/1995-4301-2019-3-101-108"/>
    <hyperlink ref="BT1349" r:id="rId2408" tooltip="View Full Record in Web of Science" display="View Full Record in Web of Science"/>
    <hyperlink ref="BF1350" r:id="rId2409" tooltip="http://dx.doi.org/10.25750/1995-4301-2019-3-072-079" display="http://dx.doi.org/10.25750/1995-4301-2019-3-072-079"/>
    <hyperlink ref="BT1350" r:id="rId2410" tooltip="View Full Record in Web of Science" display="View Full Record in Web of Science"/>
    <hyperlink ref="BF1351" r:id="rId2411" tooltip="http://dx.doi.org/10.25750/1995-4301-2018-2-117-124" display="http://dx.doi.org/10.25750/1995-4301-2018-2-117-124"/>
    <hyperlink ref="BT1351" r:id="rId2412" tooltip="View Full Record in Web of Science" display="View Full Record in Web of Science"/>
    <hyperlink ref="BF1352" r:id="rId2413" tooltip="http://dx.doi.org/10.7868/S0233475518020032" display="http://dx.doi.org/10.7868/S0233475518020032"/>
    <hyperlink ref="BT1352" r:id="rId2414" tooltip="View Full Record in Web of Science" display="View Full Record in Web of Science"/>
    <hyperlink ref="BF1353" r:id="rId2415" tooltip="http://dx.doi.org/10.31407/ijees12.345" display="http://dx.doi.org/10.31407/ijees12.345"/>
    <hyperlink ref="BT1353" r:id="rId2416" tooltip="View Full Record in Web of Science" display="View Full Record in Web of Science"/>
    <hyperlink ref="BF1354" r:id="rId2417" tooltip="http://dx.doi.org/10.17223/15617793/441/31" display="http://dx.doi.org/10.17223/15617793/441/31"/>
    <hyperlink ref="BT1354" r:id="rId2418" tooltip="View Full Record in Web of Science" display="View Full Record in Web of Science"/>
    <hyperlink ref="BF1355" r:id="rId2419" tooltip="http://dx.doi.org/10.25750/1995-4301-2021-2-215-221" display="http://dx.doi.org/10.25750/1995-4301-2021-2-215-221"/>
    <hyperlink ref="BT1355" r:id="rId2420" tooltip="View Full Record in Web of Science" display="View Full Record in Web of Science"/>
    <hyperlink ref="BF1356" r:id="rId2421" tooltip="http://dx.doi.org/10.1371/journal.pone.0137517" display="http://dx.doi.org/10.1371/journal.pone.0137517"/>
    <hyperlink ref="BT1356" r:id="rId2422" tooltip="View Full Record in Web of Science" display="View Full Record in Web of Science"/>
    <hyperlink ref="BF1357" r:id="rId2423" tooltip="http://dx.doi.org/10.29333/ejmste/83561" display="http://dx.doi.org/10.29333/ejmste/83561"/>
    <hyperlink ref="BT1357" r:id="rId2424" tooltip="View Full Record in Web of Science" display="View Full Record in Web of Science"/>
    <hyperlink ref="BF1358" r:id="rId2425" tooltip="http://dx.doi.org/10.1007/978-3-030-01514-5_10" display="http://dx.doi.org/10.1007/978-3-030-01514-5_10"/>
    <hyperlink ref="BT1358" r:id="rId2426" tooltip="View Full Record in Web of Science" display="View Full Record in Web of Science"/>
    <hyperlink ref="BF1359" r:id="rId2427" tooltip="http://dx.doi.org/10.3991/ijet.v15i13.14663" display="http://dx.doi.org/10.3991/ijet.v15i13.14663"/>
    <hyperlink ref="BT1359" r:id="rId2428" tooltip="View Full Record in Web of Science" display="View Full Record in Web of Science"/>
    <hyperlink ref="BF1360" r:id="rId2429" tooltip="http://dx.doi.org/10.1080/07420528.2019.1683858" display="http://dx.doi.org/10.1080/07420528.2019.1683858"/>
    <hyperlink ref="BT1360" r:id="rId2430" tooltip="View Full Record in Web of Science" display="View Full Record in Web of Science"/>
    <hyperlink ref="BF1361" r:id="rId2431" tooltip="http://dx.doi.org/10.30935/ojcmt/12877" display="http://dx.doi.org/10.30935/ojcmt/12877"/>
    <hyperlink ref="BT1361" r:id="rId2432" tooltip="View Full Record in Web of Science" display="View Full Record in Web of Science"/>
    <hyperlink ref="BF1362" r:id="rId2433" tooltip="http://dx.doi.org/10.7868/S0233475515030032" display="http://dx.doi.org/10.7868/S0233475515030032"/>
    <hyperlink ref="BT1362" r:id="rId2434" tooltip="View Full Record in Web of Science" display="View Full Record in Web of Science"/>
    <hyperlink ref="BF1363" r:id="rId2435" tooltip="http://dx.doi.org/10.15407/jnpae2018.01.043" display="http://dx.doi.org/10.15407/jnpae2018.01.043"/>
    <hyperlink ref="BT1363" r:id="rId2436" tooltip="View Full Record in Web of Science" display="View Full Record in Web of Science"/>
    <hyperlink ref="BF1364" r:id="rId2437" tooltip="http://dx.doi.org/10.17223/15617793/431/30" display="http://dx.doi.org/10.17223/15617793/431/30"/>
    <hyperlink ref="BT1364" r:id="rId2438" tooltip="View Full Record in Web of Science" display="View Full Record in Web of Science"/>
    <hyperlink ref="BF1365" r:id="rId2439" tooltip="http://dx.doi.org/10.1016/j.mrfmmm.2015.09.004" display="http://dx.doi.org/10.1016/j.mrfmmm.2015.09.004"/>
    <hyperlink ref="BT1365" r:id="rId2440" tooltip="View Full Record in Web of Science" display="View Full Record in Web of Science"/>
    <hyperlink ref="BF1366" r:id="rId2441" tooltip="http://dx.doi.org/10.1108/IJEM-10-2017-0296" display="http://dx.doi.org/10.1108/IJEM-10-2017-0296"/>
    <hyperlink ref="BT1366" r:id="rId2442" tooltip="View Full Record in Web of Science" display="View Full Record in Web of Science"/>
    <hyperlink ref="BT1367" r:id="rId2443" tooltip="View Full Record in Web of Science" display="View Full Record in Web of Science"/>
    <hyperlink ref="BF1368" r:id="rId2444" tooltip="http://dx.doi.org/10.1057/s41599-022-01151-2" display="http://dx.doi.org/10.1057/s41599-022-01151-2"/>
    <hyperlink ref="BT1368" r:id="rId2445" tooltip="View Full Record in Web of Science" display="View Full Record in Web of Science"/>
    <hyperlink ref="BF1369" r:id="rId2446" tooltip="http://dx.doi.org/10.1007/s40519-021-01259-5" display="http://dx.doi.org/10.1007/s40519-021-01259-5"/>
    <hyperlink ref="BT1369" r:id="rId2447" tooltip="View Full Record in Web of Science" display="View Full Record in Web of Science"/>
    <hyperlink ref="BT1370" r:id="rId2448" tooltip="View Full Record in Web of Science" display="View Full Record in Web of Science"/>
    <hyperlink ref="BF1371" r:id="rId2449" tooltip="http://dx.doi.org/10.12973/ejmste/80613" display="http://dx.doi.org/10.12973/ejmste/80613"/>
    <hyperlink ref="BT1371" r:id="rId2450" tooltip="View Full Record in Web of Science" display="View Full Record in Web of Science"/>
    <hyperlink ref="BF1372" r:id="rId2451" tooltip="http://dx.doi.org/10.1002/masy.201800130" display="http://dx.doi.org/10.1002/masy.201800130"/>
    <hyperlink ref="BT1372" r:id="rId2452" tooltip="View Full Record in Web of Science" display="View Full Record in Web of Science"/>
    <hyperlink ref="BF1373" r:id="rId2453" tooltip="http://dx.doi.org/10.20511/pyr2020.v8nSPE2.643" display="http://dx.doi.org/10.20511/pyr2020.v8nSPE2.643"/>
    <hyperlink ref="BT1373" r:id="rId2454" tooltip="View Full Record in Web of Science" display="View Full Record in Web of Science"/>
    <hyperlink ref="BF1374" r:id="rId2455" tooltip="http://dx.doi.org/10.1080/09291016.2022.2041289" display="http://dx.doi.org/10.1080/09291016.2022.2041289"/>
    <hyperlink ref="BT1374" r:id="rId2456" tooltip="View Full Record in Web of Science" display="View Full Record in Web of Science"/>
    <hyperlink ref="BF1375" r:id="rId2457" tooltip="http://dx.doi.org/10.1080/1536383X.2021.1960315" display="http://dx.doi.org/10.1080/1536383X.2021.1960315"/>
    <hyperlink ref="BT1375" r:id="rId2458" tooltip="View Full Record in Web of Science" display="View Full Record in Web of Science"/>
    <hyperlink ref="BF1376" r:id="rId2459" tooltip="http://dx.doi.org/10.3390/app122412681" display="http://dx.doi.org/10.3390/app122412681"/>
    <hyperlink ref="BT1376" r:id="rId2460" tooltip="View Full Record in Web of Science" display="View Full Record in Web of Science"/>
    <hyperlink ref="BF1377" r:id="rId2461" tooltip="http://dx.doi.org/10.1007/978-3-319-45462-7_7" display="http://dx.doi.org/10.1007/978-3-319-45462-7_7"/>
    <hyperlink ref="BT1377" r:id="rId2462" tooltip="View Full Record in Web of Science" display="View Full Record in Web of Science"/>
    <hyperlink ref="BF1378" r:id="rId2463" tooltip="http://dx.doi.org/10.30935/ojcmt/13018" display="http://dx.doi.org/10.30935/ojcmt/13018"/>
    <hyperlink ref="BT1378" r:id="rId2464" tooltip="View Full Record in Web of Science" display="View Full Record in Web of Science"/>
    <hyperlink ref="BF1379" r:id="rId2465" tooltip="http://dx.doi.org/10.3390/jrfm14010038" display="http://dx.doi.org/10.3390/jrfm14010038"/>
    <hyperlink ref="BT1379" r:id="rId2466" tooltip="View Full Record in Web of Science" display="View Full Record in Web of Science"/>
    <hyperlink ref="BF1380" r:id="rId2467" tooltip="http://dx.doi.org/10.3390/biom10121694" display="http://dx.doi.org/10.3390/biom10121694"/>
    <hyperlink ref="BT1380" r:id="rId2468" tooltip="View Full Record in Web of Science" display="View Full Record in Web of Science"/>
    <hyperlink ref="BF1381" r:id="rId2469" tooltip="http://dx.doi.org/10.15376/biores.18.3.4492-4509" display="http://dx.doi.org/10.15376/biores.18.3.4492-4509"/>
    <hyperlink ref="BT1381" r:id="rId2470" tooltip="View Full Record in Web of Science" display="View Full Record in Web of Science"/>
    <hyperlink ref="BT1382" r:id="rId2471" tooltip="View Full Record in Web of Science" display="View Full Record in Web of Science"/>
    <hyperlink ref="BF1383" r:id="rId2472" tooltip="http://dx.doi.org/10.20511/pyr2021.v9nSPE3.1133" display="http://dx.doi.org/10.20511/pyr2021.v9nSPE3.1133"/>
    <hyperlink ref="BT1383" r:id="rId2473" tooltip="View Full Record in Web of Science" display="View Full Record in Web of Science"/>
    <hyperlink ref="BF1384" r:id="rId2474" tooltip="http://dx.doi.org/10.31857/S020595920000838-7" display="http://dx.doi.org/10.31857/S020595920000838-7"/>
    <hyperlink ref="BT1384" r:id="rId2475" tooltip="View Full Record in Web of Science" display="View Full Record in Web of Science"/>
    <hyperlink ref="BF1385" r:id="rId2476" tooltip="http://dx.doi.org/10.1002/erv.2731" display="http://dx.doi.org/10.1002/erv.2731"/>
    <hyperlink ref="BT1385" r:id="rId2477" tooltip="View Full Record in Web of Science" display="View Full Record in Web of Science"/>
    <hyperlink ref="BF1386" r:id="rId2478" tooltip="http://dx.doi.org/10.1002/erv.2728" display="http://dx.doi.org/10.1002/erv.2728"/>
    <hyperlink ref="BT1386" r:id="rId2479" tooltip="View Full Record in Web of Science" display="View Full Record in Web of Science"/>
    <hyperlink ref="BF1387" r:id="rId2480" tooltip="http://dx.doi.org/10.1108/978-1-78973-881-020191012" display="http://dx.doi.org/10.1108/978-1-78973-881-020191012"/>
    <hyperlink ref="BT1387" r:id="rId2481" tooltip="View Full Record in Web of Science" display="View Full Record in Web of Science"/>
    <hyperlink ref="BF1388" r:id="rId2482" tooltip="http://dx.doi.org/10.1007/s40519-020-01064-6" display="http://dx.doi.org/10.1007/s40519-020-01064-6"/>
    <hyperlink ref="BT1388" r:id="rId2483" tooltip="View Full Record in Web of Science" display="View Full Record in Web of Science"/>
    <hyperlink ref="BF1389" r:id="rId2484" tooltip="http://dx.doi.org/10.3103/S1068366621030132" display="http://dx.doi.org/10.3103/S1068366621030132"/>
    <hyperlink ref="BT1389" r:id="rId2485" tooltip="View Full Record in Web of Science" display="View Full Record in Web of Science"/>
    <hyperlink ref="BT1390" r:id="rId2486" tooltip="View Full Record in Web of Science" display="View Full Record in Web of Science"/>
    <hyperlink ref="BF1391" r:id="rId2487" tooltip="http://dx.doi.org/10.3390/molecules27154812" display="http://dx.doi.org/10.3390/molecules27154812"/>
    <hyperlink ref="BT1391" r:id="rId2488" tooltip="View Full Record in Web of Science" display="View Full Record in Web of Science"/>
    <hyperlink ref="BF1392" r:id="rId2489" tooltip="http://dx.doi.org/10.1134/S1995078018020040" display="http://dx.doi.org/10.1134/S1995078018020040"/>
    <hyperlink ref="BT1392" r:id="rId2490" tooltip="View Full Record in Web of Science" display="View Full Record in Web of Science"/>
    <hyperlink ref="BF1393" r:id="rId2491" tooltip="http://dx.doi.org/10.1016/j.ceramint.2022.08.115" display="http://dx.doi.org/10.1016/j.ceramint.2022.08.115"/>
    <hyperlink ref="BT1393" r:id="rId2492" tooltip="View Full Record in Web of Science" display="View Full Record in Web of Science"/>
    <hyperlink ref="BF1394" r:id="rId2493" tooltip="http://dx.doi.org/10.15376/biores.17.2.3025-3041" display="http://dx.doi.org/10.15376/biores.17.2.3025-3041"/>
    <hyperlink ref="BT1394" r:id="rId2494" tooltip="View Full Record in Web of Science" display="View Full Record in Web of Science"/>
    <hyperlink ref="BT1395" r:id="rId2495" tooltip="View Full Record in Web of Science" display="View Full Record in Web of Science"/>
    <hyperlink ref="BF1396" r:id="rId2496" tooltip="http://dx.doi.org/10.12973/eurasia.2017.01003a" display="http://dx.doi.org/10.12973/eurasia.2017.01003a"/>
    <hyperlink ref="BT1396" r:id="rId2497" tooltip="View Full Record in Web of Science" display="View Full Record in Web of Science"/>
    <hyperlink ref="BF1397" r:id="rId2498" tooltip="http://dx.doi.org/10.1017/S1368980021002160" display="http://dx.doi.org/10.1017/S1368980021002160"/>
    <hyperlink ref="BT1397" r:id="rId2499" tooltip="View Full Record in Web of Science" display="View Full Record in Web of Science"/>
    <hyperlink ref="BT1398" r:id="rId2500" tooltip="View Full Record in Web of Science" display="View Full Record in Web of Science"/>
    <hyperlink ref="BF1399" r:id="rId2501" tooltip="http://dx.doi.org/10.3103/S1068366619060217" display="http://dx.doi.org/10.3103/S1068366619060217"/>
    <hyperlink ref="BT1399" r:id="rId2502" tooltip="View Full Record in Web of Science" display="View Full Record in Web of Science"/>
    <hyperlink ref="BT1400" r:id="rId2503" tooltip="View Full Record in Web of Science" display="View Full Record in Web of Science"/>
    <hyperlink ref="BT1401" r:id="rId2504" tooltip="View Full Record in Web of Science" display="View Full Record in Web of Science"/>
    <hyperlink ref="BT1402" r:id="rId2505" tooltip="View Full Record in Web of Science" display="View Full Record in Web of Science"/>
    <hyperlink ref="BF1403" r:id="rId2506" tooltip="http://dx.doi.org/10.1149/1945-7111/ab9a2a" display="http://dx.doi.org/10.1149/1945-7111/ab9a2a"/>
    <hyperlink ref="BT1403" r:id="rId2507" tooltip="View Full Record in Web of Science" display="View Full Record in Web of Science"/>
    <hyperlink ref="BF1404" r:id="rId2508" tooltip="http://dx.doi.org/10.3897/BDJ.9.e77615" display="http://dx.doi.org/10.3897/BDJ.9.e77615"/>
    <hyperlink ref="BT1404" r:id="rId2509" tooltip="View Full Record in Web of Science" display="View Full Record in Web of Science"/>
    <hyperlink ref="BF1405" r:id="rId2510" tooltip="http://dx.doi.org/10.1371/journal.pone.0282345" display="http://dx.doi.org/10.1371/journal.pone.0282345"/>
    <hyperlink ref="BT1405" r:id="rId2511" tooltip="View Full Record in Web of Science" display="View Full Record in Web of Science"/>
    <hyperlink ref="BF1406" r:id="rId2512" tooltip="http://dx.doi.org/10.1038/s42003-023-04727-z" display="http://dx.doi.org/10.1038/s42003-023-04727-z"/>
    <hyperlink ref="BT1406" r:id="rId2513" tooltip="View Full Record in Web of Science" display="View Full Record in Web of Science"/>
    <hyperlink ref="BF1407" r:id="rId2514" tooltip="http://dx.doi.org/10.1038/s41467-022-32447-1" display="http://dx.doi.org/10.1038/s41467-022-32447-1"/>
    <hyperlink ref="BT1407" r:id="rId2515" tooltip="View Full Record in Web of Science" display="View Full Record in Web of Science"/>
  </hyperlink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savedrecs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Тарасова Надежда Геннадьевна</dc:creator>
  <cp:keywords/>
  <dc:description/>
  <cp:lastModifiedBy>Егор</cp:lastModifiedBy>
  <dcterms:created xsi:type="dcterms:W3CDTF">2023-07-03T05:47:52Z</dcterms:created>
  <dcterms:modified xsi:type="dcterms:W3CDTF">2023-09-17T08:38:08Z</dcterms:modified>
  <cp:category/>
</cp:coreProperties>
</file>