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herl\Desktop\"/>
    </mc:Choice>
  </mc:AlternateContent>
  <xr:revisionPtr revIDLastSave="0" documentId="13_ncr:1_{DBA65217-B641-447F-8B5E-8B934C07AA1A}" xr6:coauthVersionLast="47" xr6:coauthVersionMax="47" xr10:uidLastSave="{00000000-0000-0000-0000-000000000000}"/>
  <bookViews>
    <workbookView xWindow="-104" yWindow="-104" windowWidth="20098" windowHeight="10795" activeTab="5" xr2:uid="{00000000-000D-0000-FFFF-FFFF00000000}"/>
  </bookViews>
  <sheets>
    <sheet name="Задание" sheetId="2" r:id="rId1"/>
    <sheet name="ОсновныеДанные" sheetId="1" r:id="rId2"/>
    <sheet name="СкладОстатки" sheetId="3" r:id="rId3"/>
    <sheet name="ЗаказыКлиентов" sheetId="4" r:id="rId4"/>
    <sheet name="Лаб5" sheetId="5" r:id="rId5"/>
    <sheet name="Лаб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G28" i="6"/>
  <c r="G27" i="6"/>
  <c r="E35" i="6"/>
  <c r="C28" i="6"/>
  <c r="C30" i="6"/>
  <c r="C32" i="6"/>
  <c r="C33" i="6"/>
  <c r="C34" i="6"/>
  <c r="C35" i="6"/>
  <c r="C27" i="6"/>
  <c r="B12" i="6"/>
  <c r="B11" i="6"/>
  <c r="B8" i="6"/>
  <c r="E34" i="6" s="1"/>
  <c r="B7" i="6"/>
  <c r="E33" i="6" s="1"/>
  <c r="B6" i="6"/>
  <c r="E32" i="6" s="1"/>
  <c r="B5" i="6"/>
  <c r="E30" i="6" s="1"/>
  <c r="B4" i="6"/>
  <c r="E28" i="6" s="1"/>
  <c r="B3" i="6"/>
  <c r="E27" i="6" s="1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E80" i="5"/>
  <c r="F80" i="5"/>
  <c r="G80" i="5"/>
  <c r="D80" i="5"/>
  <c r="C81" i="5"/>
  <c r="C82" i="5"/>
  <c r="C83" i="5"/>
  <c r="C84" i="5"/>
  <c r="C85" i="5"/>
  <c r="C86" i="5"/>
  <c r="C87" i="5"/>
  <c r="C88" i="5"/>
  <c r="C89" i="5"/>
  <c r="C90" i="5"/>
  <c r="C91" i="5"/>
  <c r="C92" i="5"/>
  <c r="C80" i="5"/>
  <c r="G79" i="5"/>
  <c r="E79" i="5"/>
  <c r="F79" i="5"/>
  <c r="D79" i="5"/>
  <c r="C79" i="5"/>
  <c r="E78" i="5"/>
  <c r="F78" i="5"/>
  <c r="G78" i="5"/>
  <c r="D78" i="5"/>
  <c r="C78" i="5"/>
  <c r="E77" i="5"/>
  <c r="F77" i="5"/>
  <c r="G77" i="5"/>
  <c r="D77" i="5"/>
  <c r="C77" i="5"/>
  <c r="E76" i="5"/>
  <c r="F76" i="5"/>
  <c r="G76" i="5"/>
  <c r="D76" i="5"/>
  <c r="C76" i="5"/>
  <c r="E75" i="5"/>
  <c r="F75" i="5"/>
  <c r="G75" i="5"/>
  <c r="D75" i="5"/>
  <c r="C75" i="5"/>
  <c r="C74" i="5"/>
  <c r="E74" i="5"/>
  <c r="F74" i="5"/>
  <c r="G74" i="5"/>
  <c r="D74" i="5"/>
  <c r="K54" i="5"/>
  <c r="J49" i="5"/>
  <c r="K53" i="5" s="1"/>
  <c r="I49" i="5"/>
  <c r="K28" i="5"/>
  <c r="D69" i="5" s="1"/>
  <c r="K26" i="5"/>
  <c r="D67" i="5" s="1"/>
  <c r="K17" i="5"/>
  <c r="J16" i="5"/>
  <c r="J18" i="5" s="1"/>
  <c r="G29" i="5" s="1"/>
  <c r="I16" i="5"/>
  <c r="J3" i="5"/>
  <c r="J10" i="5" s="1"/>
  <c r="I3" i="5"/>
  <c r="B14" i="6" l="1"/>
  <c r="C17" i="6" s="1"/>
  <c r="C19" i="6"/>
  <c r="D19" i="6" s="1"/>
  <c r="F69" i="5"/>
  <c r="H69" i="5" s="1"/>
  <c r="I29" i="5"/>
  <c r="J29" i="5"/>
  <c r="F67" i="5"/>
  <c r="H67" i="5" s="1"/>
  <c r="K27" i="5"/>
  <c r="D68" i="5" s="1"/>
  <c r="J4" i="5"/>
  <c r="G43" i="5" s="1"/>
  <c r="I43" i="5" s="1"/>
  <c r="J43" i="5" s="1"/>
  <c r="K51" i="5"/>
  <c r="K52" i="5"/>
  <c r="K50" i="5"/>
  <c r="D70" i="5" s="1"/>
  <c r="C21" i="6" l="1"/>
  <c r="B33" i="6" s="1"/>
  <c r="D33" i="6" s="1"/>
  <c r="F33" i="6" s="1"/>
  <c r="C23" i="6"/>
  <c r="D23" i="6" s="1"/>
  <c r="C20" i="6"/>
  <c r="C22" i="6"/>
  <c r="D22" i="6" s="1"/>
  <c r="C18" i="6"/>
  <c r="D18" i="6" s="1"/>
  <c r="B30" i="6"/>
  <c r="D30" i="6" s="1"/>
  <c r="F30" i="6" s="1"/>
  <c r="B34" i="6"/>
  <c r="D34" i="6" s="1"/>
  <c r="F34" i="6" s="1"/>
  <c r="B27" i="6"/>
  <c r="D27" i="6" s="1"/>
  <c r="D17" i="6"/>
  <c r="K36" i="5"/>
  <c r="D66" i="5" s="1"/>
  <c r="J30" i="5"/>
  <c r="G37" i="5" s="1"/>
  <c r="F68" i="5"/>
  <c r="H68" i="5" s="1"/>
  <c r="F70" i="5"/>
  <c r="H70" i="5"/>
  <c r="K46" i="5"/>
  <c r="D60" i="5" s="1"/>
  <c r="K45" i="5"/>
  <c r="K44" i="5"/>
  <c r="D58" i="5" s="1"/>
  <c r="K47" i="5"/>
  <c r="D61" i="5" s="1"/>
  <c r="K48" i="5"/>
  <c r="D21" i="6" l="1"/>
  <c r="B28" i="6"/>
  <c r="D28" i="6" s="1"/>
  <c r="F28" i="6" s="1"/>
  <c r="B35" i="6"/>
  <c r="D35" i="6" s="1"/>
  <c r="F35" i="6" s="1"/>
  <c r="B32" i="6"/>
  <c r="D32" i="6" s="1"/>
  <c r="F32" i="6" s="1"/>
  <c r="F36" i="6" s="1"/>
  <c r="D20" i="6"/>
  <c r="F27" i="6"/>
  <c r="F29" i="6" s="1"/>
  <c r="D29" i="6"/>
  <c r="D36" i="6"/>
  <c r="F60" i="5"/>
  <c r="H60" i="5" s="1"/>
  <c r="F66" i="5"/>
  <c r="H66" i="5"/>
  <c r="F61" i="5"/>
  <c r="H61" i="5"/>
  <c r="F58" i="5"/>
  <c r="H58" i="5" s="1"/>
  <c r="I37" i="5"/>
  <c r="J37" i="5"/>
  <c r="F37" i="6" l="1"/>
  <c r="D37" i="6"/>
  <c r="K40" i="5"/>
  <c r="D64" i="5" s="1"/>
  <c r="K38" i="5"/>
  <c r="D63" i="5" s="1"/>
  <c r="K39" i="5"/>
  <c r="D59" i="5" s="1"/>
  <c r="K42" i="5"/>
  <c r="D65" i="5" s="1"/>
  <c r="K41" i="5"/>
  <c r="D62" i="5" s="1"/>
  <c r="F62" i="5" s="1"/>
  <c r="F65" i="5" l="1"/>
  <c r="H65" i="5"/>
  <c r="F59" i="5"/>
  <c r="H59" i="5" s="1"/>
  <c r="F63" i="5"/>
  <c r="H63" i="5"/>
  <c r="F64" i="5"/>
  <c r="H64" i="5" s="1"/>
</calcChain>
</file>

<file path=xl/sharedStrings.xml><?xml version="1.0" encoding="utf-8"?>
<sst xmlns="http://schemas.openxmlformats.org/spreadsheetml/2006/main" count="565" uniqueCount="165">
  <si>
    <t>1.</t>
  </si>
  <si>
    <t>Остатки на начало периода  готовой продукции</t>
  </si>
  <si>
    <t>Котлеты киевские</t>
  </si>
  <si>
    <t>Кол-во</t>
  </si>
  <si>
    <t>ед.изм.</t>
  </si>
  <si>
    <t>кг</t>
  </si>
  <si>
    <t>Цыплята фаршированные</t>
  </si>
  <si>
    <t>2.</t>
  </si>
  <si>
    <t>Политика запасов готовой продукции</t>
  </si>
  <si>
    <t>3.</t>
  </si>
  <si>
    <t>Остатки на начало периода материалов</t>
  </si>
  <si>
    <t>Остатки на начало периода полуфабрикатов</t>
  </si>
  <si>
    <t>Предприятие выпускает и реализует котлеты киевские, цыплята фаршированные,  пельмени.</t>
  </si>
  <si>
    <t>фарш говяжий</t>
  </si>
  <si>
    <t>тушка цыпленка</t>
  </si>
  <si>
    <t>Политика запасов полуфабрикатов</t>
  </si>
  <si>
    <t>На конец периода запас должен составлять % от потребности текущего периода</t>
  </si>
  <si>
    <t>говядина</t>
  </si>
  <si>
    <t>свинина</t>
  </si>
  <si>
    <t>цыплята</t>
  </si>
  <si>
    <t>яйцо</t>
  </si>
  <si>
    <t>лук репчатый</t>
  </si>
  <si>
    <t>перец черный</t>
  </si>
  <si>
    <t>мука</t>
  </si>
  <si>
    <t>соль</t>
  </si>
  <si>
    <t>разрыхлитель для теста</t>
  </si>
  <si>
    <t>лук зеленый</t>
  </si>
  <si>
    <t>петрушка свежая</t>
  </si>
  <si>
    <t>шт</t>
  </si>
  <si>
    <t>гр</t>
  </si>
  <si>
    <t>Политика запасов материалов</t>
  </si>
  <si>
    <t>4.</t>
  </si>
  <si>
    <t>5.</t>
  </si>
  <si>
    <t>6.</t>
  </si>
  <si>
    <t xml:space="preserve">Производство организовано в  цехах: </t>
  </si>
  <si>
    <t>Спецификация "Фарш говяжий"</t>
  </si>
  <si>
    <t>Материал</t>
  </si>
  <si>
    <t>норма</t>
  </si>
  <si>
    <t>1 кг</t>
  </si>
  <si>
    <t>8.</t>
  </si>
  <si>
    <t>шт.</t>
  </si>
  <si>
    <t>перец</t>
  </si>
  <si>
    <t>Спецификация "Фарш домашний"</t>
  </si>
  <si>
    <t>Свинина</t>
  </si>
  <si>
    <t>9.</t>
  </si>
  <si>
    <t>сахар</t>
  </si>
  <si>
    <t>Спецификация "Пельмени из говядины"</t>
  </si>
  <si>
    <t>Фарш говяжий</t>
  </si>
  <si>
    <t>кг.</t>
  </si>
  <si>
    <t>Спецификация "Пельмени домашние"</t>
  </si>
  <si>
    <t>Фарш домашний</t>
  </si>
  <si>
    <t>Спецификация "Котлета по киевски"</t>
  </si>
  <si>
    <t>Масло сливочное</t>
  </si>
  <si>
    <t>Сухари панировочные</t>
  </si>
  <si>
    <t>Петрушка</t>
  </si>
  <si>
    <t>Фарш куриный</t>
  </si>
  <si>
    <t>Спецификация "Цыпленок фаршированный"</t>
  </si>
  <si>
    <t>Тушка цыпленка</t>
  </si>
  <si>
    <t>Блины</t>
  </si>
  <si>
    <t>Лук зеленый</t>
  </si>
  <si>
    <t>Спецификация "Фарш куриный"</t>
  </si>
  <si>
    <t>Технологическая карта "Фарш говяжий"</t>
  </si>
  <si>
    <t>операция</t>
  </si>
  <si>
    <t>трудоем., чел-час</t>
  </si>
  <si>
    <t>станкоемк., маш-ч</t>
  </si>
  <si>
    <t>оборудование</t>
  </si>
  <si>
    <t>разрезка мяса на куски</t>
  </si>
  <si>
    <t>10 кг</t>
  </si>
  <si>
    <t>100 кг</t>
  </si>
  <si>
    <t>приготовление фарша</t>
  </si>
  <si>
    <t>оборудование 1</t>
  </si>
  <si>
    <t>оборудование 2</t>
  </si>
  <si>
    <t>материалы</t>
  </si>
  <si>
    <t>Технологическая карта "Фарш домашний"</t>
  </si>
  <si>
    <t>Технологическая карта "Фарш куриный"</t>
  </si>
  <si>
    <t>цех</t>
  </si>
  <si>
    <t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</si>
  <si>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</si>
  <si>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>№3. В цехе готовой продукции выполняют операции по производству готовой продукции</t>
  </si>
  <si>
    <t>№1</t>
  </si>
  <si>
    <t>приготовление теста</t>
  </si>
  <si>
    <t>№2</t>
  </si>
  <si>
    <t>оборудование 3</t>
  </si>
  <si>
    <t>Спецификация "Блины"</t>
  </si>
  <si>
    <t>Спецификация "Тесто"</t>
  </si>
  <si>
    <t>Технологическая карта "Тесто"</t>
  </si>
  <si>
    <t>Тесто</t>
  </si>
  <si>
    <t>Технологическая карта "Пельмени из говядины"</t>
  </si>
  <si>
    <t>Лепка пельменей</t>
  </si>
  <si>
    <t>10кг</t>
  </si>
  <si>
    <t>№3</t>
  </si>
  <si>
    <t>оборудование 4</t>
  </si>
  <si>
    <t>Заморозка пельменей</t>
  </si>
  <si>
    <t>оборудование 5</t>
  </si>
  <si>
    <t xml:space="preserve">Тесто </t>
  </si>
  <si>
    <t>Фарш говяжий, тесто</t>
  </si>
  <si>
    <t>Технологическая карта "Пельмени домашние"</t>
  </si>
  <si>
    <t>Фарш домашний, тесто</t>
  </si>
  <si>
    <t>Технологическая карта "Котлета по киевски"</t>
  </si>
  <si>
    <t>Лепка котлеты</t>
  </si>
  <si>
    <t>Фарш куриный, масло сливочное, петрушка</t>
  </si>
  <si>
    <t>обвалка котлеты</t>
  </si>
  <si>
    <t>заморозка котлеты</t>
  </si>
  <si>
    <t>сухари панировочные</t>
  </si>
  <si>
    <t>Технологическая карта "Блины"</t>
  </si>
  <si>
    <t>выпечка блинов</t>
  </si>
  <si>
    <t>тесто, масло сливочное</t>
  </si>
  <si>
    <t>оборудование 6</t>
  </si>
  <si>
    <t>Технологическая карта "Цыпленок фаршированный"</t>
  </si>
  <si>
    <t>фаршировка тушки цыпленка</t>
  </si>
  <si>
    <t>оборудование 7</t>
  </si>
  <si>
    <t>тушка цыпленка, блины, лук, петрушка</t>
  </si>
  <si>
    <t>упаковка тушки цыпленка</t>
  </si>
  <si>
    <t>пленка пищевая</t>
  </si>
  <si>
    <t>м кв</t>
  </si>
  <si>
    <t>по спецификации</t>
  </si>
  <si>
    <t>Заказы клиентов</t>
  </si>
  <si>
    <t>Пельмени из говядины</t>
  </si>
  <si>
    <t>Цыпленок фаршированный</t>
  </si>
  <si>
    <t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</si>
  <si>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>пельмени домашние</t>
  </si>
  <si>
    <t>7.</t>
  </si>
  <si>
    <t>фарш куриный</t>
  </si>
  <si>
    <t>тесто</t>
  </si>
  <si>
    <t>Таблица 1. Потребность в материалах на период</t>
  </si>
  <si>
    <t>Единица измерения</t>
  </si>
  <si>
    <t>Остаток на начало</t>
  </si>
  <si>
    <t>Потребность на производство продукции верхнего уровня</t>
  </si>
  <si>
    <t>Остаток на конец</t>
  </si>
  <si>
    <t>Объём производства</t>
  </si>
  <si>
    <t>Объем закупки</t>
  </si>
  <si>
    <t>м. кв.</t>
  </si>
  <si>
    <t>Таблица 2. Потребность в материалах на производство продукции верхнего уровня</t>
  </si>
  <si>
    <t>масло сливочное</t>
  </si>
  <si>
    <t>петрушка</t>
  </si>
  <si>
    <t>Таблица 3. Итоговая потребность в материалах</t>
  </si>
  <si>
    <t>Таблица 1. Станкоемкость условного изделия по видам оборудования</t>
  </si>
  <si>
    <t>Вид оборудования</t>
  </si>
  <si>
    <t>Оборудование 1</t>
  </si>
  <si>
    <t>Оборудование 2</t>
  </si>
  <si>
    <t>Оборудование 3</t>
  </si>
  <si>
    <t>Оборудование 4</t>
  </si>
  <si>
    <t xml:space="preserve">Оборудование 5 </t>
  </si>
  <si>
    <t>Оборудование 6</t>
  </si>
  <si>
    <t>Оборудование 7</t>
  </si>
  <si>
    <r>
      <t xml:space="preserve">Станкоемкость изготовления </t>
    </r>
    <r>
      <rPr>
        <b/>
        <sz val="11"/>
        <color theme="1"/>
        <rFont val="Calibri"/>
        <family val="2"/>
        <charset val="204"/>
        <scheme val="minor"/>
      </rPr>
      <t>Условного изделия</t>
    </r>
    <r>
      <rPr>
        <sz val="11"/>
        <color theme="1"/>
        <rFont val="Calibri"/>
        <family val="2"/>
        <charset val="204"/>
        <scheme val="minor"/>
      </rPr>
      <t>, нормо-ч./кг.</t>
    </r>
  </si>
  <si>
    <t>Таблица 2. Расчет действительного фонда времени работы оборудования (цеха)</t>
  </si>
  <si>
    <t>Фк</t>
  </si>
  <si>
    <t>Фр</t>
  </si>
  <si>
    <t>Фд</t>
  </si>
  <si>
    <t>Рк + Рпп</t>
  </si>
  <si>
    <t>Количество единиц оборудования, шт.</t>
  </si>
  <si>
    <t>Действительный фонд времени единицы оборудования при 1-сменном режиме работы, ч</t>
  </si>
  <si>
    <t>Действительный фонд времени  оборудования, ч</t>
  </si>
  <si>
    <t>Таблица 3. Расчет производственной мощности на основе условного изделия</t>
  </si>
  <si>
    <t xml:space="preserve">Действительный фонд работы 1 шт. оборудования, ч. </t>
  </si>
  <si>
    <t>Количество единиц оборудования,  шт.</t>
  </si>
  <si>
    <t>Пропускная способность, ч</t>
  </si>
  <si>
    <t>Норма времени на изготовление единицы условного изделия нормо-ч./кг.</t>
  </si>
  <si>
    <t>Возможный выпуск - производственная мощность, кг.</t>
  </si>
  <si>
    <t>Потребность в условном изделии, кг.</t>
  </si>
  <si>
    <t>Предприятие</t>
  </si>
  <si>
    <t>Цех 1</t>
  </si>
  <si>
    <t>Цех 2</t>
  </si>
  <si>
    <t>Цех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</si>
</sst>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9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5" borderId="31" xfId="0" applyFill="1" applyBorder="1" applyAlignment="1">
      <alignment horizontal="center" vertical="center" wrapText="1"/>
    </xf>
    <xf numFmtId="0" fontId="0" fillId="5" borderId="28" xfId="0" applyFill="1" applyBorder="1"/>
    <xf numFmtId="0" fontId="0" fillId="5" borderId="28" xfId="0" applyFill="1" applyBorder="1" applyAlignment="1">
      <alignment horizontal="center" vertical="center"/>
    </xf>
    <xf numFmtId="0" fontId="0" fillId="5" borderId="32" xfId="0" applyFill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0" fillId="0" borderId="13" xfId="0" applyNumberFormat="1" applyBorder="1" applyAlignment="1">
      <alignment wrapText="1"/>
    </xf>
    <xf numFmtId="165" fontId="0" fillId="0" borderId="19" xfId="0" applyNumberFormat="1" applyBorder="1" applyAlignment="1">
      <alignment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289450</xdr:colOff>
          <xdr:row>1</xdr:row>
          <xdr:rowOff>13157</xdr:rowOff>
        </xdr:from>
        <xdr:to>
          <xdr:col>9</xdr:col>
          <xdr:colOff>210509</xdr:colOff>
          <xdr:row>28</xdr:row>
          <xdr:rowOff>92098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B26" sqref="B26"/>
    </sheetView>
  </sheetViews>
  <sheetFormatPr defaultRowHeight="14.5" x14ac:dyDescent="0.35"/>
  <cols>
    <col min="1" max="1" width="3.1796875" customWidth="1"/>
    <col min="2" max="2" width="66.1796875" customWidth="1"/>
  </cols>
  <sheetData>
    <row r="2" spans="1:2" ht="29.05" x14ac:dyDescent="0.35">
      <c r="A2" s="1"/>
      <c r="B2" s="4" t="s">
        <v>12</v>
      </c>
    </row>
    <row r="3" spans="1:2" x14ac:dyDescent="0.35">
      <c r="A3" s="1"/>
      <c r="B3" s="4"/>
    </row>
    <row r="6" spans="1:2" x14ac:dyDescent="0.35">
      <c r="A6" s="1"/>
      <c r="B6" s="4" t="s">
        <v>34</v>
      </c>
    </row>
    <row r="7" spans="1:2" x14ac:dyDescent="0.35">
      <c r="A7" s="1"/>
      <c r="B7" s="4" t="s">
        <v>76</v>
      </c>
    </row>
    <row r="8" spans="1:2" ht="29.05" x14ac:dyDescent="0.35">
      <c r="A8" s="1"/>
      <c r="B8" s="4" t="s">
        <v>77</v>
      </c>
    </row>
    <row r="9" spans="1:2" ht="29.05" x14ac:dyDescent="0.35">
      <c r="A9" s="1"/>
      <c r="B9" s="4" t="s">
        <v>78</v>
      </c>
    </row>
    <row r="12" spans="1:2" ht="43.55" x14ac:dyDescent="0.35">
      <c r="B12" s="19" t="s">
        <v>119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2</xdr:col>
                <xdr:colOff>289450</xdr:colOff>
                <xdr:row>1</xdr:row>
                <xdr:rowOff>13157</xdr:rowOff>
              </from>
              <to>
                <xdr:col>9</xdr:col>
                <xdr:colOff>210509</xdr:colOff>
                <xdr:row>28</xdr:row>
                <xdr:rowOff>92098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opLeftCell="C26" workbookViewId="0">
      <selection activeCell="I59" sqref="I59"/>
    </sheetView>
  </sheetViews>
  <sheetFormatPr defaultRowHeight="14.5" x14ac:dyDescent="0.35"/>
  <cols>
    <col min="1" max="1" width="4" customWidth="1"/>
    <col min="2" max="2" width="60.1796875" style="3" customWidth="1"/>
    <col min="3" max="3" width="19.453125" customWidth="1"/>
    <col min="6" max="6" width="41.26953125" customWidth="1"/>
    <col min="7" max="7" width="11.1796875" customWidth="1"/>
    <col min="8" max="8" width="18.54296875" customWidth="1"/>
    <col min="9" max="9" width="19.54296875" customWidth="1"/>
    <col min="10" max="10" width="18.26953125" customWidth="1"/>
    <col min="11" max="11" width="23.26953125" customWidth="1"/>
  </cols>
  <sheetData>
    <row r="1" spans="1:11" ht="18.8" customHeight="1" x14ac:dyDescent="0.35"/>
    <row r="2" spans="1:11" x14ac:dyDescent="0.35">
      <c r="A2" t="s">
        <v>0</v>
      </c>
      <c r="B2" s="5" t="s">
        <v>35</v>
      </c>
      <c r="C2" s="6" t="s">
        <v>38</v>
      </c>
      <c r="F2" s="5" t="s">
        <v>61</v>
      </c>
      <c r="G2" s="5"/>
      <c r="H2" s="6" t="s">
        <v>68</v>
      </c>
    </row>
    <row r="3" spans="1:11" x14ac:dyDescent="0.35">
      <c r="B3" s="4" t="s">
        <v>36</v>
      </c>
      <c r="C3" s="1" t="s">
        <v>37</v>
      </c>
      <c r="D3" s="1" t="s">
        <v>4</v>
      </c>
      <c r="F3" s="1" t="s">
        <v>62</v>
      </c>
      <c r="G3" s="1" t="s">
        <v>75</v>
      </c>
      <c r="H3" s="1" t="s">
        <v>63</v>
      </c>
      <c r="I3" s="1" t="s">
        <v>64</v>
      </c>
      <c r="J3" s="1" t="s">
        <v>65</v>
      </c>
      <c r="K3" s="1" t="s">
        <v>72</v>
      </c>
    </row>
    <row r="4" spans="1:11" x14ac:dyDescent="0.35">
      <c r="B4" s="4" t="s">
        <v>17</v>
      </c>
      <c r="C4" s="1">
        <v>0.8</v>
      </c>
      <c r="D4" s="1" t="s">
        <v>5</v>
      </c>
      <c r="F4" s="1" t="s">
        <v>66</v>
      </c>
      <c r="G4" s="1" t="s">
        <v>79</v>
      </c>
      <c r="H4" s="1">
        <v>5</v>
      </c>
      <c r="I4" s="1">
        <v>5</v>
      </c>
      <c r="J4" s="1" t="s">
        <v>70</v>
      </c>
      <c r="K4" s="1" t="s">
        <v>115</v>
      </c>
    </row>
    <row r="5" spans="1:11" x14ac:dyDescent="0.35">
      <c r="B5" s="4" t="s">
        <v>20</v>
      </c>
      <c r="C5" s="1">
        <v>2</v>
      </c>
      <c r="D5" s="1" t="s">
        <v>40</v>
      </c>
      <c r="F5" s="1" t="s">
        <v>69</v>
      </c>
      <c r="G5" s="1" t="s">
        <v>79</v>
      </c>
      <c r="H5" s="1">
        <v>2</v>
      </c>
      <c r="I5" s="1">
        <v>2</v>
      </c>
      <c r="J5" s="1" t="s">
        <v>71</v>
      </c>
      <c r="K5" s="1"/>
    </row>
    <row r="6" spans="1:11" x14ac:dyDescent="0.35">
      <c r="B6" s="4" t="s">
        <v>21</v>
      </c>
      <c r="C6" s="1">
        <v>0.02</v>
      </c>
      <c r="D6" s="1" t="s">
        <v>5</v>
      </c>
    </row>
    <row r="7" spans="1:11" x14ac:dyDescent="0.35">
      <c r="B7" s="4" t="s">
        <v>41</v>
      </c>
      <c r="C7" s="1">
        <v>1E-3</v>
      </c>
      <c r="D7" s="1" t="s">
        <v>5</v>
      </c>
    </row>
    <row r="8" spans="1:11" x14ac:dyDescent="0.35">
      <c r="B8" s="4" t="s">
        <v>24</v>
      </c>
      <c r="C8" s="1">
        <v>1E-3</v>
      </c>
      <c r="D8" s="1" t="s">
        <v>5</v>
      </c>
    </row>
    <row r="11" spans="1:11" x14ac:dyDescent="0.35">
      <c r="A11" t="s">
        <v>7</v>
      </c>
      <c r="B11" s="5" t="s">
        <v>42</v>
      </c>
      <c r="C11" s="6" t="s">
        <v>38</v>
      </c>
      <c r="F11" s="5" t="s">
        <v>73</v>
      </c>
      <c r="G11" s="5"/>
      <c r="H11" s="6" t="s">
        <v>68</v>
      </c>
    </row>
    <row r="12" spans="1:11" x14ac:dyDescent="0.35">
      <c r="B12" s="4" t="s">
        <v>36</v>
      </c>
      <c r="C12" s="1" t="s">
        <v>37</v>
      </c>
      <c r="D12" s="1" t="s">
        <v>4</v>
      </c>
      <c r="F12" s="1" t="s">
        <v>62</v>
      </c>
      <c r="G12" s="1" t="s">
        <v>75</v>
      </c>
      <c r="H12" s="1" t="s">
        <v>63</v>
      </c>
      <c r="I12" s="1" t="s">
        <v>64</v>
      </c>
      <c r="J12" s="1" t="s">
        <v>65</v>
      </c>
      <c r="K12" s="1" t="s">
        <v>72</v>
      </c>
    </row>
    <row r="13" spans="1:11" x14ac:dyDescent="0.35">
      <c r="B13" s="4" t="s">
        <v>17</v>
      </c>
      <c r="C13" s="1">
        <v>0.6</v>
      </c>
      <c r="D13" s="1" t="s">
        <v>5</v>
      </c>
      <c r="F13" s="1" t="s">
        <v>66</v>
      </c>
      <c r="G13" s="1" t="s">
        <v>79</v>
      </c>
      <c r="H13" s="1">
        <v>5</v>
      </c>
      <c r="I13" s="1">
        <v>5</v>
      </c>
      <c r="J13" s="1" t="s">
        <v>70</v>
      </c>
      <c r="K13" s="1" t="s">
        <v>115</v>
      </c>
    </row>
    <row r="14" spans="1:11" x14ac:dyDescent="0.35">
      <c r="B14" s="4" t="s">
        <v>43</v>
      </c>
      <c r="C14" s="1">
        <v>0.2</v>
      </c>
      <c r="D14" s="1" t="s">
        <v>5</v>
      </c>
      <c r="F14" s="1" t="s">
        <v>69</v>
      </c>
      <c r="G14" s="1" t="s">
        <v>79</v>
      </c>
      <c r="H14" s="1">
        <v>2</v>
      </c>
      <c r="I14" s="1">
        <v>2</v>
      </c>
      <c r="J14" s="1" t="s">
        <v>71</v>
      </c>
      <c r="K14" s="1"/>
    </row>
    <row r="15" spans="1:11" x14ac:dyDescent="0.35">
      <c r="B15" s="4" t="s">
        <v>20</v>
      </c>
      <c r="C15" s="1">
        <v>2</v>
      </c>
      <c r="D15" s="1" t="s">
        <v>40</v>
      </c>
    </row>
    <row r="16" spans="1:11" x14ac:dyDescent="0.35">
      <c r="B16" s="4" t="s">
        <v>21</v>
      </c>
      <c r="C16" s="1">
        <v>0.02</v>
      </c>
      <c r="D16" s="1" t="s">
        <v>5</v>
      </c>
    </row>
    <row r="17" spans="1:11" x14ac:dyDescent="0.35">
      <c r="B17" s="4" t="s">
        <v>41</v>
      </c>
      <c r="C17" s="1">
        <v>1E-3</v>
      </c>
      <c r="D17" s="1" t="s">
        <v>5</v>
      </c>
    </row>
    <row r="18" spans="1:11" x14ac:dyDescent="0.35">
      <c r="B18" s="4" t="s">
        <v>24</v>
      </c>
      <c r="C18" s="1">
        <v>1E-3</v>
      </c>
      <c r="D18" s="1" t="s">
        <v>5</v>
      </c>
    </row>
    <row r="20" spans="1:11" x14ac:dyDescent="0.35">
      <c r="A20" t="s">
        <v>9</v>
      </c>
      <c r="B20" s="5" t="s">
        <v>60</v>
      </c>
      <c r="C20" s="6" t="s">
        <v>38</v>
      </c>
      <c r="F20" s="5" t="s">
        <v>74</v>
      </c>
      <c r="G20" s="5"/>
      <c r="H20" s="6" t="s">
        <v>68</v>
      </c>
    </row>
    <row r="21" spans="1:11" x14ac:dyDescent="0.35">
      <c r="B21" s="4" t="s">
        <v>36</v>
      </c>
      <c r="C21" s="1" t="s">
        <v>37</v>
      </c>
      <c r="D21" s="1" t="s">
        <v>4</v>
      </c>
      <c r="F21" s="1" t="s">
        <v>62</v>
      </c>
      <c r="G21" s="1" t="s">
        <v>75</v>
      </c>
      <c r="H21" s="1" t="s">
        <v>63</v>
      </c>
      <c r="I21" s="1" t="s">
        <v>64</v>
      </c>
      <c r="J21" s="1" t="s">
        <v>65</v>
      </c>
      <c r="K21" s="1" t="s">
        <v>72</v>
      </c>
    </row>
    <row r="22" spans="1:11" x14ac:dyDescent="0.35">
      <c r="B22" s="4" t="s">
        <v>14</v>
      </c>
      <c r="C22" s="1">
        <v>0.6</v>
      </c>
      <c r="D22" s="1" t="s">
        <v>5</v>
      </c>
      <c r="F22" s="1" t="s">
        <v>66</v>
      </c>
      <c r="G22" s="1" t="s">
        <v>79</v>
      </c>
      <c r="H22" s="1">
        <v>4</v>
      </c>
      <c r="I22" s="1">
        <v>4</v>
      </c>
      <c r="J22" s="1" t="s">
        <v>70</v>
      </c>
      <c r="K22" s="1" t="s">
        <v>115</v>
      </c>
    </row>
    <row r="23" spans="1:11" x14ac:dyDescent="0.35">
      <c r="B23" s="4" t="s">
        <v>20</v>
      </c>
      <c r="C23" s="1">
        <v>2</v>
      </c>
      <c r="D23" s="1" t="s">
        <v>40</v>
      </c>
      <c r="F23" s="1" t="s">
        <v>69</v>
      </c>
      <c r="G23" s="1" t="s">
        <v>79</v>
      </c>
      <c r="H23" s="1">
        <v>1.5</v>
      </c>
      <c r="I23" s="1">
        <v>1.5</v>
      </c>
      <c r="J23" s="1" t="s">
        <v>71</v>
      </c>
      <c r="K23" s="1"/>
    </row>
    <row r="24" spans="1:11" x14ac:dyDescent="0.35">
      <c r="B24" s="4" t="s">
        <v>21</v>
      </c>
      <c r="C24" s="1">
        <v>0.02</v>
      </c>
      <c r="D24" s="1" t="s">
        <v>5</v>
      </c>
    </row>
    <row r="25" spans="1:11" x14ac:dyDescent="0.35">
      <c r="B25" s="4" t="s">
        <v>41</v>
      </c>
      <c r="C25" s="1">
        <v>1E-3</v>
      </c>
      <c r="D25" s="1" t="s">
        <v>5</v>
      </c>
    </row>
    <row r="26" spans="1:11" x14ac:dyDescent="0.35">
      <c r="B26" s="4" t="s">
        <v>24</v>
      </c>
      <c r="C26" s="1">
        <v>1E-3</v>
      </c>
      <c r="D26" s="1" t="s">
        <v>5</v>
      </c>
    </row>
    <row r="28" spans="1:11" x14ac:dyDescent="0.35">
      <c r="A28" t="s">
        <v>31</v>
      </c>
      <c r="B28" s="5" t="s">
        <v>84</v>
      </c>
      <c r="C28" s="6" t="s">
        <v>38</v>
      </c>
      <c r="F28" s="5" t="s">
        <v>85</v>
      </c>
      <c r="G28" s="5"/>
      <c r="H28" s="6" t="s">
        <v>67</v>
      </c>
    </row>
    <row r="29" spans="1:11" x14ac:dyDescent="0.35">
      <c r="B29" s="4" t="s">
        <v>36</v>
      </c>
      <c r="C29" s="1" t="s">
        <v>37</v>
      </c>
      <c r="D29" s="1" t="s">
        <v>4</v>
      </c>
      <c r="F29" s="1" t="s">
        <v>62</v>
      </c>
      <c r="G29" s="1" t="s">
        <v>75</v>
      </c>
      <c r="H29" s="1" t="s">
        <v>63</v>
      </c>
      <c r="I29" s="1" t="s">
        <v>64</v>
      </c>
      <c r="J29" s="1" t="s">
        <v>65</v>
      </c>
      <c r="K29" s="1" t="s">
        <v>72</v>
      </c>
    </row>
    <row r="30" spans="1:11" x14ac:dyDescent="0.35">
      <c r="B30" s="4" t="s">
        <v>23</v>
      </c>
      <c r="C30" s="1">
        <v>0.9</v>
      </c>
      <c r="D30" s="1" t="s">
        <v>5</v>
      </c>
      <c r="F30" s="1" t="s">
        <v>80</v>
      </c>
      <c r="G30" s="1" t="s">
        <v>81</v>
      </c>
      <c r="H30" s="1">
        <v>2</v>
      </c>
      <c r="I30" s="1">
        <v>2</v>
      </c>
      <c r="J30" s="1" t="s">
        <v>82</v>
      </c>
      <c r="K30" s="1" t="s">
        <v>115</v>
      </c>
    </row>
    <row r="31" spans="1:11" x14ac:dyDescent="0.35">
      <c r="B31" s="4" t="s">
        <v>20</v>
      </c>
      <c r="C31" s="1">
        <v>1</v>
      </c>
      <c r="D31" s="1" t="s">
        <v>40</v>
      </c>
      <c r="F31" s="1"/>
      <c r="G31" s="1"/>
      <c r="H31" s="1"/>
      <c r="I31" s="1"/>
      <c r="J31" s="1"/>
      <c r="K31" s="1"/>
    </row>
    <row r="32" spans="1:11" x14ac:dyDescent="0.35">
      <c r="B32" s="4" t="s">
        <v>45</v>
      </c>
      <c r="C32" s="1">
        <v>0.02</v>
      </c>
      <c r="D32" s="1" t="s">
        <v>5</v>
      </c>
    </row>
    <row r="33" spans="1:11" x14ac:dyDescent="0.35">
      <c r="B33" s="4" t="s">
        <v>24</v>
      </c>
      <c r="C33" s="1">
        <v>2E-3</v>
      </c>
      <c r="D33" s="1" t="s">
        <v>5</v>
      </c>
    </row>
    <row r="34" spans="1:11" x14ac:dyDescent="0.35">
      <c r="B34" s="4" t="s">
        <v>25</v>
      </c>
      <c r="C34" s="1">
        <v>3.0000000000000001E-3</v>
      </c>
      <c r="D34" s="1" t="s">
        <v>5</v>
      </c>
    </row>
    <row r="35" spans="1:11" ht="29.05" x14ac:dyDescent="0.35">
      <c r="A35" t="s">
        <v>32</v>
      </c>
      <c r="B35" s="5" t="s">
        <v>46</v>
      </c>
      <c r="C35" s="6" t="s">
        <v>38</v>
      </c>
      <c r="F35" s="5" t="s">
        <v>87</v>
      </c>
      <c r="G35" s="5"/>
      <c r="H35" s="6" t="s">
        <v>89</v>
      </c>
    </row>
    <row r="36" spans="1:11" x14ac:dyDescent="0.35">
      <c r="B36" s="4" t="s">
        <v>36</v>
      </c>
      <c r="C36" s="1" t="s">
        <v>37</v>
      </c>
      <c r="D36" s="1" t="s">
        <v>4</v>
      </c>
      <c r="F36" s="1" t="s">
        <v>62</v>
      </c>
      <c r="G36" s="1" t="s">
        <v>75</v>
      </c>
      <c r="H36" s="1" t="s">
        <v>63</v>
      </c>
      <c r="I36" s="1" t="s">
        <v>64</v>
      </c>
      <c r="J36" s="1" t="s">
        <v>65</v>
      </c>
      <c r="K36" s="1" t="s">
        <v>72</v>
      </c>
    </row>
    <row r="37" spans="1:11" x14ac:dyDescent="0.35">
      <c r="B37" s="4" t="s">
        <v>47</v>
      </c>
      <c r="C37" s="1">
        <v>0.7</v>
      </c>
      <c r="D37" s="1" t="s">
        <v>5</v>
      </c>
      <c r="F37" s="1" t="s">
        <v>88</v>
      </c>
      <c r="G37" s="1" t="s">
        <v>90</v>
      </c>
      <c r="H37" s="1">
        <v>0.5</v>
      </c>
      <c r="I37" s="1">
        <v>0.5</v>
      </c>
      <c r="J37" s="1" t="s">
        <v>91</v>
      </c>
      <c r="K37" s="1" t="s">
        <v>95</v>
      </c>
    </row>
    <row r="38" spans="1:11" x14ac:dyDescent="0.35">
      <c r="B38" s="4" t="s">
        <v>94</v>
      </c>
      <c r="C38" s="1">
        <v>0.3</v>
      </c>
      <c r="D38" s="1" t="s">
        <v>48</v>
      </c>
      <c r="F38" s="1" t="s">
        <v>92</v>
      </c>
      <c r="G38" s="1" t="s">
        <v>90</v>
      </c>
      <c r="H38" s="1"/>
      <c r="I38" s="1">
        <v>3</v>
      </c>
      <c r="J38" s="1" t="s">
        <v>93</v>
      </c>
      <c r="K38" s="1"/>
    </row>
    <row r="40" spans="1:11" x14ac:dyDescent="0.35">
      <c r="A40" t="s">
        <v>33</v>
      </c>
      <c r="B40" s="5" t="s">
        <v>49</v>
      </c>
      <c r="C40" s="6" t="s">
        <v>38</v>
      </c>
      <c r="F40" s="5" t="s">
        <v>96</v>
      </c>
      <c r="G40" s="5"/>
      <c r="H40" s="6" t="s">
        <v>89</v>
      </c>
    </row>
    <row r="41" spans="1:11" x14ac:dyDescent="0.35">
      <c r="B41" s="4" t="s">
        <v>36</v>
      </c>
      <c r="C41" s="1" t="s">
        <v>37</v>
      </c>
      <c r="D41" s="1" t="s">
        <v>4</v>
      </c>
      <c r="F41" s="1" t="s">
        <v>62</v>
      </c>
      <c r="G41" s="1" t="s">
        <v>75</v>
      </c>
      <c r="H41" s="1" t="s">
        <v>63</v>
      </c>
      <c r="I41" s="1" t="s">
        <v>64</v>
      </c>
      <c r="J41" s="1" t="s">
        <v>65</v>
      </c>
      <c r="K41" s="1" t="s">
        <v>72</v>
      </c>
    </row>
    <row r="42" spans="1:11" x14ac:dyDescent="0.35">
      <c r="B42" s="4" t="s">
        <v>50</v>
      </c>
      <c r="C42" s="1">
        <v>0.7</v>
      </c>
      <c r="D42" s="1" t="s">
        <v>5</v>
      </c>
      <c r="F42" s="1" t="s">
        <v>88</v>
      </c>
      <c r="G42" s="1" t="s">
        <v>90</v>
      </c>
      <c r="H42" s="1">
        <v>0.5</v>
      </c>
      <c r="I42" s="1">
        <v>0.5</v>
      </c>
      <c r="J42" s="1" t="s">
        <v>91</v>
      </c>
      <c r="K42" s="1" t="s">
        <v>97</v>
      </c>
    </row>
    <row r="43" spans="1:11" x14ac:dyDescent="0.35">
      <c r="B43" s="4" t="s">
        <v>86</v>
      </c>
      <c r="C43" s="1">
        <v>0.3</v>
      </c>
      <c r="D43" s="1" t="s">
        <v>48</v>
      </c>
      <c r="F43" s="1" t="s">
        <v>92</v>
      </c>
      <c r="G43" s="1" t="s">
        <v>90</v>
      </c>
      <c r="H43" s="1"/>
      <c r="I43" s="1">
        <v>3</v>
      </c>
      <c r="J43" s="1" t="s">
        <v>93</v>
      </c>
      <c r="K43" s="1"/>
    </row>
    <row r="45" spans="1:11" x14ac:dyDescent="0.35">
      <c r="A45" t="s">
        <v>121</v>
      </c>
      <c r="B45" s="5" t="s">
        <v>51</v>
      </c>
      <c r="C45" s="6" t="s">
        <v>38</v>
      </c>
      <c r="F45" s="5" t="s">
        <v>98</v>
      </c>
      <c r="G45" s="5"/>
      <c r="H45" s="6" t="s">
        <v>89</v>
      </c>
    </row>
    <row r="46" spans="1:11" x14ac:dyDescent="0.35">
      <c r="B46" s="4" t="s">
        <v>36</v>
      </c>
      <c r="C46" s="1" t="s">
        <v>37</v>
      </c>
      <c r="D46" s="1" t="s">
        <v>4</v>
      </c>
      <c r="F46" s="1" t="s">
        <v>62</v>
      </c>
      <c r="G46" s="1" t="s">
        <v>75</v>
      </c>
      <c r="H46" s="1" t="s">
        <v>63</v>
      </c>
      <c r="I46" s="1" t="s">
        <v>64</v>
      </c>
      <c r="J46" s="1" t="s">
        <v>65</v>
      </c>
      <c r="K46" s="1" t="s">
        <v>72</v>
      </c>
    </row>
    <row r="47" spans="1:11" x14ac:dyDescent="0.35">
      <c r="B47" s="4" t="s">
        <v>55</v>
      </c>
      <c r="C47" s="1">
        <v>0.8</v>
      </c>
      <c r="D47" s="1" t="s">
        <v>5</v>
      </c>
      <c r="F47" s="1" t="s">
        <v>99</v>
      </c>
      <c r="G47" s="1" t="s">
        <v>90</v>
      </c>
      <c r="H47" s="1">
        <v>1</v>
      </c>
      <c r="I47" s="1">
        <v>1</v>
      </c>
      <c r="J47" s="1" t="s">
        <v>91</v>
      </c>
      <c r="K47" s="1" t="s">
        <v>100</v>
      </c>
    </row>
    <row r="48" spans="1:11" x14ac:dyDescent="0.35">
      <c r="B48" s="4" t="s">
        <v>52</v>
      </c>
      <c r="C48" s="1">
        <v>0.2</v>
      </c>
      <c r="D48" s="1" t="s">
        <v>48</v>
      </c>
      <c r="F48" s="1" t="s">
        <v>101</v>
      </c>
      <c r="G48" s="1" t="s">
        <v>90</v>
      </c>
      <c r="H48" s="1">
        <v>0.5</v>
      </c>
      <c r="I48" s="1"/>
      <c r="J48" s="1"/>
      <c r="K48" s="1" t="s">
        <v>103</v>
      </c>
    </row>
    <row r="49" spans="1:11" x14ac:dyDescent="0.35">
      <c r="B49" s="4" t="s">
        <v>53</v>
      </c>
      <c r="C49" s="1">
        <v>0.2</v>
      </c>
      <c r="D49" s="1" t="s">
        <v>5</v>
      </c>
      <c r="F49" s="1" t="s">
        <v>102</v>
      </c>
      <c r="G49" s="1" t="s">
        <v>90</v>
      </c>
      <c r="H49" s="1"/>
      <c r="I49" s="1">
        <v>3</v>
      </c>
      <c r="J49" s="1" t="s">
        <v>93</v>
      </c>
      <c r="K49" s="1"/>
    </row>
    <row r="50" spans="1:11" x14ac:dyDescent="0.35">
      <c r="B50" s="4" t="s">
        <v>54</v>
      </c>
      <c r="C50" s="1">
        <v>0.05</v>
      </c>
      <c r="D50" s="1" t="s">
        <v>5</v>
      </c>
    </row>
    <row r="52" spans="1:11" x14ac:dyDescent="0.35">
      <c r="A52" t="s">
        <v>39</v>
      </c>
      <c r="B52" s="5" t="s">
        <v>83</v>
      </c>
      <c r="C52" s="6" t="s">
        <v>38</v>
      </c>
      <c r="F52" s="5" t="s">
        <v>104</v>
      </c>
      <c r="G52" s="5"/>
      <c r="H52" s="6" t="s">
        <v>89</v>
      </c>
    </row>
    <row r="53" spans="1:11" x14ac:dyDescent="0.35">
      <c r="B53" s="4" t="s">
        <v>36</v>
      </c>
      <c r="C53" s="1" t="s">
        <v>37</v>
      </c>
      <c r="D53" s="1" t="s">
        <v>4</v>
      </c>
      <c r="F53" s="1" t="s">
        <v>62</v>
      </c>
      <c r="G53" s="1" t="s">
        <v>75</v>
      </c>
      <c r="H53" s="1" t="s">
        <v>63</v>
      </c>
      <c r="I53" s="1" t="s">
        <v>64</v>
      </c>
      <c r="J53" s="1" t="s">
        <v>65</v>
      </c>
      <c r="K53" s="1" t="s">
        <v>72</v>
      </c>
    </row>
    <row r="54" spans="1:11" x14ac:dyDescent="0.35">
      <c r="B54" s="4" t="s">
        <v>86</v>
      </c>
      <c r="C54" s="1">
        <v>0.8</v>
      </c>
      <c r="D54" s="1" t="s">
        <v>5</v>
      </c>
      <c r="F54" s="1" t="s">
        <v>105</v>
      </c>
      <c r="G54" s="1" t="s">
        <v>90</v>
      </c>
      <c r="H54" s="1">
        <v>1</v>
      </c>
      <c r="I54" s="1">
        <v>1</v>
      </c>
      <c r="J54" s="1" t="s">
        <v>107</v>
      </c>
      <c r="K54" s="1" t="s">
        <v>106</v>
      </c>
    </row>
    <row r="55" spans="1:11" x14ac:dyDescent="0.35">
      <c r="B55" s="4" t="s">
        <v>52</v>
      </c>
      <c r="C55" s="1">
        <v>0.2</v>
      </c>
      <c r="D55" s="1" t="s">
        <v>48</v>
      </c>
      <c r="F55" s="1"/>
      <c r="G55" s="1"/>
      <c r="H55" s="1"/>
      <c r="I55" s="1"/>
      <c r="J55" s="1"/>
      <c r="K55" s="1"/>
    </row>
    <row r="56" spans="1:11" x14ac:dyDescent="0.35">
      <c r="F56" s="1"/>
      <c r="G56" s="1"/>
      <c r="H56" s="1"/>
      <c r="I56" s="1"/>
      <c r="J56" s="1"/>
      <c r="K56" s="1"/>
    </row>
    <row r="57" spans="1:11" ht="29.05" x14ac:dyDescent="0.35">
      <c r="A57" t="s">
        <v>44</v>
      </c>
      <c r="B57" s="5" t="s">
        <v>56</v>
      </c>
      <c r="C57" s="6" t="s">
        <v>38</v>
      </c>
      <c r="F57" s="5" t="s">
        <v>108</v>
      </c>
      <c r="G57" s="5"/>
      <c r="H57" s="6" t="s">
        <v>89</v>
      </c>
    </row>
    <row r="58" spans="1:11" x14ac:dyDescent="0.35">
      <c r="B58" s="4" t="s">
        <v>36</v>
      </c>
      <c r="C58" s="1" t="s">
        <v>37</v>
      </c>
      <c r="D58" s="1" t="s">
        <v>4</v>
      </c>
      <c r="F58" s="1" t="s">
        <v>62</v>
      </c>
      <c r="G58" s="1" t="s">
        <v>75</v>
      </c>
      <c r="H58" s="1" t="s">
        <v>63</v>
      </c>
      <c r="I58" s="1" t="s">
        <v>64</v>
      </c>
      <c r="J58" s="1" t="s">
        <v>65</v>
      </c>
      <c r="K58" s="1" t="s">
        <v>72</v>
      </c>
    </row>
    <row r="59" spans="1:11" x14ac:dyDescent="0.35">
      <c r="B59" s="4" t="s">
        <v>57</v>
      </c>
      <c r="C59" s="1">
        <v>0.8</v>
      </c>
      <c r="D59" s="1" t="s">
        <v>5</v>
      </c>
      <c r="F59" s="1" t="s">
        <v>109</v>
      </c>
      <c r="G59" s="1" t="s">
        <v>90</v>
      </c>
      <c r="H59" s="1">
        <v>2</v>
      </c>
      <c r="I59" s="1"/>
      <c r="J59" s="1" t="s">
        <v>110</v>
      </c>
      <c r="K59" s="1" t="s">
        <v>111</v>
      </c>
    </row>
    <row r="60" spans="1:11" x14ac:dyDescent="0.35">
      <c r="B60" s="4" t="s">
        <v>58</v>
      </c>
      <c r="C60" s="1">
        <v>0.2</v>
      </c>
      <c r="D60" s="1" t="s">
        <v>48</v>
      </c>
      <c r="F60" s="1" t="s">
        <v>112</v>
      </c>
      <c r="G60" s="1" t="s">
        <v>90</v>
      </c>
      <c r="H60" s="1">
        <v>2</v>
      </c>
      <c r="I60" s="1"/>
      <c r="J60" s="1" t="s">
        <v>110</v>
      </c>
      <c r="K60" s="1" t="s">
        <v>113</v>
      </c>
    </row>
    <row r="61" spans="1:11" x14ac:dyDescent="0.35">
      <c r="B61" s="4" t="s">
        <v>59</v>
      </c>
      <c r="C61" s="1">
        <v>0.2</v>
      </c>
      <c r="D61" s="1" t="s">
        <v>5</v>
      </c>
      <c r="F61" s="1"/>
      <c r="G61" s="1"/>
      <c r="H61" s="1"/>
      <c r="I61" s="1"/>
      <c r="J61" s="1"/>
      <c r="K61" s="1"/>
    </row>
    <row r="62" spans="1:11" x14ac:dyDescent="0.35">
      <c r="B62" s="4" t="s">
        <v>54</v>
      </c>
      <c r="C62" s="1">
        <v>0.05</v>
      </c>
      <c r="D62" s="1" t="s">
        <v>5</v>
      </c>
    </row>
    <row r="63" spans="1:11" x14ac:dyDescent="0.35">
      <c r="B63" s="4" t="s">
        <v>113</v>
      </c>
      <c r="C63" s="1">
        <v>0.2</v>
      </c>
      <c r="D63" s="1" t="s">
        <v>114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2"/>
  <sheetViews>
    <sheetView topLeftCell="A10" workbookViewId="0">
      <selection activeCell="F21" sqref="F21"/>
    </sheetView>
  </sheetViews>
  <sheetFormatPr defaultRowHeight="14.5" x14ac:dyDescent="0.35"/>
  <cols>
    <col min="1" max="1" width="3.7265625" customWidth="1"/>
    <col min="2" max="2" width="66.1796875" customWidth="1"/>
  </cols>
  <sheetData>
    <row r="2" spans="1:4" x14ac:dyDescent="0.35">
      <c r="A2" s="7" t="s">
        <v>0</v>
      </c>
      <c r="B2" s="8" t="s">
        <v>1</v>
      </c>
      <c r="C2" s="7" t="s">
        <v>3</v>
      </c>
      <c r="D2" s="7" t="s">
        <v>4</v>
      </c>
    </row>
    <row r="3" spans="1:4" x14ac:dyDescent="0.35">
      <c r="A3" s="7"/>
      <c r="B3" s="9" t="s">
        <v>2</v>
      </c>
      <c r="C3" s="7">
        <v>10</v>
      </c>
      <c r="D3" s="7" t="s">
        <v>5</v>
      </c>
    </row>
    <row r="4" spans="1:4" x14ac:dyDescent="0.35">
      <c r="A4" s="7"/>
      <c r="B4" s="9" t="s">
        <v>6</v>
      </c>
      <c r="C4" s="7">
        <v>50</v>
      </c>
      <c r="D4" s="7" t="s">
        <v>5</v>
      </c>
    </row>
    <row r="5" spans="1:4" x14ac:dyDescent="0.35">
      <c r="A5" s="7"/>
      <c r="B5" s="9" t="s">
        <v>120</v>
      </c>
      <c r="C5" s="7">
        <v>10</v>
      </c>
      <c r="D5" s="7" t="s">
        <v>5</v>
      </c>
    </row>
    <row r="6" spans="1:4" x14ac:dyDescent="0.35">
      <c r="A6" s="10"/>
      <c r="B6" s="11"/>
      <c r="C6" s="10"/>
      <c r="D6" s="10"/>
    </row>
    <row r="7" spans="1:4" x14ac:dyDescent="0.35">
      <c r="A7" s="7" t="s">
        <v>7</v>
      </c>
      <c r="B7" s="8" t="s">
        <v>8</v>
      </c>
      <c r="C7" s="7"/>
      <c r="D7" s="7"/>
    </row>
    <row r="8" spans="1:4" ht="29.05" x14ac:dyDescent="0.35">
      <c r="A8" s="7"/>
      <c r="B8" s="9" t="s">
        <v>16</v>
      </c>
      <c r="C8" s="7">
        <v>25</v>
      </c>
      <c r="D8" s="7"/>
    </row>
    <row r="9" spans="1:4" x14ac:dyDescent="0.35">
      <c r="B9" s="3"/>
    </row>
    <row r="10" spans="1:4" x14ac:dyDescent="0.35">
      <c r="A10" s="12" t="s">
        <v>9</v>
      </c>
      <c r="B10" s="13" t="s">
        <v>11</v>
      </c>
      <c r="C10" s="12"/>
      <c r="D10" s="12"/>
    </row>
    <row r="11" spans="1:4" x14ac:dyDescent="0.35">
      <c r="A11" s="12"/>
      <c r="B11" s="14" t="s">
        <v>13</v>
      </c>
      <c r="C11" s="12">
        <v>60</v>
      </c>
      <c r="D11" s="12" t="s">
        <v>5</v>
      </c>
    </row>
    <row r="12" spans="1:4" x14ac:dyDescent="0.35">
      <c r="A12" s="12"/>
      <c r="B12" s="14" t="s">
        <v>122</v>
      </c>
      <c r="C12" s="12">
        <v>15</v>
      </c>
      <c r="D12" s="12" t="s">
        <v>5</v>
      </c>
    </row>
    <row r="13" spans="1:4" x14ac:dyDescent="0.35">
      <c r="A13" s="12"/>
      <c r="B13" s="14" t="s">
        <v>123</v>
      </c>
      <c r="C13" s="12">
        <v>10</v>
      </c>
      <c r="D13" s="12" t="s">
        <v>5</v>
      </c>
    </row>
    <row r="14" spans="1:4" x14ac:dyDescent="0.35">
      <c r="A14" s="15"/>
      <c r="B14" s="16"/>
      <c r="C14" s="15"/>
      <c r="D14" s="15"/>
    </row>
    <row r="15" spans="1:4" x14ac:dyDescent="0.35">
      <c r="A15" s="12" t="s">
        <v>31</v>
      </c>
      <c r="B15" s="13" t="s">
        <v>15</v>
      </c>
      <c r="C15" s="12"/>
      <c r="D15" s="12"/>
    </row>
    <row r="16" spans="1:4" ht="29.05" x14ac:dyDescent="0.35">
      <c r="A16" s="12"/>
      <c r="B16" s="14" t="s">
        <v>16</v>
      </c>
      <c r="C16" s="12">
        <v>20</v>
      </c>
      <c r="D16" s="12"/>
    </row>
    <row r="17" spans="1:4" x14ac:dyDescent="0.35">
      <c r="B17" s="3"/>
    </row>
    <row r="18" spans="1:4" x14ac:dyDescent="0.35">
      <c r="A18" s="17" t="s">
        <v>32</v>
      </c>
      <c r="B18" s="18" t="s">
        <v>10</v>
      </c>
      <c r="C18" s="17"/>
      <c r="D18" s="17"/>
    </row>
    <row r="19" spans="1:4" x14ac:dyDescent="0.35">
      <c r="A19" s="17"/>
      <c r="B19" s="19" t="s">
        <v>17</v>
      </c>
      <c r="C19" s="17">
        <v>50</v>
      </c>
      <c r="D19" s="17" t="s">
        <v>5</v>
      </c>
    </row>
    <row r="20" spans="1:4" x14ac:dyDescent="0.35">
      <c r="A20" s="17"/>
      <c r="B20" s="19" t="s">
        <v>18</v>
      </c>
      <c r="C20" s="17">
        <v>2</v>
      </c>
      <c r="D20" s="17" t="s">
        <v>5</v>
      </c>
    </row>
    <row r="21" spans="1:4" x14ac:dyDescent="0.35">
      <c r="A21" s="17"/>
      <c r="B21" s="19" t="s">
        <v>19</v>
      </c>
      <c r="C21" s="17">
        <v>70</v>
      </c>
      <c r="D21" s="17" t="s">
        <v>5</v>
      </c>
    </row>
    <row r="22" spans="1:4" x14ac:dyDescent="0.35">
      <c r="A22" s="17"/>
      <c r="B22" s="19" t="s">
        <v>20</v>
      </c>
      <c r="C22" s="17">
        <v>80</v>
      </c>
      <c r="D22" s="17" t="s">
        <v>28</v>
      </c>
    </row>
    <row r="23" spans="1:4" x14ac:dyDescent="0.35">
      <c r="A23" s="17"/>
      <c r="B23" s="19" t="s">
        <v>21</v>
      </c>
      <c r="C23" s="17">
        <v>10</v>
      </c>
      <c r="D23" s="17" t="s">
        <v>5</v>
      </c>
    </row>
    <row r="24" spans="1:4" x14ac:dyDescent="0.35">
      <c r="A24" s="17"/>
      <c r="B24" s="19" t="s">
        <v>22</v>
      </c>
      <c r="C24" s="17">
        <v>2</v>
      </c>
      <c r="D24" s="17" t="s">
        <v>5</v>
      </c>
    </row>
    <row r="25" spans="1:4" x14ac:dyDescent="0.35">
      <c r="A25" s="17"/>
      <c r="B25" s="19" t="s">
        <v>23</v>
      </c>
      <c r="C25" s="17">
        <v>10</v>
      </c>
      <c r="D25" s="17" t="s">
        <v>5</v>
      </c>
    </row>
    <row r="26" spans="1:4" x14ac:dyDescent="0.35">
      <c r="A26" s="17"/>
      <c r="B26" s="19" t="s">
        <v>24</v>
      </c>
      <c r="C26" s="17">
        <v>10</v>
      </c>
      <c r="D26" s="17" t="s">
        <v>5</v>
      </c>
    </row>
    <row r="27" spans="1:4" x14ac:dyDescent="0.35">
      <c r="A27" s="17"/>
      <c r="B27" s="19" t="s">
        <v>25</v>
      </c>
      <c r="C27" s="17">
        <v>80</v>
      </c>
      <c r="D27" s="17" t="s">
        <v>29</v>
      </c>
    </row>
    <row r="28" spans="1:4" x14ac:dyDescent="0.35">
      <c r="A28" s="17"/>
      <c r="B28" s="19" t="s">
        <v>26</v>
      </c>
      <c r="C28" s="17">
        <v>20</v>
      </c>
      <c r="D28" s="17" t="s">
        <v>5</v>
      </c>
    </row>
    <row r="29" spans="1:4" x14ac:dyDescent="0.35">
      <c r="A29" s="17"/>
      <c r="B29" s="19" t="s">
        <v>27</v>
      </c>
      <c r="C29" s="17">
        <v>5</v>
      </c>
      <c r="D29" s="17" t="s">
        <v>5</v>
      </c>
    </row>
    <row r="30" spans="1:4" x14ac:dyDescent="0.35">
      <c r="A30" s="20"/>
      <c r="B30" s="21"/>
      <c r="C30" s="20"/>
      <c r="D30" s="20"/>
    </row>
    <row r="31" spans="1:4" x14ac:dyDescent="0.35">
      <c r="A31" s="17" t="s">
        <v>33</v>
      </c>
      <c r="B31" s="18" t="s">
        <v>30</v>
      </c>
      <c r="C31" s="17"/>
      <c r="D31" s="17"/>
    </row>
    <row r="32" spans="1:4" ht="29.05" x14ac:dyDescent="0.35">
      <c r="A32" s="17"/>
      <c r="B32" s="19" t="s">
        <v>16</v>
      </c>
      <c r="C32" s="17">
        <v>20</v>
      </c>
      <c r="D3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8"/>
  <sheetViews>
    <sheetView workbookViewId="0">
      <selection activeCell="B7" sqref="B7"/>
    </sheetView>
  </sheetViews>
  <sheetFormatPr defaultRowHeight="14.5" x14ac:dyDescent="0.35"/>
  <cols>
    <col min="1" max="1" width="3" customWidth="1"/>
    <col min="2" max="2" width="56.81640625" customWidth="1"/>
  </cols>
  <sheetData>
    <row r="3" spans="2:4" x14ac:dyDescent="0.35">
      <c r="B3" s="2" t="s">
        <v>116</v>
      </c>
      <c r="C3" s="1"/>
      <c r="D3" s="1"/>
    </row>
    <row r="4" spans="2:4" x14ac:dyDescent="0.35">
      <c r="B4" s="1" t="s">
        <v>117</v>
      </c>
      <c r="C4" s="1">
        <v>330</v>
      </c>
      <c r="D4" s="1" t="s">
        <v>48</v>
      </c>
    </row>
    <row r="5" spans="2:4" x14ac:dyDescent="0.35">
      <c r="B5" s="1" t="s">
        <v>55</v>
      </c>
      <c r="C5" s="1">
        <v>190</v>
      </c>
      <c r="D5" s="1" t="s">
        <v>48</v>
      </c>
    </row>
    <row r="6" spans="2:4" x14ac:dyDescent="0.35">
      <c r="B6" s="1" t="s">
        <v>47</v>
      </c>
      <c r="C6" s="1">
        <v>180</v>
      </c>
      <c r="D6" s="1" t="s">
        <v>48</v>
      </c>
    </row>
    <row r="7" spans="2:4" x14ac:dyDescent="0.35">
      <c r="B7" s="1" t="s">
        <v>118</v>
      </c>
      <c r="C7" s="1">
        <v>150</v>
      </c>
      <c r="D7" s="1" t="s">
        <v>48</v>
      </c>
    </row>
    <row r="8" spans="2:4" x14ac:dyDescent="0.35">
      <c r="B8" s="1" t="s">
        <v>58</v>
      </c>
      <c r="C8" s="1">
        <v>70</v>
      </c>
      <c r="D8" s="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29C7-00B0-433C-B53F-185EA6A45685}">
  <dimension ref="A1:K92"/>
  <sheetViews>
    <sheetView topLeftCell="A32" workbookViewId="0">
      <selection activeCell="E87" activeCellId="13" sqref="F60:F65 H61 H63 H64 H65 G85 G83 G86 G87 E86 E85 E84 E83 E87"/>
    </sheetView>
  </sheetViews>
  <sheetFormatPr defaultRowHeight="14.5" x14ac:dyDescent="0.35"/>
  <cols>
    <col min="1" max="1" width="15.08984375" style="3" customWidth="1"/>
    <col min="2" max="3" width="12.453125" style="3" customWidth="1"/>
    <col min="4" max="4" width="17.7265625" style="3" customWidth="1"/>
    <col min="5" max="5" width="14.81640625" style="3" customWidth="1"/>
    <col min="6" max="6" width="17.6328125" style="3" customWidth="1"/>
    <col min="7" max="7" width="22.453125" style="3" customWidth="1"/>
    <col min="8" max="9" width="8.7265625" style="3"/>
    <col min="10" max="10" width="12.26953125" style="3" customWidth="1"/>
    <col min="11" max="16384" width="8.7265625" style="3"/>
  </cols>
  <sheetData>
    <row r="1" spans="1:11" ht="15.05" thickBot="1" x14ac:dyDescent="0.4">
      <c r="A1" t="s">
        <v>124</v>
      </c>
    </row>
    <row r="2" spans="1:11" ht="51.3" customHeight="1" thickBot="1" x14ac:dyDescent="0.4">
      <c r="A2" s="83" t="s">
        <v>36</v>
      </c>
      <c r="B2" s="84"/>
      <c r="C2" s="84"/>
      <c r="D2" s="85"/>
      <c r="E2" s="27" t="s">
        <v>125</v>
      </c>
      <c r="F2" s="27" t="s">
        <v>126</v>
      </c>
      <c r="G2" s="27" t="s">
        <v>127</v>
      </c>
      <c r="H2" s="27" t="s">
        <v>116</v>
      </c>
      <c r="I2" s="27" t="s">
        <v>128</v>
      </c>
      <c r="J2" s="27" t="s">
        <v>129</v>
      </c>
      <c r="K2" s="28" t="s">
        <v>130</v>
      </c>
    </row>
    <row r="3" spans="1:11" ht="29.05" x14ac:dyDescent="0.35">
      <c r="A3" s="29" t="s">
        <v>117</v>
      </c>
      <c r="B3" s="30"/>
      <c r="C3" s="30"/>
      <c r="D3" s="30"/>
      <c r="E3" s="31" t="s">
        <v>48</v>
      </c>
      <c r="F3" s="31">
        <v>0</v>
      </c>
      <c r="G3" s="31">
        <v>0</v>
      </c>
      <c r="H3" s="31">
        <v>330</v>
      </c>
      <c r="I3" s="31">
        <f>(G3+H3)*0.25</f>
        <v>82.5</v>
      </c>
      <c r="J3" s="31">
        <f>G3+H3+I3-F3</f>
        <v>412.5</v>
      </c>
      <c r="K3" s="32"/>
    </row>
    <row r="4" spans="1:11" ht="29.05" x14ac:dyDescent="0.35">
      <c r="A4" s="33"/>
      <c r="B4" s="23" t="s">
        <v>47</v>
      </c>
      <c r="C4" s="23"/>
      <c r="D4" s="23"/>
      <c r="E4" s="24" t="s">
        <v>48</v>
      </c>
      <c r="F4" s="24"/>
      <c r="G4" s="24"/>
      <c r="H4" s="24"/>
      <c r="I4" s="24"/>
      <c r="J4" s="24">
        <f>J3*0.7</f>
        <v>288.75</v>
      </c>
      <c r="K4" s="34"/>
    </row>
    <row r="5" spans="1:11" x14ac:dyDescent="0.35">
      <c r="A5" s="33"/>
      <c r="B5" s="23"/>
      <c r="C5" s="24" t="s">
        <v>17</v>
      </c>
      <c r="D5" s="23"/>
      <c r="E5" s="24" t="s">
        <v>48</v>
      </c>
      <c r="F5" s="24"/>
      <c r="G5" s="24"/>
      <c r="H5" s="24"/>
      <c r="I5" s="24"/>
      <c r="J5" s="24"/>
      <c r="K5" s="34"/>
    </row>
    <row r="6" spans="1:11" x14ac:dyDescent="0.35">
      <c r="A6" s="33"/>
      <c r="B6" s="23"/>
      <c r="C6" s="24" t="s">
        <v>20</v>
      </c>
      <c r="D6" s="23"/>
      <c r="E6" s="24" t="s">
        <v>40</v>
      </c>
      <c r="F6" s="24"/>
      <c r="G6" s="24"/>
      <c r="H6" s="24"/>
      <c r="I6" s="24"/>
      <c r="J6" s="24"/>
      <c r="K6" s="34"/>
    </row>
    <row r="7" spans="1:11" x14ac:dyDescent="0.35">
      <c r="A7" s="33"/>
      <c r="B7" s="23"/>
      <c r="C7" s="24" t="s">
        <v>21</v>
      </c>
      <c r="D7" s="23"/>
      <c r="E7" s="24" t="s">
        <v>48</v>
      </c>
      <c r="F7" s="24"/>
      <c r="G7" s="24"/>
      <c r="H7" s="24"/>
      <c r="I7" s="24"/>
      <c r="J7" s="24"/>
      <c r="K7" s="34"/>
    </row>
    <row r="8" spans="1:11" x14ac:dyDescent="0.35">
      <c r="A8" s="33"/>
      <c r="B8" s="23"/>
      <c r="C8" s="24" t="s">
        <v>41</v>
      </c>
      <c r="D8" s="23"/>
      <c r="E8" s="24" t="s">
        <v>48</v>
      </c>
      <c r="F8" s="24"/>
      <c r="G8" s="24"/>
      <c r="H8" s="24"/>
      <c r="I8" s="24"/>
      <c r="J8" s="24"/>
      <c r="K8" s="34"/>
    </row>
    <row r="9" spans="1:11" x14ac:dyDescent="0.35">
      <c r="A9" s="33"/>
      <c r="B9" s="23"/>
      <c r="C9" s="24" t="s">
        <v>24</v>
      </c>
      <c r="D9" s="23"/>
      <c r="E9" s="24" t="s">
        <v>48</v>
      </c>
      <c r="F9" s="24"/>
      <c r="G9" s="24"/>
      <c r="H9" s="24"/>
      <c r="I9" s="24"/>
      <c r="J9" s="24"/>
      <c r="K9" s="34"/>
    </row>
    <row r="10" spans="1:11" x14ac:dyDescent="0.35">
      <c r="A10" s="33"/>
      <c r="B10" s="23" t="s">
        <v>94</v>
      </c>
      <c r="C10" s="24"/>
      <c r="D10" s="23"/>
      <c r="E10" s="24" t="s">
        <v>48</v>
      </c>
      <c r="F10" s="24"/>
      <c r="G10" s="24"/>
      <c r="H10" s="24"/>
      <c r="I10" s="24"/>
      <c r="J10" s="24">
        <f>J3*0.3</f>
        <v>123.75</v>
      </c>
      <c r="K10" s="34"/>
    </row>
    <row r="11" spans="1:11" x14ac:dyDescent="0.35">
      <c r="A11" s="33"/>
      <c r="B11" s="23"/>
      <c r="C11" s="24" t="s">
        <v>23</v>
      </c>
      <c r="D11" s="23"/>
      <c r="E11" s="24" t="s">
        <v>48</v>
      </c>
      <c r="F11" s="24"/>
      <c r="G11" s="24"/>
      <c r="H11" s="24"/>
      <c r="I11" s="24"/>
      <c r="J11" s="24"/>
      <c r="K11" s="34"/>
    </row>
    <row r="12" spans="1:11" x14ac:dyDescent="0.35">
      <c r="A12" s="33"/>
      <c r="B12" s="23"/>
      <c r="C12" s="24" t="s">
        <v>20</v>
      </c>
      <c r="D12" s="23"/>
      <c r="E12" s="24" t="s">
        <v>40</v>
      </c>
      <c r="F12" s="24"/>
      <c r="G12" s="24"/>
      <c r="H12" s="24"/>
      <c r="I12" s="24"/>
      <c r="J12" s="24"/>
      <c r="K12" s="34"/>
    </row>
    <row r="13" spans="1:11" x14ac:dyDescent="0.35">
      <c r="A13" s="33"/>
      <c r="B13" s="23"/>
      <c r="C13" s="24" t="s">
        <v>45</v>
      </c>
      <c r="D13" s="23"/>
      <c r="E13" s="24" t="s">
        <v>48</v>
      </c>
      <c r="F13" s="24"/>
      <c r="G13" s="24"/>
      <c r="H13" s="24"/>
      <c r="I13" s="24"/>
      <c r="J13" s="24"/>
      <c r="K13" s="34"/>
    </row>
    <row r="14" spans="1:11" x14ac:dyDescent="0.35">
      <c r="A14" s="33"/>
      <c r="B14" s="23"/>
      <c r="C14" s="24" t="s">
        <v>24</v>
      </c>
      <c r="D14" s="23"/>
      <c r="E14" s="24" t="s">
        <v>48</v>
      </c>
      <c r="F14" s="24"/>
      <c r="G14" s="24"/>
      <c r="H14" s="24"/>
      <c r="I14" s="24"/>
      <c r="J14" s="24"/>
      <c r="K14" s="34"/>
    </row>
    <row r="15" spans="1:11" ht="29.55" thickBot="1" x14ac:dyDescent="0.4">
      <c r="A15" s="37"/>
      <c r="B15" s="38"/>
      <c r="C15" s="39" t="s">
        <v>25</v>
      </c>
      <c r="D15" s="38"/>
      <c r="E15" s="39" t="s">
        <v>48</v>
      </c>
      <c r="F15" s="39"/>
      <c r="G15" s="39"/>
      <c r="H15" s="39"/>
      <c r="I15" s="39"/>
      <c r="J15" s="39"/>
      <c r="K15" s="40"/>
    </row>
    <row r="16" spans="1:11" ht="31.6" customHeight="1" x14ac:dyDescent="0.35">
      <c r="A16" s="43" t="s">
        <v>118</v>
      </c>
      <c r="B16" s="31"/>
      <c r="C16" s="31"/>
      <c r="D16" s="31"/>
      <c r="E16" s="31" t="s">
        <v>48</v>
      </c>
      <c r="F16" s="41">
        <v>50</v>
      </c>
      <c r="G16" s="31">
        <v>0</v>
      </c>
      <c r="H16" s="31">
        <v>150</v>
      </c>
      <c r="I16" s="31">
        <f>(G16+H16)*0.25</f>
        <v>37.5</v>
      </c>
      <c r="J16" s="31">
        <f>G16+H16+I16-F16</f>
        <v>137.5</v>
      </c>
      <c r="K16" s="32"/>
    </row>
    <row r="17" spans="1:11" ht="29.05" x14ac:dyDescent="0.35">
      <c r="A17" s="44"/>
      <c r="B17" s="24" t="s">
        <v>57</v>
      </c>
      <c r="C17" s="24"/>
      <c r="D17" s="24"/>
      <c r="E17" s="24" t="s">
        <v>48</v>
      </c>
      <c r="F17" s="24"/>
      <c r="G17" s="24"/>
      <c r="H17" s="24"/>
      <c r="I17" s="24"/>
      <c r="J17" s="24"/>
      <c r="K17" s="34">
        <f>J16*0.8</f>
        <v>110</v>
      </c>
    </row>
    <row r="18" spans="1:11" x14ac:dyDescent="0.35">
      <c r="A18" s="44"/>
      <c r="B18" s="24" t="s">
        <v>58</v>
      </c>
      <c r="C18" s="24"/>
      <c r="D18" s="24"/>
      <c r="E18" s="24" t="s">
        <v>48</v>
      </c>
      <c r="F18" s="24"/>
      <c r="G18" s="24"/>
      <c r="H18" s="24"/>
      <c r="I18" s="24"/>
      <c r="J18" s="24">
        <f>J16*0.2</f>
        <v>27.5</v>
      </c>
      <c r="K18" s="34"/>
    </row>
    <row r="19" spans="1:11" x14ac:dyDescent="0.35">
      <c r="A19" s="44"/>
      <c r="B19" s="24"/>
      <c r="C19" s="24" t="s">
        <v>86</v>
      </c>
      <c r="D19" s="24"/>
      <c r="E19" s="24" t="s">
        <v>48</v>
      </c>
      <c r="F19" s="24"/>
      <c r="G19" s="24"/>
      <c r="H19" s="24"/>
      <c r="I19" s="24"/>
      <c r="J19" s="24"/>
      <c r="K19" s="34"/>
    </row>
    <row r="20" spans="1:11" x14ac:dyDescent="0.35">
      <c r="A20" s="44"/>
      <c r="B20" s="24"/>
      <c r="C20" s="24"/>
      <c r="D20" s="24" t="s">
        <v>23</v>
      </c>
      <c r="E20" s="24" t="s">
        <v>48</v>
      </c>
      <c r="F20" s="24"/>
      <c r="G20" s="24"/>
      <c r="H20" s="24"/>
      <c r="I20" s="24"/>
      <c r="J20" s="24"/>
      <c r="K20" s="34"/>
    </row>
    <row r="21" spans="1:11" x14ac:dyDescent="0.35">
      <c r="A21" s="44"/>
      <c r="B21" s="24"/>
      <c r="C21" s="24"/>
      <c r="D21" s="24" t="s">
        <v>20</v>
      </c>
      <c r="E21" s="24" t="s">
        <v>40</v>
      </c>
      <c r="F21" s="24"/>
      <c r="G21" s="24"/>
      <c r="H21" s="24"/>
      <c r="I21" s="24"/>
      <c r="J21" s="24"/>
      <c r="K21" s="34"/>
    </row>
    <row r="22" spans="1:11" x14ac:dyDescent="0.35">
      <c r="A22" s="44"/>
      <c r="B22" s="24"/>
      <c r="C22" s="24"/>
      <c r="D22" s="24" t="s">
        <v>45</v>
      </c>
      <c r="E22" s="24" t="s">
        <v>48</v>
      </c>
      <c r="F22" s="24"/>
      <c r="G22" s="24"/>
      <c r="H22" s="24"/>
      <c r="I22" s="24"/>
      <c r="J22" s="24"/>
      <c r="K22" s="34"/>
    </row>
    <row r="23" spans="1:11" x14ac:dyDescent="0.35">
      <c r="A23" s="44"/>
      <c r="B23" s="24"/>
      <c r="C23" s="24"/>
      <c r="D23" s="24" t="s">
        <v>24</v>
      </c>
      <c r="E23" s="24" t="s">
        <v>48</v>
      </c>
      <c r="F23" s="24"/>
      <c r="G23" s="24"/>
      <c r="H23" s="24"/>
      <c r="I23" s="24"/>
      <c r="J23" s="24"/>
      <c r="K23" s="34"/>
    </row>
    <row r="24" spans="1:11" ht="29.05" x14ac:dyDescent="0.35">
      <c r="A24" s="44"/>
      <c r="B24" s="24"/>
      <c r="C24" s="24"/>
      <c r="D24" s="24" t="s">
        <v>25</v>
      </c>
      <c r="E24" s="24" t="s">
        <v>48</v>
      </c>
      <c r="F24" s="24"/>
      <c r="G24" s="24"/>
      <c r="H24" s="24"/>
      <c r="I24" s="24"/>
      <c r="J24" s="24"/>
      <c r="K24" s="34"/>
    </row>
    <row r="25" spans="1:11" ht="29.05" x14ac:dyDescent="0.35">
      <c r="A25" s="44"/>
      <c r="B25" s="24"/>
      <c r="C25" s="24" t="s">
        <v>52</v>
      </c>
      <c r="D25" s="24"/>
      <c r="E25" s="24" t="s">
        <v>48</v>
      </c>
      <c r="F25" s="24"/>
      <c r="G25" s="24"/>
      <c r="H25" s="24"/>
      <c r="I25" s="24"/>
      <c r="J25" s="24"/>
      <c r="K25" s="34"/>
    </row>
    <row r="26" spans="1:11" x14ac:dyDescent="0.35">
      <c r="A26" s="44"/>
      <c r="B26" s="24" t="s">
        <v>59</v>
      </c>
      <c r="C26" s="24"/>
      <c r="D26" s="24"/>
      <c r="E26" s="24" t="s">
        <v>48</v>
      </c>
      <c r="F26" s="24"/>
      <c r="G26" s="24"/>
      <c r="H26" s="24"/>
      <c r="I26" s="24"/>
      <c r="J26" s="24"/>
      <c r="K26" s="34">
        <f>J16*0.2</f>
        <v>27.5</v>
      </c>
    </row>
    <row r="27" spans="1:11" x14ac:dyDescent="0.35">
      <c r="A27" s="44"/>
      <c r="B27" s="24" t="s">
        <v>54</v>
      </c>
      <c r="C27" s="24"/>
      <c r="D27" s="24"/>
      <c r="E27" s="24" t="s">
        <v>48</v>
      </c>
      <c r="F27" s="24"/>
      <c r="G27" s="24"/>
      <c r="H27" s="24"/>
      <c r="I27" s="24"/>
      <c r="J27" s="24"/>
      <c r="K27" s="34">
        <f>J16*0.05</f>
        <v>6.875</v>
      </c>
    </row>
    <row r="28" spans="1:11" ht="29.55" thickBot="1" x14ac:dyDescent="0.4">
      <c r="A28" s="46"/>
      <c r="B28" s="39" t="s">
        <v>113</v>
      </c>
      <c r="C28" s="39"/>
      <c r="D28" s="39"/>
      <c r="E28" s="39" t="s">
        <v>131</v>
      </c>
      <c r="F28" s="39"/>
      <c r="G28" s="39"/>
      <c r="H28" s="39"/>
      <c r="I28" s="39"/>
      <c r="J28" s="39"/>
      <c r="K28" s="40">
        <f>J16*0.2</f>
        <v>27.5</v>
      </c>
    </row>
    <row r="29" spans="1:11" x14ac:dyDescent="0.35">
      <c r="A29" s="43" t="s">
        <v>58</v>
      </c>
      <c r="B29" s="31"/>
      <c r="C29" s="31"/>
      <c r="D29" s="31"/>
      <c r="E29" s="31" t="s">
        <v>48</v>
      </c>
      <c r="F29" s="31">
        <v>0</v>
      </c>
      <c r="G29" s="31">
        <f>J18</f>
        <v>27.5</v>
      </c>
      <c r="H29" s="31">
        <v>70</v>
      </c>
      <c r="I29" s="31">
        <f>(G29+H29)*0.2</f>
        <v>19.5</v>
      </c>
      <c r="J29" s="31">
        <f>G29+H29+I29-F29</f>
        <v>117</v>
      </c>
      <c r="K29" s="32"/>
    </row>
    <row r="30" spans="1:11" x14ac:dyDescent="0.35">
      <c r="A30" s="44"/>
      <c r="B30" s="24" t="s">
        <v>86</v>
      </c>
      <c r="C30" s="24"/>
      <c r="D30" s="24"/>
      <c r="E30" s="24" t="s">
        <v>48</v>
      </c>
      <c r="F30" s="24"/>
      <c r="G30" s="24"/>
      <c r="H30" s="24"/>
      <c r="I30" s="24"/>
      <c r="J30" s="24">
        <f>J29*0.8</f>
        <v>93.600000000000009</v>
      </c>
      <c r="K30" s="34"/>
    </row>
    <row r="31" spans="1:11" x14ac:dyDescent="0.35">
      <c r="A31" s="44"/>
      <c r="B31" s="24"/>
      <c r="C31" s="24" t="s">
        <v>23</v>
      </c>
      <c r="D31" s="24"/>
      <c r="E31" s="24" t="s">
        <v>48</v>
      </c>
      <c r="F31" s="24"/>
      <c r="G31" s="24"/>
      <c r="H31" s="24"/>
      <c r="I31" s="24"/>
      <c r="J31" s="24"/>
      <c r="K31" s="34"/>
    </row>
    <row r="32" spans="1:11" x14ac:dyDescent="0.35">
      <c r="A32" s="44"/>
      <c r="B32" s="24"/>
      <c r="C32" s="24" t="s">
        <v>20</v>
      </c>
      <c r="D32" s="24"/>
      <c r="E32" s="24" t="s">
        <v>40</v>
      </c>
      <c r="F32" s="24"/>
      <c r="G32" s="24"/>
      <c r="H32" s="24"/>
      <c r="I32" s="24"/>
      <c r="J32" s="24"/>
      <c r="K32" s="34"/>
    </row>
    <row r="33" spans="1:11" x14ac:dyDescent="0.35">
      <c r="A33" s="44"/>
      <c r="B33" s="24"/>
      <c r="C33" s="24" t="s">
        <v>45</v>
      </c>
      <c r="D33" s="24"/>
      <c r="E33" s="24" t="s">
        <v>48</v>
      </c>
      <c r="F33" s="24"/>
      <c r="G33" s="24"/>
      <c r="H33" s="24"/>
      <c r="I33" s="24"/>
      <c r="J33" s="24"/>
      <c r="K33" s="34"/>
    </row>
    <row r="34" spans="1:11" x14ac:dyDescent="0.35">
      <c r="A34" s="44"/>
      <c r="B34" s="24"/>
      <c r="C34" s="24" t="s">
        <v>24</v>
      </c>
      <c r="D34" s="24"/>
      <c r="E34" s="24" t="s">
        <v>48</v>
      </c>
      <c r="F34" s="24"/>
      <c r="G34" s="24"/>
      <c r="H34" s="24"/>
      <c r="I34" s="24"/>
      <c r="J34" s="24"/>
      <c r="K34" s="34"/>
    </row>
    <row r="35" spans="1:11" ht="29.05" x14ac:dyDescent="0.35">
      <c r="A35" s="44"/>
      <c r="B35" s="24"/>
      <c r="C35" s="24" t="s">
        <v>25</v>
      </c>
      <c r="D35" s="24"/>
      <c r="E35" s="24" t="s">
        <v>48</v>
      </c>
      <c r="F35" s="24"/>
      <c r="G35" s="24"/>
      <c r="H35" s="24"/>
      <c r="I35" s="24"/>
      <c r="J35" s="24"/>
      <c r="K35" s="34"/>
    </row>
    <row r="36" spans="1:11" ht="29.55" thickBot="1" x14ac:dyDescent="0.4">
      <c r="A36" s="46"/>
      <c r="B36" s="39" t="s">
        <v>52</v>
      </c>
      <c r="C36" s="39"/>
      <c r="D36" s="39"/>
      <c r="E36" s="39" t="s">
        <v>48</v>
      </c>
      <c r="F36" s="39"/>
      <c r="G36" s="39"/>
      <c r="H36" s="39"/>
      <c r="I36" s="39"/>
      <c r="J36" s="39"/>
      <c r="K36" s="40">
        <f>J29*0.2</f>
        <v>23.400000000000002</v>
      </c>
    </row>
    <row r="37" spans="1:11" x14ac:dyDescent="0.35">
      <c r="A37" s="43" t="s">
        <v>86</v>
      </c>
      <c r="B37" s="31"/>
      <c r="C37" s="47"/>
      <c r="D37" s="47"/>
      <c r="E37" s="31" t="s">
        <v>48</v>
      </c>
      <c r="F37" s="47">
        <v>10</v>
      </c>
      <c r="G37" s="47">
        <f>J30+J10</f>
        <v>217.35000000000002</v>
      </c>
      <c r="H37" s="47">
        <v>0</v>
      </c>
      <c r="I37" s="47">
        <f>(G37+H37)*0.2</f>
        <v>43.470000000000006</v>
      </c>
      <c r="J37" s="31">
        <f>G37+H37+I37-F37</f>
        <v>250.82000000000005</v>
      </c>
      <c r="K37" s="48"/>
    </row>
    <row r="38" spans="1:11" x14ac:dyDescent="0.35">
      <c r="A38" s="44"/>
      <c r="B38" s="24" t="s">
        <v>23</v>
      </c>
      <c r="C38" s="4"/>
      <c r="D38" s="1"/>
      <c r="E38" s="24" t="s">
        <v>48</v>
      </c>
      <c r="F38" s="4"/>
      <c r="G38" s="4"/>
      <c r="H38" s="4"/>
      <c r="I38" s="4"/>
      <c r="J38" s="4"/>
      <c r="K38" s="42">
        <f>J37*0.9</f>
        <v>225.73800000000006</v>
      </c>
    </row>
    <row r="39" spans="1:11" x14ac:dyDescent="0.35">
      <c r="A39" s="44"/>
      <c r="B39" s="24" t="s">
        <v>20</v>
      </c>
      <c r="C39" s="4"/>
      <c r="D39" s="1"/>
      <c r="E39" s="24" t="s">
        <v>40</v>
      </c>
      <c r="F39" s="4"/>
      <c r="G39" s="4"/>
      <c r="H39" s="4"/>
      <c r="I39" s="4"/>
      <c r="J39" s="4"/>
      <c r="K39" s="42">
        <f>ROUNDUP(J37,0)</f>
        <v>251</v>
      </c>
    </row>
    <row r="40" spans="1:11" x14ac:dyDescent="0.35">
      <c r="A40" s="44"/>
      <c r="B40" s="24" t="s">
        <v>45</v>
      </c>
      <c r="C40" s="4"/>
      <c r="D40" s="1"/>
      <c r="E40" s="24" t="s">
        <v>48</v>
      </c>
      <c r="F40" s="4"/>
      <c r="G40" s="4"/>
      <c r="H40" s="4"/>
      <c r="I40" s="4"/>
      <c r="J40" s="4"/>
      <c r="K40" s="86">
        <f>J37*0.02</f>
        <v>5.0164000000000009</v>
      </c>
    </row>
    <row r="41" spans="1:11" x14ac:dyDescent="0.35">
      <c r="A41" s="44"/>
      <c r="B41" s="24" t="s">
        <v>24</v>
      </c>
      <c r="C41" s="4"/>
      <c r="D41" s="1"/>
      <c r="E41" s="24" t="s">
        <v>48</v>
      </c>
      <c r="F41" s="4"/>
      <c r="G41" s="4"/>
      <c r="H41" s="4"/>
      <c r="I41" s="4"/>
      <c r="J41" s="4"/>
      <c r="K41" s="86">
        <f>J37*0.002</f>
        <v>0.50164000000000009</v>
      </c>
    </row>
    <row r="42" spans="1:11" ht="29.55" thickBot="1" x14ac:dyDescent="0.4">
      <c r="A42" s="46"/>
      <c r="B42" s="39" t="s">
        <v>25</v>
      </c>
      <c r="C42" s="49"/>
      <c r="D42" s="50"/>
      <c r="E42" s="39" t="s">
        <v>48</v>
      </c>
      <c r="F42" s="49"/>
      <c r="G42" s="49"/>
      <c r="H42" s="49"/>
      <c r="I42" s="49"/>
      <c r="J42" s="49"/>
      <c r="K42" s="87">
        <f>J37*0.003</f>
        <v>0.75246000000000013</v>
      </c>
    </row>
    <row r="43" spans="1:11" x14ac:dyDescent="0.35">
      <c r="A43" s="43" t="s">
        <v>47</v>
      </c>
      <c r="B43" s="31"/>
      <c r="C43" s="31"/>
      <c r="D43" s="31"/>
      <c r="E43" s="31" t="s">
        <v>48</v>
      </c>
      <c r="F43" s="31">
        <v>60</v>
      </c>
      <c r="G43" s="31">
        <f>J4</f>
        <v>288.75</v>
      </c>
      <c r="H43" s="31">
        <v>180</v>
      </c>
      <c r="I43" s="31">
        <f>(G43+H43)*0.2</f>
        <v>93.75</v>
      </c>
      <c r="J43" s="31">
        <f>G43+H43+I43-F43</f>
        <v>502.5</v>
      </c>
      <c r="K43" s="32"/>
    </row>
    <row r="44" spans="1:11" x14ac:dyDescent="0.35">
      <c r="A44" s="44"/>
      <c r="B44" s="24" t="s">
        <v>17</v>
      </c>
      <c r="C44" s="24"/>
      <c r="D44" s="51"/>
      <c r="E44" s="24" t="s">
        <v>48</v>
      </c>
      <c r="F44" s="24"/>
      <c r="G44" s="24"/>
      <c r="H44" s="24"/>
      <c r="I44" s="24"/>
      <c r="J44" s="24"/>
      <c r="K44" s="34">
        <f>J43*0.8</f>
        <v>402</v>
      </c>
    </row>
    <row r="45" spans="1:11" x14ac:dyDescent="0.35">
      <c r="A45" s="44"/>
      <c r="B45" s="24" t="s">
        <v>20</v>
      </c>
      <c r="C45" s="24"/>
      <c r="D45" s="51"/>
      <c r="E45" s="24" t="s">
        <v>40</v>
      </c>
      <c r="F45" s="24"/>
      <c r="G45" s="24"/>
      <c r="H45" s="24"/>
      <c r="I45" s="24"/>
      <c r="J45" s="24"/>
      <c r="K45" s="34">
        <f>J43*2</f>
        <v>1005</v>
      </c>
    </row>
    <row r="46" spans="1:11" x14ac:dyDescent="0.35">
      <c r="A46" s="44"/>
      <c r="B46" s="24" t="s">
        <v>21</v>
      </c>
      <c r="C46" s="24"/>
      <c r="D46" s="51"/>
      <c r="E46" s="24" t="s">
        <v>48</v>
      </c>
      <c r="F46" s="24"/>
      <c r="G46" s="24"/>
      <c r="H46" s="24"/>
      <c r="I46" s="24"/>
      <c r="J46" s="24"/>
      <c r="K46" s="34">
        <f>J43*0.02</f>
        <v>10.050000000000001</v>
      </c>
    </row>
    <row r="47" spans="1:11" x14ac:dyDescent="0.35">
      <c r="A47" s="44"/>
      <c r="B47" s="24" t="s">
        <v>41</v>
      </c>
      <c r="C47" s="24"/>
      <c r="D47" s="51"/>
      <c r="E47" s="24" t="s">
        <v>48</v>
      </c>
      <c r="F47" s="24"/>
      <c r="G47" s="24"/>
      <c r="H47" s="24"/>
      <c r="I47" s="24"/>
      <c r="J47" s="24"/>
      <c r="K47" s="88">
        <f>J43*0.001</f>
        <v>0.50250000000000006</v>
      </c>
    </row>
    <row r="48" spans="1:11" ht="15.05" thickBot="1" x14ac:dyDescent="0.4">
      <c r="A48" s="46"/>
      <c r="B48" s="39" t="s">
        <v>24</v>
      </c>
      <c r="C48" s="39"/>
      <c r="D48" s="53"/>
      <c r="E48" s="39" t="s">
        <v>48</v>
      </c>
      <c r="F48" s="39"/>
      <c r="G48" s="39"/>
      <c r="H48" s="39"/>
      <c r="I48" s="39"/>
      <c r="J48" s="39"/>
      <c r="K48" s="89">
        <f>J43*0.001</f>
        <v>0.50250000000000006</v>
      </c>
    </row>
    <row r="49" spans="1:11" x14ac:dyDescent="0.35">
      <c r="A49" s="43" t="s">
        <v>55</v>
      </c>
      <c r="B49" s="31"/>
      <c r="C49" s="31"/>
      <c r="D49" s="31"/>
      <c r="E49" s="31"/>
      <c r="F49" s="31">
        <v>15</v>
      </c>
      <c r="G49" s="31">
        <v>0</v>
      </c>
      <c r="H49" s="31">
        <v>190</v>
      </c>
      <c r="I49" s="31">
        <f>(G49+H49)*0.2</f>
        <v>38</v>
      </c>
      <c r="J49" s="31">
        <f>G49+H49+I49-F49</f>
        <v>213</v>
      </c>
      <c r="K49" s="32"/>
    </row>
    <row r="50" spans="1:11" ht="29.05" x14ac:dyDescent="0.35">
      <c r="A50" s="44"/>
      <c r="B50" s="24" t="s">
        <v>14</v>
      </c>
      <c r="C50" s="51"/>
      <c r="D50" s="24"/>
      <c r="E50" s="24" t="s">
        <v>48</v>
      </c>
      <c r="F50" s="24"/>
      <c r="G50" s="24"/>
      <c r="H50" s="24"/>
      <c r="I50" s="24"/>
      <c r="J50" s="24"/>
      <c r="K50" s="34">
        <f>J49*0.6</f>
        <v>127.8</v>
      </c>
    </row>
    <row r="51" spans="1:11" x14ac:dyDescent="0.35">
      <c r="A51" s="44"/>
      <c r="B51" s="24" t="s">
        <v>20</v>
      </c>
      <c r="C51" s="51"/>
      <c r="D51" s="24"/>
      <c r="E51" s="24" t="s">
        <v>40</v>
      </c>
      <c r="F51" s="24"/>
      <c r="G51" s="24"/>
      <c r="H51" s="24"/>
      <c r="I51" s="24"/>
      <c r="J51" s="24"/>
      <c r="K51" s="34">
        <f>J49*2</f>
        <v>426</v>
      </c>
    </row>
    <row r="52" spans="1:11" x14ac:dyDescent="0.35">
      <c r="A52" s="44"/>
      <c r="B52" s="24" t="s">
        <v>21</v>
      </c>
      <c r="C52" s="51"/>
      <c r="D52" s="24"/>
      <c r="E52" s="24" t="s">
        <v>48</v>
      </c>
      <c r="F52" s="24"/>
      <c r="G52" s="24"/>
      <c r="H52" s="24"/>
      <c r="I52" s="24"/>
      <c r="J52" s="24"/>
      <c r="K52" s="34">
        <f>J49*0.02</f>
        <v>4.26</v>
      </c>
    </row>
    <row r="53" spans="1:11" x14ac:dyDescent="0.35">
      <c r="A53" s="44"/>
      <c r="B53" s="24" t="s">
        <v>41</v>
      </c>
      <c r="C53" s="51"/>
      <c r="D53" s="24"/>
      <c r="E53" s="24" t="s">
        <v>48</v>
      </c>
      <c r="F53" s="24"/>
      <c r="G53" s="24"/>
      <c r="H53" s="24"/>
      <c r="I53" s="24"/>
      <c r="J53" s="24"/>
      <c r="K53" s="34">
        <f>J49*0.001</f>
        <v>0.21299999999999999</v>
      </c>
    </row>
    <row r="54" spans="1:11" ht="15.05" thickBot="1" x14ac:dyDescent="0.4">
      <c r="A54" s="45"/>
      <c r="B54" s="35" t="s">
        <v>24</v>
      </c>
      <c r="C54" s="52"/>
      <c r="D54" s="35"/>
      <c r="E54" s="35" t="s">
        <v>48</v>
      </c>
      <c r="F54" s="35"/>
      <c r="G54" s="35"/>
      <c r="H54" s="35"/>
      <c r="I54" s="35"/>
      <c r="J54" s="35"/>
      <c r="K54" s="36">
        <f>J49*0.001</f>
        <v>0.21299999999999999</v>
      </c>
    </row>
    <row r="56" spans="1:11" ht="15.05" thickBot="1" x14ac:dyDescent="0.4">
      <c r="A56" t="s">
        <v>132</v>
      </c>
    </row>
    <row r="57" spans="1:11" ht="42.5" customHeight="1" thickBot="1" x14ac:dyDescent="0.4">
      <c r="A57" s="25" t="s">
        <v>36</v>
      </c>
      <c r="B57" s="27" t="s">
        <v>125</v>
      </c>
      <c r="C57" s="27" t="s">
        <v>126</v>
      </c>
      <c r="D57" s="27" t="s">
        <v>127</v>
      </c>
      <c r="E57" s="27" t="s">
        <v>116</v>
      </c>
      <c r="F57" s="27" t="s">
        <v>128</v>
      </c>
      <c r="G57" s="27" t="s">
        <v>129</v>
      </c>
      <c r="H57" s="28" t="s">
        <v>130</v>
      </c>
    </row>
    <row r="58" spans="1:11" x14ac:dyDescent="0.35">
      <c r="A58" s="43" t="s">
        <v>17</v>
      </c>
      <c r="B58" s="31" t="s">
        <v>48</v>
      </c>
      <c r="C58" s="31">
        <v>50</v>
      </c>
      <c r="D58" s="31">
        <f>K44</f>
        <v>402</v>
      </c>
      <c r="E58" s="31">
        <v>0</v>
      </c>
      <c r="F58" s="31">
        <f>(D58+E58)*0.2</f>
        <v>80.400000000000006</v>
      </c>
      <c r="G58" s="31">
        <v>0</v>
      </c>
      <c r="H58" s="32">
        <f>D58+F58+E58-C58</f>
        <v>432.4</v>
      </c>
    </row>
    <row r="59" spans="1:11" x14ac:dyDescent="0.35">
      <c r="A59" s="44" t="s">
        <v>20</v>
      </c>
      <c r="B59" s="24" t="s">
        <v>40</v>
      </c>
      <c r="C59" s="24">
        <v>80</v>
      </c>
      <c r="D59" s="24">
        <f>K51+K45+K39</f>
        <v>1682</v>
      </c>
      <c r="E59" s="24">
        <v>0</v>
      </c>
      <c r="F59" s="24">
        <f>ROUNDUP((D59+E59)*0.2,0)</f>
        <v>337</v>
      </c>
      <c r="G59" s="24">
        <v>0</v>
      </c>
      <c r="H59" s="34">
        <f t="shared" ref="H59:H70" si="0">D59+F59+E59-C59</f>
        <v>1939</v>
      </c>
    </row>
    <row r="60" spans="1:11" x14ac:dyDescent="0.35">
      <c r="A60" s="44" t="s">
        <v>21</v>
      </c>
      <c r="B60" s="24" t="s">
        <v>48</v>
      </c>
      <c r="C60" s="24">
        <v>10</v>
      </c>
      <c r="D60" s="24">
        <f>K52+K46</f>
        <v>14.31</v>
      </c>
      <c r="E60" s="24">
        <v>0</v>
      </c>
      <c r="F60" s="90">
        <f>(D60+E60)*0.2</f>
        <v>2.8620000000000001</v>
      </c>
      <c r="G60" s="24">
        <v>0</v>
      </c>
      <c r="H60" s="34">
        <f t="shared" si="0"/>
        <v>7.1720000000000006</v>
      </c>
    </row>
    <row r="61" spans="1:11" x14ac:dyDescent="0.35">
      <c r="A61" s="44" t="s">
        <v>41</v>
      </c>
      <c r="B61" s="24" t="s">
        <v>48</v>
      </c>
      <c r="C61" s="24">
        <v>0</v>
      </c>
      <c r="D61" s="90">
        <f>K53+K47</f>
        <v>0.71550000000000002</v>
      </c>
      <c r="E61" s="24">
        <v>0</v>
      </c>
      <c r="F61" s="90">
        <f t="shared" ref="F61:F70" si="1">(D61+E61)*0.2</f>
        <v>0.1431</v>
      </c>
      <c r="G61" s="24">
        <v>0</v>
      </c>
      <c r="H61" s="88">
        <f t="shared" si="0"/>
        <v>0.85860000000000003</v>
      </c>
    </row>
    <row r="62" spans="1:11" x14ac:dyDescent="0.35">
      <c r="A62" s="44" t="s">
        <v>24</v>
      </c>
      <c r="B62" s="24" t="s">
        <v>48</v>
      </c>
      <c r="C62" s="24">
        <v>10</v>
      </c>
      <c r="D62" s="90">
        <f>K54+K48+K41</f>
        <v>1.2171400000000001</v>
      </c>
      <c r="E62" s="24">
        <v>0</v>
      </c>
      <c r="F62" s="90">
        <f t="shared" si="1"/>
        <v>0.24342800000000003</v>
      </c>
      <c r="G62" s="24">
        <v>0</v>
      </c>
      <c r="H62" s="34">
        <v>0</v>
      </c>
    </row>
    <row r="63" spans="1:11" x14ac:dyDescent="0.35">
      <c r="A63" s="44" t="s">
        <v>23</v>
      </c>
      <c r="B63" s="24" t="s">
        <v>48</v>
      </c>
      <c r="C63" s="24">
        <v>10</v>
      </c>
      <c r="D63" s="90">
        <f>K38</f>
        <v>225.73800000000006</v>
      </c>
      <c r="E63" s="24">
        <v>0</v>
      </c>
      <c r="F63" s="90">
        <f t="shared" si="1"/>
        <v>45.147600000000011</v>
      </c>
      <c r="G63" s="24">
        <v>0</v>
      </c>
      <c r="H63" s="88">
        <f t="shared" si="0"/>
        <v>260.88560000000007</v>
      </c>
    </row>
    <row r="64" spans="1:11" x14ac:dyDescent="0.35">
      <c r="A64" s="44" t="s">
        <v>45</v>
      </c>
      <c r="B64" s="24" t="s">
        <v>48</v>
      </c>
      <c r="C64" s="24">
        <v>0</v>
      </c>
      <c r="D64" s="90">
        <f>K40</f>
        <v>5.0164000000000009</v>
      </c>
      <c r="E64" s="24">
        <v>0</v>
      </c>
      <c r="F64" s="90">
        <f t="shared" si="1"/>
        <v>1.0032800000000002</v>
      </c>
      <c r="G64" s="24">
        <v>0</v>
      </c>
      <c r="H64" s="88">
        <f t="shared" si="0"/>
        <v>6.019680000000001</v>
      </c>
    </row>
    <row r="65" spans="1:8" ht="29.05" x14ac:dyDescent="0.35">
      <c r="A65" s="44" t="s">
        <v>25</v>
      </c>
      <c r="B65" s="24" t="s">
        <v>48</v>
      </c>
      <c r="C65" s="24">
        <v>0.08</v>
      </c>
      <c r="D65" s="90">
        <f>K42</f>
        <v>0.75246000000000013</v>
      </c>
      <c r="E65" s="24">
        <v>0</v>
      </c>
      <c r="F65" s="90">
        <f t="shared" si="1"/>
        <v>0.15049200000000004</v>
      </c>
      <c r="G65" s="24">
        <v>0</v>
      </c>
      <c r="H65" s="88">
        <f t="shared" si="0"/>
        <v>0.82295200000000024</v>
      </c>
    </row>
    <row r="66" spans="1:8" x14ac:dyDescent="0.35">
      <c r="A66" s="44" t="s">
        <v>133</v>
      </c>
      <c r="B66" s="24" t="s">
        <v>48</v>
      </c>
      <c r="C66" s="24">
        <v>0</v>
      </c>
      <c r="D66" s="24">
        <f>K36</f>
        <v>23.400000000000002</v>
      </c>
      <c r="E66" s="24">
        <v>0</v>
      </c>
      <c r="F66" s="24">
        <f t="shared" si="1"/>
        <v>4.6800000000000006</v>
      </c>
      <c r="G66" s="24">
        <v>0</v>
      </c>
      <c r="H66" s="34">
        <f t="shared" si="0"/>
        <v>28.080000000000002</v>
      </c>
    </row>
    <row r="67" spans="1:8" x14ac:dyDescent="0.35">
      <c r="A67" s="44" t="s">
        <v>26</v>
      </c>
      <c r="B67" s="24" t="s">
        <v>48</v>
      </c>
      <c r="C67" s="24">
        <v>20</v>
      </c>
      <c r="D67" s="24">
        <f>K26</f>
        <v>27.5</v>
      </c>
      <c r="E67" s="24">
        <v>0</v>
      </c>
      <c r="F67" s="24">
        <f t="shared" si="1"/>
        <v>5.5</v>
      </c>
      <c r="G67" s="24">
        <v>0</v>
      </c>
      <c r="H67" s="34">
        <f t="shared" si="0"/>
        <v>13</v>
      </c>
    </row>
    <row r="68" spans="1:8" x14ac:dyDescent="0.35">
      <c r="A68" s="44" t="s">
        <v>134</v>
      </c>
      <c r="B68" s="24" t="s">
        <v>48</v>
      </c>
      <c r="C68" s="24">
        <v>5</v>
      </c>
      <c r="D68" s="24">
        <f>K27</f>
        <v>6.875</v>
      </c>
      <c r="E68" s="24">
        <v>0</v>
      </c>
      <c r="F68" s="24">
        <f t="shared" si="1"/>
        <v>1.375</v>
      </c>
      <c r="G68" s="24">
        <v>0</v>
      </c>
      <c r="H68" s="34">
        <f t="shared" si="0"/>
        <v>3.25</v>
      </c>
    </row>
    <row r="69" spans="1:8" x14ac:dyDescent="0.35">
      <c r="A69" s="44" t="s">
        <v>113</v>
      </c>
      <c r="B69" s="24" t="s">
        <v>131</v>
      </c>
      <c r="C69" s="24">
        <v>0</v>
      </c>
      <c r="D69" s="24">
        <f t="shared" ref="D69" si="2">K28</f>
        <v>27.5</v>
      </c>
      <c r="E69" s="24">
        <v>0</v>
      </c>
      <c r="F69" s="24">
        <f t="shared" si="1"/>
        <v>5.5</v>
      </c>
      <c r="G69" s="24">
        <v>0</v>
      </c>
      <c r="H69" s="34">
        <f t="shared" si="0"/>
        <v>33</v>
      </c>
    </row>
    <row r="70" spans="1:8" ht="15.05" thickBot="1" x14ac:dyDescent="0.4">
      <c r="A70" s="45" t="s">
        <v>14</v>
      </c>
      <c r="B70" s="35" t="s">
        <v>48</v>
      </c>
      <c r="C70" s="35">
        <v>70</v>
      </c>
      <c r="D70" s="35">
        <f>K50</f>
        <v>127.8</v>
      </c>
      <c r="E70" s="35">
        <v>0</v>
      </c>
      <c r="F70" s="35">
        <f t="shared" si="1"/>
        <v>25.560000000000002</v>
      </c>
      <c r="G70" s="35">
        <v>0</v>
      </c>
      <c r="H70" s="36">
        <f t="shared" si="0"/>
        <v>83.360000000000014</v>
      </c>
    </row>
    <row r="72" spans="1:8" ht="15.05" thickBot="1" x14ac:dyDescent="0.4">
      <c r="A72" t="s">
        <v>135</v>
      </c>
    </row>
    <row r="73" spans="1:8" ht="29.55" thickBot="1" x14ac:dyDescent="0.4">
      <c r="A73" s="25" t="s">
        <v>36</v>
      </c>
      <c r="B73" s="27" t="s">
        <v>125</v>
      </c>
      <c r="C73" s="27" t="s">
        <v>126</v>
      </c>
      <c r="D73" s="27" t="s">
        <v>116</v>
      </c>
      <c r="E73" s="27" t="s">
        <v>128</v>
      </c>
      <c r="F73" s="27" t="s">
        <v>129</v>
      </c>
      <c r="G73" s="28" t="s">
        <v>130</v>
      </c>
    </row>
    <row r="74" spans="1:8" ht="29.05" x14ac:dyDescent="0.35">
      <c r="A74" s="43" t="s">
        <v>117</v>
      </c>
      <c r="B74" s="31" t="s">
        <v>48</v>
      </c>
      <c r="C74" s="31">
        <f>F3</f>
        <v>0</v>
      </c>
      <c r="D74" s="31">
        <f>H3</f>
        <v>330</v>
      </c>
      <c r="E74" s="31">
        <f t="shared" ref="E74:G74" si="3">I3</f>
        <v>82.5</v>
      </c>
      <c r="F74" s="31">
        <f t="shared" si="3"/>
        <v>412.5</v>
      </c>
      <c r="G74" s="32">
        <f t="shared" si="3"/>
        <v>0</v>
      </c>
    </row>
    <row r="75" spans="1:8" ht="29.55" thickBot="1" x14ac:dyDescent="0.4">
      <c r="A75" s="45" t="s">
        <v>118</v>
      </c>
      <c r="B75" s="35" t="s">
        <v>48</v>
      </c>
      <c r="C75" s="35">
        <f>F16</f>
        <v>50</v>
      </c>
      <c r="D75" s="35">
        <f>H16</f>
        <v>150</v>
      </c>
      <c r="E75" s="35">
        <f t="shared" ref="E75:G75" si="4">I16</f>
        <v>37.5</v>
      </c>
      <c r="F75" s="35">
        <f t="shared" si="4"/>
        <v>137.5</v>
      </c>
      <c r="G75" s="36">
        <f t="shared" si="4"/>
        <v>0</v>
      </c>
    </row>
    <row r="76" spans="1:8" x14ac:dyDescent="0.35">
      <c r="A76" s="43" t="s">
        <v>58</v>
      </c>
      <c r="B76" s="31" t="s">
        <v>48</v>
      </c>
      <c r="C76" s="31">
        <f>F29</f>
        <v>0</v>
      </c>
      <c r="D76" s="31">
        <f>H29</f>
        <v>70</v>
      </c>
      <c r="E76" s="31">
        <f t="shared" ref="E76:G76" si="5">I29</f>
        <v>19.5</v>
      </c>
      <c r="F76" s="31">
        <f t="shared" si="5"/>
        <v>117</v>
      </c>
      <c r="G76" s="32">
        <f t="shared" si="5"/>
        <v>0</v>
      </c>
    </row>
    <row r="77" spans="1:8" x14ac:dyDescent="0.35">
      <c r="A77" s="44" t="s">
        <v>86</v>
      </c>
      <c r="B77" s="24" t="s">
        <v>48</v>
      </c>
      <c r="C77" s="24">
        <f>F37</f>
        <v>10</v>
      </c>
      <c r="D77" s="24">
        <f>H37</f>
        <v>0</v>
      </c>
      <c r="E77" s="24">
        <f t="shared" ref="E77:G77" si="6">I37</f>
        <v>43.470000000000006</v>
      </c>
      <c r="F77" s="24">
        <f t="shared" si="6"/>
        <v>250.82000000000005</v>
      </c>
      <c r="G77" s="34">
        <f t="shared" si="6"/>
        <v>0</v>
      </c>
    </row>
    <row r="78" spans="1:8" x14ac:dyDescent="0.35">
      <c r="A78" s="44" t="s">
        <v>47</v>
      </c>
      <c r="B78" s="24" t="s">
        <v>48</v>
      </c>
      <c r="C78" s="24">
        <f>F43</f>
        <v>60</v>
      </c>
      <c r="D78" s="24">
        <f>H43</f>
        <v>180</v>
      </c>
      <c r="E78" s="24">
        <f t="shared" ref="E78:G78" si="7">I43</f>
        <v>93.75</v>
      </c>
      <c r="F78" s="24">
        <f t="shared" si="7"/>
        <v>502.5</v>
      </c>
      <c r="G78" s="34">
        <f t="shared" si="7"/>
        <v>0</v>
      </c>
    </row>
    <row r="79" spans="1:8" ht="15.05" thickBot="1" x14ac:dyDescent="0.4">
      <c r="A79" s="45" t="s">
        <v>55</v>
      </c>
      <c r="B79" s="35" t="s">
        <v>48</v>
      </c>
      <c r="C79" s="35">
        <f>F49</f>
        <v>15</v>
      </c>
      <c r="D79" s="35">
        <f>H49</f>
        <v>190</v>
      </c>
      <c r="E79" s="35">
        <f t="shared" ref="E79:G79" si="8">I49</f>
        <v>38</v>
      </c>
      <c r="F79" s="35">
        <f t="shared" si="8"/>
        <v>213</v>
      </c>
      <c r="G79" s="36">
        <f t="shared" si="8"/>
        <v>0</v>
      </c>
    </row>
    <row r="80" spans="1:8" x14ac:dyDescent="0.35">
      <c r="A80" s="43" t="s">
        <v>17</v>
      </c>
      <c r="B80" s="31" t="s">
        <v>48</v>
      </c>
      <c r="C80" s="31">
        <f>C58</f>
        <v>50</v>
      </c>
      <c r="D80" s="31">
        <f>E58</f>
        <v>0</v>
      </c>
      <c r="E80" s="31">
        <f t="shared" ref="E80:G80" si="9">F58</f>
        <v>80.400000000000006</v>
      </c>
      <c r="F80" s="31">
        <f t="shared" si="9"/>
        <v>0</v>
      </c>
      <c r="G80" s="32">
        <f t="shared" si="9"/>
        <v>432.4</v>
      </c>
    </row>
    <row r="81" spans="1:7" x14ac:dyDescent="0.35">
      <c r="A81" s="44" t="s">
        <v>20</v>
      </c>
      <c r="B81" s="24" t="s">
        <v>40</v>
      </c>
      <c r="C81" s="24">
        <f t="shared" ref="C81:C92" si="10">C59</f>
        <v>80</v>
      </c>
      <c r="D81" s="24">
        <f t="shared" ref="D81:G81" si="11">E59</f>
        <v>0</v>
      </c>
      <c r="E81" s="24">
        <f t="shared" si="11"/>
        <v>337</v>
      </c>
      <c r="F81" s="24">
        <f t="shared" si="11"/>
        <v>0</v>
      </c>
      <c r="G81" s="34">
        <f t="shared" si="11"/>
        <v>1939</v>
      </c>
    </row>
    <row r="82" spans="1:7" x14ac:dyDescent="0.35">
      <c r="A82" s="44" t="s">
        <v>21</v>
      </c>
      <c r="B82" s="24" t="s">
        <v>48</v>
      </c>
      <c r="C82" s="24">
        <f t="shared" si="10"/>
        <v>10</v>
      </c>
      <c r="D82" s="24">
        <f t="shared" ref="D82:G82" si="12">E60</f>
        <v>0</v>
      </c>
      <c r="E82" s="24">
        <f t="shared" si="12"/>
        <v>2.8620000000000001</v>
      </c>
      <c r="F82" s="24">
        <f t="shared" si="12"/>
        <v>0</v>
      </c>
      <c r="G82" s="34">
        <f t="shared" si="12"/>
        <v>7.1720000000000006</v>
      </c>
    </row>
    <row r="83" spans="1:7" x14ac:dyDescent="0.35">
      <c r="A83" s="44" t="s">
        <v>41</v>
      </c>
      <c r="B83" s="24" t="s">
        <v>48</v>
      </c>
      <c r="C83" s="24">
        <f t="shared" si="10"/>
        <v>0</v>
      </c>
      <c r="D83" s="24">
        <f t="shared" ref="D83:G83" si="13">E61</f>
        <v>0</v>
      </c>
      <c r="E83" s="90">
        <f t="shared" si="13"/>
        <v>0.1431</v>
      </c>
      <c r="F83" s="24">
        <f t="shared" si="13"/>
        <v>0</v>
      </c>
      <c r="G83" s="88">
        <f t="shared" si="13"/>
        <v>0.85860000000000003</v>
      </c>
    </row>
    <row r="84" spans="1:7" x14ac:dyDescent="0.35">
      <c r="A84" s="44" t="s">
        <v>24</v>
      </c>
      <c r="B84" s="24" t="s">
        <v>48</v>
      </c>
      <c r="C84" s="24">
        <f t="shared" si="10"/>
        <v>10</v>
      </c>
      <c r="D84" s="24">
        <f t="shared" ref="D84:G84" si="14">E62</f>
        <v>0</v>
      </c>
      <c r="E84" s="90">
        <f t="shared" si="14"/>
        <v>0.24342800000000003</v>
      </c>
      <c r="F84" s="24">
        <f t="shared" si="14"/>
        <v>0</v>
      </c>
      <c r="G84" s="34">
        <f t="shared" si="14"/>
        <v>0</v>
      </c>
    </row>
    <row r="85" spans="1:7" x14ac:dyDescent="0.35">
      <c r="A85" s="44" t="s">
        <v>23</v>
      </c>
      <c r="B85" s="24" t="s">
        <v>48</v>
      </c>
      <c r="C85" s="24">
        <f t="shared" si="10"/>
        <v>10</v>
      </c>
      <c r="D85" s="24">
        <f t="shared" ref="D85:G85" si="15">E63</f>
        <v>0</v>
      </c>
      <c r="E85" s="90">
        <f t="shared" si="15"/>
        <v>45.147600000000011</v>
      </c>
      <c r="F85" s="24">
        <f t="shared" si="15"/>
        <v>0</v>
      </c>
      <c r="G85" s="88">
        <f t="shared" si="15"/>
        <v>260.88560000000007</v>
      </c>
    </row>
    <row r="86" spans="1:7" x14ac:dyDescent="0.35">
      <c r="A86" s="44" t="s">
        <v>45</v>
      </c>
      <c r="B86" s="24" t="s">
        <v>48</v>
      </c>
      <c r="C86" s="24">
        <f t="shared" si="10"/>
        <v>0</v>
      </c>
      <c r="D86" s="24">
        <f t="shared" ref="D86:G86" si="16">E64</f>
        <v>0</v>
      </c>
      <c r="E86" s="90">
        <f t="shared" si="16"/>
        <v>1.0032800000000002</v>
      </c>
      <c r="F86" s="24">
        <f t="shared" si="16"/>
        <v>0</v>
      </c>
      <c r="G86" s="88">
        <f t="shared" si="16"/>
        <v>6.019680000000001</v>
      </c>
    </row>
    <row r="87" spans="1:7" ht="29.05" x14ac:dyDescent="0.35">
      <c r="A87" s="44" t="s">
        <v>25</v>
      </c>
      <c r="B87" s="24" t="s">
        <v>48</v>
      </c>
      <c r="C87" s="24">
        <f t="shared" si="10"/>
        <v>0.08</v>
      </c>
      <c r="D87" s="24">
        <f t="shared" ref="D87:G87" si="17">E65</f>
        <v>0</v>
      </c>
      <c r="E87" s="90">
        <f t="shared" si="17"/>
        <v>0.15049200000000004</v>
      </c>
      <c r="F87" s="24">
        <f t="shared" si="17"/>
        <v>0</v>
      </c>
      <c r="G87" s="88">
        <f t="shared" si="17"/>
        <v>0.82295200000000024</v>
      </c>
    </row>
    <row r="88" spans="1:7" x14ac:dyDescent="0.35">
      <c r="A88" s="44" t="s">
        <v>133</v>
      </c>
      <c r="B88" s="24" t="s">
        <v>48</v>
      </c>
      <c r="C88" s="24">
        <f t="shared" si="10"/>
        <v>0</v>
      </c>
      <c r="D88" s="24">
        <f t="shared" ref="D88:G88" si="18">E66</f>
        <v>0</v>
      </c>
      <c r="E88" s="24">
        <f t="shared" si="18"/>
        <v>4.6800000000000006</v>
      </c>
      <c r="F88" s="24">
        <f t="shared" si="18"/>
        <v>0</v>
      </c>
      <c r="G88" s="34">
        <f t="shared" si="18"/>
        <v>28.080000000000002</v>
      </c>
    </row>
    <row r="89" spans="1:7" x14ac:dyDescent="0.35">
      <c r="A89" s="44" t="s">
        <v>26</v>
      </c>
      <c r="B89" s="24" t="s">
        <v>48</v>
      </c>
      <c r="C89" s="24">
        <f t="shared" si="10"/>
        <v>20</v>
      </c>
      <c r="D89" s="24">
        <f t="shared" ref="D89:G89" si="19">E67</f>
        <v>0</v>
      </c>
      <c r="E89" s="24">
        <f t="shared" si="19"/>
        <v>5.5</v>
      </c>
      <c r="F89" s="24">
        <f t="shared" si="19"/>
        <v>0</v>
      </c>
      <c r="G89" s="34">
        <f t="shared" si="19"/>
        <v>13</v>
      </c>
    </row>
    <row r="90" spans="1:7" x14ac:dyDescent="0.35">
      <c r="A90" s="44" t="s">
        <v>134</v>
      </c>
      <c r="B90" s="24" t="s">
        <v>48</v>
      </c>
      <c r="C90" s="24">
        <f t="shared" si="10"/>
        <v>5</v>
      </c>
      <c r="D90" s="24">
        <f t="shared" ref="D90:G90" si="20">E68</f>
        <v>0</v>
      </c>
      <c r="E90" s="24">
        <f t="shared" si="20"/>
        <v>1.375</v>
      </c>
      <c r="F90" s="24">
        <f t="shared" si="20"/>
        <v>0</v>
      </c>
      <c r="G90" s="34">
        <f t="shared" si="20"/>
        <v>3.25</v>
      </c>
    </row>
    <row r="91" spans="1:7" x14ac:dyDescent="0.35">
      <c r="A91" s="44" t="s">
        <v>113</v>
      </c>
      <c r="B91" s="24" t="s">
        <v>131</v>
      </c>
      <c r="C91" s="24">
        <f t="shared" si="10"/>
        <v>0</v>
      </c>
      <c r="D91" s="24">
        <f t="shared" ref="D91:G91" si="21">E69</f>
        <v>0</v>
      </c>
      <c r="E91" s="24">
        <f t="shared" si="21"/>
        <v>5.5</v>
      </c>
      <c r="F91" s="24">
        <f t="shared" si="21"/>
        <v>0</v>
      </c>
      <c r="G91" s="34">
        <f t="shared" si="21"/>
        <v>33</v>
      </c>
    </row>
    <row r="92" spans="1:7" ht="15.05" thickBot="1" x14ac:dyDescent="0.4">
      <c r="A92" s="45" t="s">
        <v>14</v>
      </c>
      <c r="B92" s="35" t="s">
        <v>48</v>
      </c>
      <c r="C92" s="35">
        <f t="shared" si="10"/>
        <v>70</v>
      </c>
      <c r="D92" s="35">
        <f t="shared" ref="D92:G92" si="22">E70</f>
        <v>0</v>
      </c>
      <c r="E92" s="35">
        <f t="shared" si="22"/>
        <v>25.560000000000002</v>
      </c>
      <c r="F92" s="35">
        <f t="shared" si="22"/>
        <v>0</v>
      </c>
      <c r="G92" s="36">
        <f t="shared" si="22"/>
        <v>83.360000000000014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7662-C026-4620-9330-12992B5F8C65}">
  <dimension ref="A1:G37"/>
  <sheetViews>
    <sheetView tabSelected="1" workbookViewId="0">
      <selection activeCell="B3" sqref="B3:B4"/>
    </sheetView>
  </sheetViews>
  <sheetFormatPr defaultRowHeight="14.5" x14ac:dyDescent="0.35"/>
  <cols>
    <col min="1" max="1" width="18.453125" customWidth="1"/>
    <col min="2" max="2" width="23.453125" customWidth="1"/>
    <col min="3" max="3" width="19.54296875" customWidth="1"/>
    <col min="4" max="4" width="16.36328125" customWidth="1"/>
    <col min="5" max="5" width="26.90625" customWidth="1"/>
    <col min="6" max="6" width="20.6328125" customWidth="1"/>
    <col min="7" max="7" width="19.08984375" customWidth="1"/>
  </cols>
  <sheetData>
    <row r="1" spans="1:4" ht="15.05" thickBot="1" x14ac:dyDescent="0.4">
      <c r="A1" t="s">
        <v>136</v>
      </c>
    </row>
    <row r="2" spans="1:4" ht="44.05" thickBot="1" x14ac:dyDescent="0.4">
      <c r="A2" s="54" t="s">
        <v>137</v>
      </c>
      <c r="B2" s="22" t="s">
        <v>145</v>
      </c>
    </row>
    <row r="3" spans="1:4" x14ac:dyDescent="0.35">
      <c r="A3" s="66" t="s">
        <v>138</v>
      </c>
      <c r="B3" s="95">
        <f>((5/100)*502.5/(502.5+213))+((4/100)*213/(502.5+213))</f>
        <v>4.7023060796645699E-2</v>
      </c>
    </row>
    <row r="4" spans="1:4" x14ac:dyDescent="0.35">
      <c r="A4" s="44" t="s">
        <v>139</v>
      </c>
      <c r="B4" s="96">
        <f>((2/100)*502.5/(502.5+213))+((1.5/100)*213/(502.5+213))</f>
        <v>1.8511530398322852E-2</v>
      </c>
    </row>
    <row r="5" spans="1:4" x14ac:dyDescent="0.35">
      <c r="A5" s="44" t="s">
        <v>140</v>
      </c>
      <c r="B5" s="34">
        <f>2/10</f>
        <v>0.2</v>
      </c>
    </row>
    <row r="6" spans="1:4" x14ac:dyDescent="0.35">
      <c r="A6" s="44" t="s">
        <v>141</v>
      </c>
      <c r="B6" s="34">
        <f>0.5/10</f>
        <v>0.05</v>
      </c>
    </row>
    <row r="7" spans="1:4" x14ac:dyDescent="0.35">
      <c r="A7" s="44" t="s">
        <v>142</v>
      </c>
      <c r="B7" s="34">
        <f>3/10</f>
        <v>0.3</v>
      </c>
    </row>
    <row r="8" spans="1:4" x14ac:dyDescent="0.35">
      <c r="A8" s="44" t="s">
        <v>143</v>
      </c>
      <c r="B8" s="34">
        <f>1/10</f>
        <v>0.1</v>
      </c>
    </row>
    <row r="9" spans="1:4" ht="15.05" thickBot="1" x14ac:dyDescent="0.4">
      <c r="A9" s="45" t="s">
        <v>144</v>
      </c>
      <c r="B9" s="36">
        <v>0.4</v>
      </c>
    </row>
    <row r="10" spans="1:4" ht="15.05" thickBot="1" x14ac:dyDescent="0.4"/>
    <row r="11" spans="1:4" x14ac:dyDescent="0.35">
      <c r="A11" s="25" t="s">
        <v>147</v>
      </c>
      <c r="B11" s="56">
        <f>30*24</f>
        <v>720</v>
      </c>
    </row>
    <row r="12" spans="1:4" x14ac:dyDescent="0.35">
      <c r="A12" s="57" t="s">
        <v>148</v>
      </c>
      <c r="B12" s="58">
        <f>(8*(30-9)-1*1)*1</f>
        <v>167</v>
      </c>
    </row>
    <row r="13" spans="1:4" x14ac:dyDescent="0.35">
      <c r="A13" s="57" t="s">
        <v>150</v>
      </c>
      <c r="B13" s="58">
        <f>B12*0.2</f>
        <v>33.4</v>
      </c>
    </row>
    <row r="14" spans="1:4" ht="15.05" thickBot="1" x14ac:dyDescent="0.4">
      <c r="A14" s="59" t="s">
        <v>149</v>
      </c>
      <c r="B14" s="60">
        <f>B12-B13</f>
        <v>133.6</v>
      </c>
    </row>
    <row r="15" spans="1:4" ht="15.05" thickBot="1" x14ac:dyDescent="0.4">
      <c r="A15" s="55" t="s">
        <v>146</v>
      </c>
    </row>
    <row r="16" spans="1:4" ht="77.2" customHeight="1" thickBot="1" x14ac:dyDescent="0.4">
      <c r="A16" s="61" t="s">
        <v>137</v>
      </c>
      <c r="B16" s="26" t="s">
        <v>151</v>
      </c>
      <c r="C16" s="27" t="s">
        <v>152</v>
      </c>
      <c r="D16" s="28" t="s">
        <v>153</v>
      </c>
    </row>
    <row r="17" spans="1:7" x14ac:dyDescent="0.35">
      <c r="A17" s="63" t="s">
        <v>138</v>
      </c>
      <c r="B17" s="31">
        <v>1</v>
      </c>
      <c r="C17" s="31">
        <f>$B$14</f>
        <v>133.6</v>
      </c>
      <c r="D17" s="32">
        <f>C17*B17</f>
        <v>133.6</v>
      </c>
    </row>
    <row r="18" spans="1:7" x14ac:dyDescent="0.35">
      <c r="A18" s="64" t="s">
        <v>139</v>
      </c>
      <c r="B18" s="24">
        <v>2</v>
      </c>
      <c r="C18" s="24">
        <f t="shared" ref="C18:C23" si="0">$B$14</f>
        <v>133.6</v>
      </c>
      <c r="D18" s="34">
        <f t="shared" ref="D18:D23" si="1">C18*B18</f>
        <v>267.2</v>
      </c>
    </row>
    <row r="19" spans="1:7" x14ac:dyDescent="0.35">
      <c r="A19" s="64" t="s">
        <v>140</v>
      </c>
      <c r="B19" s="24">
        <v>1</v>
      </c>
      <c r="C19" s="24">
        <f t="shared" si="0"/>
        <v>133.6</v>
      </c>
      <c r="D19" s="34">
        <f t="shared" si="1"/>
        <v>133.6</v>
      </c>
    </row>
    <row r="20" spans="1:7" x14ac:dyDescent="0.35">
      <c r="A20" s="64" t="s">
        <v>141</v>
      </c>
      <c r="B20" s="24">
        <v>1</v>
      </c>
      <c r="C20" s="24">
        <f t="shared" si="0"/>
        <v>133.6</v>
      </c>
      <c r="D20" s="34">
        <f t="shared" si="1"/>
        <v>133.6</v>
      </c>
    </row>
    <row r="21" spans="1:7" x14ac:dyDescent="0.35">
      <c r="A21" s="64" t="s">
        <v>142</v>
      </c>
      <c r="B21" s="24">
        <v>1</v>
      </c>
      <c r="C21" s="24">
        <f t="shared" si="0"/>
        <v>133.6</v>
      </c>
      <c r="D21" s="34">
        <f t="shared" si="1"/>
        <v>133.6</v>
      </c>
    </row>
    <row r="22" spans="1:7" x14ac:dyDescent="0.35">
      <c r="A22" s="64" t="s">
        <v>143</v>
      </c>
      <c r="B22" s="24">
        <v>1</v>
      </c>
      <c r="C22" s="24">
        <f t="shared" si="0"/>
        <v>133.6</v>
      </c>
      <c r="D22" s="34">
        <f t="shared" si="1"/>
        <v>133.6</v>
      </c>
    </row>
    <row r="23" spans="1:7" ht="15.05" thickBot="1" x14ac:dyDescent="0.4">
      <c r="A23" s="65" t="s">
        <v>144</v>
      </c>
      <c r="B23" s="35">
        <v>1</v>
      </c>
      <c r="C23" s="35">
        <f t="shared" si="0"/>
        <v>133.6</v>
      </c>
      <c r="D23" s="36">
        <f t="shared" si="1"/>
        <v>133.6</v>
      </c>
    </row>
    <row r="25" spans="1:7" ht="15.05" thickBot="1" x14ac:dyDescent="0.4">
      <c r="A25" s="62" t="s">
        <v>154</v>
      </c>
    </row>
    <row r="26" spans="1:7" ht="45.6" customHeight="1" thickBot="1" x14ac:dyDescent="0.4">
      <c r="A26" s="61" t="s">
        <v>137</v>
      </c>
      <c r="B26" s="26" t="s">
        <v>155</v>
      </c>
      <c r="C26" s="27" t="s">
        <v>156</v>
      </c>
      <c r="D26" s="67" t="s">
        <v>157</v>
      </c>
      <c r="E26" s="27" t="s">
        <v>158</v>
      </c>
      <c r="F26" s="27" t="s">
        <v>159</v>
      </c>
      <c r="G26" s="28" t="s">
        <v>160</v>
      </c>
    </row>
    <row r="27" spans="1:7" x14ac:dyDescent="0.35">
      <c r="A27" s="43" t="s">
        <v>138</v>
      </c>
      <c r="B27" s="41">
        <f>C17</f>
        <v>133.6</v>
      </c>
      <c r="C27" s="41">
        <f>B17</f>
        <v>1</v>
      </c>
      <c r="D27" s="41">
        <f>B27*C27</f>
        <v>133.6</v>
      </c>
      <c r="E27" s="91">
        <f>B3</f>
        <v>4.7023060796645699E-2</v>
      </c>
      <c r="F27" s="91">
        <f>D27/E27</f>
        <v>2841.1591618368257</v>
      </c>
      <c r="G27" s="68">
        <f>502.5+213</f>
        <v>715.5</v>
      </c>
    </row>
    <row r="28" spans="1:7" ht="15.05" thickBot="1" x14ac:dyDescent="0.4">
      <c r="A28" s="46" t="s">
        <v>139</v>
      </c>
      <c r="B28" s="53">
        <f t="shared" ref="B28" si="2">C18</f>
        <v>133.6</v>
      </c>
      <c r="C28" s="53">
        <f t="shared" ref="C28" si="3">B18</f>
        <v>2</v>
      </c>
      <c r="D28" s="53">
        <f t="shared" ref="D28:D35" si="4">B28*C28</f>
        <v>267.2</v>
      </c>
      <c r="E28" s="92">
        <f t="shared" ref="E28" si="5">B4</f>
        <v>1.8511530398322852E-2</v>
      </c>
      <c r="F28" s="92">
        <f t="shared" ref="F28:F35" si="6">D28/E28</f>
        <v>14434.246885617213</v>
      </c>
      <c r="G28" s="70">
        <f>502.5+213</f>
        <v>715.5</v>
      </c>
    </row>
    <row r="29" spans="1:7" ht="15.05" thickBot="1" x14ac:dyDescent="0.4">
      <c r="A29" s="74" t="s">
        <v>162</v>
      </c>
      <c r="B29" s="75"/>
      <c r="C29" s="75"/>
      <c r="D29" s="75">
        <f>MIN(D27,D28)</f>
        <v>133.6</v>
      </c>
      <c r="E29" s="75"/>
      <c r="F29" s="93">
        <f>MIN(F27,F28)</f>
        <v>2841.1591618368257</v>
      </c>
      <c r="G29" s="76"/>
    </row>
    <row r="30" spans="1:7" ht="15.05" thickBot="1" x14ac:dyDescent="0.4">
      <c r="A30" s="71" t="s">
        <v>140</v>
      </c>
      <c r="B30" s="72">
        <f>C19</f>
        <v>133.6</v>
      </c>
      <c r="C30" s="72">
        <f>B19</f>
        <v>1</v>
      </c>
      <c r="D30" s="72">
        <f t="shared" si="4"/>
        <v>133.6</v>
      </c>
      <c r="E30" s="72">
        <f>B5</f>
        <v>0.2</v>
      </c>
      <c r="F30" s="72">
        <f t="shared" si="6"/>
        <v>667.99999999999989</v>
      </c>
      <c r="G30" s="73">
        <v>250.82</v>
      </c>
    </row>
    <row r="31" spans="1:7" ht="15.05" thickBot="1" x14ac:dyDescent="0.4">
      <c r="A31" s="74" t="s">
        <v>163</v>
      </c>
      <c r="B31" s="75"/>
      <c r="C31" s="75"/>
      <c r="D31" s="75">
        <v>23</v>
      </c>
      <c r="E31" s="75"/>
      <c r="F31" s="75">
        <v>115</v>
      </c>
      <c r="G31" s="76"/>
    </row>
    <row r="32" spans="1:7" x14ac:dyDescent="0.35">
      <c r="A32" s="43" t="s">
        <v>141</v>
      </c>
      <c r="B32" s="41">
        <f>C20</f>
        <v>133.6</v>
      </c>
      <c r="C32" s="41">
        <f>B20</f>
        <v>1</v>
      </c>
      <c r="D32" s="41">
        <f t="shared" si="4"/>
        <v>133.6</v>
      </c>
      <c r="E32" s="41">
        <f>B6</f>
        <v>0.05</v>
      </c>
      <c r="F32" s="41">
        <f t="shared" si="6"/>
        <v>2671.9999999999995</v>
      </c>
      <c r="G32" s="68">
        <v>412.5</v>
      </c>
    </row>
    <row r="33" spans="1:7" x14ac:dyDescent="0.35">
      <c r="A33" s="44" t="s">
        <v>142</v>
      </c>
      <c r="B33" s="51">
        <f>C21</f>
        <v>133.6</v>
      </c>
      <c r="C33" s="51">
        <f>B21</f>
        <v>1</v>
      </c>
      <c r="D33" s="51">
        <f t="shared" si="4"/>
        <v>133.6</v>
      </c>
      <c r="E33" s="51">
        <f>B7</f>
        <v>0.3</v>
      </c>
      <c r="F33" s="94">
        <f t="shared" si="6"/>
        <v>445.33333333333331</v>
      </c>
      <c r="G33" s="69">
        <v>412.5</v>
      </c>
    </row>
    <row r="34" spans="1:7" x14ac:dyDescent="0.35">
      <c r="A34" s="44" t="s">
        <v>143</v>
      </c>
      <c r="B34" s="51">
        <f>C22</f>
        <v>133.6</v>
      </c>
      <c r="C34" s="51">
        <f>B22</f>
        <v>1</v>
      </c>
      <c r="D34" s="51">
        <f t="shared" si="4"/>
        <v>133.6</v>
      </c>
      <c r="E34" s="51">
        <f>B8</f>
        <v>0.1</v>
      </c>
      <c r="F34" s="51">
        <f t="shared" si="6"/>
        <v>1335.9999999999998</v>
      </c>
      <c r="G34" s="69">
        <v>117</v>
      </c>
    </row>
    <row r="35" spans="1:7" ht="15.05" thickBot="1" x14ac:dyDescent="0.4">
      <c r="A35" s="46" t="s">
        <v>144</v>
      </c>
      <c r="B35" s="53">
        <f>C23</f>
        <v>133.6</v>
      </c>
      <c r="C35" s="53">
        <f>B23</f>
        <v>1</v>
      </c>
      <c r="D35" s="53">
        <f t="shared" si="4"/>
        <v>133.6</v>
      </c>
      <c r="E35" s="53">
        <f>B9</f>
        <v>0.4</v>
      </c>
      <c r="F35" s="53">
        <f t="shared" si="6"/>
        <v>333.99999999999994</v>
      </c>
      <c r="G35" s="70">
        <v>137.5</v>
      </c>
    </row>
    <row r="36" spans="1:7" ht="15.05" thickBot="1" x14ac:dyDescent="0.4">
      <c r="A36" s="74" t="s">
        <v>164</v>
      </c>
      <c r="B36" s="77"/>
      <c r="C36" s="77"/>
      <c r="D36" s="75">
        <f>MIN(D32,D33,D34,D35)</f>
        <v>133.6</v>
      </c>
      <c r="E36" s="77"/>
      <c r="F36" s="75">
        <f>MIN(F32,F33,F34,F35)</f>
        <v>333.99999999999994</v>
      </c>
      <c r="G36" s="78"/>
    </row>
    <row r="37" spans="1:7" ht="15.05" thickBot="1" x14ac:dyDescent="0.4">
      <c r="A37" s="79" t="s">
        <v>161</v>
      </c>
      <c r="B37" s="80"/>
      <c r="C37" s="80"/>
      <c r="D37" s="81">
        <f>MIN(D29,D31,D36)</f>
        <v>23</v>
      </c>
      <c r="E37" s="80"/>
      <c r="F37" s="81">
        <f>MIN(F29,F31,F36)</f>
        <v>115</v>
      </c>
      <c r="G37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</vt:lpstr>
      <vt:lpstr>ОсновныеДанные</vt:lpstr>
      <vt:lpstr>СкладОстатки</vt:lpstr>
      <vt:lpstr>ЗаказыКлиентов</vt:lpstr>
      <vt:lpstr>Лаб5</vt:lpstr>
      <vt:lpstr>Лаб6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sherl</cp:lastModifiedBy>
  <dcterms:created xsi:type="dcterms:W3CDTF">2017-02-06T11:32:46Z</dcterms:created>
  <dcterms:modified xsi:type="dcterms:W3CDTF">2023-03-06T21:46:15Z</dcterms:modified>
</cp:coreProperties>
</file>